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600" windowHeight="8190" activeTab="1"/>
  </bookViews>
  <sheets>
    <sheet name="Class Method" sheetId="1" r:id="rId1"/>
    <sheet name="Realistic Value" sheetId="2" r:id="rId2"/>
  </sheets>
  <calcPr calcId="145621" iterateDelta="1E-4"/>
</workbook>
</file>

<file path=xl/calcChain.xml><?xml version="1.0" encoding="utf-8"?>
<calcChain xmlns="http://schemas.openxmlformats.org/spreadsheetml/2006/main">
  <c r="I133" i="1" l="1"/>
  <c r="C127" i="1"/>
  <c r="D121" i="1"/>
  <c r="D105" i="1"/>
  <c r="D89" i="1"/>
  <c r="C12" i="1"/>
  <c r="D88" i="1"/>
  <c r="D87" i="1"/>
  <c r="H134" i="2"/>
  <c r="H129" i="2"/>
  <c r="C166" i="2"/>
  <c r="N161" i="2"/>
  <c r="N155" i="2"/>
  <c r="M155" i="2"/>
  <c r="L155" i="2"/>
  <c r="K155" i="2"/>
  <c r="J155" i="2"/>
  <c r="I155" i="2"/>
  <c r="H155" i="2"/>
  <c r="G155" i="2"/>
  <c r="F155" i="2"/>
  <c r="E155" i="2"/>
  <c r="D155" i="2"/>
  <c r="C152" i="2"/>
  <c r="Q151" i="2"/>
  <c r="H135" i="2"/>
  <c r="H130" i="2"/>
  <c r="C124" i="2"/>
  <c r="C122" i="2"/>
  <c r="E99" i="2"/>
  <c r="E98" i="2"/>
  <c r="E96" i="2"/>
  <c r="E92" i="2"/>
  <c r="D90" i="2"/>
  <c r="D89" i="2"/>
  <c r="D88" i="2"/>
  <c r="O60" i="2"/>
  <c r="M57" i="2"/>
  <c r="L57" i="2"/>
  <c r="K57" i="2"/>
  <c r="J57" i="2"/>
  <c r="I57" i="2"/>
  <c r="H57" i="2"/>
  <c r="G57" i="2"/>
  <c r="F57" i="2"/>
  <c r="E57" i="2"/>
  <c r="D57" i="2"/>
  <c r="O53" i="2"/>
  <c r="M53" i="2"/>
  <c r="N143" i="2"/>
  <c r="N146" i="2"/>
  <c r="L53" i="2"/>
  <c r="M143" i="2"/>
  <c r="M146" i="2"/>
  <c r="K53" i="2"/>
  <c r="L143" i="2"/>
  <c r="L146" i="2"/>
  <c r="J53" i="2"/>
  <c r="K143" i="2"/>
  <c r="K146" i="2"/>
  <c r="I53" i="2"/>
  <c r="J143" i="2"/>
  <c r="J146" i="2"/>
  <c r="H53" i="2"/>
  <c r="I143" i="2"/>
  <c r="I146" i="2"/>
  <c r="G53" i="2"/>
  <c r="H143" i="2"/>
  <c r="H146" i="2"/>
  <c r="F53" i="2"/>
  <c r="G143" i="2"/>
  <c r="G146" i="2"/>
  <c r="E53" i="2"/>
  <c r="F143" i="2"/>
  <c r="F146" i="2"/>
  <c r="D53" i="2"/>
  <c r="E143" i="2"/>
  <c r="E146" i="2"/>
  <c r="C53" i="2"/>
  <c r="M41" i="2"/>
  <c r="L41" i="2"/>
  <c r="K41" i="2"/>
  <c r="J41" i="2"/>
  <c r="I41" i="2"/>
  <c r="H41" i="2"/>
  <c r="G41" i="2"/>
  <c r="F41" i="2"/>
  <c r="E41" i="2"/>
  <c r="D41" i="2"/>
  <c r="C41" i="2"/>
  <c r="C106" i="2"/>
  <c r="M23" i="2"/>
  <c r="M48" i="2"/>
  <c r="L23" i="2"/>
  <c r="L48" i="2"/>
  <c r="K23" i="2"/>
  <c r="K48" i="2"/>
  <c r="J23" i="2"/>
  <c r="J48" i="2"/>
  <c r="I23" i="2"/>
  <c r="I48" i="2"/>
  <c r="H23" i="2"/>
  <c r="H48" i="2"/>
  <c r="G23" i="2"/>
  <c r="G48" i="2"/>
  <c r="F23" i="2"/>
  <c r="F48" i="2"/>
  <c r="E23" i="2"/>
  <c r="E48" i="2"/>
  <c r="D23" i="2"/>
  <c r="D48" i="2"/>
  <c r="C23" i="2"/>
  <c r="C48" i="2"/>
  <c r="C115" i="2"/>
  <c r="D21" i="2"/>
  <c r="D50" i="2"/>
  <c r="C21" i="2"/>
  <c r="C50" i="2"/>
  <c r="C113" i="2"/>
  <c r="Q16" i="2"/>
  <c r="M16" i="2"/>
  <c r="M43" i="2"/>
  <c r="L16" i="2"/>
  <c r="L43" i="2"/>
  <c r="J16" i="2"/>
  <c r="J43" i="2"/>
  <c r="H16" i="2"/>
  <c r="H43" i="2"/>
  <c r="F16" i="2"/>
  <c r="F43" i="2"/>
  <c r="D16" i="2"/>
  <c r="D43" i="2"/>
  <c r="C15" i="2"/>
  <c r="C13" i="2"/>
  <c r="C11" i="2"/>
  <c r="C38" i="2"/>
  <c r="C12" i="2"/>
  <c r="C34" i="2"/>
  <c r="C10" i="2"/>
  <c r="C37" i="2"/>
  <c r="D9" i="2"/>
  <c r="D10" i="2"/>
  <c r="C9" i="2"/>
  <c r="E8" i="2"/>
  <c r="F8" i="2"/>
  <c r="G8" i="2"/>
  <c r="H8" i="2"/>
  <c r="I8" i="2"/>
  <c r="J8" i="2"/>
  <c r="K8" i="2"/>
  <c r="L8" i="2"/>
  <c r="M8" i="2"/>
  <c r="D8" i="2"/>
  <c r="E7" i="2"/>
  <c r="E9" i="2"/>
  <c r="D7" i="2"/>
  <c r="C6" i="2"/>
  <c r="C33" i="2"/>
  <c r="D5" i="2"/>
  <c r="E5" i="2"/>
  <c r="D4" i="2"/>
  <c r="E4" i="2"/>
  <c r="F4" i="2"/>
  <c r="G4" i="2"/>
  <c r="H4" i="2"/>
  <c r="I4" i="2"/>
  <c r="J4" i="2"/>
  <c r="K4" i="2"/>
  <c r="L4" i="2"/>
  <c r="M4" i="2"/>
  <c r="D3" i="2"/>
  <c r="D36" i="2"/>
  <c r="E66" i="1"/>
  <c r="C155" i="1"/>
  <c r="N164" i="1"/>
  <c r="E158" i="1"/>
  <c r="F158" i="1"/>
  <c r="G158" i="1"/>
  <c r="H158" i="1"/>
  <c r="I158" i="1"/>
  <c r="J158" i="1"/>
  <c r="K158" i="1"/>
  <c r="L158" i="1"/>
  <c r="M158" i="1"/>
  <c r="N158" i="1"/>
  <c r="D158" i="1"/>
  <c r="Q154" i="1"/>
  <c r="C169" i="1"/>
  <c r="H132" i="1"/>
  <c r="H133" i="1"/>
  <c r="C125" i="1"/>
  <c r="F23" i="1"/>
  <c r="G23" i="1"/>
  <c r="G48" i="1"/>
  <c r="H23" i="1"/>
  <c r="I23" i="1"/>
  <c r="I48" i="1"/>
  <c r="J23" i="1"/>
  <c r="K23" i="1"/>
  <c r="K48" i="1"/>
  <c r="L23" i="1"/>
  <c r="M23" i="1"/>
  <c r="M48" i="1"/>
  <c r="F41" i="1"/>
  <c r="G41" i="1"/>
  <c r="H41" i="1"/>
  <c r="I41" i="1"/>
  <c r="J41" i="1"/>
  <c r="K41" i="1"/>
  <c r="L41" i="1"/>
  <c r="M41" i="1"/>
  <c r="F48" i="1"/>
  <c r="H48" i="1"/>
  <c r="J48" i="1"/>
  <c r="L48" i="1"/>
  <c r="F57" i="1"/>
  <c r="G57" i="1"/>
  <c r="H57" i="1"/>
  <c r="I57" i="1"/>
  <c r="J57" i="1"/>
  <c r="K57" i="1"/>
  <c r="L57" i="1"/>
  <c r="M57" i="1"/>
  <c r="C15" i="1"/>
  <c r="Q16" i="1"/>
  <c r="C16" i="1"/>
  <c r="C43" i="1"/>
  <c r="C111" i="1"/>
  <c r="O53" i="1"/>
  <c r="G53" i="1"/>
  <c r="H146" i="1"/>
  <c r="H149" i="1"/>
  <c r="O60" i="1"/>
  <c r="D8" i="1"/>
  <c r="E8" i="1"/>
  <c r="F8" i="1"/>
  <c r="G8" i="1"/>
  <c r="H8" i="1"/>
  <c r="I8" i="1"/>
  <c r="J8" i="1"/>
  <c r="K8" i="1"/>
  <c r="L8" i="1"/>
  <c r="M8" i="1"/>
  <c r="D7" i="1"/>
  <c r="E7" i="1"/>
  <c r="F7" i="1"/>
  <c r="E23" i="1"/>
  <c r="E48" i="1"/>
  <c r="D23" i="1"/>
  <c r="D48" i="1"/>
  <c r="C23" i="1"/>
  <c r="C48" i="1"/>
  <c r="C118" i="1"/>
  <c r="C21" i="1"/>
  <c r="D21" i="1"/>
  <c r="E21" i="1"/>
  <c r="D92" i="1"/>
  <c r="D91" i="1"/>
  <c r="E41" i="1"/>
  <c r="D41" i="1"/>
  <c r="C41" i="1"/>
  <c r="C109" i="1"/>
  <c r="C50" i="1"/>
  <c r="C116" i="1"/>
  <c r="C42" i="1"/>
  <c r="C110" i="1"/>
  <c r="C119" i="1"/>
  <c r="C6" i="1"/>
  <c r="D5" i="1"/>
  <c r="E5" i="1"/>
  <c r="F5" i="1"/>
  <c r="D4" i="1"/>
  <c r="E4" i="1"/>
  <c r="F4" i="1"/>
  <c r="G4" i="1"/>
  <c r="H4" i="1"/>
  <c r="I4" i="1"/>
  <c r="J4" i="1"/>
  <c r="K4" i="1"/>
  <c r="L4" i="1"/>
  <c r="M4" i="1"/>
  <c r="D3" i="1"/>
  <c r="E3" i="1"/>
  <c r="F3" i="1"/>
  <c r="D6" i="1"/>
  <c r="E6" i="1"/>
  <c r="F6" i="1"/>
  <c r="D16" i="1"/>
  <c r="L53" i="1"/>
  <c r="M146" i="1"/>
  <c r="M149" i="1"/>
  <c r="J53" i="1"/>
  <c r="K146" i="1"/>
  <c r="K149" i="1"/>
  <c r="H53" i="1"/>
  <c r="I146" i="1"/>
  <c r="I149" i="1"/>
  <c r="F53" i="1"/>
  <c r="G146" i="1"/>
  <c r="G149" i="1"/>
  <c r="M16" i="1"/>
  <c r="M43" i="1"/>
  <c r="K16" i="1"/>
  <c r="K43" i="1"/>
  <c r="I16" i="1"/>
  <c r="I43" i="1"/>
  <c r="G16" i="1"/>
  <c r="G43" i="1"/>
  <c r="E16" i="1"/>
  <c r="E43" i="1"/>
  <c r="M53" i="1"/>
  <c r="N146" i="1"/>
  <c r="N149" i="1"/>
  <c r="K53" i="1"/>
  <c r="L146" i="1"/>
  <c r="L149" i="1"/>
  <c r="I53" i="1"/>
  <c r="J146" i="1"/>
  <c r="J149" i="1"/>
  <c r="L16" i="1"/>
  <c r="L43" i="1"/>
  <c r="J16" i="1"/>
  <c r="J43" i="1"/>
  <c r="H16" i="1"/>
  <c r="H43" i="1"/>
  <c r="F16" i="1"/>
  <c r="F43" i="1"/>
  <c r="D43" i="1"/>
  <c r="D15" i="1"/>
  <c r="D50" i="1"/>
  <c r="E15" i="1"/>
  <c r="F15" i="1"/>
  <c r="D42" i="1"/>
  <c r="E42" i="1"/>
  <c r="E99" i="1"/>
  <c r="E101" i="1"/>
  <c r="E95" i="1"/>
  <c r="D53" i="1"/>
  <c r="E146" i="1"/>
  <c r="E149" i="1"/>
  <c r="E53" i="1"/>
  <c r="F146" i="1"/>
  <c r="F149" i="1"/>
  <c r="C57" i="1"/>
  <c r="D57" i="1"/>
  <c r="E57" i="1"/>
  <c r="C53" i="1"/>
  <c r="D146" i="1"/>
  <c r="D149" i="1"/>
  <c r="C70" i="1"/>
  <c r="D93" i="1"/>
  <c r="D95" i="1"/>
  <c r="E102" i="1"/>
  <c r="D9" i="1"/>
  <c r="D10" i="1"/>
  <c r="C9" i="1"/>
  <c r="C13" i="1"/>
  <c r="E9" i="1"/>
  <c r="E10" i="1"/>
  <c r="D101" i="1"/>
  <c r="D99" i="1"/>
  <c r="D70" i="1"/>
  <c r="E70" i="1"/>
  <c r="D13" i="1"/>
  <c r="D11" i="1"/>
  <c r="D38" i="1"/>
  <c r="E36" i="1"/>
  <c r="C32" i="1"/>
  <c r="C19" i="1"/>
  <c r="C46" i="1"/>
  <c r="D32" i="1"/>
  <c r="D19" i="1"/>
  <c r="D46" i="1"/>
  <c r="E32" i="1"/>
  <c r="C36" i="1"/>
  <c r="D36" i="1"/>
  <c r="E13" i="1"/>
  <c r="C10" i="1"/>
  <c r="D102" i="1"/>
  <c r="D17" i="1"/>
  <c r="D44" i="1"/>
  <c r="D20" i="1"/>
  <c r="D47" i="1"/>
  <c r="D14" i="1"/>
  <c r="D40" i="1"/>
  <c r="C17" i="1"/>
  <c r="C44" i="1"/>
  <c r="D12" i="1"/>
  <c r="D34" i="1"/>
  <c r="C20" i="1"/>
  <c r="C47" i="1"/>
  <c r="C115" i="1"/>
  <c r="C14" i="1"/>
  <c r="C40" i="1"/>
  <c r="E12" i="1"/>
  <c r="E34" i="1"/>
  <c r="E11" i="1"/>
  <c r="E38" i="1"/>
  <c r="C37" i="1"/>
  <c r="C74" i="1"/>
  <c r="D161" i="1"/>
  <c r="C33" i="1"/>
  <c r="E19" i="1"/>
  <c r="E46" i="1"/>
  <c r="E17" i="1"/>
  <c r="E44" i="1"/>
  <c r="E20" i="1"/>
  <c r="E47" i="1"/>
  <c r="E14" i="1"/>
  <c r="E40" i="1"/>
  <c r="C18" i="1"/>
  <c r="C45" i="1"/>
  <c r="C113" i="1"/>
  <c r="C51" i="1"/>
  <c r="E33" i="1"/>
  <c r="E37" i="1"/>
  <c r="D33" i="1"/>
  <c r="D37" i="1"/>
  <c r="F70" i="1"/>
  <c r="C34" i="1"/>
  <c r="C24" i="1"/>
  <c r="C49" i="1"/>
  <c r="C117" i="1"/>
  <c r="C11" i="1"/>
  <c r="C38" i="1"/>
  <c r="C68" i="1"/>
  <c r="C71" i="1"/>
  <c r="G15" i="1"/>
  <c r="F42" i="1"/>
  <c r="G6" i="1"/>
  <c r="G3" i="1"/>
  <c r="G5" i="1"/>
  <c r="E50" i="1"/>
  <c r="F21" i="1"/>
  <c r="G7" i="1"/>
  <c r="F9" i="1"/>
  <c r="C171" i="1"/>
  <c r="F10" i="1"/>
  <c r="F13" i="1"/>
  <c r="F32" i="1"/>
  <c r="H7" i="1"/>
  <c r="G9" i="1"/>
  <c r="H5" i="1"/>
  <c r="H3" i="1"/>
  <c r="G36" i="1"/>
  <c r="H6" i="1"/>
  <c r="H15" i="1"/>
  <c r="G42" i="1"/>
  <c r="D24" i="1"/>
  <c r="D49" i="1"/>
  <c r="D18" i="1"/>
  <c r="D45" i="1"/>
  <c r="E18" i="1"/>
  <c r="E45" i="1"/>
  <c r="E51" i="1"/>
  <c r="E55" i="1"/>
  <c r="E24" i="1"/>
  <c r="E49" i="1"/>
  <c r="F50" i="1"/>
  <c r="G21" i="1"/>
  <c r="F36" i="1"/>
  <c r="G70" i="1"/>
  <c r="D74" i="1"/>
  <c r="D68" i="1"/>
  <c r="E74" i="1"/>
  <c r="E68" i="1"/>
  <c r="C55" i="1"/>
  <c r="C59" i="1"/>
  <c r="H70" i="1"/>
  <c r="D145" i="1"/>
  <c r="D147" i="1"/>
  <c r="F161" i="1"/>
  <c r="E161" i="1"/>
  <c r="H42" i="1"/>
  <c r="I15" i="1"/>
  <c r="I3" i="1"/>
  <c r="I5" i="1"/>
  <c r="I7" i="1"/>
  <c r="H9" i="1"/>
  <c r="F12" i="1"/>
  <c r="F34" i="1"/>
  <c r="F11" i="1"/>
  <c r="F38" i="1"/>
  <c r="E159" i="1"/>
  <c r="E71" i="1"/>
  <c r="D71" i="1"/>
  <c r="D159" i="1"/>
  <c r="H21" i="1"/>
  <c r="G50" i="1"/>
  <c r="D51" i="1"/>
  <c r="D55" i="1"/>
  <c r="I6" i="1"/>
  <c r="G10" i="1"/>
  <c r="G32" i="1"/>
  <c r="G13" i="1"/>
  <c r="F17" i="1"/>
  <c r="F44" i="1"/>
  <c r="F51" i="1"/>
  <c r="F55" i="1"/>
  <c r="F19" i="1"/>
  <c r="F46" i="1"/>
  <c r="F14" i="1"/>
  <c r="F40" i="1"/>
  <c r="F20" i="1"/>
  <c r="F47" i="1"/>
  <c r="F33" i="1"/>
  <c r="F24" i="1"/>
  <c r="F49" i="1"/>
  <c r="F37" i="1"/>
  <c r="F74" i="1"/>
  <c r="G161" i="1"/>
  <c r="F18" i="1"/>
  <c r="F45" i="1"/>
  <c r="G11" i="1"/>
  <c r="G38" i="1"/>
  <c r="G12" i="1"/>
  <c r="G34" i="1"/>
  <c r="G37" i="1"/>
  <c r="G33" i="1"/>
  <c r="J6" i="1"/>
  <c r="H13" i="1"/>
  <c r="H10" i="1"/>
  <c r="H32" i="1"/>
  <c r="H36" i="1"/>
  <c r="I42" i="1"/>
  <c r="J15" i="1"/>
  <c r="F68" i="1"/>
  <c r="I70" i="1"/>
  <c r="G14" i="1"/>
  <c r="G40" i="1"/>
  <c r="G17" i="1"/>
  <c r="G44" i="1"/>
  <c r="G19" i="1"/>
  <c r="G46" i="1"/>
  <c r="G20" i="1"/>
  <c r="G47" i="1"/>
  <c r="G18" i="1"/>
  <c r="G45" i="1"/>
  <c r="G24" i="1"/>
  <c r="G49" i="1"/>
  <c r="D59" i="1"/>
  <c r="E145" i="1"/>
  <c r="E147" i="1"/>
  <c r="E148" i="1"/>
  <c r="I21" i="1"/>
  <c r="H50" i="1"/>
  <c r="I9" i="1"/>
  <c r="J7" i="1"/>
  <c r="J5" i="1"/>
  <c r="J3" i="1"/>
  <c r="K3" i="1"/>
  <c r="J36" i="1"/>
  <c r="I10" i="1"/>
  <c r="I32" i="1"/>
  <c r="I13" i="1"/>
  <c r="F159" i="1"/>
  <c r="F71" i="1"/>
  <c r="H14" i="1"/>
  <c r="H40" i="1"/>
  <c r="H17" i="1"/>
  <c r="H44" i="1"/>
  <c r="H19" i="1"/>
  <c r="H46" i="1"/>
  <c r="H20" i="1"/>
  <c r="H47" i="1"/>
  <c r="H11" i="1"/>
  <c r="H38" i="1"/>
  <c r="H12" i="1"/>
  <c r="H34" i="1"/>
  <c r="K5" i="1"/>
  <c r="I36" i="1"/>
  <c r="J9" i="1"/>
  <c r="K7" i="1"/>
  <c r="J21" i="1"/>
  <c r="I50" i="1"/>
  <c r="D60" i="1"/>
  <c r="D75" i="1"/>
  <c r="D61" i="1"/>
  <c r="G51" i="1"/>
  <c r="G55" i="1"/>
  <c r="J70" i="1"/>
  <c r="K15" i="1"/>
  <c r="J42" i="1"/>
  <c r="H74" i="1"/>
  <c r="H33" i="1"/>
  <c r="H18" i="1"/>
  <c r="H45" i="1"/>
  <c r="H37" i="1"/>
  <c r="H68" i="1"/>
  <c r="K6" i="1"/>
  <c r="G74" i="1"/>
  <c r="G68" i="1"/>
  <c r="H159" i="1"/>
  <c r="H71" i="1"/>
  <c r="H161" i="1"/>
  <c r="L15" i="1"/>
  <c r="K42" i="1"/>
  <c r="K70" i="1"/>
  <c r="H24" i="1"/>
  <c r="H49" i="1"/>
  <c r="H51" i="1"/>
  <c r="H55" i="1"/>
  <c r="I14" i="1"/>
  <c r="I40" i="1"/>
  <c r="I17" i="1"/>
  <c r="I44" i="1"/>
  <c r="I19" i="1"/>
  <c r="I46" i="1"/>
  <c r="I20" i="1"/>
  <c r="I47" i="1"/>
  <c r="I161" i="1"/>
  <c r="K9" i="1"/>
  <c r="L7" i="1"/>
  <c r="L5" i="1"/>
  <c r="G159" i="1"/>
  <c r="G71" i="1"/>
  <c r="L6" i="1"/>
  <c r="H145" i="1"/>
  <c r="H147" i="1"/>
  <c r="G59" i="1"/>
  <c r="G60" i="1"/>
  <c r="G75" i="1"/>
  <c r="J50" i="1"/>
  <c r="K21" i="1"/>
  <c r="J13" i="1"/>
  <c r="J32" i="1"/>
  <c r="J10" i="1"/>
  <c r="I11" i="1"/>
  <c r="I38" i="1"/>
  <c r="I12" i="1"/>
  <c r="I34" i="1"/>
  <c r="I37" i="1"/>
  <c r="I74" i="1"/>
  <c r="I33" i="1"/>
  <c r="I18" i="1"/>
  <c r="I45" i="1"/>
  <c r="L3" i="1"/>
  <c r="K36" i="1"/>
  <c r="J161" i="1"/>
  <c r="J37" i="1"/>
  <c r="J33" i="1"/>
  <c r="J11" i="1"/>
  <c r="J38" i="1"/>
  <c r="J12" i="1"/>
  <c r="J34" i="1"/>
  <c r="M6" i="1"/>
  <c r="M5" i="1"/>
  <c r="I68" i="1"/>
  <c r="K13" i="1"/>
  <c r="K10" i="1"/>
  <c r="K32" i="1"/>
  <c r="I24" i="1"/>
  <c r="I49" i="1"/>
  <c r="I145" i="1"/>
  <c r="I147" i="1"/>
  <c r="H59" i="1"/>
  <c r="M3" i="1"/>
  <c r="M36" i="1"/>
  <c r="J24" i="1"/>
  <c r="J49" i="1"/>
  <c r="J14" i="1"/>
  <c r="J40" i="1"/>
  <c r="J17" i="1"/>
  <c r="J44" i="1"/>
  <c r="J19" i="1"/>
  <c r="J46" i="1"/>
  <c r="J20" i="1"/>
  <c r="J47" i="1"/>
  <c r="J18" i="1"/>
  <c r="J45" i="1"/>
  <c r="K50" i="1"/>
  <c r="L21" i="1"/>
  <c r="H150" i="1"/>
  <c r="H148" i="1"/>
  <c r="H142" i="1"/>
  <c r="M7" i="1"/>
  <c r="M9" i="1"/>
  <c r="L9" i="1"/>
  <c r="I51" i="1"/>
  <c r="I55" i="1"/>
  <c r="L70" i="1"/>
  <c r="M15" i="1"/>
  <c r="M42" i="1"/>
  <c r="L42" i="1"/>
  <c r="I59" i="1"/>
  <c r="J145" i="1"/>
  <c r="J147" i="1"/>
  <c r="I148" i="1"/>
  <c r="I142" i="1"/>
  <c r="I160" i="1"/>
  <c r="K14" i="1"/>
  <c r="K40" i="1"/>
  <c r="K17" i="1"/>
  <c r="K44" i="1"/>
  <c r="K19" i="1"/>
  <c r="K46" i="1"/>
  <c r="K20" i="1"/>
  <c r="K47" i="1"/>
  <c r="K11" i="1"/>
  <c r="K38" i="1"/>
  <c r="K12" i="1"/>
  <c r="K34" i="1"/>
  <c r="M70" i="1"/>
  <c r="L13" i="1"/>
  <c r="L10" i="1"/>
  <c r="L32" i="1"/>
  <c r="M32" i="1"/>
  <c r="M10" i="1"/>
  <c r="M13" i="1"/>
  <c r="M21" i="1"/>
  <c r="M50" i="1"/>
  <c r="L50" i="1"/>
  <c r="J51" i="1"/>
  <c r="J55" i="1"/>
  <c r="L36" i="1"/>
  <c r="H60" i="1"/>
  <c r="H75" i="1"/>
  <c r="H61" i="1"/>
  <c r="K37" i="1"/>
  <c r="K33" i="1"/>
  <c r="K18" i="1"/>
  <c r="K45" i="1"/>
  <c r="I159" i="1"/>
  <c r="I71" i="1"/>
  <c r="M37" i="1"/>
  <c r="M33" i="1"/>
  <c r="J74" i="1"/>
  <c r="J68" i="1"/>
  <c r="L74" i="1"/>
  <c r="M12" i="1"/>
  <c r="M34" i="1"/>
  <c r="M11" i="1"/>
  <c r="M38" i="1"/>
  <c r="M68" i="1"/>
  <c r="K24" i="1"/>
  <c r="K49" i="1"/>
  <c r="M74" i="1"/>
  <c r="I60" i="1"/>
  <c r="I75" i="1"/>
  <c r="K161" i="1"/>
  <c r="M14" i="1"/>
  <c r="M40" i="1"/>
  <c r="M17" i="1"/>
  <c r="M44" i="1"/>
  <c r="M18" i="1"/>
  <c r="M45" i="1"/>
  <c r="M19" i="1"/>
  <c r="M46" i="1"/>
  <c r="M20" i="1"/>
  <c r="M47" i="1"/>
  <c r="M24" i="1"/>
  <c r="M49" i="1"/>
  <c r="L33" i="1"/>
  <c r="L18" i="1"/>
  <c r="L45" i="1"/>
  <c r="L37" i="1"/>
  <c r="L68" i="1"/>
  <c r="J159" i="1"/>
  <c r="J71" i="1"/>
  <c r="K74" i="1"/>
  <c r="K68" i="1"/>
  <c r="K145" i="1"/>
  <c r="K147" i="1"/>
  <c r="J59" i="1"/>
  <c r="J60" i="1"/>
  <c r="L14" i="1"/>
  <c r="L40" i="1"/>
  <c r="L17" i="1"/>
  <c r="L44" i="1"/>
  <c r="L19" i="1"/>
  <c r="L46" i="1"/>
  <c r="L20" i="1"/>
  <c r="L47" i="1"/>
  <c r="L24" i="1"/>
  <c r="L49" i="1"/>
  <c r="L11" i="1"/>
  <c r="L38" i="1"/>
  <c r="L12" i="1"/>
  <c r="L34" i="1"/>
  <c r="K51" i="1"/>
  <c r="K55" i="1"/>
  <c r="I150" i="1"/>
  <c r="I169" i="1"/>
  <c r="J148" i="1"/>
  <c r="J142" i="1"/>
  <c r="J160" i="1"/>
  <c r="N165" i="1"/>
  <c r="N159" i="1"/>
  <c r="M159" i="1"/>
  <c r="M71" i="1"/>
  <c r="L159" i="1"/>
  <c r="L71" i="1"/>
  <c r="K148" i="1"/>
  <c r="K142" i="1"/>
  <c r="K160" i="1"/>
  <c r="K159" i="1"/>
  <c r="K71" i="1"/>
  <c r="M51" i="1"/>
  <c r="M55" i="1"/>
  <c r="M161" i="1"/>
  <c r="L51" i="1"/>
  <c r="L55" i="1"/>
  <c r="J150" i="1"/>
  <c r="J169" i="1"/>
  <c r="L145" i="1"/>
  <c r="L147" i="1"/>
  <c r="K59" i="1"/>
  <c r="K60" i="1"/>
  <c r="L161" i="1"/>
  <c r="N161" i="1"/>
  <c r="N167" i="1"/>
  <c r="L148" i="1"/>
  <c r="L142" i="1"/>
  <c r="L160" i="1"/>
  <c r="L150" i="1"/>
  <c r="L169" i="1"/>
  <c r="N145" i="1"/>
  <c r="N147" i="1"/>
  <c r="M59" i="1"/>
  <c r="M60" i="1"/>
  <c r="M75" i="1"/>
  <c r="K150" i="1"/>
  <c r="K169" i="1"/>
  <c r="L59" i="1"/>
  <c r="L60" i="1"/>
  <c r="M145" i="1"/>
  <c r="M147" i="1"/>
  <c r="M148" i="1"/>
  <c r="M142" i="1"/>
  <c r="M160" i="1"/>
  <c r="N148" i="1"/>
  <c r="N142" i="1"/>
  <c r="N150" i="1"/>
  <c r="N160" i="1"/>
  <c r="N166" i="1"/>
  <c r="M150" i="1"/>
  <c r="M169" i="1"/>
  <c r="N169" i="1"/>
  <c r="D130" i="2"/>
  <c r="C127" i="2"/>
  <c r="H137" i="2"/>
  <c r="D135" i="2"/>
  <c r="C128" i="2"/>
  <c r="E37" i="2"/>
  <c r="F5" i="2"/>
  <c r="E32" i="2"/>
  <c r="E10" i="2"/>
  <c r="E13" i="2"/>
  <c r="E3" i="2"/>
  <c r="D6" i="2"/>
  <c r="F7" i="2"/>
  <c r="C32" i="2"/>
  <c r="C36" i="2"/>
  <c r="C42" i="2"/>
  <c r="C107" i="2"/>
  <c r="D15" i="2"/>
  <c r="D37" i="2"/>
  <c r="D74" i="2"/>
  <c r="D32" i="2"/>
  <c r="D13" i="2"/>
  <c r="C16" i="2"/>
  <c r="C43" i="2"/>
  <c r="C108" i="2"/>
  <c r="E16" i="2"/>
  <c r="E43" i="2"/>
  <c r="G16" i="2"/>
  <c r="G43" i="2"/>
  <c r="I16" i="2"/>
  <c r="I43" i="2"/>
  <c r="K16" i="2"/>
  <c r="K43" i="2"/>
  <c r="E21" i="2"/>
  <c r="D143" i="2"/>
  <c r="D146" i="2"/>
  <c r="C70" i="2"/>
  <c r="D92" i="2"/>
  <c r="D102" i="2"/>
  <c r="D96" i="2"/>
  <c r="D98" i="2"/>
  <c r="D99" i="2"/>
  <c r="C168" i="2"/>
  <c r="I61" i="1"/>
  <c r="M61" i="1"/>
  <c r="L75" i="1"/>
  <c r="L61" i="1"/>
  <c r="K75" i="1"/>
  <c r="K61" i="1"/>
  <c r="J75" i="1"/>
  <c r="J61" i="1"/>
  <c r="G61" i="1"/>
  <c r="C130" i="2"/>
  <c r="C132" i="2"/>
  <c r="C133" i="2"/>
  <c r="C135" i="2"/>
  <c r="C137" i="2"/>
  <c r="C169" i="2"/>
  <c r="D19" i="2"/>
  <c r="D46" i="2"/>
  <c r="D17" i="2"/>
  <c r="D44" i="2"/>
  <c r="D20" i="2"/>
  <c r="D47" i="2"/>
  <c r="D14" i="2"/>
  <c r="D40" i="2"/>
  <c r="D42" i="2"/>
  <c r="E15" i="2"/>
  <c r="C74" i="2"/>
  <c r="C68" i="2"/>
  <c r="F9" i="2"/>
  <c r="G7" i="2"/>
  <c r="E36" i="2"/>
  <c r="F3" i="2"/>
  <c r="G5" i="2"/>
  <c r="C71" i="2"/>
  <c r="D70" i="2"/>
  <c r="E50" i="2"/>
  <c r="F21" i="2"/>
  <c r="D11" i="2"/>
  <c r="D38" i="2"/>
  <c r="D68" i="2"/>
  <c r="D156" i="2"/>
  <c r="D12" i="2"/>
  <c r="D34" i="2"/>
  <c r="C20" i="2"/>
  <c r="C47" i="2"/>
  <c r="C112" i="2"/>
  <c r="C116" i="2"/>
  <c r="D118" i="2"/>
  <c r="C18" i="2"/>
  <c r="C45" i="2"/>
  <c r="C110" i="2"/>
  <c r="C24" i="2"/>
  <c r="C49" i="2"/>
  <c r="C114" i="2"/>
  <c r="C19" i="2"/>
  <c r="C46" i="2"/>
  <c r="C17" i="2"/>
  <c r="C44" i="2"/>
  <c r="C14" i="2"/>
  <c r="C40" i="2"/>
  <c r="D33" i="2"/>
  <c r="D24" i="2"/>
  <c r="D49" i="2"/>
  <c r="E6" i="2"/>
  <c r="E12" i="2"/>
  <c r="E34" i="2"/>
  <c r="E11" i="2"/>
  <c r="E38" i="2"/>
  <c r="E20" i="2"/>
  <c r="E47" i="2"/>
  <c r="E19" i="2"/>
  <c r="E46" i="2"/>
  <c r="E17" i="2"/>
  <c r="E44" i="2"/>
  <c r="E14" i="2"/>
  <c r="E40" i="2"/>
  <c r="F32" i="2"/>
  <c r="F13" i="2"/>
  <c r="F10" i="2"/>
  <c r="F37" i="2"/>
  <c r="D158" i="2"/>
  <c r="E33" i="2"/>
  <c r="F6" i="2"/>
  <c r="C51" i="2"/>
  <c r="C55" i="2"/>
  <c r="F50" i="2"/>
  <c r="G21" i="2"/>
  <c r="D71" i="2"/>
  <c r="E70" i="2"/>
  <c r="H5" i="2"/>
  <c r="F36" i="2"/>
  <c r="G3" i="2"/>
  <c r="G9" i="2"/>
  <c r="H7" i="2"/>
  <c r="E42" i="2"/>
  <c r="F15" i="2"/>
  <c r="D18" i="2"/>
  <c r="D45" i="2"/>
  <c r="E158" i="2"/>
  <c r="E74" i="2"/>
  <c r="E68" i="2"/>
  <c r="E156" i="2"/>
  <c r="D51" i="2"/>
  <c r="D55" i="2"/>
  <c r="E142" i="2"/>
  <c r="E144" i="2"/>
  <c r="D59" i="2"/>
  <c r="F158" i="2"/>
  <c r="F42" i="2"/>
  <c r="G15" i="2"/>
  <c r="H9" i="2"/>
  <c r="I7" i="2"/>
  <c r="G36" i="2"/>
  <c r="H3" i="2"/>
  <c r="I5" i="2"/>
  <c r="E71" i="2"/>
  <c r="F70" i="2"/>
  <c r="G50" i="2"/>
  <c r="H21" i="2"/>
  <c r="D142" i="2"/>
  <c r="D144" i="2"/>
  <c r="E18" i="2"/>
  <c r="E45" i="2"/>
  <c r="E24" i="2"/>
  <c r="E49" i="2"/>
  <c r="E51" i="2"/>
  <c r="E55" i="2"/>
  <c r="F19" i="2"/>
  <c r="F46" i="2"/>
  <c r="F17" i="2"/>
  <c r="F44" i="2"/>
  <c r="F20" i="2"/>
  <c r="F47" i="2"/>
  <c r="F14" i="2"/>
  <c r="F40" i="2"/>
  <c r="G32" i="2"/>
  <c r="G13" i="2"/>
  <c r="G10" i="2"/>
  <c r="G37" i="2"/>
  <c r="F74" i="2"/>
  <c r="F33" i="2"/>
  <c r="F24" i="2"/>
  <c r="F49" i="2"/>
  <c r="G6" i="2"/>
  <c r="F12" i="2"/>
  <c r="F34" i="2"/>
  <c r="F11" i="2"/>
  <c r="F38" i="2"/>
  <c r="F68" i="2"/>
  <c r="F156" i="2"/>
  <c r="F142" i="2"/>
  <c r="F144" i="2"/>
  <c r="E59" i="2"/>
  <c r="G33" i="2"/>
  <c r="G24" i="2"/>
  <c r="G49" i="2"/>
  <c r="H6" i="2"/>
  <c r="G158" i="2"/>
  <c r="G12" i="2"/>
  <c r="G34" i="2"/>
  <c r="G11" i="2"/>
  <c r="G38" i="2"/>
  <c r="F51" i="2"/>
  <c r="F55" i="2"/>
  <c r="H50" i="2"/>
  <c r="I21" i="2"/>
  <c r="F71" i="2"/>
  <c r="G70" i="2"/>
  <c r="J5" i="2"/>
  <c r="H36" i="2"/>
  <c r="I3" i="2"/>
  <c r="I9" i="2"/>
  <c r="J7" i="2"/>
  <c r="G42" i="2"/>
  <c r="H15" i="2"/>
  <c r="D60" i="2"/>
  <c r="D75" i="2"/>
  <c r="G20" i="2"/>
  <c r="G47" i="2"/>
  <c r="G18" i="2"/>
  <c r="G45" i="2"/>
  <c r="G19" i="2"/>
  <c r="G46" i="2"/>
  <c r="G17" i="2"/>
  <c r="G44" i="2"/>
  <c r="G14" i="2"/>
  <c r="G40" i="2"/>
  <c r="F18" i="2"/>
  <c r="F45" i="2"/>
  <c r="D147" i="2"/>
  <c r="D166" i="2"/>
  <c r="D145" i="2"/>
  <c r="D139" i="2"/>
  <c r="D157" i="2"/>
  <c r="G74" i="2"/>
  <c r="G68" i="2"/>
  <c r="G156" i="2"/>
  <c r="H32" i="2"/>
  <c r="H13" i="2"/>
  <c r="H10" i="2"/>
  <c r="H37" i="2"/>
  <c r="E147" i="2"/>
  <c r="E166" i="2"/>
  <c r="E168" i="2"/>
  <c r="E145" i="2"/>
  <c r="E139" i="2"/>
  <c r="E157" i="2"/>
  <c r="H11" i="2"/>
  <c r="H38" i="2"/>
  <c r="H12" i="2"/>
  <c r="H34" i="2"/>
  <c r="D168" i="2"/>
  <c r="G51" i="2"/>
  <c r="G55" i="2"/>
  <c r="H42" i="2"/>
  <c r="I15" i="2"/>
  <c r="J9" i="2"/>
  <c r="K7" i="2"/>
  <c r="I36" i="2"/>
  <c r="J3" i="2"/>
  <c r="K5" i="2"/>
  <c r="G71" i="2"/>
  <c r="H70" i="2"/>
  <c r="I50" i="2"/>
  <c r="J21" i="2"/>
  <c r="G142" i="2"/>
  <c r="G144" i="2"/>
  <c r="F59" i="2"/>
  <c r="F145" i="2"/>
  <c r="F139" i="2"/>
  <c r="F157" i="2"/>
  <c r="H19" i="2"/>
  <c r="H46" i="2"/>
  <c r="H17" i="2"/>
  <c r="H44" i="2"/>
  <c r="H20" i="2"/>
  <c r="H47" i="2"/>
  <c r="H14" i="2"/>
  <c r="H40" i="2"/>
  <c r="H158" i="2"/>
  <c r="D61" i="2"/>
  <c r="I32" i="2"/>
  <c r="I10" i="2"/>
  <c r="I37" i="2"/>
  <c r="I13" i="2"/>
  <c r="H68" i="2"/>
  <c r="H156" i="2"/>
  <c r="H74" i="2"/>
  <c r="H33" i="2"/>
  <c r="H24" i="2"/>
  <c r="H49" i="2"/>
  <c r="I6" i="2"/>
  <c r="E60" i="2"/>
  <c r="E75" i="2"/>
  <c r="I12" i="2"/>
  <c r="I34" i="2"/>
  <c r="I11" i="2"/>
  <c r="I38" i="2"/>
  <c r="F60" i="2"/>
  <c r="F75" i="2"/>
  <c r="I74" i="2"/>
  <c r="I68" i="2"/>
  <c r="I156" i="2"/>
  <c r="J32" i="2"/>
  <c r="J13" i="2"/>
  <c r="J10" i="2"/>
  <c r="J37" i="2"/>
  <c r="E61" i="2"/>
  <c r="H18" i="2"/>
  <c r="H45" i="2"/>
  <c r="H51" i="2"/>
  <c r="H55" i="2"/>
  <c r="F147" i="2"/>
  <c r="F166" i="2"/>
  <c r="G145" i="2"/>
  <c r="G139" i="2"/>
  <c r="G157" i="2"/>
  <c r="G147" i="2"/>
  <c r="G166" i="2"/>
  <c r="G168" i="2"/>
  <c r="J50" i="2"/>
  <c r="K21" i="2"/>
  <c r="H71" i="2"/>
  <c r="I70" i="2"/>
  <c r="L5" i="2"/>
  <c r="J36" i="2"/>
  <c r="K3" i="2"/>
  <c r="K9" i="2"/>
  <c r="L7" i="2"/>
  <c r="I42" i="2"/>
  <c r="J15" i="2"/>
  <c r="D80" i="2"/>
  <c r="D82" i="2"/>
  <c r="I33" i="2"/>
  <c r="I18" i="2"/>
  <c r="I45" i="2"/>
  <c r="J6" i="2"/>
  <c r="I158" i="2"/>
  <c r="I20" i="2"/>
  <c r="I47" i="2"/>
  <c r="I24" i="2"/>
  <c r="I49" i="2"/>
  <c r="I19" i="2"/>
  <c r="I46" i="2"/>
  <c r="I17" i="2"/>
  <c r="I44" i="2"/>
  <c r="I14" i="2"/>
  <c r="I40" i="2"/>
  <c r="H142" i="2"/>
  <c r="H144" i="2"/>
  <c r="G59" i="2"/>
  <c r="F61" i="2"/>
  <c r="I142" i="2"/>
  <c r="I144" i="2"/>
  <c r="H59" i="2"/>
  <c r="E80" i="2"/>
  <c r="E82" i="2"/>
  <c r="J42" i="2"/>
  <c r="K15" i="2"/>
  <c r="L9" i="2"/>
  <c r="M7" i="2"/>
  <c r="M9" i="2"/>
  <c r="K36" i="2"/>
  <c r="L3" i="2"/>
  <c r="M5" i="2"/>
  <c r="I71" i="2"/>
  <c r="J70" i="2"/>
  <c r="K50" i="2"/>
  <c r="L21" i="2"/>
  <c r="F168" i="2"/>
  <c r="H147" i="2"/>
  <c r="H166" i="2"/>
  <c r="H168" i="2"/>
  <c r="H145" i="2"/>
  <c r="H139" i="2"/>
  <c r="H157" i="2"/>
  <c r="I51" i="2"/>
  <c r="I55" i="2"/>
  <c r="J33" i="2"/>
  <c r="K6" i="2"/>
  <c r="K32" i="2"/>
  <c r="K13" i="2"/>
  <c r="K10" i="2"/>
  <c r="K37" i="2"/>
  <c r="J68" i="2"/>
  <c r="J156" i="2"/>
  <c r="J74" i="2"/>
  <c r="J19" i="2"/>
  <c r="J46" i="2"/>
  <c r="J17" i="2"/>
  <c r="J44" i="2"/>
  <c r="J20" i="2"/>
  <c r="J47" i="2"/>
  <c r="J18" i="2"/>
  <c r="J45" i="2"/>
  <c r="J14" i="2"/>
  <c r="J40" i="2"/>
  <c r="J158" i="2"/>
  <c r="F80" i="2"/>
  <c r="F82" i="2"/>
  <c r="G61" i="2"/>
  <c r="G60" i="2"/>
  <c r="G75" i="2"/>
  <c r="J12" i="2"/>
  <c r="J34" i="2"/>
  <c r="J24" i="2"/>
  <c r="J49" i="2"/>
  <c r="J11" i="2"/>
  <c r="J38" i="2"/>
  <c r="J51" i="2"/>
  <c r="J55" i="2"/>
  <c r="K12" i="2"/>
  <c r="K34" i="2"/>
  <c r="K11" i="2"/>
  <c r="K38" i="2"/>
  <c r="K33" i="2"/>
  <c r="L6" i="2"/>
  <c r="K158" i="2"/>
  <c r="K20" i="2"/>
  <c r="K47" i="2"/>
  <c r="K18" i="2"/>
  <c r="K45" i="2"/>
  <c r="K24" i="2"/>
  <c r="K49" i="2"/>
  <c r="K19" i="2"/>
  <c r="K46" i="2"/>
  <c r="K17" i="2"/>
  <c r="K44" i="2"/>
  <c r="K14" i="2"/>
  <c r="K40" i="2"/>
  <c r="L50" i="2"/>
  <c r="M21" i="2"/>
  <c r="M50" i="2"/>
  <c r="J71" i="2"/>
  <c r="K70" i="2"/>
  <c r="L36" i="2"/>
  <c r="M3" i="2"/>
  <c r="M36" i="2"/>
  <c r="M32" i="2"/>
  <c r="M10" i="2"/>
  <c r="M37" i="2"/>
  <c r="M13" i="2"/>
  <c r="K42" i="2"/>
  <c r="L15" i="2"/>
  <c r="H60" i="2"/>
  <c r="H75" i="2"/>
  <c r="J142" i="2"/>
  <c r="J144" i="2"/>
  <c r="I59" i="2"/>
  <c r="K74" i="2"/>
  <c r="K68" i="2"/>
  <c r="K156" i="2"/>
  <c r="L32" i="2"/>
  <c r="L13" i="2"/>
  <c r="L10" i="2"/>
  <c r="L37" i="2"/>
  <c r="I145" i="2"/>
  <c r="I139" i="2"/>
  <c r="I157" i="2"/>
  <c r="L11" i="2"/>
  <c r="L38" i="2"/>
  <c r="L12" i="2"/>
  <c r="L34" i="2"/>
  <c r="L42" i="2"/>
  <c r="M15" i="2"/>
  <c r="M42" i="2"/>
  <c r="M12" i="2"/>
  <c r="M34" i="2"/>
  <c r="M11" i="2"/>
  <c r="M38" i="2"/>
  <c r="M20" i="2"/>
  <c r="M47" i="2"/>
  <c r="M19" i="2"/>
  <c r="M46" i="2"/>
  <c r="M17" i="2"/>
  <c r="M44" i="2"/>
  <c r="M14" i="2"/>
  <c r="M40" i="2"/>
  <c r="L68" i="2"/>
  <c r="L156" i="2"/>
  <c r="L74" i="2"/>
  <c r="K71" i="2"/>
  <c r="L70" i="2"/>
  <c r="I147" i="2"/>
  <c r="I166" i="2"/>
  <c r="I168" i="2"/>
  <c r="L19" i="2"/>
  <c r="L46" i="2"/>
  <c r="L17" i="2"/>
  <c r="L44" i="2"/>
  <c r="L20" i="2"/>
  <c r="L47" i="2"/>
  <c r="L14" i="2"/>
  <c r="L40" i="2"/>
  <c r="L158" i="2"/>
  <c r="J145" i="2"/>
  <c r="J139" i="2"/>
  <c r="J157" i="2"/>
  <c r="H61" i="2"/>
  <c r="M74" i="2"/>
  <c r="M68" i="2"/>
  <c r="K51" i="2"/>
  <c r="K55" i="2"/>
  <c r="G80" i="2"/>
  <c r="G82" i="2"/>
  <c r="I60" i="2"/>
  <c r="I75" i="2"/>
  <c r="L33" i="2"/>
  <c r="L24" i="2"/>
  <c r="L49" i="2"/>
  <c r="M6" i="2"/>
  <c r="M33" i="2"/>
  <c r="M18" i="2"/>
  <c r="M45" i="2"/>
  <c r="K142" i="2"/>
  <c r="K144" i="2"/>
  <c r="J59" i="2"/>
  <c r="L51" i="2"/>
  <c r="L55" i="2"/>
  <c r="M24" i="2"/>
  <c r="M49" i="2"/>
  <c r="K145" i="2"/>
  <c r="K139" i="2"/>
  <c r="K157" i="2"/>
  <c r="I61" i="2"/>
  <c r="L142" i="2"/>
  <c r="L144" i="2"/>
  <c r="K59" i="2"/>
  <c r="N162" i="2"/>
  <c r="N156" i="2"/>
  <c r="M156" i="2"/>
  <c r="J147" i="2"/>
  <c r="J166" i="2"/>
  <c r="J168" i="2"/>
  <c r="L18" i="2"/>
  <c r="L45" i="2"/>
  <c r="L71" i="2"/>
  <c r="M70" i="2"/>
  <c r="M71" i="2"/>
  <c r="M158" i="2"/>
  <c r="M51" i="2"/>
  <c r="M55" i="2"/>
  <c r="H80" i="2"/>
  <c r="H82" i="2"/>
  <c r="J61" i="2"/>
  <c r="J60" i="2"/>
  <c r="J75" i="2"/>
  <c r="N158" i="2"/>
  <c r="N164" i="2"/>
  <c r="I80" i="2"/>
  <c r="I82" i="2"/>
  <c r="M142" i="2"/>
  <c r="M144" i="2"/>
  <c r="L59" i="2"/>
  <c r="J80" i="2"/>
  <c r="J82" i="2"/>
  <c r="L147" i="2"/>
  <c r="L166" i="2"/>
  <c r="L168" i="2"/>
  <c r="L145" i="2"/>
  <c r="L139" i="2"/>
  <c r="L157" i="2"/>
  <c r="K147" i="2"/>
  <c r="K166" i="2"/>
  <c r="K168" i="2"/>
  <c r="N142" i="2"/>
  <c r="N144" i="2"/>
  <c r="M59" i="2"/>
  <c r="K60" i="2"/>
  <c r="K75" i="2"/>
  <c r="K61" i="2"/>
  <c r="M147" i="2"/>
  <c r="M166" i="2"/>
  <c r="M168" i="2"/>
  <c r="M145" i="2"/>
  <c r="M139" i="2"/>
  <c r="M157" i="2"/>
  <c r="N147" i="2"/>
  <c r="N166" i="2"/>
  <c r="N145" i="2"/>
  <c r="N139" i="2"/>
  <c r="N157" i="2"/>
  <c r="N163" i="2"/>
  <c r="L60" i="2"/>
  <c r="L75" i="2"/>
  <c r="M60" i="2"/>
  <c r="M75" i="2"/>
  <c r="M61" i="2"/>
  <c r="L61" i="2"/>
  <c r="N168" i="2"/>
  <c r="C170" i="2"/>
  <c r="C172" i="2"/>
  <c r="M80" i="2"/>
  <c r="M82" i="2"/>
  <c r="L80" i="2"/>
  <c r="L82" i="2"/>
  <c r="K80" i="2"/>
  <c r="K82" i="2"/>
  <c r="C57" i="2"/>
  <c r="C59" i="2"/>
  <c r="C61" i="2"/>
  <c r="C60" i="2"/>
  <c r="C75" i="2"/>
  <c r="C80" i="2"/>
  <c r="C82" i="2"/>
  <c r="F145" i="1"/>
  <c r="F147" i="1"/>
  <c r="E59" i="1"/>
  <c r="E142" i="1"/>
  <c r="E150" i="1"/>
  <c r="F59" i="1"/>
  <c r="G145" i="1"/>
  <c r="G147" i="1"/>
  <c r="D148" i="1"/>
  <c r="D142" i="1"/>
  <c r="D160" i="1"/>
  <c r="D150" i="1"/>
  <c r="D169" i="1"/>
  <c r="C60" i="1"/>
  <c r="C75" i="1"/>
  <c r="C61" i="1"/>
  <c r="C79" i="1"/>
  <c r="D79" i="1"/>
  <c r="G148" i="1"/>
  <c r="G142" i="1"/>
  <c r="C80" i="1"/>
  <c r="C82" i="1"/>
  <c r="F60" i="1"/>
  <c r="F75" i="1"/>
  <c r="E160" i="1"/>
  <c r="E60" i="1"/>
  <c r="E75" i="1"/>
  <c r="E61" i="1"/>
  <c r="E79" i="1"/>
  <c r="E169" i="1"/>
  <c r="D80" i="1"/>
  <c r="D82" i="1"/>
  <c r="F148" i="1"/>
  <c r="F142" i="1"/>
  <c r="F160" i="1"/>
  <c r="F150" i="1"/>
  <c r="F169" i="1"/>
  <c r="E80" i="1"/>
  <c r="E82" i="1"/>
  <c r="F61" i="1"/>
  <c r="F79" i="1"/>
  <c r="G150" i="1"/>
  <c r="H160" i="1"/>
  <c r="H169" i="1"/>
  <c r="G160" i="1"/>
  <c r="G79" i="1"/>
  <c r="F80" i="1"/>
  <c r="F82" i="1"/>
  <c r="G169" i="1"/>
  <c r="C175" i="1"/>
  <c r="G80" i="1"/>
  <c r="G82" i="1"/>
  <c r="H79" i="1"/>
  <c r="I79" i="1"/>
  <c r="H80" i="1"/>
  <c r="H82" i="1"/>
  <c r="I80" i="1"/>
  <c r="I82" i="1"/>
  <c r="J79" i="1"/>
  <c r="K79" i="1"/>
  <c r="J80" i="1"/>
  <c r="J82" i="1"/>
  <c r="L79" i="1"/>
  <c r="K80" i="1"/>
  <c r="K82" i="1"/>
  <c r="M79" i="1"/>
  <c r="L80" i="1"/>
  <c r="L82" i="1"/>
  <c r="H137" i="1"/>
  <c r="H138" i="1"/>
  <c r="M80" i="1"/>
  <c r="M82" i="1"/>
  <c r="H140" i="1"/>
  <c r="D138" i="1"/>
  <c r="C131" i="1"/>
  <c r="D133" i="1"/>
  <c r="C130" i="1"/>
  <c r="C133" i="1"/>
  <c r="C135" i="1"/>
  <c r="C136" i="1"/>
  <c r="C138" i="1"/>
  <c r="C140" i="1"/>
  <c r="C172" i="1"/>
  <c r="G171" i="1"/>
  <c r="L171" i="1"/>
  <c r="D171" i="1"/>
  <c r="E171" i="1"/>
  <c r="J171" i="1"/>
  <c r="M171" i="1"/>
  <c r="I171" i="1"/>
  <c r="N171" i="1"/>
  <c r="F171" i="1"/>
  <c r="H171" i="1"/>
  <c r="K171" i="1"/>
  <c r="C173" i="1"/>
</calcChain>
</file>

<file path=xl/sharedStrings.xml><?xml version="1.0" encoding="utf-8"?>
<sst xmlns="http://schemas.openxmlformats.org/spreadsheetml/2006/main" count="360" uniqueCount="138">
  <si>
    <t>FORECAST</t>
  </si>
  <si>
    <t>SALES UNIT FORECASTS</t>
  </si>
  <si>
    <t>RATIOS USED IN FORECAST</t>
  </si>
  <si>
    <t>Average payment period</t>
  </si>
  <si>
    <t>INCOME STATEMENT</t>
  </si>
  <si>
    <t>Total Revenues</t>
  </si>
  <si>
    <t>Operating Expenses</t>
  </si>
  <si>
    <t>Rent</t>
  </si>
  <si>
    <t>Total Operating Expenses</t>
  </si>
  <si>
    <t>Operating Profit</t>
  </si>
  <si>
    <t>Interest Expense</t>
  </si>
  <si>
    <t>Profit Before Taxes</t>
  </si>
  <si>
    <t>Taxes</t>
  </si>
  <si>
    <t>Net Profit After Taxes</t>
  </si>
  <si>
    <t>BALANCE SHEET</t>
  </si>
  <si>
    <t>Assets</t>
  </si>
  <si>
    <t>Cash</t>
  </si>
  <si>
    <t>Property, Plant &amp; Equipment</t>
  </si>
  <si>
    <t>Total Assets</t>
  </si>
  <si>
    <t>Liabilities and Equity</t>
  </si>
  <si>
    <t>Accounts Payable</t>
  </si>
  <si>
    <t>Income Tax Payable</t>
  </si>
  <si>
    <t>Bank Loans</t>
  </si>
  <si>
    <t>Total Liabilities and Equity</t>
  </si>
  <si>
    <t>Variable Revenue per unit</t>
  </si>
  <si>
    <t>Variable Cost per unit</t>
  </si>
  <si>
    <t>Total Fixed Cost</t>
  </si>
  <si>
    <t>Breakeven units</t>
  </si>
  <si>
    <t>Breakeven</t>
  </si>
  <si>
    <t>Total</t>
  </si>
  <si>
    <t>Per Unit</t>
  </si>
  <si>
    <t>TOTAL</t>
  </si>
  <si>
    <t>Contribution Margin Per Unit</t>
  </si>
  <si>
    <t xml:space="preserve">COGS per wing </t>
  </si>
  <si>
    <t>Sell Price per wing</t>
  </si>
  <si>
    <t>Wings</t>
  </si>
  <si>
    <t>Beverages</t>
  </si>
  <si>
    <t>COGS drinks</t>
  </si>
  <si>
    <t>Sell Price per drink</t>
  </si>
  <si>
    <t>Forecasted wings per year</t>
  </si>
  <si>
    <t>Forecasted drinks per year</t>
  </si>
  <si>
    <t>Napkin Expense</t>
  </si>
  <si>
    <t>Maintenance expense</t>
  </si>
  <si>
    <t>Labor Expense</t>
  </si>
  <si>
    <t>Utilites Expense</t>
  </si>
  <si>
    <t>Oil Expense</t>
  </si>
  <si>
    <t>Sauce expense</t>
  </si>
  <si>
    <t>Vegtable expense</t>
  </si>
  <si>
    <t>Employees</t>
  </si>
  <si>
    <t>Cost of goods sold</t>
  </si>
  <si>
    <t>Drinks</t>
  </si>
  <si>
    <t>Rent Expense</t>
  </si>
  <si>
    <t>Average Inventory turnover days</t>
  </si>
  <si>
    <t>Adm Expense</t>
  </si>
  <si>
    <t>Admin Expense</t>
  </si>
  <si>
    <t>Inventory</t>
  </si>
  <si>
    <t>Extra cash</t>
  </si>
  <si>
    <t>Citations</t>
  </si>
  <si>
    <t>http://www.pdco.com/node/88289   soda costs</t>
  </si>
  <si>
    <t>http://www.restaurantaccountants.com/newsletters/10-12-maintenance-program maintenance cost</t>
  </si>
  <si>
    <t>http://www.indeed.com/salary?q1=Waiter%2Fwaitress&amp;l1=Idaho wages</t>
  </si>
  <si>
    <t>http://www.loopnet.com/Idaho/Coeur-d-Alene-Commercial-Real-Estate/ Rent expense</t>
  </si>
  <si>
    <t>Retain Earnings</t>
  </si>
  <si>
    <t>Accumulated Depreciation</t>
  </si>
  <si>
    <t>Accounts Receivable</t>
  </si>
  <si>
    <t>Depreciation</t>
  </si>
  <si>
    <t>wage</t>
  </si>
  <si>
    <t>Insurance Expense</t>
  </si>
  <si>
    <t>Fries</t>
  </si>
  <si>
    <t>Fries Cost</t>
  </si>
  <si>
    <t>Fries Price</t>
  </si>
  <si>
    <t>Forecasted fries sold</t>
  </si>
  <si>
    <t>www.wingstop.com</t>
  </si>
  <si>
    <t>Yearly Franchise fee</t>
  </si>
  <si>
    <t>Franchise Fee</t>
  </si>
  <si>
    <t>www.franchisedirect.com</t>
  </si>
  <si>
    <t>Franchise</t>
  </si>
  <si>
    <t>Insurance</t>
  </si>
  <si>
    <t xml:space="preserve">http://www.wingstop.com/about_us.aspx </t>
  </si>
  <si>
    <t xml:space="preserve">http://www.uline.com/Product/Detail/S-15754/Paper-Towels-Napkins/Standard-Paper-Napkins?pricode=WU338&amp;gadtype=pla&amp;gclid=CIuxl5-4n7UCFeGDQgodXQYAkg </t>
  </si>
  <si>
    <t xml:space="preserve">http://www.usfoodsculinaryequipmentandsupplies.com/product/60%22%20vulcan%20endurance%2010%20burner%20range.do?source=googleps&amp;gclid=CNOAz926n7UCFcODQgodQQUAOQ </t>
  </si>
  <si>
    <t>National Wingstop wings sold</t>
  </si>
  <si>
    <t>Locations</t>
  </si>
  <si>
    <t xml:space="preserve">Inventory </t>
  </si>
  <si>
    <t>WACC IN 2017</t>
  </si>
  <si>
    <t>Cost of Equity using CAPM (%)</t>
  </si>
  <si>
    <t>CAPM:</t>
  </si>
  <si>
    <t>Equity Beta</t>
  </si>
  <si>
    <t>Blended Cost of Debt (%)</t>
  </si>
  <si>
    <t>Tbill</t>
  </si>
  <si>
    <t>Tax Rate (%)</t>
  </si>
  <si>
    <t>S&amp;P500</t>
  </si>
  <si>
    <t>Percent Debt Currently (%)</t>
  </si>
  <si>
    <t>Debt</t>
  </si>
  <si>
    <t>Proportion</t>
  </si>
  <si>
    <t>Rate</t>
  </si>
  <si>
    <t>Percent Equity Currently (%)</t>
  </si>
  <si>
    <t>Mortgage</t>
  </si>
  <si>
    <t>Extra bank loan</t>
  </si>
  <si>
    <t>Current WACC in 2017 (%)</t>
  </si>
  <si>
    <t xml:space="preserve">Unlevered Beta </t>
  </si>
  <si>
    <t>Equity:</t>
  </si>
  <si>
    <t>Relevered Beta at 60% Debt/40% Equity</t>
  </si>
  <si>
    <t>Common</t>
  </si>
  <si>
    <t>Ret Earnings</t>
  </si>
  <si>
    <t>Cost of Equity with Relevered Beta using CAPM (%)</t>
  </si>
  <si>
    <t>WACC in 2017 at 60% Debt/40% Equity</t>
  </si>
  <si>
    <t>TOTAL CAPITAL</t>
  </si>
  <si>
    <t>Taxes Payable on OPERATIONS ONLY</t>
  </si>
  <si>
    <t>Cash from Operations</t>
  </si>
  <si>
    <t>Less: Depreciation</t>
  </si>
  <si>
    <t>Taxable Operating Income</t>
  </si>
  <si>
    <t>Tax Expense on Operations</t>
  </si>
  <si>
    <t>Add back: Depreciation</t>
  </si>
  <si>
    <t>CASH FROM OPERATIONS</t>
  </si>
  <si>
    <t>Cash in/out from Capital Expenditures</t>
  </si>
  <si>
    <t>Buy building</t>
  </si>
  <si>
    <t>Sell building</t>
  </si>
  <si>
    <t>Book Value</t>
  </si>
  <si>
    <t>Taxes on Sale of Building</t>
  </si>
  <si>
    <t>tax rate</t>
  </si>
  <si>
    <t>Cash in/out from changes in Working Capital</t>
  </si>
  <si>
    <t>-</t>
  </si>
  <si>
    <t>+</t>
  </si>
  <si>
    <t>Income Tax Payable ON OPERATIONS ONLY</t>
  </si>
  <si>
    <t>Accounts Payable - COGS</t>
  </si>
  <si>
    <t>Cash in/out from Liquidation of Working Capital</t>
  </si>
  <si>
    <t>TOTAL FREE CASH FLOWS</t>
  </si>
  <si>
    <t>PV of Free Cash Flows</t>
  </si>
  <si>
    <t>WACC</t>
  </si>
  <si>
    <t>Net Present of Free Cash Flows</t>
  </si>
  <si>
    <t>IRR</t>
  </si>
  <si>
    <t>Equipment</t>
  </si>
  <si>
    <t>WACC in 2023 at 60% Debt/40% Equity</t>
  </si>
  <si>
    <t>WACC IN 2023</t>
  </si>
  <si>
    <t>Current WACC in 2013 (%)</t>
  </si>
  <si>
    <t>COGS per unit</t>
  </si>
  <si>
    <t>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</si>
</sst>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\$* #,##0.00_);_(\$* \(#,##0.00\);_(\$* \-??_);_(@_)"/>
    <numFmt numFmtId="165" formatCode="_(\$* #,##0_);_(\$* \(#,##0\);_(\$* \-??_);_(@_)"/>
    <numFmt numFmtId="166" formatCode="_(* #,##0.00_);_(* \(#,##0.00\);_(* \-??_);_(@_)"/>
    <numFmt numFmtId="167" formatCode="0.0%"/>
    <numFmt numFmtId="168" formatCode="0.000%"/>
    <numFmt numFmtId="169" formatCode="_(* #,##0_);_(* \(#,##0\);_(* \-??_);_(@_)"/>
    <numFmt numFmtId="170" formatCode="_(* #,##0_);_(* \(#,##0\);_(* &quot;-&quot;??_);_(@_)"/>
  </numFmts>
  <fonts count="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6" fontId="1" fillId="0" borderId="0"/>
    <xf numFmtId="164" fontId="1" fillId="0" borderId="0"/>
    <xf numFmtId="0" fontId="1" fillId="0" borderId="0"/>
    <xf numFmtId="0" fontId="7" fillId="0" borderId="0" applyNumberFormat="0" applyFill="0" applyBorder="0" applyAlignment="0" applyProtection="0"/>
    <xf numFmtId="9" fontId="1" fillId="0" borderId="0"/>
  </cellStyleXfs>
  <cellXfs count="75">
    <xf numFmtId="0" fontId="0" fillId="0" borderId="0" xfId="0"/>
    <xf numFmtId="0" fontId="1" fillId="0" borderId="0" xfId="3"/>
    <xf numFmtId="0" fontId="2" fillId="0" borderId="0" xfId="3" applyFont="1"/>
    <xf numFmtId="164" fontId="1" fillId="0" borderId="0" xfId="2" applyFont="1" applyFill="1" applyBorder="1" applyAlignment="1" applyProtection="1"/>
    <xf numFmtId="0" fontId="1" fillId="0" borderId="0" xfId="3" applyFont="1"/>
    <xf numFmtId="165" fontId="1" fillId="0" borderId="0" xfId="2" applyNumberFormat="1" applyFont="1" applyFill="1" applyBorder="1" applyAlignment="1" applyProtection="1"/>
    <xf numFmtId="165" fontId="1" fillId="0" borderId="0" xfId="3" applyNumberFormat="1"/>
    <xf numFmtId="0" fontId="6" fillId="2" borderId="0" xfId="3" applyFont="1" applyFill="1"/>
    <xf numFmtId="0" fontId="1" fillId="2" borderId="0" xfId="3" applyFill="1"/>
    <xf numFmtId="9" fontId="1" fillId="0" borderId="0" xfId="3" applyNumberFormat="1"/>
    <xf numFmtId="164" fontId="1" fillId="2" borderId="0" xfId="3" applyNumberFormat="1" applyFill="1"/>
    <xf numFmtId="165" fontId="1" fillId="2" borderId="0" xfId="3" applyNumberFormat="1" applyFill="1"/>
    <xf numFmtId="0" fontId="4" fillId="2" borderId="0" xfId="3" applyFont="1" applyFill="1"/>
    <xf numFmtId="0" fontId="5" fillId="0" borderId="0" xfId="3" applyFont="1"/>
    <xf numFmtId="8" fontId="1" fillId="0" borderId="0" xfId="3" applyNumberFormat="1"/>
    <xf numFmtId="164" fontId="1" fillId="0" borderId="0" xfId="2"/>
    <xf numFmtId="43" fontId="1" fillId="0" borderId="0" xfId="3" applyNumberFormat="1"/>
    <xf numFmtId="8" fontId="1" fillId="0" borderId="0" xfId="2" applyNumberFormat="1" applyFont="1" applyFill="1" applyBorder="1" applyAlignment="1" applyProtection="1"/>
    <xf numFmtId="4" fontId="1" fillId="0" borderId="0" xfId="2" applyNumberFormat="1"/>
    <xf numFmtId="167" fontId="1" fillId="0" borderId="0" xfId="3" applyNumberFormat="1"/>
    <xf numFmtId="8" fontId="1" fillId="0" borderId="0" xfId="2" applyNumberFormat="1"/>
    <xf numFmtId="0" fontId="4" fillId="0" borderId="0" xfId="3" applyFont="1"/>
    <xf numFmtId="165" fontId="4" fillId="0" borderId="0" xfId="2" applyNumberFormat="1" applyFont="1" applyFill="1" applyBorder="1" applyAlignment="1" applyProtection="1"/>
    <xf numFmtId="43" fontId="1" fillId="0" borderId="0" xfId="2" applyNumberFormat="1" applyFont="1" applyFill="1" applyBorder="1" applyAlignment="1" applyProtection="1"/>
    <xf numFmtId="165" fontId="4" fillId="0" borderId="0" xfId="3" applyNumberFormat="1" applyFont="1"/>
    <xf numFmtId="43" fontId="4" fillId="0" borderId="0" xfId="2" applyNumberFormat="1" applyFont="1" applyFill="1" applyBorder="1" applyAlignment="1" applyProtection="1"/>
    <xf numFmtId="0" fontId="7" fillId="0" borderId="0" xfId="4" applyAlignment="1">
      <alignment vertical="center"/>
    </xf>
    <xf numFmtId="4" fontId="1" fillId="2" borderId="1" xfId="3" applyNumberFormat="1" applyFill="1" applyBorder="1"/>
    <xf numFmtId="168" fontId="1" fillId="0" borderId="0" xfId="3" applyNumberFormat="1"/>
    <xf numFmtId="9" fontId="1" fillId="0" borderId="0" xfId="2" applyNumberFormat="1"/>
    <xf numFmtId="0" fontId="7" fillId="0" borderId="0" xfId="4"/>
    <xf numFmtId="3" fontId="1" fillId="0" borderId="0" xfId="3" applyNumberFormat="1"/>
    <xf numFmtId="166" fontId="1" fillId="0" borderId="0" xfId="1"/>
    <xf numFmtId="169" fontId="1" fillId="0" borderId="0" xfId="1" applyNumberFormat="1"/>
    <xf numFmtId="9" fontId="1" fillId="0" borderId="0" xfId="5"/>
    <xf numFmtId="10" fontId="1" fillId="0" borderId="0" xfId="3" applyNumberFormat="1"/>
    <xf numFmtId="170" fontId="1" fillId="0" borderId="0" xfId="1" applyNumberFormat="1"/>
    <xf numFmtId="170" fontId="1" fillId="0" borderId="0" xfId="2" applyNumberFormat="1" applyFont="1" applyFill="1" applyBorder="1" applyAlignment="1" applyProtection="1"/>
    <xf numFmtId="3" fontId="1" fillId="0" borderId="0" xfId="2" applyNumberFormat="1" applyFont="1" applyFill="1" applyBorder="1" applyAlignment="1" applyProtection="1"/>
    <xf numFmtId="0" fontId="4" fillId="3" borderId="0" xfId="3" applyFont="1" applyFill="1"/>
    <xf numFmtId="0" fontId="1" fillId="3" borderId="0" xfId="3" applyFill="1"/>
    <xf numFmtId="0" fontId="1" fillId="3" borderId="0" xfId="3" applyFill="1" applyBorder="1"/>
    <xf numFmtId="0" fontId="1" fillId="0" borderId="0" xfId="3" applyFill="1"/>
    <xf numFmtId="4" fontId="1" fillId="0" borderId="0" xfId="3" applyNumberFormat="1" applyFill="1" applyBorder="1"/>
    <xf numFmtId="167" fontId="3" fillId="3" borderId="1" xfId="5" applyNumberFormat="1" applyFont="1" applyFill="1" applyBorder="1"/>
    <xf numFmtId="10" fontId="1" fillId="3" borderId="1" xfId="3" applyNumberFormat="1" applyFill="1" applyBorder="1"/>
    <xf numFmtId="9" fontId="1" fillId="3" borderId="2" xfId="3" applyNumberFormat="1" applyFill="1" applyBorder="1"/>
    <xf numFmtId="167" fontId="1" fillId="3" borderId="1" xfId="3" applyNumberFormat="1" applyFill="1" applyBorder="1"/>
    <xf numFmtId="167" fontId="1" fillId="3" borderId="2" xfId="3" applyNumberFormat="1" applyFill="1" applyBorder="1"/>
    <xf numFmtId="165" fontId="1" fillId="0" borderId="3" xfId="3" applyNumberFormat="1" applyBorder="1"/>
    <xf numFmtId="9" fontId="1" fillId="0" borderId="3" xfId="3" applyNumberFormat="1" applyBorder="1"/>
    <xf numFmtId="10" fontId="3" fillId="3" borderId="1" xfId="5" applyNumberFormat="1" applyFont="1" applyFill="1" applyBorder="1"/>
    <xf numFmtId="2" fontId="1" fillId="3" borderId="1" xfId="3" applyNumberFormat="1" applyFill="1" applyBorder="1"/>
    <xf numFmtId="164" fontId="1" fillId="0" borderId="0" xfId="3" applyNumberFormat="1"/>
    <xf numFmtId="0" fontId="2" fillId="0" borderId="0" xfId="3" applyFont="1" applyBorder="1"/>
    <xf numFmtId="0" fontId="1" fillId="0" borderId="0" xfId="3" applyBorder="1"/>
    <xf numFmtId="165" fontId="1" fillId="0" borderId="0" xfId="3" applyNumberFormat="1" applyBorder="1"/>
    <xf numFmtId="0" fontId="1" fillId="0" borderId="0" xfId="3" quotePrefix="1"/>
    <xf numFmtId="6" fontId="1" fillId="0" borderId="0" xfId="3" applyNumberFormat="1"/>
    <xf numFmtId="0" fontId="1" fillId="0" borderId="4" xfId="3" applyBorder="1"/>
    <xf numFmtId="0" fontId="1" fillId="0" borderId="5" xfId="3" applyBorder="1"/>
    <xf numFmtId="6" fontId="1" fillId="0" borderId="6" xfId="3" applyNumberFormat="1" applyBorder="1"/>
    <xf numFmtId="0" fontId="1" fillId="0" borderId="7" xfId="3" applyBorder="1"/>
    <xf numFmtId="0" fontId="1" fillId="0" borderId="8" xfId="3" applyBorder="1"/>
    <xf numFmtId="0" fontId="1" fillId="0" borderId="9" xfId="3" applyBorder="1"/>
    <xf numFmtId="0" fontId="1" fillId="0" borderId="10" xfId="3" applyBorder="1"/>
    <xf numFmtId="10" fontId="1" fillId="0" borderId="6" xfId="5" applyNumberFormat="1" applyBorder="1"/>
    <xf numFmtId="0" fontId="1" fillId="0" borderId="11" xfId="3" applyBorder="1"/>
    <xf numFmtId="0" fontId="1" fillId="0" borderId="12" xfId="3" applyBorder="1"/>
    <xf numFmtId="43" fontId="4" fillId="0" borderId="0" xfId="2" applyNumberFormat="1" applyFont="1"/>
    <xf numFmtId="165" fontId="1" fillId="0" borderId="0" xfId="2" applyNumberFormat="1"/>
    <xf numFmtId="164" fontId="4" fillId="2" borderId="0" xfId="3" applyNumberFormat="1" applyFont="1" applyFill="1"/>
    <xf numFmtId="8" fontId="5" fillId="2" borderId="0" xfId="3" applyNumberFormat="1" applyFont="1" applyFill="1"/>
    <xf numFmtId="164" fontId="5" fillId="2" borderId="0" xfId="3" applyNumberFormat="1" applyFont="1" applyFill="1"/>
    <xf numFmtId="165" fontId="4" fillId="2" borderId="0" xfId="3" applyNumberFormat="1" applyFont="1" applyFill="1"/>
  </cellXfs>
  <cellStyles count="6">
    <cellStyle name="Comma" xfId="1" builtinId="3"/>
    <cellStyle name="Currency" xfId="2" builtinId="4"/>
    <cellStyle name="Excel Built-in Normal" xfId="3"/>
    <cellStyle name="Hyperlink" xfId="4" builtinId="8"/>
    <cellStyle name="Normal" xfId="0" builtinId="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line.com/Product/Detail/S-15754/Paper-Towels-Napkins/Standard-Paper-Napkins?pricode=WU338&amp;gadtype=pla&amp;gclid=CIuxl5-4n7UCFeGDQgodXQYAkg" TargetMode="External"/><Relationship Id="rId3" Type="http://schemas.openxmlformats.org/officeDocument/2006/relationships/hyperlink" Target="http://www.indeed.com/salary?q1=Waiter%2Fwaitress&amp;l1=Idaho" TargetMode="External"/><Relationship Id="rId7" Type="http://schemas.openxmlformats.org/officeDocument/2006/relationships/hyperlink" Target="http://www.wingstop.com/about_us.aspx" TargetMode="External"/><Relationship Id="rId2" Type="http://schemas.openxmlformats.org/officeDocument/2006/relationships/hyperlink" Target="http://www.restaurantaccountants.com/newsletters/10-12-maintenance-program" TargetMode="External"/><Relationship Id="rId1" Type="http://schemas.openxmlformats.org/officeDocument/2006/relationships/hyperlink" Target="http://www.pdco.com/node/88289" TargetMode="External"/><Relationship Id="rId6" Type="http://schemas.openxmlformats.org/officeDocument/2006/relationships/hyperlink" Target="http://www.franchisedirect.com/" TargetMode="External"/><Relationship Id="rId5" Type="http://schemas.openxmlformats.org/officeDocument/2006/relationships/hyperlink" Target="http://www.wingstop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loopnet.com/Idaho/Coeur-d-Alene-Commercial-Real-Estate/" TargetMode="External"/><Relationship Id="rId9" Type="http://schemas.openxmlformats.org/officeDocument/2006/relationships/hyperlink" Target="http://www.usfoodsculinaryequipmentandsupplies.com/product/60%22%20vulcan%20endurance%2010%20burner%20range.do?source=googleps&amp;gclid=CNOAz926n7UCFcODQgodQQUAOQ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line.com/Product/Detail/S-15754/Paper-Towels-Napkins/Standard-Paper-Napkins?pricode=WU338&amp;gadtype=pla&amp;gclid=CIuxl5-4n7UCFeGDQgodXQYAkg" TargetMode="External"/><Relationship Id="rId3" Type="http://schemas.openxmlformats.org/officeDocument/2006/relationships/hyperlink" Target="http://www.indeed.com/salary?q1=Waiter%2Fwaitress&amp;l1=Idaho" TargetMode="External"/><Relationship Id="rId7" Type="http://schemas.openxmlformats.org/officeDocument/2006/relationships/hyperlink" Target="http://www.wingstop.com/about_us.aspx" TargetMode="External"/><Relationship Id="rId2" Type="http://schemas.openxmlformats.org/officeDocument/2006/relationships/hyperlink" Target="http://www.restaurantaccountants.com/newsletters/10-12-maintenance-program" TargetMode="External"/><Relationship Id="rId1" Type="http://schemas.openxmlformats.org/officeDocument/2006/relationships/hyperlink" Target="http://www.pdco.com/node/88289" TargetMode="External"/><Relationship Id="rId6" Type="http://schemas.openxmlformats.org/officeDocument/2006/relationships/hyperlink" Target="http://www.franchisedirect.com/" TargetMode="External"/><Relationship Id="rId5" Type="http://schemas.openxmlformats.org/officeDocument/2006/relationships/hyperlink" Target="http://www.wingstop.com/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www.loopnet.com/Idaho/Coeur-d-Alene-Commercial-Real-Estate/" TargetMode="External"/><Relationship Id="rId9" Type="http://schemas.openxmlformats.org/officeDocument/2006/relationships/hyperlink" Target="http://www.usfoodsculinaryequipmentandsupplies.com/product/60%22%20vulcan%20endurance%2010%20burner%20range.do?source=googleps&amp;gclid=CNOAz926n7UCFcODQgodQQUA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8"/>
  <sheetViews>
    <sheetView topLeftCell="A118" workbookViewId="0">
      <selection activeCell="C133" sqref="C133"/>
    </sheetView>
  </sheetViews>
  <sheetFormatPr defaultColWidth="9.42578125" defaultRowHeight="15" x14ac:dyDescent="0.25"/>
  <cols>
    <col min="1" max="1" width="4.85546875" style="1" customWidth="1"/>
    <col min="2" max="2" width="32.140625" style="1" customWidth="1"/>
    <col min="3" max="7" width="12.5703125" style="1" bestFit="1" customWidth="1"/>
    <col min="8" max="8" width="14.28515625" style="1" bestFit="1" customWidth="1"/>
    <col min="9" max="13" width="13.28515625" style="1" bestFit="1" customWidth="1"/>
    <col min="14" max="14" width="11.5703125" bestFit="1" customWidth="1"/>
    <col min="15" max="16384" width="9.42578125" style="1"/>
  </cols>
  <sheetData>
    <row r="1" spans="1:19" x14ac:dyDescent="0.25">
      <c r="A1" s="2" t="s">
        <v>0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  <c r="L1" s="1">
        <v>2022</v>
      </c>
      <c r="M1" s="1">
        <v>2023</v>
      </c>
    </row>
    <row r="2" spans="1:19" x14ac:dyDescent="0.25">
      <c r="A2" s="2" t="s">
        <v>1</v>
      </c>
    </row>
    <row r="3" spans="1:19" x14ac:dyDescent="0.25">
      <c r="A3" s="13" t="s">
        <v>33</v>
      </c>
      <c r="C3" s="15">
        <v>0.4</v>
      </c>
      <c r="D3" s="15">
        <f>C3*(1+$O$3)</f>
        <v>0.41600000000000004</v>
      </c>
      <c r="E3" s="15">
        <f>D3*(1+$O$3)</f>
        <v>0.43264000000000008</v>
      </c>
      <c r="F3" s="15">
        <f t="shared" ref="F3:M3" si="0">E3*(1+$O$3)</f>
        <v>0.44994560000000011</v>
      </c>
      <c r="G3" s="15">
        <f t="shared" si="0"/>
        <v>0.46794342400000011</v>
      </c>
      <c r="H3" s="15">
        <f t="shared" si="0"/>
        <v>0.48666116096000012</v>
      </c>
      <c r="I3" s="15">
        <f t="shared" si="0"/>
        <v>0.50612760739840013</v>
      </c>
      <c r="J3" s="15">
        <f t="shared" si="0"/>
        <v>0.52637271169433619</v>
      </c>
      <c r="K3" s="15">
        <f t="shared" si="0"/>
        <v>0.54742762016210966</v>
      </c>
      <c r="L3" s="15">
        <f t="shared" si="0"/>
        <v>0.5693247249685941</v>
      </c>
      <c r="M3" s="15">
        <f t="shared" si="0"/>
        <v>0.5920977139673379</v>
      </c>
      <c r="O3" s="9">
        <v>0.04</v>
      </c>
    </row>
    <row r="4" spans="1:19" x14ac:dyDescent="0.25">
      <c r="A4" s="13" t="s">
        <v>34</v>
      </c>
      <c r="C4" s="14">
        <v>0.8</v>
      </c>
      <c r="D4" s="15">
        <f>C4*(1+$O$4)</f>
        <v>0.83200000000000007</v>
      </c>
      <c r="E4" s="15">
        <f>D4*(1+$O$4)</f>
        <v>0.86528000000000016</v>
      </c>
      <c r="F4" s="15">
        <f t="shared" ref="F4:M4" si="1">E4*(1+$O$4)</f>
        <v>0.89989120000000022</v>
      </c>
      <c r="G4" s="15">
        <f t="shared" si="1"/>
        <v>0.93588684800000022</v>
      </c>
      <c r="H4" s="15">
        <f t="shared" si="1"/>
        <v>0.97332232192000023</v>
      </c>
      <c r="I4" s="15">
        <f t="shared" si="1"/>
        <v>1.0122552147968003</v>
      </c>
      <c r="J4" s="15">
        <f t="shared" si="1"/>
        <v>1.0527454233886724</v>
      </c>
      <c r="K4" s="15">
        <f t="shared" si="1"/>
        <v>1.0948552403242193</v>
      </c>
      <c r="L4" s="15">
        <f t="shared" si="1"/>
        <v>1.1386494499371882</v>
      </c>
      <c r="M4" s="15">
        <f t="shared" si="1"/>
        <v>1.1841954279346758</v>
      </c>
      <c r="O4" s="9">
        <v>0.04</v>
      </c>
    </row>
    <row r="5" spans="1:19" x14ac:dyDescent="0.25">
      <c r="A5" s="13" t="s">
        <v>37</v>
      </c>
      <c r="C5" s="15">
        <v>0.45</v>
      </c>
      <c r="D5" s="15">
        <f>C5*(1+$O$5)</f>
        <v>0.46350000000000002</v>
      </c>
      <c r="E5" s="15">
        <f>D5*(1+$O$5)</f>
        <v>0.47740500000000002</v>
      </c>
      <c r="F5" s="15">
        <f t="shared" ref="F5:M5" si="2">E5*(1+$O$5)</f>
        <v>0.49172715000000006</v>
      </c>
      <c r="G5" s="15">
        <f t="shared" si="2"/>
        <v>0.50647896450000007</v>
      </c>
      <c r="H5" s="15">
        <f t="shared" si="2"/>
        <v>0.52167333343500011</v>
      </c>
      <c r="I5" s="15">
        <f t="shared" si="2"/>
        <v>0.53732353343805017</v>
      </c>
      <c r="J5" s="15">
        <f t="shared" si="2"/>
        <v>0.55344323944119167</v>
      </c>
      <c r="K5" s="15">
        <f t="shared" si="2"/>
        <v>0.57004653662442739</v>
      </c>
      <c r="L5" s="15">
        <f t="shared" si="2"/>
        <v>0.58714793272316024</v>
      </c>
      <c r="M5" s="15">
        <f t="shared" si="2"/>
        <v>0.60476237070485506</v>
      </c>
      <c r="O5" s="9">
        <v>0.03</v>
      </c>
    </row>
    <row r="6" spans="1:19" x14ac:dyDescent="0.25">
      <c r="A6" s="13" t="s">
        <v>38</v>
      </c>
      <c r="C6" s="15">
        <f>C5*6</f>
        <v>2.7</v>
      </c>
      <c r="D6" s="15">
        <f>C6*(1+$O$6)</f>
        <v>2.7810000000000001</v>
      </c>
      <c r="E6" s="15">
        <f>D6*(1+$O$6)</f>
        <v>2.86443</v>
      </c>
      <c r="F6" s="15">
        <f t="shared" ref="F6:M6" si="3">E6*(1+$O$6)</f>
        <v>2.9503629</v>
      </c>
      <c r="G6" s="15">
        <f t="shared" si="3"/>
        <v>3.038873787</v>
      </c>
      <c r="H6" s="15">
        <f t="shared" si="3"/>
        <v>3.1300400006100002</v>
      </c>
      <c r="I6" s="15">
        <f t="shared" si="3"/>
        <v>3.2239412006283001</v>
      </c>
      <c r="J6" s="15">
        <f t="shared" si="3"/>
        <v>3.3206594366471491</v>
      </c>
      <c r="K6" s="15">
        <f t="shared" si="3"/>
        <v>3.4202792197465639</v>
      </c>
      <c r="L6" s="15">
        <f t="shared" si="3"/>
        <v>3.5228875963389608</v>
      </c>
      <c r="M6" s="15">
        <f t="shared" si="3"/>
        <v>3.6285742242291299</v>
      </c>
      <c r="O6" s="9">
        <v>0.03</v>
      </c>
      <c r="Q6" s="31"/>
    </row>
    <row r="7" spans="1:19" x14ac:dyDescent="0.25">
      <c r="A7" s="13" t="s">
        <v>81</v>
      </c>
      <c r="C7" s="33">
        <v>105263157.89473684</v>
      </c>
      <c r="D7" s="33">
        <f>C7*(1+$O$7)</f>
        <v>126315789.47368421</v>
      </c>
      <c r="E7" s="33">
        <f>D7*(1+$O$7)</f>
        <v>151578947.36842105</v>
      </c>
      <c r="F7" s="33">
        <f t="shared" ref="F7:M7" si="4">E7*(1+$O$7)</f>
        <v>181894736.84210524</v>
      </c>
      <c r="G7" s="33">
        <f t="shared" si="4"/>
        <v>218273684.21052629</v>
      </c>
      <c r="H7" s="33">
        <f t="shared" si="4"/>
        <v>261928421.05263153</v>
      </c>
      <c r="I7" s="33">
        <f t="shared" si="4"/>
        <v>314314105.26315784</v>
      </c>
      <c r="J7" s="33">
        <f t="shared" si="4"/>
        <v>377176926.3157894</v>
      </c>
      <c r="K7" s="33">
        <f t="shared" si="4"/>
        <v>452612311.57894725</v>
      </c>
      <c r="L7" s="33">
        <f t="shared" si="4"/>
        <v>543134773.89473665</v>
      </c>
      <c r="M7" s="33">
        <f t="shared" si="4"/>
        <v>651761728.673684</v>
      </c>
      <c r="O7" s="9">
        <v>0.2</v>
      </c>
      <c r="Q7" s="31"/>
    </row>
    <row r="8" spans="1:19" x14ac:dyDescent="0.25">
      <c r="A8" s="13" t="s">
        <v>82</v>
      </c>
      <c r="C8" s="33">
        <v>397</v>
      </c>
      <c r="D8" s="33">
        <f>C8*(1+$O$8)</f>
        <v>404.94</v>
      </c>
      <c r="E8" s="33">
        <f>D8*(1+$O$8)</f>
        <v>413.03879999999998</v>
      </c>
      <c r="F8" s="33">
        <f t="shared" ref="F8:M8" si="5">E8*(1+$O$8)</f>
        <v>421.299576</v>
      </c>
      <c r="G8" s="33">
        <f t="shared" si="5"/>
        <v>429.72556752000003</v>
      </c>
      <c r="H8" s="33">
        <f t="shared" si="5"/>
        <v>438.32007887040004</v>
      </c>
      <c r="I8" s="33">
        <f t="shared" si="5"/>
        <v>447.08648044780807</v>
      </c>
      <c r="J8" s="33">
        <f t="shared" si="5"/>
        <v>456.02821005676424</v>
      </c>
      <c r="K8" s="33">
        <f t="shared" si="5"/>
        <v>465.1487742578995</v>
      </c>
      <c r="L8" s="33">
        <f t="shared" si="5"/>
        <v>474.45174974305752</v>
      </c>
      <c r="M8" s="33">
        <f t="shared" si="5"/>
        <v>483.9407847379187</v>
      </c>
      <c r="O8" s="9">
        <v>0.02</v>
      </c>
      <c r="Q8" s="31"/>
    </row>
    <row r="9" spans="1:19" x14ac:dyDescent="0.25">
      <c r="A9" s="1" t="s">
        <v>39</v>
      </c>
      <c r="C9" s="36">
        <f>C7*$O$9</f>
        <v>273684.21052631579</v>
      </c>
      <c r="D9" s="36">
        <f>D7*$O$9</f>
        <v>328421.05263157893</v>
      </c>
      <c r="E9" s="36">
        <f>E7*$O$9</f>
        <v>394105.26315789472</v>
      </c>
      <c r="F9" s="36">
        <f t="shared" ref="F9:M9" si="6">F7*$O$9</f>
        <v>472926.31578947359</v>
      </c>
      <c r="G9" s="36">
        <f t="shared" si="6"/>
        <v>567511.57894736831</v>
      </c>
      <c r="H9" s="36">
        <f t="shared" si="6"/>
        <v>681013.8947368419</v>
      </c>
      <c r="I9" s="36">
        <f t="shared" si="6"/>
        <v>817216.6736842104</v>
      </c>
      <c r="J9" s="36">
        <f t="shared" si="6"/>
        <v>980660.00842105236</v>
      </c>
      <c r="K9" s="36">
        <f t="shared" si="6"/>
        <v>1176792.0101052627</v>
      </c>
      <c r="L9" s="36">
        <f t="shared" si="6"/>
        <v>1412150.4121263153</v>
      </c>
      <c r="M9" s="36">
        <f t="shared" si="6"/>
        <v>1694580.4945515783</v>
      </c>
      <c r="O9" s="35">
        <v>2.5999999999999999E-3</v>
      </c>
      <c r="Q9" s="33"/>
    </row>
    <row r="10" spans="1:19" x14ac:dyDescent="0.25">
      <c r="A10" s="1" t="s">
        <v>40</v>
      </c>
      <c r="C10" s="31">
        <f>C9/8</f>
        <v>34210.526315789473</v>
      </c>
      <c r="D10" s="31">
        <f>D9/8</f>
        <v>41052.631578947367</v>
      </c>
      <c r="E10" s="31">
        <f>E9/8</f>
        <v>49263.15789473684</v>
      </c>
      <c r="F10" s="31">
        <f t="shared" ref="F10:M10" si="7">F9/8</f>
        <v>59115.789473684199</v>
      </c>
      <c r="G10" s="31">
        <f t="shared" si="7"/>
        <v>70938.947368421039</v>
      </c>
      <c r="H10" s="31">
        <f t="shared" si="7"/>
        <v>85126.736842105238</v>
      </c>
      <c r="I10" s="31">
        <f t="shared" si="7"/>
        <v>102152.0842105263</v>
      </c>
      <c r="J10" s="31">
        <f t="shared" si="7"/>
        <v>122582.50105263155</v>
      </c>
      <c r="K10" s="31">
        <f t="shared" si="7"/>
        <v>147099.00126315784</v>
      </c>
      <c r="L10" s="31">
        <f t="shared" si="7"/>
        <v>176518.80151578941</v>
      </c>
      <c r="M10" s="31">
        <f t="shared" si="7"/>
        <v>211822.56181894729</v>
      </c>
    </row>
    <row r="11" spans="1:19" x14ac:dyDescent="0.25">
      <c r="A11" s="1" t="s">
        <v>69</v>
      </c>
      <c r="C11" s="31">
        <f>$O$11*C13</f>
        <v>8210.5263157894733</v>
      </c>
      <c r="D11" s="31">
        <f>$O$11*D13</f>
        <v>9852.6315789473683</v>
      </c>
      <c r="E11" s="31">
        <f>$O$11*E13</f>
        <v>11823.157894736842</v>
      </c>
      <c r="F11" s="31">
        <f t="shared" ref="F11:M11" si="8">$O$11*F13</f>
        <v>14187.789473684208</v>
      </c>
      <c r="G11" s="31">
        <f t="shared" si="8"/>
        <v>17025.347368421048</v>
      </c>
      <c r="H11" s="31">
        <f t="shared" si="8"/>
        <v>20430.416842105256</v>
      </c>
      <c r="I11" s="31">
        <f t="shared" si="8"/>
        <v>24516.500210526312</v>
      </c>
      <c r="J11" s="31">
        <f t="shared" si="8"/>
        <v>29419.800252631572</v>
      </c>
      <c r="K11" s="31">
        <f t="shared" si="8"/>
        <v>35303.760303157884</v>
      </c>
      <c r="L11" s="31">
        <f t="shared" si="8"/>
        <v>42364.512363789458</v>
      </c>
      <c r="M11" s="31">
        <f t="shared" si="8"/>
        <v>50837.414836547345</v>
      </c>
      <c r="O11" s="14">
        <v>0.6</v>
      </c>
    </row>
    <row r="12" spans="1:19" x14ac:dyDescent="0.25">
      <c r="A12" s="1" t="s">
        <v>70</v>
      </c>
      <c r="C12" s="31">
        <f>$O$12*C13</f>
        <v>13684.21052631579</v>
      </c>
      <c r="D12" s="31">
        <f>$O$12*D13</f>
        <v>16421.052631578947</v>
      </c>
      <c r="E12" s="31">
        <f>$O$12*E13</f>
        <v>19705.263157894737</v>
      </c>
      <c r="F12" s="31">
        <f t="shared" ref="F12:M12" si="9">$O$12*F13</f>
        <v>23646.31578947368</v>
      </c>
      <c r="G12" s="31">
        <f t="shared" si="9"/>
        <v>28375.578947368416</v>
      </c>
      <c r="H12" s="31">
        <f t="shared" si="9"/>
        <v>34050.694736842095</v>
      </c>
      <c r="I12" s="31">
        <f t="shared" si="9"/>
        <v>40860.83368421052</v>
      </c>
      <c r="J12" s="31">
        <f t="shared" si="9"/>
        <v>49033.000421052624</v>
      </c>
      <c r="K12" s="31">
        <f t="shared" si="9"/>
        <v>58839.600505263137</v>
      </c>
      <c r="L12" s="31">
        <f t="shared" si="9"/>
        <v>70607.520606315768</v>
      </c>
      <c r="M12" s="31">
        <f t="shared" si="9"/>
        <v>84729.024727578915</v>
      </c>
      <c r="O12" s="14">
        <v>1</v>
      </c>
    </row>
    <row r="13" spans="1:19" x14ac:dyDescent="0.25">
      <c r="A13" s="1" t="s">
        <v>71</v>
      </c>
      <c r="C13" s="31">
        <f>C9*$O$13</f>
        <v>13684.21052631579</v>
      </c>
      <c r="D13" s="31">
        <f>D9*$O$13</f>
        <v>16421.052631578947</v>
      </c>
      <c r="E13" s="31">
        <f>E9*$O$13</f>
        <v>19705.263157894737</v>
      </c>
      <c r="F13" s="31">
        <f t="shared" ref="F13:M13" si="10">F9*$O$13</f>
        <v>23646.31578947368</v>
      </c>
      <c r="G13" s="31">
        <f t="shared" si="10"/>
        <v>28375.578947368416</v>
      </c>
      <c r="H13" s="31">
        <f t="shared" si="10"/>
        <v>34050.694736842095</v>
      </c>
      <c r="I13" s="31">
        <f t="shared" si="10"/>
        <v>40860.83368421052</v>
      </c>
      <c r="J13" s="31">
        <f t="shared" si="10"/>
        <v>49033.000421052624</v>
      </c>
      <c r="K13" s="31">
        <f t="shared" si="10"/>
        <v>58839.600505263137</v>
      </c>
      <c r="L13" s="31">
        <f t="shared" si="10"/>
        <v>70607.520606315768</v>
      </c>
      <c r="M13" s="31">
        <f t="shared" si="10"/>
        <v>84729.024727578915</v>
      </c>
      <c r="O13" s="9">
        <v>0.05</v>
      </c>
    </row>
    <row r="14" spans="1:19" x14ac:dyDescent="0.25">
      <c r="A14" s="1" t="s">
        <v>41</v>
      </c>
      <c r="C14" s="38">
        <f>$O$14*C32</f>
        <v>78.947368421052644</v>
      </c>
      <c r="D14" s="38">
        <f>$O$14*D32</f>
        <v>98.526315789473699</v>
      </c>
      <c r="E14" s="38">
        <f>$O$14*E32</f>
        <v>122.96084210526318</v>
      </c>
      <c r="F14" s="38">
        <f t="shared" ref="F14:M14" si="11">$O$14*F32</f>
        <v>153.45513094736845</v>
      </c>
      <c r="G14" s="38">
        <f t="shared" si="11"/>
        <v>191.51200342231581</v>
      </c>
      <c r="H14" s="38">
        <f t="shared" si="11"/>
        <v>239.00698027105011</v>
      </c>
      <c r="I14" s="38">
        <f t="shared" si="11"/>
        <v>298.28071137827055</v>
      </c>
      <c r="J14" s="38">
        <f t="shared" si="11"/>
        <v>372.25432780008168</v>
      </c>
      <c r="K14" s="38">
        <f t="shared" si="11"/>
        <v>464.57340109450195</v>
      </c>
      <c r="L14" s="38">
        <f t="shared" si="11"/>
        <v>579.78760456593841</v>
      </c>
      <c r="M14" s="38">
        <f t="shared" si="11"/>
        <v>723.57493049829122</v>
      </c>
      <c r="O14" s="28">
        <v>3.605769230769231E-4</v>
      </c>
      <c r="Q14" s="15"/>
    </row>
    <row r="15" spans="1:19" x14ac:dyDescent="0.25">
      <c r="A15" s="1" t="s">
        <v>44</v>
      </c>
      <c r="C15" s="17">
        <f>2.9*1735</f>
        <v>5031.5</v>
      </c>
      <c r="D15" s="17">
        <f>C15*(1+$O$6)</f>
        <v>5182.4449999999997</v>
      </c>
      <c r="E15" s="17">
        <f>D15*(1+$O$6)</f>
        <v>5337.9183499999999</v>
      </c>
      <c r="F15" s="17">
        <f t="shared" ref="F15:M15" si="12">E15*(1+$O$6)</f>
        <v>5498.0559005000005</v>
      </c>
      <c r="G15" s="17">
        <f t="shared" si="12"/>
        <v>5662.9975775150006</v>
      </c>
      <c r="H15" s="17">
        <f t="shared" si="12"/>
        <v>5832.8875048404507</v>
      </c>
      <c r="I15" s="17">
        <f t="shared" si="12"/>
        <v>6007.8741299856647</v>
      </c>
      <c r="J15" s="17">
        <f t="shared" si="12"/>
        <v>6188.1103538852349</v>
      </c>
      <c r="K15" s="17">
        <f t="shared" si="12"/>
        <v>6373.7536645017917</v>
      </c>
      <c r="L15" s="17">
        <f t="shared" si="12"/>
        <v>6564.9662744368452</v>
      </c>
      <c r="M15" s="17">
        <f t="shared" si="12"/>
        <v>6761.9152626699506</v>
      </c>
      <c r="Q15" s="15"/>
    </row>
    <row r="16" spans="1:19" x14ac:dyDescent="0.25">
      <c r="A16" s="1" t="s">
        <v>43</v>
      </c>
      <c r="C16" s="3">
        <f>O16*Q16*R16</f>
        <v>62400</v>
      </c>
      <c r="D16" s="3">
        <f>$O$16*$Q$16*$R$16</f>
        <v>62400</v>
      </c>
      <c r="E16" s="3">
        <f>$O$16*$Q$16*$R$16</f>
        <v>62400</v>
      </c>
      <c r="F16" s="3">
        <f t="shared" ref="F16:M16" si="13">$O$16*$Q$16*$R$16</f>
        <v>62400</v>
      </c>
      <c r="G16" s="3">
        <f t="shared" si="13"/>
        <v>62400</v>
      </c>
      <c r="H16" s="3">
        <f t="shared" si="13"/>
        <v>62400</v>
      </c>
      <c r="I16" s="3">
        <f t="shared" si="13"/>
        <v>62400</v>
      </c>
      <c r="J16" s="3">
        <f t="shared" si="13"/>
        <v>62400</v>
      </c>
      <c r="K16" s="3">
        <f t="shared" si="13"/>
        <v>62400</v>
      </c>
      <c r="L16" s="3">
        <f t="shared" si="13"/>
        <v>62400</v>
      </c>
      <c r="M16" s="3">
        <f t="shared" si="13"/>
        <v>62400</v>
      </c>
      <c r="O16" s="1">
        <v>6</v>
      </c>
      <c r="P16" s="1" t="s">
        <v>48</v>
      </c>
      <c r="Q16" s="18">
        <f>52*40</f>
        <v>2080</v>
      </c>
      <c r="R16" s="14">
        <v>5</v>
      </c>
      <c r="S16" s="1" t="s">
        <v>66</v>
      </c>
    </row>
    <row r="17" spans="1:17" x14ac:dyDescent="0.25">
      <c r="A17" s="1" t="s">
        <v>45</v>
      </c>
      <c r="C17" s="3">
        <f>$O$17*C32</f>
        <v>5368.4210526315792</v>
      </c>
      <c r="D17" s="3">
        <f>$O$17*D32</f>
        <v>6699.7894736842109</v>
      </c>
      <c r="E17" s="3">
        <f>$O$17*E32</f>
        <v>8361.337263157895</v>
      </c>
      <c r="F17" s="3">
        <f t="shared" ref="F17:M17" si="14">$O$17*F32</f>
        <v>10434.948904421053</v>
      </c>
      <c r="G17" s="3">
        <f t="shared" si="14"/>
        <v>13022.816232717474</v>
      </c>
      <c r="H17" s="3">
        <f t="shared" si="14"/>
        <v>16252.474658431407</v>
      </c>
      <c r="I17" s="3">
        <f t="shared" si="14"/>
        <v>20283.088373722396</v>
      </c>
      <c r="J17" s="3">
        <f t="shared" si="14"/>
        <v>25313.294290405553</v>
      </c>
      <c r="K17" s="3">
        <f t="shared" si="14"/>
        <v>31590.991274426131</v>
      </c>
      <c r="L17" s="3">
        <f t="shared" si="14"/>
        <v>39425.557110483809</v>
      </c>
      <c r="M17" s="3">
        <f t="shared" si="14"/>
        <v>49203.095273883795</v>
      </c>
      <c r="O17" s="9">
        <v>2.4519230769230769E-2</v>
      </c>
      <c r="P17" s="14"/>
    </row>
    <row r="18" spans="1:17" x14ac:dyDescent="0.25">
      <c r="A18" s="1" t="s">
        <v>42</v>
      </c>
      <c r="C18" s="3">
        <f>SUM(C32:C33)*$O$18</f>
        <v>7782.8947368421059</v>
      </c>
      <c r="D18" s="3">
        <f>SUM(D32:D33)*$O$18</f>
        <v>9685.3421052631584</v>
      </c>
      <c r="E18" s="3">
        <f>SUM(E32:E33)*$O$18</f>
        <v>12053.056736842107</v>
      </c>
      <c r="F18" s="3">
        <f t="shared" ref="F18:M18" si="15">SUM(F32:F33)*$O$18</f>
        <v>14999.881547368423</v>
      </c>
      <c r="G18" s="3">
        <f t="shared" si="15"/>
        <v>18667.528261495579</v>
      </c>
      <c r="H18" s="3">
        <f t="shared" si="15"/>
        <v>23232.402918055901</v>
      </c>
      <c r="I18" s="3">
        <f t="shared" si="15"/>
        <v>28914.103814302609</v>
      </c>
      <c r="J18" s="3">
        <f t="shared" si="15"/>
        <v>35986.001866344748</v>
      </c>
      <c r="K18" s="3">
        <f t="shared" si="15"/>
        <v>44788.41390753178</v>
      </c>
      <c r="L18" s="3">
        <f t="shared" si="15"/>
        <v>55745.004659419908</v>
      </c>
      <c r="M18" s="3">
        <f t="shared" si="15"/>
        <v>69383.209046041869</v>
      </c>
      <c r="O18" s="19">
        <v>2.5000000000000001E-2</v>
      </c>
      <c r="Q18" s="15"/>
    </row>
    <row r="19" spans="1:17" x14ac:dyDescent="0.25">
      <c r="A19" s="1" t="s">
        <v>46</v>
      </c>
      <c r="C19" s="3">
        <f>$O$19*C32</f>
        <v>7505.0526315789475</v>
      </c>
      <c r="D19" s="3">
        <f>$O$19*D32</f>
        <v>9366.305684210527</v>
      </c>
      <c r="E19" s="3">
        <f>$O$19*E32</f>
        <v>11689.149493894738</v>
      </c>
      <c r="F19" s="3">
        <f t="shared" ref="F19:M19" si="16">$O$19*F32</f>
        <v>14588.058568380631</v>
      </c>
      <c r="G19" s="3">
        <f t="shared" si="16"/>
        <v>18205.89709333903</v>
      </c>
      <c r="H19" s="3">
        <f t="shared" si="16"/>
        <v>22720.959572487107</v>
      </c>
      <c r="I19" s="3">
        <f t="shared" si="16"/>
        <v>28355.757546463909</v>
      </c>
      <c r="J19" s="3">
        <f t="shared" si="16"/>
        <v>35387.985417986958</v>
      </c>
      <c r="K19" s="3">
        <f t="shared" si="16"/>
        <v>44164.205801647724</v>
      </c>
      <c r="L19" s="3">
        <f t="shared" si="16"/>
        <v>55116.928840456363</v>
      </c>
      <c r="M19" s="3">
        <f t="shared" si="16"/>
        <v>68785.927192889547</v>
      </c>
      <c r="O19" s="29">
        <v>3.4277884615384613E-2</v>
      </c>
      <c r="Q19" s="20"/>
    </row>
    <row r="20" spans="1:17" x14ac:dyDescent="0.25">
      <c r="A20" s="1" t="s">
        <v>47</v>
      </c>
      <c r="C20" s="3">
        <f>C32*$O$20</f>
        <v>6568.4210526315792</v>
      </c>
      <c r="D20" s="3">
        <f>D32*$O$20</f>
        <v>8197.3894736842103</v>
      </c>
      <c r="E20" s="3">
        <f>E32*$O$20</f>
        <v>10230.342063157896</v>
      </c>
      <c r="F20" s="3">
        <f t="shared" ref="F20:M20" si="17">F32*$O$20</f>
        <v>12767.466894821053</v>
      </c>
      <c r="G20" s="3">
        <f t="shared" si="17"/>
        <v>15933.798684736676</v>
      </c>
      <c r="H20" s="3">
        <f t="shared" si="17"/>
        <v>19885.380758551368</v>
      </c>
      <c r="I20" s="3">
        <f t="shared" si="17"/>
        <v>24816.955186672109</v>
      </c>
      <c r="J20" s="3">
        <f t="shared" si="17"/>
        <v>30971.560072966793</v>
      </c>
      <c r="K20" s="3">
        <f t="shared" si="17"/>
        <v>38652.506971062561</v>
      </c>
      <c r="L20" s="3">
        <f t="shared" si="17"/>
        <v>48238.328699886079</v>
      </c>
      <c r="M20" s="3">
        <f t="shared" si="17"/>
        <v>60201.43421745782</v>
      </c>
      <c r="O20" s="9">
        <v>0.03</v>
      </c>
      <c r="Q20" s="15"/>
    </row>
    <row r="21" spans="1:17" x14ac:dyDescent="0.25">
      <c r="A21" s="1" t="s">
        <v>51</v>
      </c>
      <c r="C21" s="3">
        <f>2500*12</f>
        <v>30000</v>
      </c>
      <c r="D21" s="3">
        <f>C21*(1+$O$21)</f>
        <v>30449.999999999996</v>
      </c>
      <c r="E21" s="3">
        <f>D21*(1+$O$21)</f>
        <v>30906.749999999993</v>
      </c>
      <c r="F21" s="3">
        <f t="shared" ref="F21:M21" si="18">E21*(1+$O$21)</f>
        <v>31370.351249999989</v>
      </c>
      <c r="G21" s="3">
        <f t="shared" si="18"/>
        <v>31840.906518749987</v>
      </c>
      <c r="H21" s="3">
        <f t="shared" si="18"/>
        <v>32318.520116531236</v>
      </c>
      <c r="I21" s="3">
        <f t="shared" si="18"/>
        <v>32803.297918279204</v>
      </c>
      <c r="J21" s="3">
        <f t="shared" si="18"/>
        <v>33295.347387053393</v>
      </c>
      <c r="K21" s="3">
        <f t="shared" si="18"/>
        <v>33794.777597859189</v>
      </c>
      <c r="L21" s="3">
        <f t="shared" si="18"/>
        <v>34301.699261827074</v>
      </c>
      <c r="M21" s="3">
        <f t="shared" si="18"/>
        <v>34816.224750754474</v>
      </c>
      <c r="O21" s="19">
        <v>1.4999999999999999E-2</v>
      </c>
      <c r="P21" s="14"/>
      <c r="Q21" s="15"/>
    </row>
    <row r="22" spans="1:17" x14ac:dyDescent="0.25">
      <c r="A22" s="1" t="s">
        <v>53</v>
      </c>
      <c r="C22" s="3">
        <v>80000</v>
      </c>
      <c r="D22" s="3">
        <v>80000</v>
      </c>
      <c r="E22" s="3">
        <v>80000</v>
      </c>
      <c r="F22" s="3">
        <v>80000</v>
      </c>
      <c r="G22" s="3">
        <v>80000</v>
      </c>
      <c r="H22" s="3">
        <v>80000</v>
      </c>
      <c r="I22" s="3">
        <v>80000</v>
      </c>
      <c r="J22" s="3">
        <v>80000</v>
      </c>
      <c r="K22" s="3">
        <v>80000</v>
      </c>
      <c r="L22" s="3">
        <v>80000</v>
      </c>
      <c r="M22" s="3">
        <v>80000</v>
      </c>
      <c r="Q22" s="15"/>
    </row>
    <row r="23" spans="1:17" x14ac:dyDescent="0.25">
      <c r="A23" s="1" t="s">
        <v>67</v>
      </c>
      <c r="C23" s="3">
        <f>3658+1500</f>
        <v>5158</v>
      </c>
      <c r="D23" s="3">
        <f>3658+1500</f>
        <v>5158</v>
      </c>
      <c r="E23" s="3">
        <f>3658+1500</f>
        <v>5158</v>
      </c>
      <c r="F23" s="3">
        <f t="shared" ref="F23:M23" si="19">3658+1500</f>
        <v>5158</v>
      </c>
      <c r="G23" s="3">
        <f t="shared" si="19"/>
        <v>5158</v>
      </c>
      <c r="H23" s="3">
        <f t="shared" si="19"/>
        <v>5158</v>
      </c>
      <c r="I23" s="3">
        <f t="shared" si="19"/>
        <v>5158</v>
      </c>
      <c r="J23" s="3">
        <f t="shared" si="19"/>
        <v>5158</v>
      </c>
      <c r="K23" s="3">
        <f t="shared" si="19"/>
        <v>5158</v>
      </c>
      <c r="L23" s="3">
        <f t="shared" si="19"/>
        <v>5158</v>
      </c>
      <c r="M23" s="3">
        <f t="shared" si="19"/>
        <v>5158</v>
      </c>
    </row>
    <row r="24" spans="1:17" x14ac:dyDescent="0.25">
      <c r="A24" s="1" t="s">
        <v>73</v>
      </c>
      <c r="C24" s="3">
        <f>$O$24*SUM(C32:C34)</f>
        <v>16250</v>
      </c>
      <c r="D24" s="3">
        <f>$O$24*SUM(D32:D34)</f>
        <v>20191.736842105267</v>
      </c>
      <c r="E24" s="3">
        <f>$O$24*SUM(E32:E34)</f>
        <v>25091.376631578951</v>
      </c>
      <c r="F24" s="3">
        <f t="shared" ref="F24:M24" si="20">$O$24*SUM(F32:F34)</f>
        <v>31182.078884210532</v>
      </c>
      <c r="G24" s="3">
        <f t="shared" si="20"/>
        <v>38753.835470359583</v>
      </c>
      <c r="H24" s="3">
        <f t="shared" si="20"/>
        <v>48167.340572953908</v>
      </c>
      <c r="I24" s="3">
        <f t="shared" si="20"/>
        <v>59871.249312815737</v>
      </c>
      <c r="J24" s="3">
        <f t="shared" si="20"/>
        <v>74423.653753742125</v>
      </c>
      <c r="K24" s="3">
        <f t="shared" si="20"/>
        <v>92518.807840326714</v>
      </c>
      <c r="L24" s="3">
        <f t="shared" si="20"/>
        <v>115020.38534915559</v>
      </c>
      <c r="M24" s="3">
        <f t="shared" si="20"/>
        <v>143002.86932846266</v>
      </c>
      <c r="O24" s="9">
        <v>0.05</v>
      </c>
    </row>
    <row r="26" spans="1:17" x14ac:dyDescent="0.25">
      <c r="A26" s="2" t="s">
        <v>2</v>
      </c>
    </row>
    <row r="27" spans="1:17" x14ac:dyDescent="0.25">
      <c r="A27" s="1" t="s">
        <v>3</v>
      </c>
      <c r="C27" s="1">
        <v>30</v>
      </c>
      <c r="D27" s="1">
        <v>30</v>
      </c>
      <c r="E27" s="1">
        <v>30</v>
      </c>
      <c r="F27" s="1">
        <v>30</v>
      </c>
      <c r="G27" s="1">
        <v>30</v>
      </c>
      <c r="H27" s="1">
        <v>30</v>
      </c>
      <c r="I27" s="1">
        <v>30</v>
      </c>
      <c r="J27" s="1">
        <v>30</v>
      </c>
      <c r="K27" s="1">
        <v>30</v>
      </c>
      <c r="L27" s="1">
        <v>30</v>
      </c>
      <c r="M27" s="1">
        <v>30</v>
      </c>
    </row>
    <row r="28" spans="1:17" x14ac:dyDescent="0.25">
      <c r="A28" s="1" t="s">
        <v>52</v>
      </c>
      <c r="C28" s="1">
        <v>52</v>
      </c>
      <c r="D28" s="1">
        <v>52</v>
      </c>
      <c r="E28" s="1">
        <v>52</v>
      </c>
      <c r="F28" s="1">
        <v>52</v>
      </c>
      <c r="G28" s="1">
        <v>52</v>
      </c>
      <c r="H28" s="1">
        <v>52</v>
      </c>
      <c r="I28" s="1">
        <v>52</v>
      </c>
      <c r="J28" s="1">
        <v>52</v>
      </c>
      <c r="K28" s="1">
        <v>52</v>
      </c>
      <c r="L28" s="1">
        <v>52</v>
      </c>
      <c r="M28" s="1">
        <v>52</v>
      </c>
    </row>
    <row r="30" spans="1:17" x14ac:dyDescent="0.25">
      <c r="A30" s="2" t="s">
        <v>4</v>
      </c>
    </row>
    <row r="31" spans="1:17" x14ac:dyDescent="0.25">
      <c r="A31" s="4" t="s">
        <v>5</v>
      </c>
    </row>
    <row r="32" spans="1:17" x14ac:dyDescent="0.25">
      <c r="B32" s="1" t="s">
        <v>35</v>
      </c>
      <c r="C32" s="5">
        <f>+C9*C4</f>
        <v>218947.36842105264</v>
      </c>
      <c r="D32" s="5">
        <f>+D9*D4</f>
        <v>273246.31578947371</v>
      </c>
      <c r="E32" s="5">
        <f>+E9*E4</f>
        <v>341011.4021052632</v>
      </c>
      <c r="F32" s="5">
        <f t="shared" ref="F32:M32" si="21">+F9*F4</f>
        <v>425582.22982736846</v>
      </c>
      <c r="G32" s="5">
        <f t="shared" si="21"/>
        <v>531126.62282455584</v>
      </c>
      <c r="H32" s="5">
        <f t="shared" si="21"/>
        <v>662846.02528504562</v>
      </c>
      <c r="I32" s="5">
        <f t="shared" si="21"/>
        <v>827231.83955573698</v>
      </c>
      <c r="J32" s="5">
        <f t="shared" si="21"/>
        <v>1032385.3357655598</v>
      </c>
      <c r="K32" s="5">
        <f t="shared" si="21"/>
        <v>1288416.8990354186</v>
      </c>
      <c r="L32" s="5">
        <f t="shared" si="21"/>
        <v>1607944.2899962026</v>
      </c>
      <c r="M32" s="5">
        <f t="shared" si="21"/>
        <v>2006714.4739152608</v>
      </c>
    </row>
    <row r="33" spans="1:13" x14ac:dyDescent="0.25">
      <c r="B33" s="1" t="s">
        <v>36</v>
      </c>
      <c r="C33" s="5">
        <f>C6*C10</f>
        <v>92368.421052631587</v>
      </c>
      <c r="D33" s="5">
        <f>D6*D10</f>
        <v>114167.36842105263</v>
      </c>
      <c r="E33" s="5">
        <f>E6*E10</f>
        <v>141110.86736842105</v>
      </c>
      <c r="F33" s="5">
        <f t="shared" ref="F33:M33" si="22">F6*F10</f>
        <v>174413.03206736839</v>
      </c>
      <c r="G33" s="5">
        <f t="shared" si="22"/>
        <v>215574.50763526733</v>
      </c>
      <c r="H33" s="5">
        <f t="shared" si="22"/>
        <v>266450.09143719042</v>
      </c>
      <c r="I33" s="5">
        <f t="shared" si="22"/>
        <v>329332.31301636738</v>
      </c>
      <c r="J33" s="5">
        <f t="shared" si="22"/>
        <v>407054.73888823006</v>
      </c>
      <c r="K33" s="5">
        <f t="shared" si="22"/>
        <v>503119.65726585232</v>
      </c>
      <c r="L33" s="5">
        <f t="shared" si="22"/>
        <v>621855.89638059342</v>
      </c>
      <c r="M33" s="5">
        <f t="shared" si="22"/>
        <v>768613.88792641356</v>
      </c>
    </row>
    <row r="34" spans="1:13" x14ac:dyDescent="0.25">
      <c r="B34" s="1" t="s">
        <v>68</v>
      </c>
      <c r="C34" s="5">
        <f>C12</f>
        <v>13684.21052631579</v>
      </c>
      <c r="D34" s="5">
        <f>D12</f>
        <v>16421.052631578947</v>
      </c>
      <c r="E34" s="5">
        <f>E12</f>
        <v>19705.263157894737</v>
      </c>
      <c r="F34" s="5">
        <f t="shared" ref="F34:M34" si="23">F12</f>
        <v>23646.31578947368</v>
      </c>
      <c r="G34" s="5">
        <f t="shared" si="23"/>
        <v>28375.578947368416</v>
      </c>
      <c r="H34" s="5">
        <f t="shared" si="23"/>
        <v>34050.694736842095</v>
      </c>
      <c r="I34" s="5">
        <f t="shared" si="23"/>
        <v>40860.83368421052</v>
      </c>
      <c r="J34" s="5">
        <f t="shared" si="23"/>
        <v>49033.000421052624</v>
      </c>
      <c r="K34" s="5">
        <f t="shared" si="23"/>
        <v>58839.600505263137</v>
      </c>
      <c r="L34" s="5">
        <f t="shared" si="23"/>
        <v>70607.520606315768</v>
      </c>
      <c r="M34" s="5">
        <f t="shared" si="23"/>
        <v>84729.024727578915</v>
      </c>
    </row>
    <row r="35" spans="1:13" x14ac:dyDescent="0.25">
      <c r="A35" s="1" t="s">
        <v>49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B36" s="1" t="s">
        <v>35</v>
      </c>
      <c r="C36" s="5">
        <f>C3*C9</f>
        <v>109473.68421052632</v>
      </c>
      <c r="D36" s="5">
        <f>D3*D9</f>
        <v>136623.15789473685</v>
      </c>
      <c r="E36" s="5">
        <f>E3*E9</f>
        <v>170505.7010526316</v>
      </c>
      <c r="F36" s="5">
        <f t="shared" ref="F36:M36" si="24">F3*F9</f>
        <v>212791.11491368423</v>
      </c>
      <c r="G36" s="5">
        <f t="shared" si="24"/>
        <v>265563.31141227792</v>
      </c>
      <c r="H36" s="5">
        <f t="shared" si="24"/>
        <v>331423.01264252281</v>
      </c>
      <c r="I36" s="5">
        <f t="shared" si="24"/>
        <v>413615.91977786849</v>
      </c>
      <c r="J36" s="5">
        <f t="shared" si="24"/>
        <v>516192.6678827799</v>
      </c>
      <c r="K36" s="5">
        <f t="shared" si="24"/>
        <v>644208.44951770932</v>
      </c>
      <c r="L36" s="5">
        <f t="shared" si="24"/>
        <v>803972.14499810128</v>
      </c>
      <c r="M36" s="5">
        <f t="shared" si="24"/>
        <v>1003357.2369576304</v>
      </c>
    </row>
    <row r="37" spans="1:13" x14ac:dyDescent="0.25">
      <c r="B37" s="1" t="s">
        <v>50</v>
      </c>
      <c r="C37" s="5">
        <f>C5*C10</f>
        <v>15394.736842105263</v>
      </c>
      <c r="D37" s="5">
        <f>D5*D10</f>
        <v>19027.894736842107</v>
      </c>
      <c r="E37" s="5">
        <f>E5*E10</f>
        <v>23518.477894736843</v>
      </c>
      <c r="F37" s="5">
        <f t="shared" ref="F37:M37" si="25">F5*F10</f>
        <v>29068.838677894735</v>
      </c>
      <c r="G37" s="5">
        <f t="shared" si="25"/>
        <v>35929.084605877892</v>
      </c>
      <c r="H37" s="5">
        <f t="shared" si="25"/>
        <v>44408.34857286507</v>
      </c>
      <c r="I37" s="5">
        <f t="shared" si="25"/>
        <v>54888.718836061242</v>
      </c>
      <c r="J37" s="5">
        <f t="shared" si="25"/>
        <v>67842.456481371686</v>
      </c>
      <c r="K37" s="5">
        <f t="shared" si="25"/>
        <v>83853.276210975397</v>
      </c>
      <c r="L37" s="5">
        <f t="shared" si="25"/>
        <v>103642.6493967656</v>
      </c>
      <c r="M37" s="5">
        <f t="shared" si="25"/>
        <v>128102.31465440227</v>
      </c>
    </row>
    <row r="38" spans="1:13" x14ac:dyDescent="0.25">
      <c r="B38" s="1" t="s">
        <v>68</v>
      </c>
      <c r="C38" s="5">
        <f>C11</f>
        <v>8210.5263157894733</v>
      </c>
      <c r="D38" s="5">
        <f>D11</f>
        <v>9852.6315789473683</v>
      </c>
      <c r="E38" s="5">
        <f>E11</f>
        <v>11823.157894736842</v>
      </c>
      <c r="F38" s="5">
        <f t="shared" ref="F38:M38" si="26">F11</f>
        <v>14187.789473684208</v>
      </c>
      <c r="G38" s="5">
        <f t="shared" si="26"/>
        <v>17025.347368421048</v>
      </c>
      <c r="H38" s="5">
        <f t="shared" si="26"/>
        <v>20430.416842105256</v>
      </c>
      <c r="I38" s="5">
        <f t="shared" si="26"/>
        <v>24516.500210526312</v>
      </c>
      <c r="J38" s="5">
        <f t="shared" si="26"/>
        <v>29419.800252631572</v>
      </c>
      <c r="K38" s="5">
        <f t="shared" si="26"/>
        <v>35303.760303157884</v>
      </c>
      <c r="L38" s="5">
        <f t="shared" si="26"/>
        <v>42364.512363789458</v>
      </c>
      <c r="M38" s="5">
        <f t="shared" si="26"/>
        <v>50837.414836547345</v>
      </c>
    </row>
    <row r="39" spans="1:13" x14ac:dyDescent="0.25">
      <c r="A39" s="1" t="s">
        <v>6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5">
      <c r="B40" s="1" t="s">
        <v>41</v>
      </c>
      <c r="C40" s="5">
        <f>C14</f>
        <v>78.947368421052644</v>
      </c>
      <c r="D40" s="5">
        <f>D14</f>
        <v>98.526315789473699</v>
      </c>
      <c r="E40" s="5">
        <f>E14</f>
        <v>122.96084210526318</v>
      </c>
      <c r="F40" s="5">
        <f t="shared" ref="F40:M40" si="27">F14</f>
        <v>153.45513094736845</v>
      </c>
      <c r="G40" s="5">
        <f t="shared" si="27"/>
        <v>191.51200342231581</v>
      </c>
      <c r="H40" s="5">
        <f t="shared" si="27"/>
        <v>239.00698027105011</v>
      </c>
      <c r="I40" s="5">
        <f t="shared" si="27"/>
        <v>298.28071137827055</v>
      </c>
      <c r="J40" s="5">
        <f t="shared" si="27"/>
        <v>372.25432780008168</v>
      </c>
      <c r="K40" s="5">
        <f t="shared" si="27"/>
        <v>464.57340109450195</v>
      </c>
      <c r="L40" s="5">
        <f t="shared" si="27"/>
        <v>579.78760456593841</v>
      </c>
      <c r="M40" s="5">
        <f t="shared" si="27"/>
        <v>723.57493049829122</v>
      </c>
    </row>
    <row r="41" spans="1:13" x14ac:dyDescent="0.25">
      <c r="B41" s="1" t="s">
        <v>54</v>
      </c>
      <c r="C41" s="5">
        <f>C22</f>
        <v>80000</v>
      </c>
      <c r="D41" s="5">
        <f>D22</f>
        <v>80000</v>
      </c>
      <c r="E41" s="5">
        <f>E22</f>
        <v>80000</v>
      </c>
      <c r="F41" s="5">
        <f t="shared" ref="F41:M41" si="28">F22</f>
        <v>80000</v>
      </c>
      <c r="G41" s="5">
        <f t="shared" si="28"/>
        <v>80000</v>
      </c>
      <c r="H41" s="5">
        <f t="shared" si="28"/>
        <v>80000</v>
      </c>
      <c r="I41" s="5">
        <f t="shared" si="28"/>
        <v>80000</v>
      </c>
      <c r="J41" s="5">
        <f t="shared" si="28"/>
        <v>80000</v>
      </c>
      <c r="K41" s="5">
        <f t="shared" si="28"/>
        <v>80000</v>
      </c>
      <c r="L41" s="5">
        <f t="shared" si="28"/>
        <v>80000</v>
      </c>
      <c r="M41" s="5">
        <f t="shared" si="28"/>
        <v>80000</v>
      </c>
    </row>
    <row r="42" spans="1:13" x14ac:dyDescent="0.25">
      <c r="B42" s="1" t="s">
        <v>44</v>
      </c>
      <c r="C42" s="5">
        <f t="shared" ref="C42:C47" si="29">C15</f>
        <v>5031.5</v>
      </c>
      <c r="D42" s="5">
        <f t="shared" ref="D42:F47" si="30">D15</f>
        <v>5182.4449999999997</v>
      </c>
      <c r="E42" s="5">
        <f t="shared" si="30"/>
        <v>5337.9183499999999</v>
      </c>
      <c r="F42" s="5">
        <f t="shared" si="30"/>
        <v>5498.0559005000005</v>
      </c>
      <c r="G42" s="5">
        <f t="shared" ref="G42:M42" si="31">G15</f>
        <v>5662.9975775150006</v>
      </c>
      <c r="H42" s="5">
        <f t="shared" si="31"/>
        <v>5832.8875048404507</v>
      </c>
      <c r="I42" s="5">
        <f t="shared" si="31"/>
        <v>6007.8741299856647</v>
      </c>
      <c r="J42" s="5">
        <f t="shared" si="31"/>
        <v>6188.1103538852349</v>
      </c>
      <c r="K42" s="5">
        <f t="shared" si="31"/>
        <v>6373.7536645017917</v>
      </c>
      <c r="L42" s="5">
        <f t="shared" si="31"/>
        <v>6564.9662744368452</v>
      </c>
      <c r="M42" s="5">
        <f t="shared" si="31"/>
        <v>6761.9152626699506</v>
      </c>
    </row>
    <row r="43" spans="1:13" x14ac:dyDescent="0.25">
      <c r="B43" s="1" t="s">
        <v>43</v>
      </c>
      <c r="C43" s="5">
        <f t="shared" si="29"/>
        <v>62400</v>
      </c>
      <c r="D43" s="5">
        <f t="shared" si="30"/>
        <v>62400</v>
      </c>
      <c r="E43" s="5">
        <f t="shared" si="30"/>
        <v>62400</v>
      </c>
      <c r="F43" s="5">
        <f t="shared" si="30"/>
        <v>62400</v>
      </c>
      <c r="G43" s="5">
        <f t="shared" ref="G43:M43" si="32">G16</f>
        <v>62400</v>
      </c>
      <c r="H43" s="5">
        <f t="shared" si="32"/>
        <v>62400</v>
      </c>
      <c r="I43" s="5">
        <f t="shared" si="32"/>
        <v>62400</v>
      </c>
      <c r="J43" s="5">
        <f t="shared" si="32"/>
        <v>62400</v>
      </c>
      <c r="K43" s="5">
        <f t="shared" si="32"/>
        <v>62400</v>
      </c>
      <c r="L43" s="5">
        <f t="shared" si="32"/>
        <v>62400</v>
      </c>
      <c r="M43" s="5">
        <f t="shared" si="32"/>
        <v>62400</v>
      </c>
    </row>
    <row r="44" spans="1:13" x14ac:dyDescent="0.25">
      <c r="B44" s="1" t="s">
        <v>45</v>
      </c>
      <c r="C44" s="5">
        <f t="shared" si="29"/>
        <v>5368.4210526315792</v>
      </c>
      <c r="D44" s="5">
        <f t="shared" si="30"/>
        <v>6699.7894736842109</v>
      </c>
      <c r="E44" s="5">
        <f t="shared" si="30"/>
        <v>8361.337263157895</v>
      </c>
      <c r="F44" s="5">
        <f t="shared" si="30"/>
        <v>10434.948904421053</v>
      </c>
      <c r="G44" s="5">
        <f t="shared" ref="G44:M44" si="33">G17</f>
        <v>13022.816232717474</v>
      </c>
      <c r="H44" s="5">
        <f t="shared" si="33"/>
        <v>16252.474658431407</v>
      </c>
      <c r="I44" s="5">
        <f t="shared" si="33"/>
        <v>20283.088373722396</v>
      </c>
      <c r="J44" s="5">
        <f t="shared" si="33"/>
        <v>25313.294290405553</v>
      </c>
      <c r="K44" s="5">
        <f t="shared" si="33"/>
        <v>31590.991274426131</v>
      </c>
      <c r="L44" s="5">
        <f t="shared" si="33"/>
        <v>39425.557110483809</v>
      </c>
      <c r="M44" s="5">
        <f t="shared" si="33"/>
        <v>49203.095273883795</v>
      </c>
    </row>
    <row r="45" spans="1:13" x14ac:dyDescent="0.25">
      <c r="B45" s="1" t="s">
        <v>42</v>
      </c>
      <c r="C45" s="5">
        <f t="shared" si="29"/>
        <v>7782.8947368421059</v>
      </c>
      <c r="D45" s="5">
        <f t="shared" si="30"/>
        <v>9685.3421052631584</v>
      </c>
      <c r="E45" s="5">
        <f t="shared" si="30"/>
        <v>12053.056736842107</v>
      </c>
      <c r="F45" s="5">
        <f t="shared" si="30"/>
        <v>14999.881547368423</v>
      </c>
      <c r="G45" s="5">
        <f t="shared" ref="G45:M45" si="34">G18</f>
        <v>18667.528261495579</v>
      </c>
      <c r="H45" s="5">
        <f t="shared" si="34"/>
        <v>23232.402918055901</v>
      </c>
      <c r="I45" s="5">
        <f t="shared" si="34"/>
        <v>28914.103814302609</v>
      </c>
      <c r="J45" s="5">
        <f t="shared" si="34"/>
        <v>35986.001866344748</v>
      </c>
      <c r="K45" s="5">
        <f t="shared" si="34"/>
        <v>44788.41390753178</v>
      </c>
      <c r="L45" s="5">
        <f t="shared" si="34"/>
        <v>55745.004659419908</v>
      </c>
      <c r="M45" s="5">
        <f t="shared" si="34"/>
        <v>69383.209046041869</v>
      </c>
    </row>
    <row r="46" spans="1:13" x14ac:dyDescent="0.25">
      <c r="B46" s="1" t="s">
        <v>46</v>
      </c>
      <c r="C46" s="5">
        <f t="shared" si="29"/>
        <v>7505.0526315789475</v>
      </c>
      <c r="D46" s="5">
        <f t="shared" si="30"/>
        <v>9366.305684210527</v>
      </c>
      <c r="E46" s="5">
        <f t="shared" si="30"/>
        <v>11689.149493894738</v>
      </c>
      <c r="F46" s="5">
        <f t="shared" si="30"/>
        <v>14588.058568380631</v>
      </c>
      <c r="G46" s="5">
        <f t="shared" ref="G46:M46" si="35">G19</f>
        <v>18205.89709333903</v>
      </c>
      <c r="H46" s="5">
        <f t="shared" si="35"/>
        <v>22720.959572487107</v>
      </c>
      <c r="I46" s="5">
        <f t="shared" si="35"/>
        <v>28355.757546463909</v>
      </c>
      <c r="J46" s="5">
        <f t="shared" si="35"/>
        <v>35387.985417986958</v>
      </c>
      <c r="K46" s="5">
        <f t="shared" si="35"/>
        <v>44164.205801647724</v>
      </c>
      <c r="L46" s="5">
        <f t="shared" si="35"/>
        <v>55116.928840456363</v>
      </c>
      <c r="M46" s="5">
        <f t="shared" si="35"/>
        <v>68785.927192889547</v>
      </c>
    </row>
    <row r="47" spans="1:13" x14ac:dyDescent="0.25">
      <c r="B47" s="1" t="s">
        <v>47</v>
      </c>
      <c r="C47" s="5">
        <f t="shared" si="29"/>
        <v>6568.4210526315792</v>
      </c>
      <c r="D47" s="5">
        <f t="shared" si="30"/>
        <v>8197.3894736842103</v>
      </c>
      <c r="E47" s="5">
        <f t="shared" si="30"/>
        <v>10230.342063157896</v>
      </c>
      <c r="F47" s="5">
        <f t="shared" si="30"/>
        <v>12767.466894821053</v>
      </c>
      <c r="G47" s="5">
        <f t="shared" ref="G47:M47" si="36">G20</f>
        <v>15933.798684736676</v>
      </c>
      <c r="H47" s="5">
        <f t="shared" si="36"/>
        <v>19885.380758551368</v>
      </c>
      <c r="I47" s="5">
        <f t="shared" si="36"/>
        <v>24816.955186672109</v>
      </c>
      <c r="J47" s="5">
        <f t="shared" si="36"/>
        <v>30971.560072966793</v>
      </c>
      <c r="K47" s="5">
        <f t="shared" si="36"/>
        <v>38652.506971062561</v>
      </c>
      <c r="L47" s="5">
        <f t="shared" si="36"/>
        <v>48238.328699886079</v>
      </c>
      <c r="M47" s="5">
        <f t="shared" si="36"/>
        <v>60201.43421745782</v>
      </c>
    </row>
    <row r="48" spans="1:13" x14ac:dyDescent="0.25">
      <c r="B48" s="1" t="s">
        <v>67</v>
      </c>
      <c r="C48" s="5">
        <f>C23</f>
        <v>5158</v>
      </c>
      <c r="D48" s="5">
        <f>D23</f>
        <v>5158</v>
      </c>
      <c r="E48" s="5">
        <f>E23</f>
        <v>5158</v>
      </c>
      <c r="F48" s="5">
        <f t="shared" ref="F48:M48" si="37">F23</f>
        <v>5158</v>
      </c>
      <c r="G48" s="5">
        <f t="shared" si="37"/>
        <v>5158</v>
      </c>
      <c r="H48" s="5">
        <f t="shared" si="37"/>
        <v>5158</v>
      </c>
      <c r="I48" s="5">
        <f t="shared" si="37"/>
        <v>5158</v>
      </c>
      <c r="J48" s="5">
        <f t="shared" si="37"/>
        <v>5158</v>
      </c>
      <c r="K48" s="5">
        <f t="shared" si="37"/>
        <v>5158</v>
      </c>
      <c r="L48" s="5">
        <f t="shared" si="37"/>
        <v>5158</v>
      </c>
      <c r="M48" s="5">
        <f t="shared" si="37"/>
        <v>5158</v>
      </c>
    </row>
    <row r="49" spans="1:15" x14ac:dyDescent="0.25">
      <c r="B49" s="1" t="s">
        <v>74</v>
      </c>
      <c r="C49" s="5">
        <f>C24+10000</f>
        <v>26250</v>
      </c>
      <c r="D49" s="5">
        <f>D24</f>
        <v>20191.736842105267</v>
      </c>
      <c r="E49" s="5">
        <f>E24</f>
        <v>25091.376631578951</v>
      </c>
      <c r="F49" s="5">
        <f t="shared" ref="F49:M49" si="38">F24</f>
        <v>31182.078884210532</v>
      </c>
      <c r="G49" s="5">
        <f t="shared" si="38"/>
        <v>38753.835470359583</v>
      </c>
      <c r="H49" s="5">
        <f t="shared" si="38"/>
        <v>48167.340572953908</v>
      </c>
      <c r="I49" s="5">
        <f t="shared" si="38"/>
        <v>59871.249312815737</v>
      </c>
      <c r="J49" s="5">
        <f t="shared" si="38"/>
        <v>74423.653753742125</v>
      </c>
      <c r="K49" s="5">
        <f t="shared" si="38"/>
        <v>92518.807840326714</v>
      </c>
      <c r="L49" s="5">
        <f t="shared" si="38"/>
        <v>115020.38534915559</v>
      </c>
      <c r="M49" s="5">
        <f t="shared" si="38"/>
        <v>143002.86932846266</v>
      </c>
    </row>
    <row r="50" spans="1:15" x14ac:dyDescent="0.25">
      <c r="B50" s="1" t="s">
        <v>7</v>
      </c>
      <c r="C50" s="5">
        <f>C21</f>
        <v>30000</v>
      </c>
      <c r="D50" s="5">
        <f>D21</f>
        <v>30449.999999999996</v>
      </c>
      <c r="E50" s="5">
        <f>E21</f>
        <v>30906.749999999993</v>
      </c>
      <c r="F50" s="5">
        <f t="shared" ref="F50:M50" si="39">F21</f>
        <v>31370.351249999989</v>
      </c>
      <c r="G50" s="5">
        <f t="shared" si="39"/>
        <v>31840.906518749987</v>
      </c>
      <c r="H50" s="5">
        <f t="shared" si="39"/>
        <v>32318.520116531236</v>
      </c>
      <c r="I50" s="5">
        <f t="shared" si="39"/>
        <v>32803.297918279204</v>
      </c>
      <c r="J50" s="5">
        <f t="shared" si="39"/>
        <v>33295.347387053393</v>
      </c>
      <c r="K50" s="5">
        <f t="shared" si="39"/>
        <v>33794.777597859189</v>
      </c>
      <c r="L50" s="5">
        <f t="shared" si="39"/>
        <v>34301.699261827074</v>
      </c>
      <c r="M50" s="5">
        <f t="shared" si="39"/>
        <v>34816.224750754474</v>
      </c>
    </row>
    <row r="51" spans="1:15" x14ac:dyDescent="0.25">
      <c r="B51" s="1" t="s">
        <v>8</v>
      </c>
      <c r="C51" s="5">
        <f>SUM(C40:C50)</f>
        <v>236143.23684210528</v>
      </c>
      <c r="D51" s="5">
        <f>SUM(D40:D50)</f>
        <v>237429.53489473683</v>
      </c>
      <c r="E51" s="5">
        <f>SUM(E40:E50)</f>
        <v>251350.89138073687</v>
      </c>
      <c r="F51" s="5">
        <f t="shared" ref="F51:M51" si="40">SUM(F40:F50)</f>
        <v>268552.29708064906</v>
      </c>
      <c r="G51" s="5">
        <f t="shared" si="40"/>
        <v>289837.29184233572</v>
      </c>
      <c r="H51" s="5">
        <f t="shared" si="40"/>
        <v>316206.97308212239</v>
      </c>
      <c r="I51" s="5">
        <f t="shared" si="40"/>
        <v>348908.60699361988</v>
      </c>
      <c r="J51" s="5">
        <f t="shared" si="40"/>
        <v>389496.20747018489</v>
      </c>
      <c r="K51" s="5">
        <f t="shared" si="40"/>
        <v>439906.03045845049</v>
      </c>
      <c r="L51" s="5">
        <f t="shared" si="40"/>
        <v>502550.65780023159</v>
      </c>
      <c r="M51" s="5">
        <f t="shared" si="40"/>
        <v>580436.25000265834</v>
      </c>
    </row>
    <row r="52" spans="1:15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5" x14ac:dyDescent="0.25">
      <c r="A53" s="1" t="s">
        <v>65</v>
      </c>
      <c r="C53" s="23">
        <f>$O$53*C69</f>
        <v>7000</v>
      </c>
      <c r="D53" s="23">
        <f>$O$53*D69</f>
        <v>7000</v>
      </c>
      <c r="E53" s="23">
        <f>$O$53*E69</f>
        <v>7000</v>
      </c>
      <c r="F53" s="23">
        <f t="shared" ref="F53:M53" si="41">$O$53*F69</f>
        <v>7000</v>
      </c>
      <c r="G53" s="23">
        <f t="shared" si="41"/>
        <v>7000</v>
      </c>
      <c r="H53" s="23">
        <f t="shared" si="41"/>
        <v>7000</v>
      </c>
      <c r="I53" s="23">
        <f t="shared" si="41"/>
        <v>7000</v>
      </c>
      <c r="J53" s="23">
        <f t="shared" si="41"/>
        <v>7000</v>
      </c>
      <c r="K53" s="23">
        <f t="shared" si="41"/>
        <v>7000</v>
      </c>
      <c r="L53" s="23">
        <f t="shared" si="41"/>
        <v>7000</v>
      </c>
      <c r="M53" s="23">
        <f t="shared" si="41"/>
        <v>7000</v>
      </c>
      <c r="O53" s="32">
        <f>1/10</f>
        <v>0.1</v>
      </c>
    </row>
    <row r="54" spans="1:15" x14ac:dyDescent="0.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5" x14ac:dyDescent="0.25">
      <c r="A55" s="21" t="s">
        <v>9</v>
      </c>
      <c r="B55" s="21"/>
      <c r="C55" s="22">
        <f>SUM(C32:C34)-SUM(C36:C38)-C51-C53</f>
        <v>-51222.184210526349</v>
      </c>
      <c r="D55" s="22">
        <f>SUM(D32:D34)-SUM(D36:D38)-D51-D53</f>
        <v>-6098.4822631578718</v>
      </c>
      <c r="E55" s="22">
        <f>SUM(E32:E34)-SUM(E36:E38)-E51-E53</f>
        <v>37629.304408736847</v>
      </c>
      <c r="F55" s="22">
        <f t="shared" ref="F55:M55" si="42">SUM(F32:F34)-SUM(F36:F38)-F51-F53</f>
        <v>92041.537538298406</v>
      </c>
      <c r="G55" s="22">
        <f t="shared" si="42"/>
        <v>159721.67417827906</v>
      </c>
      <c r="H55" s="22">
        <f t="shared" si="42"/>
        <v>243878.06031946256</v>
      </c>
      <c r="I55" s="22">
        <f t="shared" si="42"/>
        <v>348495.24043823878</v>
      </c>
      <c r="J55" s="22">
        <f t="shared" si="42"/>
        <v>478521.94298787438</v>
      </c>
      <c r="K55" s="22">
        <f t="shared" si="42"/>
        <v>640104.64031624119</v>
      </c>
      <c r="L55" s="22">
        <f t="shared" si="42"/>
        <v>840877.7424242238</v>
      </c>
      <c r="M55" s="22">
        <f t="shared" si="42"/>
        <v>1090324.1701180148</v>
      </c>
    </row>
    <row r="56" spans="1:15" x14ac:dyDescent="0.2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5" x14ac:dyDescent="0.25">
      <c r="A57" s="1" t="s">
        <v>10</v>
      </c>
      <c r="C57" s="5">
        <f>+C77*$O$57</f>
        <v>9703.5218464854188</v>
      </c>
      <c r="D57" s="5">
        <f>+D77*$O$57</f>
        <v>10523.300078304124</v>
      </c>
      <c r="E57" s="5">
        <f>+E77*$O$57</f>
        <v>10459.143117553598</v>
      </c>
      <c r="F57" s="5">
        <f t="shared" ref="F57:M57" si="43">+F77*$O$57</f>
        <v>14466.529461282458</v>
      </c>
      <c r="G57" s="5">
        <f t="shared" si="43"/>
        <v>19500.842749676831</v>
      </c>
      <c r="H57" s="5">
        <f t="shared" si="43"/>
        <v>25812.49815902218</v>
      </c>
      <c r="I57" s="5">
        <f t="shared" si="43"/>
        <v>33712.332086885726</v>
      </c>
      <c r="J57" s="5">
        <f t="shared" si="43"/>
        <v>43586.612109544527</v>
      </c>
      <c r="K57" s="5">
        <f t="shared" si="43"/>
        <v>55914.811159753925</v>
      </c>
      <c r="L57" s="5">
        <f t="shared" si="43"/>
        <v>71292.798288067148</v>
      </c>
      <c r="M57" s="5">
        <f t="shared" si="43"/>
        <v>90460.401815409277</v>
      </c>
      <c r="O57" s="9">
        <v>7.0000000000000007E-2</v>
      </c>
    </row>
    <row r="58" spans="1:15" x14ac:dyDescent="0.2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5" x14ac:dyDescent="0.25">
      <c r="A59" s="1" t="s">
        <v>11</v>
      </c>
      <c r="C59" s="5">
        <f>+C55-C57</f>
        <v>-60925.706057011768</v>
      </c>
      <c r="D59" s="5">
        <f>+D55-D57</f>
        <v>-16621.782341461996</v>
      </c>
      <c r="E59" s="5">
        <f>+E55-E57</f>
        <v>27170.161291183249</v>
      </c>
      <c r="F59" s="5">
        <f t="shared" ref="F59:M59" si="44">+F55-F57</f>
        <v>77575.008077015955</v>
      </c>
      <c r="G59" s="5">
        <f t="shared" si="44"/>
        <v>140220.83142860222</v>
      </c>
      <c r="H59" s="5">
        <f t="shared" si="44"/>
        <v>218065.56216044037</v>
      </c>
      <c r="I59" s="5">
        <f t="shared" si="44"/>
        <v>314782.90835135302</v>
      </c>
      <c r="J59" s="5">
        <f t="shared" si="44"/>
        <v>434935.33087832987</v>
      </c>
      <c r="K59" s="5">
        <f t="shared" si="44"/>
        <v>584189.82915648725</v>
      </c>
      <c r="L59" s="5">
        <f t="shared" si="44"/>
        <v>769584.9441361567</v>
      </c>
      <c r="M59" s="5">
        <f t="shared" si="44"/>
        <v>999863.76830260549</v>
      </c>
    </row>
    <row r="60" spans="1:15" x14ac:dyDescent="0.25">
      <c r="A60" s="1" t="s">
        <v>12</v>
      </c>
      <c r="C60" s="5">
        <f>IF(C59&gt;0,C59*$O$60,0)</f>
        <v>0</v>
      </c>
      <c r="D60" s="5">
        <f>IF(D59&gt;0,D59*$O$60,0)</f>
        <v>0</v>
      </c>
      <c r="E60" s="5">
        <f>IF(E59&gt;0,E59*$O$60,0)</f>
        <v>12335.253226197196</v>
      </c>
      <c r="F60" s="5">
        <f t="shared" ref="F60:M60" si="45">IF(F59&gt;0,F59*$O$60,0)</f>
        <v>35219.053666965243</v>
      </c>
      <c r="G60" s="5">
        <f t="shared" si="45"/>
        <v>63660.257468585412</v>
      </c>
      <c r="H60" s="5">
        <f t="shared" si="45"/>
        <v>99001.765220839938</v>
      </c>
      <c r="I60" s="5">
        <f t="shared" si="45"/>
        <v>142911.44039151428</v>
      </c>
      <c r="J60" s="5">
        <f t="shared" si="45"/>
        <v>197460.64021876178</v>
      </c>
      <c r="K60" s="5">
        <f t="shared" si="45"/>
        <v>265222.18243704521</v>
      </c>
      <c r="L60" s="5">
        <f t="shared" si="45"/>
        <v>349391.56463781517</v>
      </c>
      <c r="M60" s="5">
        <f t="shared" si="45"/>
        <v>453938.1508093829</v>
      </c>
      <c r="O60" s="9">
        <f>0.38+0.074</f>
        <v>0.45400000000000001</v>
      </c>
    </row>
    <row r="61" spans="1:15" x14ac:dyDescent="0.25">
      <c r="A61" s="2" t="s">
        <v>13</v>
      </c>
      <c r="C61" s="22">
        <f>+C59-C60</f>
        <v>-60925.706057011768</v>
      </c>
      <c r="D61" s="22">
        <f>+D59-D60</f>
        <v>-16621.782341461996</v>
      </c>
      <c r="E61" s="22">
        <f>+E59-E60</f>
        <v>14834.908064986053</v>
      </c>
      <c r="F61" s="22">
        <f t="shared" ref="F61:M61" si="46">+F59-F60</f>
        <v>42355.954410050712</v>
      </c>
      <c r="G61" s="22">
        <f t="shared" si="46"/>
        <v>76560.573960016802</v>
      </c>
      <c r="H61" s="22">
        <f t="shared" si="46"/>
        <v>119063.79693960043</v>
      </c>
      <c r="I61" s="22">
        <f t="shared" si="46"/>
        <v>171871.46795983874</v>
      </c>
      <c r="J61" s="22">
        <f t="shared" si="46"/>
        <v>237474.69065956809</v>
      </c>
      <c r="K61" s="22">
        <f t="shared" si="46"/>
        <v>318967.64671944204</v>
      </c>
      <c r="L61" s="22">
        <f t="shared" si="46"/>
        <v>420193.37949834153</v>
      </c>
      <c r="M61" s="22">
        <f t="shared" si="46"/>
        <v>545925.61749322258</v>
      </c>
    </row>
    <row r="63" spans="1:15" x14ac:dyDescent="0.25">
      <c r="A63" s="2" t="s">
        <v>14</v>
      </c>
    </row>
    <row r="64" spans="1:15" x14ac:dyDescent="0.25">
      <c r="A64" s="2" t="s">
        <v>15</v>
      </c>
    </row>
    <row r="65" spans="1:15" x14ac:dyDescent="0.25">
      <c r="A65" s="1" t="s">
        <v>16</v>
      </c>
      <c r="C65" s="5">
        <v>6000</v>
      </c>
      <c r="D65" s="5">
        <v>6000</v>
      </c>
      <c r="E65" s="5">
        <v>6000</v>
      </c>
      <c r="F65" s="5">
        <v>6000</v>
      </c>
      <c r="G65" s="5">
        <v>6000</v>
      </c>
      <c r="H65" s="5">
        <v>6000</v>
      </c>
      <c r="I65" s="5">
        <v>6000</v>
      </c>
      <c r="J65" s="5">
        <v>6000</v>
      </c>
      <c r="K65" s="5">
        <v>6000</v>
      </c>
      <c r="L65" s="5">
        <v>6000</v>
      </c>
      <c r="M65" s="5">
        <v>6000</v>
      </c>
      <c r="O65" s="5">
        <v>6000</v>
      </c>
    </row>
    <row r="66" spans="1:15" x14ac:dyDescent="0.25">
      <c r="A66" s="1" t="s">
        <v>56</v>
      </c>
      <c r="C66" s="5">
        <v>0</v>
      </c>
      <c r="D66" s="5">
        <v>0</v>
      </c>
      <c r="E66" s="5">
        <f>19939+10721</f>
        <v>30660</v>
      </c>
      <c r="F66" s="5">
        <v>156928</v>
      </c>
      <c r="G66" s="5">
        <v>336850</v>
      </c>
      <c r="H66" s="5">
        <v>583456</v>
      </c>
      <c r="I66" s="5">
        <v>912924</v>
      </c>
      <c r="J66" s="5">
        <v>1345347</v>
      </c>
      <c r="K66" s="5">
        <v>1905674</v>
      </c>
      <c r="L66" s="5">
        <v>2624894</v>
      </c>
      <c r="M66" s="5">
        <v>3541490</v>
      </c>
      <c r="O66" s="5"/>
    </row>
    <row r="67" spans="1:15" x14ac:dyDescent="0.25">
      <c r="A67" s="1" t="s">
        <v>64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O67" s="5"/>
    </row>
    <row r="68" spans="1:15" x14ac:dyDescent="0.25">
      <c r="A68" s="1" t="s">
        <v>83</v>
      </c>
      <c r="C68" s="37">
        <f>SUM(C36:C38)/365*C28</f>
        <v>18959.192501802452</v>
      </c>
      <c r="D68" s="37">
        <f>SUM(D36:D38)/365*D28</f>
        <v>23578.607065609231</v>
      </c>
      <c r="E68" s="37">
        <f>SUM(E36:E38)/365*E28</f>
        <v>29326.195933669791</v>
      </c>
      <c r="F68" s="37">
        <f t="shared" ref="F68:M68" si="47">SUM(F36:F38)/365*F28</f>
        <v>36478.034628475849</v>
      </c>
      <c r="G68" s="37">
        <f t="shared" si="47"/>
        <v>45377.8702906904</v>
      </c>
      <c r="H68" s="37">
        <f t="shared" si="47"/>
        <v>56453.732764355191</v>
      </c>
      <c r="I68" s="37">
        <f t="shared" si="47"/>
        <v>70238.627996908792</v>
      </c>
      <c r="J68" s="37">
        <f t="shared" si="47"/>
        <v>87396.318027596499</v>
      </c>
      <c r="K68" s="37">
        <f t="shared" si="47"/>
        <v>108753.43910590633</v>
      </c>
      <c r="L68" s="37">
        <f t="shared" si="47"/>
        <v>135339.51767520583</v>
      </c>
      <c r="M68" s="37">
        <f t="shared" si="47"/>
        <v>168436.82809678398</v>
      </c>
    </row>
    <row r="69" spans="1:15" x14ac:dyDescent="0.25">
      <c r="A69" s="1" t="s">
        <v>17</v>
      </c>
      <c r="C69" s="5">
        <v>70000</v>
      </c>
      <c r="D69" s="5">
        <v>70000</v>
      </c>
      <c r="E69" s="5">
        <v>70000</v>
      </c>
      <c r="F69" s="5">
        <v>70000</v>
      </c>
      <c r="G69" s="5">
        <v>70000</v>
      </c>
      <c r="H69" s="5">
        <v>70000</v>
      </c>
      <c r="I69" s="5">
        <v>70000</v>
      </c>
      <c r="J69" s="5">
        <v>70000</v>
      </c>
      <c r="K69" s="5">
        <v>70000</v>
      </c>
      <c r="L69" s="5">
        <v>70000</v>
      </c>
      <c r="M69" s="5">
        <v>70000</v>
      </c>
    </row>
    <row r="70" spans="1:15" x14ac:dyDescent="0.25">
      <c r="A70" s="1" t="s">
        <v>63</v>
      </c>
      <c r="C70" s="16">
        <f>C53</f>
        <v>7000</v>
      </c>
      <c r="D70" s="16">
        <f>C70+D53</f>
        <v>14000</v>
      </c>
      <c r="E70" s="16">
        <f>D70+E53</f>
        <v>21000</v>
      </c>
      <c r="F70" s="16">
        <f t="shared" ref="F70:M70" si="48">E70+F53</f>
        <v>28000</v>
      </c>
      <c r="G70" s="16">
        <f t="shared" si="48"/>
        <v>35000</v>
      </c>
      <c r="H70" s="16">
        <f t="shared" si="48"/>
        <v>42000</v>
      </c>
      <c r="I70" s="16">
        <f t="shared" si="48"/>
        <v>49000</v>
      </c>
      <c r="J70" s="16">
        <f t="shared" si="48"/>
        <v>56000</v>
      </c>
      <c r="K70" s="16">
        <f t="shared" si="48"/>
        <v>63000</v>
      </c>
      <c r="L70" s="16">
        <f t="shared" si="48"/>
        <v>70000</v>
      </c>
      <c r="M70" s="16">
        <f t="shared" si="48"/>
        <v>77000</v>
      </c>
    </row>
    <row r="71" spans="1:15" x14ac:dyDescent="0.25">
      <c r="A71" s="2" t="s">
        <v>18</v>
      </c>
      <c r="C71" s="24">
        <f>SUM(C65:C69)-C70</f>
        <v>87959.192501802449</v>
      </c>
      <c r="D71" s="24">
        <f>SUM(D65:D69)-D70</f>
        <v>85578.607065609234</v>
      </c>
      <c r="E71" s="24">
        <f>SUM(E65:E69)-E70</f>
        <v>114986.19593366981</v>
      </c>
      <c r="F71" s="24">
        <f t="shared" ref="F71:M71" si="49">SUM(F65:F69)-F70</f>
        <v>241406.03462847584</v>
      </c>
      <c r="G71" s="24">
        <f t="shared" si="49"/>
        <v>423227.87029069039</v>
      </c>
      <c r="H71" s="24">
        <f t="shared" si="49"/>
        <v>673909.73276435514</v>
      </c>
      <c r="I71" s="24">
        <f t="shared" si="49"/>
        <v>1010162.6279969087</v>
      </c>
      <c r="J71" s="24">
        <f t="shared" si="49"/>
        <v>1452743.3180275965</v>
      </c>
      <c r="K71" s="24">
        <f t="shared" si="49"/>
        <v>2027427.4391059063</v>
      </c>
      <c r="L71" s="24">
        <f t="shared" si="49"/>
        <v>2766233.5176752061</v>
      </c>
      <c r="M71" s="24">
        <f t="shared" si="49"/>
        <v>3708926.8280967842</v>
      </c>
    </row>
    <row r="73" spans="1:15" x14ac:dyDescent="0.25">
      <c r="A73" s="2" t="s">
        <v>19</v>
      </c>
    </row>
    <row r="74" spans="1:15" x14ac:dyDescent="0.25">
      <c r="A74" s="1" t="s">
        <v>20</v>
      </c>
      <c r="C74" s="23">
        <f>C27*SUM(C36:C37)/365</f>
        <v>10263.157894736842</v>
      </c>
      <c r="D74" s="23">
        <f>D27*SUM(D36:D37)/365</f>
        <v>12793.237202595532</v>
      </c>
      <c r="E74" s="23">
        <f>E27*SUM(E36:E37)/365</f>
        <v>15947.192790194664</v>
      </c>
      <c r="F74" s="23">
        <f t="shared" ref="F74:M74" si="50">F27*SUM(F36:F37)/365</f>
        <v>19878.900295198269</v>
      </c>
      <c r="G74" s="23">
        <f t="shared" si="50"/>
        <v>24780.196932999104</v>
      </c>
      <c r="H74" s="23">
        <f t="shared" si="50"/>
        <v>30890.248867018185</v>
      </c>
      <c r="I74" s="23">
        <f t="shared" si="50"/>
        <v>38507.230571007924</v>
      </c>
      <c r="J74" s="23">
        <f t="shared" si="50"/>
        <v>48002.886934039852</v>
      </c>
      <c r="K74" s="23">
        <f t="shared" si="50"/>
        <v>59840.68978591929</v>
      </c>
      <c r="L74" s="23">
        <f t="shared" si="50"/>
        <v>74598.476251632892</v>
      </c>
      <c r="M74" s="23">
        <f t="shared" si="50"/>
        <v>92996.675474961565</v>
      </c>
    </row>
    <row r="75" spans="1:15" x14ac:dyDescent="0.25">
      <c r="A75" s="1" t="s">
        <v>21</v>
      </c>
      <c r="C75" s="5">
        <f>+C60</f>
        <v>0</v>
      </c>
      <c r="D75" s="5">
        <f>+D60</f>
        <v>0</v>
      </c>
      <c r="E75" s="5">
        <f>+E60</f>
        <v>12335.253226197196</v>
      </c>
      <c r="F75" s="5">
        <f t="shared" ref="F75:M75" si="51">+F60</f>
        <v>35219.053666965243</v>
      </c>
      <c r="G75" s="5">
        <f t="shared" si="51"/>
        <v>63660.257468585412</v>
      </c>
      <c r="H75" s="5">
        <f t="shared" si="51"/>
        <v>99001.765220839938</v>
      </c>
      <c r="I75" s="5">
        <f t="shared" si="51"/>
        <v>142911.44039151428</v>
      </c>
      <c r="J75" s="5">
        <f t="shared" si="51"/>
        <v>197460.64021876178</v>
      </c>
      <c r="K75" s="5">
        <f t="shared" si="51"/>
        <v>265222.18243704521</v>
      </c>
      <c r="L75" s="5">
        <f t="shared" si="51"/>
        <v>349391.56463781517</v>
      </c>
      <c r="M75" s="5">
        <f t="shared" si="51"/>
        <v>453938.1508093829</v>
      </c>
    </row>
    <row r="76" spans="1:15" x14ac:dyDescent="0.25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5" x14ac:dyDescent="0.25">
      <c r="A77" s="1" t="s">
        <v>22</v>
      </c>
      <c r="C77" s="5">
        <v>138621.7406640774</v>
      </c>
      <c r="D77" s="5">
        <v>150332.85826148748</v>
      </c>
      <c r="E77" s="5">
        <v>149416.33025076566</v>
      </c>
      <c r="F77" s="5">
        <v>206664.70658974937</v>
      </c>
      <c r="G77" s="5">
        <v>278583.46785252611</v>
      </c>
      <c r="H77" s="5">
        <v>368749.9737003168</v>
      </c>
      <c r="I77" s="5">
        <v>481604.74409836752</v>
      </c>
      <c r="J77" s="5">
        <v>622665.88727920747</v>
      </c>
      <c r="K77" s="5">
        <v>798783.01656791312</v>
      </c>
      <c r="L77" s="5">
        <v>1018468.5469723877</v>
      </c>
      <c r="M77" s="5">
        <v>1292291.4545058466</v>
      </c>
    </row>
    <row r="78" spans="1:15" x14ac:dyDescent="0.25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5" x14ac:dyDescent="0.25">
      <c r="A79" s="1" t="s">
        <v>62</v>
      </c>
      <c r="C79" s="5">
        <f>C61</f>
        <v>-60925.706057011768</v>
      </c>
      <c r="D79" s="5">
        <f>C79+D61</f>
        <v>-77547.488398473768</v>
      </c>
      <c r="E79" s="5">
        <f t="shared" ref="E79:M79" si="52">D79+E61</f>
        <v>-62712.580333487713</v>
      </c>
      <c r="F79" s="5">
        <f t="shared" si="52"/>
        <v>-20356.625923437001</v>
      </c>
      <c r="G79" s="5">
        <f t="shared" si="52"/>
        <v>56203.948036579801</v>
      </c>
      <c r="H79" s="5">
        <f t="shared" si="52"/>
        <v>175267.74497618023</v>
      </c>
      <c r="I79" s="5">
        <f t="shared" si="52"/>
        <v>347139.21293601894</v>
      </c>
      <c r="J79" s="5">
        <f t="shared" si="52"/>
        <v>584613.90359558701</v>
      </c>
      <c r="K79" s="5">
        <f t="shared" si="52"/>
        <v>903581.55031502899</v>
      </c>
      <c r="L79" s="5">
        <f t="shared" si="52"/>
        <v>1323774.9298133706</v>
      </c>
      <c r="M79" s="5">
        <f t="shared" si="52"/>
        <v>1869700.547306593</v>
      </c>
    </row>
    <row r="80" spans="1:15" x14ac:dyDescent="0.25">
      <c r="A80" s="2" t="s">
        <v>23</v>
      </c>
      <c r="C80" s="25">
        <f>SUM(C74:C79)</f>
        <v>87959.192501802492</v>
      </c>
      <c r="D80" s="25">
        <f>SUM(D74:D79)</f>
        <v>85578.607065609249</v>
      </c>
      <c r="E80" s="25">
        <f>SUM(E74:E79)</f>
        <v>114986.19593366981</v>
      </c>
      <c r="F80" s="25">
        <f t="shared" ref="F80:M80" si="53">SUM(F74:F79)</f>
        <v>241406.03462847587</v>
      </c>
      <c r="G80" s="25">
        <f t="shared" si="53"/>
        <v>423227.87029069045</v>
      </c>
      <c r="H80" s="25">
        <f t="shared" si="53"/>
        <v>673909.73276435514</v>
      </c>
      <c r="I80" s="25">
        <f t="shared" si="53"/>
        <v>1010162.6279969086</v>
      </c>
      <c r="J80" s="25">
        <f t="shared" si="53"/>
        <v>1452743.318027596</v>
      </c>
      <c r="K80" s="25">
        <f t="shared" si="53"/>
        <v>2027427.4391059065</v>
      </c>
      <c r="L80" s="25">
        <f t="shared" si="53"/>
        <v>2766233.5176752061</v>
      </c>
      <c r="M80" s="25">
        <f t="shared" si="53"/>
        <v>3708926.8280967842</v>
      </c>
    </row>
    <row r="82" spans="1:13" x14ac:dyDescent="0.25">
      <c r="C82" s="6">
        <f>+C71-C80</f>
        <v>0</v>
      </c>
      <c r="D82" s="6">
        <f>+D71-D80</f>
        <v>0</v>
      </c>
      <c r="E82" s="6">
        <f>+E71-E80</f>
        <v>0</v>
      </c>
      <c r="F82" s="6">
        <f t="shared" ref="F82:M82" si="54">+F71-F80</f>
        <v>0</v>
      </c>
      <c r="G82" s="6">
        <f t="shared" si="54"/>
        <v>0</v>
      </c>
      <c r="H82" s="6">
        <f t="shared" si="54"/>
        <v>0</v>
      </c>
      <c r="I82" s="6">
        <f t="shared" si="54"/>
        <v>0</v>
      </c>
      <c r="J82" s="6">
        <f t="shared" si="54"/>
        <v>0</v>
      </c>
      <c r="K82" s="6">
        <f t="shared" si="54"/>
        <v>0</v>
      </c>
      <c r="L82" s="6">
        <f t="shared" si="54"/>
        <v>0</v>
      </c>
      <c r="M82" s="6">
        <f t="shared" si="54"/>
        <v>0</v>
      </c>
    </row>
    <row r="83" spans="1:13" x14ac:dyDescent="0.25">
      <c r="C83" s="6"/>
      <c r="D83" s="6"/>
      <c r="E83" s="6"/>
      <c r="F83" s="6"/>
    </row>
    <row r="85" spans="1:13" x14ac:dyDescent="0.25">
      <c r="A85" s="7" t="s">
        <v>28</v>
      </c>
      <c r="B85" s="8"/>
      <c r="C85" s="8"/>
      <c r="D85" s="8"/>
    </row>
    <row r="86" spans="1:13" x14ac:dyDescent="0.25">
      <c r="A86" s="12" t="s">
        <v>137</v>
      </c>
      <c r="B86" s="8"/>
      <c r="C86" s="7" t="s">
        <v>29</v>
      </c>
      <c r="D86" s="7" t="s">
        <v>30</v>
      </c>
    </row>
    <row r="87" spans="1:13" x14ac:dyDescent="0.25">
      <c r="A87" s="8"/>
      <c r="B87" s="8" t="s">
        <v>35</v>
      </c>
      <c r="C87" s="7"/>
      <c r="D87" s="72">
        <f>C4</f>
        <v>0.8</v>
      </c>
    </row>
    <row r="88" spans="1:13" x14ac:dyDescent="0.25">
      <c r="A88" s="8"/>
      <c r="B88" s="8" t="s">
        <v>50</v>
      </c>
      <c r="C88" s="7"/>
      <c r="D88" s="73">
        <f>C6</f>
        <v>2.7</v>
      </c>
    </row>
    <row r="89" spans="1:13" x14ac:dyDescent="0.25">
      <c r="A89" s="8"/>
      <c r="B89" s="8" t="s">
        <v>68</v>
      </c>
      <c r="C89" s="7"/>
      <c r="D89" s="72">
        <f>O12</f>
        <v>1</v>
      </c>
    </row>
    <row r="90" spans="1:13" x14ac:dyDescent="0.25">
      <c r="A90" s="12" t="s">
        <v>136</v>
      </c>
      <c r="B90" s="8"/>
      <c r="C90" s="8"/>
      <c r="D90" s="8"/>
    </row>
    <row r="91" spans="1:13" x14ac:dyDescent="0.25">
      <c r="A91" s="8"/>
      <c r="B91" s="8" t="s">
        <v>35</v>
      </c>
      <c r="C91" s="8"/>
      <c r="D91" s="10">
        <f>C3</f>
        <v>0.4</v>
      </c>
    </row>
    <row r="92" spans="1:13" x14ac:dyDescent="0.25">
      <c r="A92" s="8"/>
      <c r="B92" s="8" t="s">
        <v>50</v>
      </c>
      <c r="C92" s="8"/>
      <c r="D92" s="10">
        <f>C5</f>
        <v>0.45</v>
      </c>
    </row>
    <row r="93" spans="1:13" x14ac:dyDescent="0.25">
      <c r="A93" s="8"/>
      <c r="B93" s="8" t="s">
        <v>68</v>
      </c>
      <c r="C93" s="8"/>
      <c r="D93" s="10">
        <f>O11</f>
        <v>0.6</v>
      </c>
    </row>
    <row r="94" spans="1:13" x14ac:dyDescent="0.25">
      <c r="A94" s="8" t="s">
        <v>25</v>
      </c>
      <c r="B94" s="8"/>
      <c r="C94" s="8"/>
      <c r="D94" s="8"/>
    </row>
    <row r="95" spans="1:13" x14ac:dyDescent="0.25">
      <c r="A95" s="8"/>
      <c r="B95" s="8" t="s">
        <v>41</v>
      </c>
      <c r="C95" s="11"/>
      <c r="D95" s="10">
        <f>SUM($D$91:$D$93)*E95</f>
        <v>5.2283653846153853E-4</v>
      </c>
      <c r="E95" s="28">
        <f>O14</f>
        <v>3.605769230769231E-4</v>
      </c>
    </row>
    <row r="96" spans="1:13" x14ac:dyDescent="0.25">
      <c r="A96" s="8"/>
      <c r="B96" s="8" t="s">
        <v>54</v>
      </c>
      <c r="C96" s="8"/>
      <c r="D96" s="8"/>
    </row>
    <row r="97" spans="1:5" x14ac:dyDescent="0.25">
      <c r="A97" s="8"/>
      <c r="B97" s="8" t="s">
        <v>44</v>
      </c>
      <c r="C97" s="8"/>
      <c r="D97" s="8"/>
    </row>
    <row r="98" spans="1:5" x14ac:dyDescent="0.25">
      <c r="A98" s="8"/>
      <c r="B98" s="8" t="s">
        <v>43</v>
      </c>
      <c r="C98" s="8"/>
      <c r="D98" s="8"/>
    </row>
    <row r="99" spans="1:5" x14ac:dyDescent="0.25">
      <c r="A99" s="8"/>
      <c r="B99" s="8" t="s">
        <v>45</v>
      </c>
      <c r="C99" s="8"/>
      <c r="D99" s="10">
        <f>SUM($D$91:$D$93)*E99</f>
        <v>3.5552884615384618E-2</v>
      </c>
      <c r="E99" s="9">
        <f>O17</f>
        <v>2.4519230769230769E-2</v>
      </c>
    </row>
    <row r="100" spans="1:5" x14ac:dyDescent="0.25">
      <c r="A100" s="8"/>
      <c r="B100" s="8" t="s">
        <v>42</v>
      </c>
      <c r="C100" s="8"/>
      <c r="D100" s="11"/>
      <c r="E100" s="9"/>
    </row>
    <row r="101" spans="1:5" x14ac:dyDescent="0.25">
      <c r="A101" s="8"/>
      <c r="B101" s="8" t="s">
        <v>46</v>
      </c>
      <c r="C101" s="8"/>
      <c r="D101" s="10">
        <f>SUM($D$91:$D$93)*E101</f>
        <v>4.9702932692307696E-2</v>
      </c>
      <c r="E101" s="9">
        <f>O19</f>
        <v>3.4277884615384613E-2</v>
      </c>
    </row>
    <row r="102" spans="1:5" x14ac:dyDescent="0.25">
      <c r="A102" s="8"/>
      <c r="B102" s="8" t="s">
        <v>47</v>
      </c>
      <c r="C102" s="8"/>
      <c r="D102" s="10">
        <f>SUM($D$91:$D$93)*E102</f>
        <v>4.3500000000000004E-2</v>
      </c>
      <c r="E102" s="9">
        <f>O20</f>
        <v>0.03</v>
      </c>
    </row>
    <row r="103" spans="1:5" x14ac:dyDescent="0.25">
      <c r="A103" s="8"/>
      <c r="B103" s="8" t="s">
        <v>7</v>
      </c>
      <c r="C103" s="8"/>
      <c r="D103" s="8"/>
    </row>
    <row r="104" spans="1:5" x14ac:dyDescent="0.25">
      <c r="A104" s="8"/>
      <c r="B104" s="8"/>
      <c r="C104" s="8"/>
      <c r="D104" s="8"/>
    </row>
    <row r="105" spans="1:5" x14ac:dyDescent="0.25">
      <c r="A105" s="12" t="s">
        <v>32</v>
      </c>
      <c r="B105" s="8"/>
      <c r="C105" s="8"/>
      <c r="D105" s="71">
        <f>SUM(D87:D89)-SUM(D91:D102)</f>
        <v>2.9207213461538459</v>
      </c>
    </row>
    <row r="106" spans="1:5" x14ac:dyDescent="0.25">
      <c r="A106" s="8"/>
      <c r="B106" s="8"/>
      <c r="C106" s="8"/>
      <c r="D106" s="8"/>
    </row>
    <row r="107" spans="1:5" x14ac:dyDescent="0.25">
      <c r="A107" s="8" t="s">
        <v>26</v>
      </c>
      <c r="B107" s="8"/>
      <c r="C107" s="8"/>
      <c r="D107" s="8"/>
    </row>
    <row r="108" spans="1:5" x14ac:dyDescent="0.25">
      <c r="A108" s="8"/>
      <c r="B108" s="8" t="s">
        <v>41</v>
      </c>
      <c r="C108" s="11"/>
      <c r="D108" s="8"/>
    </row>
    <row r="109" spans="1:5" x14ac:dyDescent="0.25">
      <c r="A109" s="8"/>
      <c r="B109" s="8" t="s">
        <v>54</v>
      </c>
      <c r="C109" s="11">
        <f>C41</f>
        <v>80000</v>
      </c>
      <c r="D109" s="8"/>
    </row>
    <row r="110" spans="1:5" x14ac:dyDescent="0.25">
      <c r="A110" s="8"/>
      <c r="B110" s="8" t="s">
        <v>44</v>
      </c>
      <c r="C110" s="11">
        <f>C42</f>
        <v>5031.5</v>
      </c>
      <c r="D110" s="8"/>
    </row>
    <row r="111" spans="1:5" x14ac:dyDescent="0.25">
      <c r="A111" s="8"/>
      <c r="B111" s="8" t="s">
        <v>43</v>
      </c>
      <c r="C111" s="11">
        <f>C43</f>
        <v>62400</v>
      </c>
      <c r="D111" s="8"/>
    </row>
    <row r="112" spans="1:5" x14ac:dyDescent="0.25">
      <c r="A112" s="8"/>
      <c r="B112" s="8" t="s">
        <v>45</v>
      </c>
      <c r="C112" s="11"/>
      <c r="D112" s="8"/>
    </row>
    <row r="113" spans="1:8" x14ac:dyDescent="0.25">
      <c r="A113" s="8"/>
      <c r="B113" s="8" t="s">
        <v>42</v>
      </c>
      <c r="C113" s="11">
        <f>C45</f>
        <v>7782.8947368421059</v>
      </c>
      <c r="D113" s="8"/>
    </row>
    <row r="114" spans="1:8" x14ac:dyDescent="0.25">
      <c r="A114" s="8"/>
      <c r="B114" s="8" t="s">
        <v>46</v>
      </c>
      <c r="C114" s="11"/>
      <c r="D114" s="8"/>
    </row>
    <row r="115" spans="1:8" x14ac:dyDescent="0.25">
      <c r="A115" s="8"/>
      <c r="B115" s="8" t="s">
        <v>47</v>
      </c>
      <c r="C115" s="11">
        <f>C47</f>
        <v>6568.4210526315792</v>
      </c>
      <c r="D115" s="8"/>
    </row>
    <row r="116" spans="1:8" x14ac:dyDescent="0.25">
      <c r="A116" s="8"/>
      <c r="B116" s="8" t="s">
        <v>7</v>
      </c>
      <c r="C116" s="11">
        <f>C50</f>
        <v>30000</v>
      </c>
      <c r="D116" s="8"/>
    </row>
    <row r="117" spans="1:8" x14ac:dyDescent="0.25">
      <c r="A117" s="8"/>
      <c r="B117" s="8" t="s">
        <v>76</v>
      </c>
      <c r="C117" s="11">
        <f>C49</f>
        <v>26250</v>
      </c>
      <c r="D117" s="8"/>
    </row>
    <row r="118" spans="1:8" x14ac:dyDescent="0.25">
      <c r="A118" s="8"/>
      <c r="B118" s="8" t="s">
        <v>77</v>
      </c>
      <c r="C118" s="11">
        <f>C48</f>
        <v>5158</v>
      </c>
      <c r="D118" s="8"/>
    </row>
    <row r="119" spans="1:8" x14ac:dyDescent="0.25">
      <c r="A119" s="8"/>
      <c r="B119" s="12" t="s">
        <v>31</v>
      </c>
      <c r="C119" s="74">
        <f>SUM(C109:C118)</f>
        <v>223190.81578947368</v>
      </c>
      <c r="D119" s="8"/>
    </row>
    <row r="120" spans="1:8" x14ac:dyDescent="0.25">
      <c r="A120" s="8"/>
      <c r="B120" s="8"/>
      <c r="C120" s="8"/>
      <c r="D120" s="8"/>
    </row>
    <row r="121" spans="1:8" x14ac:dyDescent="0.25">
      <c r="A121" s="12" t="s">
        <v>27</v>
      </c>
      <c r="B121" s="8"/>
      <c r="C121" s="8"/>
      <c r="D121" s="27">
        <f>C119/D105</f>
        <v>76416.333274443547</v>
      </c>
    </row>
    <row r="123" spans="1:8" x14ac:dyDescent="0.25">
      <c r="A123" s="39" t="s">
        <v>134</v>
      </c>
      <c r="B123" s="40"/>
      <c r="C123" s="41"/>
      <c r="D123" s="42"/>
      <c r="E123" s="43"/>
    </row>
    <row r="124" spans="1:8" x14ac:dyDescent="0.25">
      <c r="A124" s="40"/>
      <c r="B124" s="40"/>
      <c r="C124" s="41"/>
      <c r="D124" s="42"/>
      <c r="E124" s="43"/>
    </row>
    <row r="125" spans="1:8" x14ac:dyDescent="0.25">
      <c r="A125" s="40" t="s">
        <v>85</v>
      </c>
      <c r="B125" s="40"/>
      <c r="C125" s="44">
        <f>H127+H126*(H128-H127)</f>
        <v>0.10199999999999999</v>
      </c>
      <c r="D125" s="42"/>
      <c r="G125" s="1" t="s">
        <v>86</v>
      </c>
    </row>
    <row r="126" spans="1:8" x14ac:dyDescent="0.25">
      <c r="A126" s="40"/>
      <c r="B126" s="40"/>
      <c r="C126" s="41"/>
      <c r="D126" s="42"/>
      <c r="G126" s="1" t="s">
        <v>87</v>
      </c>
      <c r="H126" s="1">
        <v>1.2</v>
      </c>
    </row>
    <row r="127" spans="1:8" x14ac:dyDescent="0.25">
      <c r="A127" s="40" t="s">
        <v>88</v>
      </c>
      <c r="B127" s="40"/>
      <c r="C127" s="45">
        <f>I133</f>
        <v>7.0000000000000007E-2</v>
      </c>
      <c r="D127" s="42"/>
      <c r="G127" s="1" t="s">
        <v>89</v>
      </c>
      <c r="H127" s="9">
        <v>0.03</v>
      </c>
    </row>
    <row r="128" spans="1:8" x14ac:dyDescent="0.25">
      <c r="A128" s="40" t="s">
        <v>90</v>
      </c>
      <c r="B128" s="40"/>
      <c r="C128" s="46">
        <v>0.45</v>
      </c>
      <c r="D128" s="42"/>
      <c r="G128" s="1" t="s">
        <v>91</v>
      </c>
      <c r="H128" s="9">
        <v>0.09</v>
      </c>
    </row>
    <row r="129" spans="1:14" x14ac:dyDescent="0.25">
      <c r="A129" s="40"/>
      <c r="B129" s="40"/>
      <c r="C129" s="41"/>
      <c r="D129" s="42"/>
      <c r="E129" s="43"/>
    </row>
    <row r="130" spans="1:14" x14ac:dyDescent="0.25">
      <c r="A130" s="40" t="s">
        <v>92</v>
      </c>
      <c r="B130" s="40"/>
      <c r="C130" s="47">
        <f>D133</f>
        <v>0.69117563043315355</v>
      </c>
      <c r="D130" s="42"/>
      <c r="G130" s="43" t="s">
        <v>93</v>
      </c>
      <c r="I130" s="1" t="s">
        <v>94</v>
      </c>
      <c r="K130" s="1" t="s">
        <v>95</v>
      </c>
    </row>
    <row r="131" spans="1:14" x14ac:dyDescent="0.25">
      <c r="A131" s="40" t="s">
        <v>96</v>
      </c>
      <c r="B131" s="40"/>
      <c r="C131" s="48">
        <f>D138</f>
        <v>0.59130464157875451</v>
      </c>
      <c r="D131" s="42"/>
      <c r="G131" s="43" t="s">
        <v>97</v>
      </c>
      <c r="H131" s="1">
        <v>0</v>
      </c>
      <c r="I131" s="34">
        <v>0</v>
      </c>
      <c r="K131" s="34">
        <v>0.1</v>
      </c>
    </row>
    <row r="132" spans="1:14" x14ac:dyDescent="0.25">
      <c r="A132" s="40"/>
      <c r="B132" s="40"/>
      <c r="C132" s="41"/>
      <c r="D132" s="42"/>
      <c r="E132" s="43"/>
      <c r="G132" s="1" t="s">
        <v>98</v>
      </c>
      <c r="H132" s="49">
        <f>M77</f>
        <v>1292291.4545058466</v>
      </c>
      <c r="I132" s="9">
        <v>1</v>
      </c>
      <c r="K132" s="50">
        <v>7.0000000000000007E-2</v>
      </c>
    </row>
    <row r="133" spans="1:14" x14ac:dyDescent="0.25">
      <c r="A133" s="40" t="s">
        <v>135</v>
      </c>
      <c r="B133" s="40"/>
      <c r="C133" s="51">
        <f>C130*C127*(1-C128)+C131*C125</f>
        <v>8.6923335212709368E-2</v>
      </c>
      <c r="D133" s="34">
        <f>H133/H138</f>
        <v>0.69117563043315355</v>
      </c>
      <c r="E133" s="43"/>
      <c r="G133" s="1" t="s">
        <v>29</v>
      </c>
      <c r="H133" s="33">
        <f>SUM(H131:H132)</f>
        <v>1292291.4545058466</v>
      </c>
      <c r="I133" s="35">
        <f>K131*I131+K132*I132</f>
        <v>7.0000000000000007E-2</v>
      </c>
    </row>
    <row r="134" spans="1:14" x14ac:dyDescent="0.25">
      <c r="A134" s="40"/>
      <c r="B134" s="40"/>
      <c r="C134" s="41"/>
      <c r="D134" s="42"/>
      <c r="E134" s="43"/>
    </row>
    <row r="135" spans="1:14" x14ac:dyDescent="0.25">
      <c r="A135" s="40" t="s">
        <v>100</v>
      </c>
      <c r="B135" s="40"/>
      <c r="C135" s="52">
        <f>H126/(1+(1-C128)*(C130/C131))</f>
        <v>0.73041810222385128</v>
      </c>
      <c r="D135" s="42"/>
      <c r="E135" s="43"/>
      <c r="G135" s="1" t="s">
        <v>101</v>
      </c>
    </row>
    <row r="136" spans="1:14" x14ac:dyDescent="0.25">
      <c r="A136" s="40" t="s">
        <v>102</v>
      </c>
      <c r="B136" s="40"/>
      <c r="C136" s="52">
        <f>C135*(1+(1-C128)*(0.6/0.4))</f>
        <v>1.3330130365585287</v>
      </c>
      <c r="D136" s="42"/>
      <c r="E136" s="43"/>
      <c r="G136" s="1" t="s">
        <v>103</v>
      </c>
    </row>
    <row r="137" spans="1:14" x14ac:dyDescent="0.25">
      <c r="A137" s="40"/>
      <c r="B137" s="40"/>
      <c r="C137" s="41"/>
      <c r="D137" s="42"/>
      <c r="E137" s="43"/>
      <c r="G137" s="1" t="s">
        <v>104</v>
      </c>
      <c r="H137" s="49">
        <f>M79</f>
        <v>1869700.547306593</v>
      </c>
    </row>
    <row r="138" spans="1:14" x14ac:dyDescent="0.25">
      <c r="A138" s="40" t="s">
        <v>105</v>
      </c>
      <c r="B138" s="40"/>
      <c r="C138" s="44">
        <f>H127+C136*(H128-H127)</f>
        <v>0.10998078219351172</v>
      </c>
      <c r="D138" s="34">
        <f>H138/H140</f>
        <v>0.59130464157875451</v>
      </c>
      <c r="E138" s="43"/>
      <c r="G138" s="1" t="s">
        <v>31</v>
      </c>
      <c r="H138" s="15">
        <f>SUM(H136:H137)</f>
        <v>1869700.547306593</v>
      </c>
    </row>
    <row r="139" spans="1:14" x14ac:dyDescent="0.25">
      <c r="A139" s="40"/>
      <c r="B139" s="40"/>
      <c r="C139" s="41"/>
      <c r="D139" s="42"/>
      <c r="E139" s="43"/>
    </row>
    <row r="140" spans="1:14" x14ac:dyDescent="0.25">
      <c r="A140" s="40" t="s">
        <v>133</v>
      </c>
      <c r="B140" s="40"/>
      <c r="C140" s="51">
        <f>(0.6)*C127*(1-C128)+(0.4)*C138</f>
        <v>6.7092312877404692E-2</v>
      </c>
      <c r="D140" s="42"/>
      <c r="E140" s="43"/>
      <c r="G140" s="1" t="s">
        <v>107</v>
      </c>
      <c r="H140" s="53">
        <f>H133+H138</f>
        <v>3161992.0018124394</v>
      </c>
    </row>
    <row r="142" spans="1:14" x14ac:dyDescent="0.25">
      <c r="A142" s="54" t="s">
        <v>108</v>
      </c>
      <c r="B142" s="55"/>
      <c r="C142" s="55"/>
      <c r="D142" s="56">
        <f>D148</f>
        <v>0</v>
      </c>
      <c r="E142" s="56">
        <f t="shared" ref="E142:N142" si="55">E148</f>
        <v>0</v>
      </c>
      <c r="F142" s="56">
        <f t="shared" si="55"/>
        <v>13783.186983931582</v>
      </c>
      <c r="G142" s="56">
        <f t="shared" si="55"/>
        <v>38268.691892234281</v>
      </c>
      <c r="H142" s="56">
        <f t="shared" si="55"/>
        <v>68724.753380225578</v>
      </c>
      <c r="I142" s="56">
        <f t="shared" si="55"/>
        <v>106595.12714375816</v>
      </c>
      <c r="J142" s="56">
        <f t="shared" si="55"/>
        <v>153672.85819720745</v>
      </c>
      <c r="K142" s="56">
        <f t="shared" si="55"/>
        <v>212184.87434454347</v>
      </c>
      <c r="L142" s="56">
        <f t="shared" si="55"/>
        <v>284897.08814230852</v>
      </c>
      <c r="M142" s="56">
        <f t="shared" si="55"/>
        <v>375244.98409090075</v>
      </c>
      <c r="N142" s="56">
        <f t="shared" si="55"/>
        <v>487495.87655310665</v>
      </c>
    </row>
    <row r="144" spans="1:14" x14ac:dyDescent="0.25">
      <c r="A144" s="21" t="s">
        <v>109</v>
      </c>
    </row>
    <row r="145" spans="1:17" x14ac:dyDescent="0.25">
      <c r="A145" s="4"/>
      <c r="B145" s="1" t="s">
        <v>9</v>
      </c>
      <c r="D145" s="6">
        <f>C55</f>
        <v>-51222.184210526349</v>
      </c>
      <c r="E145" s="6">
        <f t="shared" ref="E145:N145" si="56">D55</f>
        <v>-6098.4822631578718</v>
      </c>
      <c r="F145" s="6">
        <f t="shared" si="56"/>
        <v>37629.304408736847</v>
      </c>
      <c r="G145" s="6">
        <f t="shared" si="56"/>
        <v>92041.537538298406</v>
      </c>
      <c r="H145" s="6">
        <f t="shared" si="56"/>
        <v>159721.67417827906</v>
      </c>
      <c r="I145" s="6">
        <f t="shared" si="56"/>
        <v>243878.06031946256</v>
      </c>
      <c r="J145" s="6">
        <f t="shared" si="56"/>
        <v>348495.24043823878</v>
      </c>
      <c r="K145" s="6">
        <f t="shared" si="56"/>
        <v>478521.94298787438</v>
      </c>
      <c r="L145" s="6">
        <f t="shared" si="56"/>
        <v>640104.64031624119</v>
      </c>
      <c r="M145" s="6">
        <f t="shared" si="56"/>
        <v>840877.7424242238</v>
      </c>
      <c r="N145" s="6">
        <f t="shared" si="56"/>
        <v>1090324.1701180148</v>
      </c>
    </row>
    <row r="146" spans="1:17" x14ac:dyDescent="0.25">
      <c r="A146" s="4"/>
      <c r="B146" s="1" t="s">
        <v>110</v>
      </c>
      <c r="D146" s="6">
        <f>C53</f>
        <v>7000</v>
      </c>
      <c r="E146" s="6">
        <f t="shared" ref="E146:N146" si="57">D53</f>
        <v>7000</v>
      </c>
      <c r="F146" s="6">
        <f t="shared" si="57"/>
        <v>7000</v>
      </c>
      <c r="G146" s="6">
        <f t="shared" si="57"/>
        <v>7000</v>
      </c>
      <c r="H146" s="6">
        <f t="shared" si="57"/>
        <v>7000</v>
      </c>
      <c r="I146" s="6">
        <f t="shared" si="57"/>
        <v>7000</v>
      </c>
      <c r="J146" s="6">
        <f t="shared" si="57"/>
        <v>7000</v>
      </c>
      <c r="K146" s="6">
        <f t="shared" si="57"/>
        <v>7000</v>
      </c>
      <c r="L146" s="6">
        <f t="shared" si="57"/>
        <v>7000</v>
      </c>
      <c r="M146" s="6">
        <f t="shared" si="57"/>
        <v>7000</v>
      </c>
      <c r="N146" s="6">
        <f t="shared" si="57"/>
        <v>7000</v>
      </c>
    </row>
    <row r="147" spans="1:17" x14ac:dyDescent="0.25">
      <c r="B147" s="1" t="s">
        <v>111</v>
      </c>
      <c r="D147" s="6">
        <f>D145-D146</f>
        <v>-58222.184210526349</v>
      </c>
      <c r="E147" s="6">
        <f t="shared" ref="E147:N147" si="58">E145-E146</f>
        <v>-13098.482263157872</v>
      </c>
      <c r="F147" s="6">
        <f t="shared" si="58"/>
        <v>30629.304408736847</v>
      </c>
      <c r="G147" s="6">
        <f t="shared" si="58"/>
        <v>85041.537538298406</v>
      </c>
      <c r="H147" s="6">
        <f t="shared" si="58"/>
        <v>152721.67417827906</v>
      </c>
      <c r="I147" s="6">
        <f t="shared" si="58"/>
        <v>236878.06031946256</v>
      </c>
      <c r="J147" s="6">
        <f t="shared" si="58"/>
        <v>341495.24043823878</v>
      </c>
      <c r="K147" s="6">
        <f t="shared" si="58"/>
        <v>471521.94298787438</v>
      </c>
      <c r="L147" s="6">
        <f t="shared" si="58"/>
        <v>633104.64031624119</v>
      </c>
      <c r="M147" s="6">
        <f t="shared" si="58"/>
        <v>833877.7424242238</v>
      </c>
      <c r="N147" s="6">
        <f t="shared" si="58"/>
        <v>1083324.1701180148</v>
      </c>
    </row>
    <row r="148" spans="1:17" x14ac:dyDescent="0.25">
      <c r="A148" s="4"/>
      <c r="B148" s="1" t="s">
        <v>112</v>
      </c>
      <c r="D148" s="69">
        <f>IF(D147*$C$128&lt;0,0,D147*$C$128)</f>
        <v>0</v>
      </c>
      <c r="E148" s="69">
        <f t="shared" ref="E148:N148" si="59">IF(E147*$C$128&lt;0,0,E147*$C$128)</f>
        <v>0</v>
      </c>
      <c r="F148" s="69">
        <f t="shared" si="59"/>
        <v>13783.186983931582</v>
      </c>
      <c r="G148" s="69">
        <f t="shared" si="59"/>
        <v>38268.691892234281</v>
      </c>
      <c r="H148" s="69">
        <f t="shared" si="59"/>
        <v>68724.753380225578</v>
      </c>
      <c r="I148" s="69">
        <f t="shared" si="59"/>
        <v>106595.12714375816</v>
      </c>
      <c r="J148" s="69">
        <f t="shared" si="59"/>
        <v>153672.85819720745</v>
      </c>
      <c r="K148" s="69">
        <f t="shared" si="59"/>
        <v>212184.87434454347</v>
      </c>
      <c r="L148" s="69">
        <f t="shared" si="59"/>
        <v>284897.08814230852</v>
      </c>
      <c r="M148" s="69">
        <f t="shared" si="59"/>
        <v>375244.98409090075</v>
      </c>
      <c r="N148" s="69">
        <f t="shared" si="59"/>
        <v>487495.87655310665</v>
      </c>
    </row>
    <row r="149" spans="1:17" x14ac:dyDescent="0.25">
      <c r="A149" s="4"/>
      <c r="B149" s="1" t="s">
        <v>113</v>
      </c>
      <c r="D149" s="6">
        <f>D146</f>
        <v>7000</v>
      </c>
      <c r="E149" s="6">
        <f t="shared" ref="E149:N149" si="60">E146</f>
        <v>7000</v>
      </c>
      <c r="F149" s="6">
        <f t="shared" si="60"/>
        <v>7000</v>
      </c>
      <c r="G149" s="6">
        <f t="shared" si="60"/>
        <v>7000</v>
      </c>
      <c r="H149" s="6">
        <f t="shared" si="60"/>
        <v>7000</v>
      </c>
      <c r="I149" s="6">
        <f t="shared" si="60"/>
        <v>7000</v>
      </c>
      <c r="J149" s="6">
        <f t="shared" si="60"/>
        <v>7000</v>
      </c>
      <c r="K149" s="6">
        <f t="shared" si="60"/>
        <v>7000</v>
      </c>
      <c r="L149" s="6">
        <f t="shared" si="60"/>
        <v>7000</v>
      </c>
      <c r="M149" s="6">
        <f t="shared" si="60"/>
        <v>7000</v>
      </c>
      <c r="N149" s="6">
        <f t="shared" si="60"/>
        <v>7000</v>
      </c>
    </row>
    <row r="150" spans="1:17" x14ac:dyDescent="0.25">
      <c r="B150" s="1" t="s">
        <v>114</v>
      </c>
      <c r="D150" s="6">
        <f>D147-D148+D149</f>
        <v>-51222.184210526349</v>
      </c>
      <c r="E150" s="6">
        <f t="shared" ref="E150:N150" si="61">E147-E148+E149</f>
        <v>-6098.4822631578718</v>
      </c>
      <c r="F150" s="6">
        <f t="shared" si="61"/>
        <v>23846.117424805263</v>
      </c>
      <c r="G150" s="6">
        <f t="shared" si="61"/>
        <v>53772.845646064125</v>
      </c>
      <c r="H150" s="6">
        <f t="shared" si="61"/>
        <v>90996.920798053485</v>
      </c>
      <c r="I150" s="6">
        <f t="shared" si="61"/>
        <v>137282.93317570438</v>
      </c>
      <c r="J150" s="6">
        <f t="shared" si="61"/>
        <v>194822.38224103133</v>
      </c>
      <c r="K150" s="6">
        <f t="shared" si="61"/>
        <v>266337.06864333095</v>
      </c>
      <c r="L150" s="6">
        <f t="shared" si="61"/>
        <v>355207.55217393267</v>
      </c>
      <c r="M150" s="6">
        <f t="shared" si="61"/>
        <v>465632.75833332306</v>
      </c>
      <c r="N150" s="6">
        <f t="shared" si="61"/>
        <v>602828.29356490821</v>
      </c>
    </row>
    <row r="152" spans="1:17" x14ac:dyDescent="0.25">
      <c r="A152" s="21" t="s">
        <v>115</v>
      </c>
    </row>
    <row r="153" spans="1:17" x14ac:dyDescent="0.25">
      <c r="B153" s="1" t="s">
        <v>116</v>
      </c>
      <c r="C153" s="6">
        <v>0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</row>
    <row r="154" spans="1:17" x14ac:dyDescent="0.25">
      <c r="B154" s="1" t="s">
        <v>117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P154" s="1" t="s">
        <v>118</v>
      </c>
      <c r="Q154" s="6">
        <f>G93-G94</f>
        <v>0</v>
      </c>
    </row>
    <row r="155" spans="1:17" x14ac:dyDescent="0.25">
      <c r="B155" s="1" t="s">
        <v>132</v>
      </c>
      <c r="C155" s="70">
        <f>-10000*10</f>
        <v>-100000</v>
      </c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P155" s="9">
        <v>0.25</v>
      </c>
      <c r="Q155" s="1" t="s">
        <v>120</v>
      </c>
    </row>
    <row r="156" spans="1:17" x14ac:dyDescent="0.25">
      <c r="B156" s="1" t="s">
        <v>119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</row>
    <row r="157" spans="1:17" x14ac:dyDescent="0.25">
      <c r="A157" s="21" t="s">
        <v>121</v>
      </c>
    </row>
    <row r="158" spans="1:17" x14ac:dyDescent="0.25">
      <c r="A158" s="57" t="s">
        <v>122</v>
      </c>
      <c r="B158" s="1" t="s">
        <v>64</v>
      </c>
      <c r="D158" s="6">
        <f>-(D67-C67)</f>
        <v>0</v>
      </c>
      <c r="E158" s="6">
        <f t="shared" ref="E158:N158" si="62">-(E67-D67)</f>
        <v>0</v>
      </c>
      <c r="F158" s="6">
        <f t="shared" si="62"/>
        <v>0</v>
      </c>
      <c r="G158" s="6">
        <f t="shared" si="62"/>
        <v>0</v>
      </c>
      <c r="H158" s="6">
        <f t="shared" si="62"/>
        <v>0</v>
      </c>
      <c r="I158" s="6">
        <f t="shared" si="62"/>
        <v>0</v>
      </c>
      <c r="J158" s="6">
        <f t="shared" si="62"/>
        <v>0</v>
      </c>
      <c r="K158" s="6">
        <f t="shared" si="62"/>
        <v>0</v>
      </c>
      <c r="L158" s="6">
        <f t="shared" si="62"/>
        <v>0</v>
      </c>
      <c r="M158" s="6">
        <f t="shared" si="62"/>
        <v>0</v>
      </c>
      <c r="N158" s="6">
        <f t="shared" si="62"/>
        <v>0</v>
      </c>
    </row>
    <row r="159" spans="1:17" x14ac:dyDescent="0.25">
      <c r="A159" s="57" t="s">
        <v>122</v>
      </c>
      <c r="B159" s="1" t="s">
        <v>55</v>
      </c>
      <c r="D159" s="6">
        <f>-(D68-C68)</f>
        <v>-4619.4145638067785</v>
      </c>
      <c r="E159" s="6">
        <f t="shared" ref="E159:N159" si="63">-(E68-D68)</f>
        <v>-5747.5888680605603</v>
      </c>
      <c r="F159" s="6">
        <f t="shared" si="63"/>
        <v>-7151.8386948060579</v>
      </c>
      <c r="G159" s="6">
        <f t="shared" si="63"/>
        <v>-8899.8356622145511</v>
      </c>
      <c r="H159" s="6">
        <f t="shared" si="63"/>
        <v>-11075.862473664791</v>
      </c>
      <c r="I159" s="6">
        <f t="shared" si="63"/>
        <v>-13784.895232553601</v>
      </c>
      <c r="J159" s="6">
        <f t="shared" si="63"/>
        <v>-17157.690030687707</v>
      </c>
      <c r="K159" s="6">
        <f t="shared" si="63"/>
        <v>-21357.121078309836</v>
      </c>
      <c r="L159" s="6">
        <f t="shared" si="63"/>
        <v>-26586.078569299498</v>
      </c>
      <c r="M159" s="6">
        <f t="shared" si="63"/>
        <v>-33097.31042157815</v>
      </c>
      <c r="N159" s="6">
        <f t="shared" si="63"/>
        <v>168436.82809678398</v>
      </c>
    </row>
    <row r="160" spans="1:17" x14ac:dyDescent="0.25">
      <c r="A160" s="57" t="s">
        <v>123</v>
      </c>
      <c r="B160" s="1" t="s">
        <v>124</v>
      </c>
      <c r="D160" s="6">
        <f>(D142-C142)</f>
        <v>0</v>
      </c>
      <c r="E160" s="6">
        <f t="shared" ref="E160:N160" si="64">(E142-D142)</f>
        <v>0</v>
      </c>
      <c r="F160" s="6">
        <f t="shared" si="64"/>
        <v>13783.186983931582</v>
      </c>
      <c r="G160" s="6">
        <f t="shared" si="64"/>
        <v>24485.504908302697</v>
      </c>
      <c r="H160" s="6">
        <f t="shared" si="64"/>
        <v>30456.061487991297</v>
      </c>
      <c r="I160" s="6">
        <f t="shared" si="64"/>
        <v>37870.373763532582</v>
      </c>
      <c r="J160" s="6">
        <f t="shared" si="64"/>
        <v>47077.731053449286</v>
      </c>
      <c r="K160" s="6">
        <f t="shared" si="64"/>
        <v>58512.01614733602</v>
      </c>
      <c r="L160" s="6">
        <f t="shared" si="64"/>
        <v>72712.213797765056</v>
      </c>
      <c r="M160" s="6">
        <f t="shared" si="64"/>
        <v>90347.895948592224</v>
      </c>
      <c r="N160" s="6">
        <f t="shared" si="64"/>
        <v>112250.8924622059</v>
      </c>
    </row>
    <row r="161" spans="1:14" x14ac:dyDescent="0.25">
      <c r="A161" s="57" t="s">
        <v>123</v>
      </c>
      <c r="B161" s="1" t="s">
        <v>125</v>
      </c>
      <c r="D161" s="6">
        <f>(C74-B74)</f>
        <v>10263.157894736842</v>
      </c>
      <c r="E161" s="6">
        <f t="shared" ref="E161:N161" si="65">(D74-C74)</f>
        <v>2530.0793078586903</v>
      </c>
      <c r="F161" s="6">
        <f t="shared" si="65"/>
        <v>3153.9555875991318</v>
      </c>
      <c r="G161" s="6">
        <f t="shared" si="65"/>
        <v>3931.7075050036055</v>
      </c>
      <c r="H161" s="6">
        <f t="shared" si="65"/>
        <v>4901.296637800835</v>
      </c>
      <c r="I161" s="6">
        <f t="shared" si="65"/>
        <v>6110.0519340190804</v>
      </c>
      <c r="J161" s="6">
        <f t="shared" si="65"/>
        <v>7616.9817039897389</v>
      </c>
      <c r="K161" s="6">
        <f t="shared" si="65"/>
        <v>9495.6563630319288</v>
      </c>
      <c r="L161" s="6">
        <f t="shared" si="65"/>
        <v>11837.802851879438</v>
      </c>
      <c r="M161" s="6">
        <f t="shared" si="65"/>
        <v>14757.786465713602</v>
      </c>
      <c r="N161" s="6">
        <f t="shared" si="65"/>
        <v>18398.199223328673</v>
      </c>
    </row>
    <row r="163" spans="1:14" x14ac:dyDescent="0.25">
      <c r="A163" s="21" t="s">
        <v>126</v>
      </c>
    </row>
    <row r="164" spans="1:14" x14ac:dyDescent="0.25">
      <c r="A164" s="57" t="s">
        <v>123</v>
      </c>
      <c r="B164" s="1" t="s">
        <v>64</v>
      </c>
      <c r="N164" s="6">
        <f>M67</f>
        <v>0</v>
      </c>
    </row>
    <row r="165" spans="1:14" x14ac:dyDescent="0.25">
      <c r="A165" s="57" t="s">
        <v>123</v>
      </c>
      <c r="B165" s="1" t="s">
        <v>55</v>
      </c>
      <c r="N165" s="6">
        <f>M68</f>
        <v>168436.82809678398</v>
      </c>
    </row>
    <row r="166" spans="1:14" x14ac:dyDescent="0.25">
      <c r="A166" s="57" t="s">
        <v>122</v>
      </c>
      <c r="B166" s="1" t="s">
        <v>124</v>
      </c>
      <c r="N166" s="6">
        <f>-N160</f>
        <v>-112250.8924622059</v>
      </c>
    </row>
    <row r="167" spans="1:14" x14ac:dyDescent="0.25">
      <c r="A167" s="57" t="s">
        <v>122</v>
      </c>
      <c r="B167" s="1" t="s">
        <v>125</v>
      </c>
      <c r="N167" s="6">
        <f>N161</f>
        <v>18398.199223328673</v>
      </c>
    </row>
    <row r="169" spans="1:14" x14ac:dyDescent="0.25">
      <c r="A169" s="21" t="s">
        <v>127</v>
      </c>
      <c r="C169" s="6">
        <f>SUM(C150:C167)</f>
        <v>-100000</v>
      </c>
      <c r="D169" s="6">
        <f>SUM(D150:D167)</f>
        <v>-45578.440879596288</v>
      </c>
      <c r="E169" s="6">
        <f t="shared" ref="E169:N169" si="66">SUM(E150:E167)</f>
        <v>-9315.9918233597418</v>
      </c>
      <c r="F169" s="6">
        <f t="shared" si="66"/>
        <v>33631.421301529917</v>
      </c>
      <c r="G169" s="6">
        <f t="shared" si="66"/>
        <v>73290.222397155885</v>
      </c>
      <c r="H169" s="6">
        <f t="shared" si="66"/>
        <v>115278.41645018084</v>
      </c>
      <c r="I169" s="6">
        <f t="shared" si="66"/>
        <v>167478.46364070245</v>
      </c>
      <c r="J169" s="6">
        <f t="shared" si="66"/>
        <v>232359.40496778261</v>
      </c>
      <c r="K169" s="6">
        <f t="shared" si="66"/>
        <v>312987.62007538904</v>
      </c>
      <c r="L169" s="6">
        <f t="shared" si="66"/>
        <v>413171.49025427765</v>
      </c>
      <c r="M169" s="6">
        <f t="shared" si="66"/>
        <v>537641.1303260508</v>
      </c>
      <c r="N169" s="6">
        <f t="shared" si="66"/>
        <v>976498.34820513334</v>
      </c>
    </row>
    <row r="170" spans="1:14" x14ac:dyDescent="0.25">
      <c r="C170" s="1">
        <v>0</v>
      </c>
      <c r="D170" s="1">
        <v>1</v>
      </c>
      <c r="E170" s="1">
        <v>2</v>
      </c>
      <c r="F170" s="1">
        <v>3</v>
      </c>
      <c r="G170" s="1">
        <v>4</v>
      </c>
      <c r="H170" s="1">
        <v>5</v>
      </c>
      <c r="I170" s="1">
        <v>6</v>
      </c>
      <c r="J170" s="1">
        <v>7</v>
      </c>
      <c r="K170" s="1">
        <v>8</v>
      </c>
      <c r="L170" s="1">
        <v>9</v>
      </c>
      <c r="M170" s="1">
        <v>10</v>
      </c>
      <c r="N170" s="42">
        <v>11</v>
      </c>
    </row>
    <row r="171" spans="1:14" x14ac:dyDescent="0.25">
      <c r="A171" s="1" t="s">
        <v>128</v>
      </c>
      <c r="C171" s="58">
        <f>-PV($C$125,C170,,C169)</f>
        <v>-100000</v>
      </c>
      <c r="D171" s="58">
        <f>-PV($C$172,D170,,D169)</f>
        <v>-42712.744089304178</v>
      </c>
      <c r="E171" s="58">
        <f t="shared" ref="E171:N171" si="67">-PV($C$172,E170,,E169)</f>
        <v>-8181.3527074024787</v>
      </c>
      <c r="F171" s="58">
        <f t="shared" si="67"/>
        <v>27678.289495980225</v>
      </c>
      <c r="G171" s="58">
        <f t="shared" si="67"/>
        <v>56524.675027212594</v>
      </c>
      <c r="H171" s="58">
        <f t="shared" si="67"/>
        <v>83317.848233262121</v>
      </c>
      <c r="I171" s="58">
        <f t="shared" si="67"/>
        <v>113434.98558119242</v>
      </c>
      <c r="J171" s="58">
        <f t="shared" si="67"/>
        <v>147484.47828197933</v>
      </c>
      <c r="K171" s="58">
        <f t="shared" si="67"/>
        <v>186170.6559881159</v>
      </c>
      <c r="L171" s="58">
        <f t="shared" si="67"/>
        <v>230309.80334687277</v>
      </c>
      <c r="M171" s="58">
        <f t="shared" si="67"/>
        <v>280848.7996416972</v>
      </c>
      <c r="N171" s="58">
        <f t="shared" si="67"/>
        <v>478023.89714563376</v>
      </c>
    </row>
    <row r="172" spans="1:14" ht="15.75" thickBot="1" x14ac:dyDescent="0.3">
      <c r="A172" s="1" t="s">
        <v>129</v>
      </c>
      <c r="C172" s="35">
        <f>C140</f>
        <v>6.7092312877404692E-2</v>
      </c>
    </row>
    <row r="173" spans="1:14" ht="15.75" thickBot="1" x14ac:dyDescent="0.3">
      <c r="A173" s="59" t="s">
        <v>130</v>
      </c>
      <c r="B173" s="60"/>
      <c r="C173" s="61">
        <f>SUM(C171:N171)</f>
        <v>1452899.3359452398</v>
      </c>
      <c r="D173" s="62"/>
      <c r="E173" s="62"/>
      <c r="F173" s="63"/>
    </row>
    <row r="174" spans="1:14" ht="15.75" thickBot="1" x14ac:dyDescent="0.3">
      <c r="A174" s="64"/>
      <c r="B174" s="55"/>
      <c r="C174" s="55"/>
      <c r="D174" s="55"/>
      <c r="E174" s="55"/>
      <c r="F174" s="65"/>
    </row>
    <row r="175" spans="1:14" ht="15.75" thickBot="1" x14ac:dyDescent="0.3">
      <c r="A175" s="59" t="s">
        <v>131</v>
      </c>
      <c r="B175" s="60"/>
      <c r="C175" s="66">
        <f>IRR(C169:N169)</f>
        <v>0.4579484202459787</v>
      </c>
      <c r="D175" s="67"/>
      <c r="E175" s="67"/>
      <c r="F175" s="68"/>
    </row>
    <row r="178" spans="1:1" x14ac:dyDescent="0.25">
      <c r="A178" s="1" t="s">
        <v>57</v>
      </c>
    </row>
    <row r="180" spans="1:1" x14ac:dyDescent="0.25">
      <c r="A180" s="26" t="s">
        <v>58</v>
      </c>
    </row>
    <row r="181" spans="1:1" x14ac:dyDescent="0.25">
      <c r="A181" s="26" t="s">
        <v>59</v>
      </c>
    </row>
    <row r="182" spans="1:1" x14ac:dyDescent="0.25">
      <c r="A182" s="26" t="s">
        <v>60</v>
      </c>
    </row>
    <row r="183" spans="1:1" x14ac:dyDescent="0.25">
      <c r="A183" s="26" t="s">
        <v>61</v>
      </c>
    </row>
    <row r="184" spans="1:1" x14ac:dyDescent="0.25">
      <c r="A184" s="30" t="s">
        <v>79</v>
      </c>
    </row>
    <row r="185" spans="1:1" x14ac:dyDescent="0.25">
      <c r="A185" s="30" t="s">
        <v>80</v>
      </c>
    </row>
    <row r="186" spans="1:1" x14ac:dyDescent="0.25">
      <c r="A186" s="30" t="s">
        <v>72</v>
      </c>
    </row>
    <row r="187" spans="1:1" x14ac:dyDescent="0.25">
      <c r="A187" s="30" t="s">
        <v>75</v>
      </c>
    </row>
    <row r="188" spans="1:1" x14ac:dyDescent="0.25">
      <c r="A188" s="30" t="s">
        <v>78</v>
      </c>
    </row>
  </sheetData>
  <sheetProtection selectLockedCells="1" selectUnlockedCells="1"/>
  <hyperlinks>
    <hyperlink ref="A180" r:id="rId1" display="http://www.pdco.com/node/88289"/>
    <hyperlink ref="A181" r:id="rId2" display="http://www.restaurantaccountants.com/newsletters/10-12-maintenance-program"/>
    <hyperlink ref="A182" r:id="rId3" display="http://www.indeed.com/salary?q1=Waiter%2Fwaitress&amp;l1=Idaho"/>
    <hyperlink ref="A183" r:id="rId4" display="http://www.loopnet.com/Idaho/Coeur-d-Alene-Commercial-Real-Estate/"/>
    <hyperlink ref="A186" r:id="rId5"/>
    <hyperlink ref="A187" r:id="rId6"/>
    <hyperlink ref="A188" r:id="rId7"/>
    <hyperlink ref="A184" r:id="rId8"/>
    <hyperlink ref="A185" r:id="rId9"/>
  </hyperlinks>
  <pageMargins left="0.7" right="0.7" top="0.75" bottom="0.75" header="0.51180555555555551" footer="0.51180555555555551"/>
  <pageSetup scale="57" firstPageNumber="0" fitToHeight="0" orientation="portrait" horizontalDpi="300" verticalDpi="300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5"/>
  <sheetViews>
    <sheetView tabSelected="1" workbookViewId="0">
      <selection activeCell="B1" sqref="B1"/>
    </sheetView>
  </sheetViews>
  <sheetFormatPr defaultColWidth="9.42578125" defaultRowHeight="15" x14ac:dyDescent="0.25"/>
  <cols>
    <col min="1" max="1" width="4.85546875" style="1" customWidth="1"/>
    <col min="2" max="2" width="41.5703125" style="1" customWidth="1"/>
    <col min="3" max="7" width="12.5703125" style="1" bestFit="1" customWidth="1"/>
    <col min="8" max="8" width="14.28515625" style="1" bestFit="1" customWidth="1"/>
    <col min="9" max="13" width="13.28515625" style="1" bestFit="1" customWidth="1"/>
    <col min="14" max="14" width="11.5703125" bestFit="1" customWidth="1"/>
    <col min="15" max="16384" width="9.42578125" style="1"/>
  </cols>
  <sheetData>
    <row r="1" spans="1:19" x14ac:dyDescent="0.25">
      <c r="A1" s="2" t="s">
        <v>0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  <c r="L1" s="1">
        <v>2022</v>
      </c>
      <c r="M1" s="1">
        <v>2023</v>
      </c>
    </row>
    <row r="2" spans="1:19" x14ac:dyDescent="0.25">
      <c r="A2" s="2" t="s">
        <v>1</v>
      </c>
    </row>
    <row r="3" spans="1:19" x14ac:dyDescent="0.25">
      <c r="A3" s="13" t="s">
        <v>33</v>
      </c>
      <c r="C3" s="15">
        <v>0.4</v>
      </c>
      <c r="D3" s="15">
        <f>C3*(1+$O$3)</f>
        <v>0.41600000000000004</v>
      </c>
      <c r="E3" s="15">
        <f>D3*(1+$O$3)</f>
        <v>0.43264000000000008</v>
      </c>
      <c r="F3" s="15">
        <f t="shared" ref="F3:M3" si="0">E3*(1+$O$3)</f>
        <v>0.44994560000000011</v>
      </c>
      <c r="G3" s="15">
        <f t="shared" si="0"/>
        <v>0.46794342400000011</v>
      </c>
      <c r="H3" s="15">
        <f t="shared" si="0"/>
        <v>0.48666116096000012</v>
      </c>
      <c r="I3" s="15">
        <f t="shared" si="0"/>
        <v>0.50612760739840013</v>
      </c>
      <c r="J3" s="15">
        <f t="shared" si="0"/>
        <v>0.52637271169433619</v>
      </c>
      <c r="K3" s="15">
        <f t="shared" si="0"/>
        <v>0.54742762016210966</v>
      </c>
      <c r="L3" s="15">
        <f t="shared" si="0"/>
        <v>0.5693247249685941</v>
      </c>
      <c r="M3" s="15">
        <f t="shared" si="0"/>
        <v>0.5920977139673379</v>
      </c>
      <c r="O3" s="9">
        <v>0.04</v>
      </c>
    </row>
    <row r="4" spans="1:19" x14ac:dyDescent="0.25">
      <c r="A4" s="13" t="s">
        <v>34</v>
      </c>
      <c r="C4" s="14">
        <v>0.8</v>
      </c>
      <c r="D4" s="15">
        <f>C4*(1+$O$4)</f>
        <v>0.83200000000000007</v>
      </c>
      <c r="E4" s="15">
        <f>D4*(1+$O$4)</f>
        <v>0.86528000000000016</v>
      </c>
      <c r="F4" s="15">
        <f t="shared" ref="F4:M4" si="1">E4*(1+$O$4)</f>
        <v>0.89989120000000022</v>
      </c>
      <c r="G4" s="15">
        <f t="shared" si="1"/>
        <v>0.93588684800000022</v>
      </c>
      <c r="H4" s="15">
        <f t="shared" si="1"/>
        <v>0.97332232192000023</v>
      </c>
      <c r="I4" s="15">
        <f t="shared" si="1"/>
        <v>1.0122552147968003</v>
      </c>
      <c r="J4" s="15">
        <f t="shared" si="1"/>
        <v>1.0527454233886724</v>
      </c>
      <c r="K4" s="15">
        <f t="shared" si="1"/>
        <v>1.0948552403242193</v>
      </c>
      <c r="L4" s="15">
        <f t="shared" si="1"/>
        <v>1.1386494499371882</v>
      </c>
      <c r="M4" s="15">
        <f t="shared" si="1"/>
        <v>1.1841954279346758</v>
      </c>
      <c r="O4" s="9">
        <v>0.04</v>
      </c>
    </row>
    <row r="5" spans="1:19" x14ac:dyDescent="0.25">
      <c r="A5" s="13" t="s">
        <v>37</v>
      </c>
      <c r="C5" s="15">
        <v>0.45</v>
      </c>
      <c r="D5" s="15">
        <f>C5*(1+$O$5)</f>
        <v>0.46350000000000002</v>
      </c>
      <c r="E5" s="15">
        <f>D5*(1+$O$5)</f>
        <v>0.47740500000000002</v>
      </c>
      <c r="F5" s="15">
        <f t="shared" ref="F5:M5" si="2">E5*(1+$O$5)</f>
        <v>0.49172715000000006</v>
      </c>
      <c r="G5" s="15">
        <f t="shared" si="2"/>
        <v>0.50647896450000007</v>
      </c>
      <c r="H5" s="15">
        <f t="shared" si="2"/>
        <v>0.52167333343500011</v>
      </c>
      <c r="I5" s="15">
        <f t="shared" si="2"/>
        <v>0.53732353343805017</v>
      </c>
      <c r="J5" s="15">
        <f t="shared" si="2"/>
        <v>0.55344323944119167</v>
      </c>
      <c r="K5" s="15">
        <f t="shared" si="2"/>
        <v>0.57004653662442739</v>
      </c>
      <c r="L5" s="15">
        <f t="shared" si="2"/>
        <v>0.58714793272316024</v>
      </c>
      <c r="M5" s="15">
        <f t="shared" si="2"/>
        <v>0.60476237070485506</v>
      </c>
      <c r="O5" s="9">
        <v>0.03</v>
      </c>
    </row>
    <row r="6" spans="1:19" x14ac:dyDescent="0.25">
      <c r="A6" s="13" t="s">
        <v>38</v>
      </c>
      <c r="C6" s="15">
        <f>C5*6</f>
        <v>2.7</v>
      </c>
      <c r="D6" s="15">
        <f>C6*(1+$O$6)</f>
        <v>2.7810000000000001</v>
      </c>
      <c r="E6" s="15">
        <f>D6*(1+$O$6)</f>
        <v>2.86443</v>
      </c>
      <c r="F6" s="15">
        <f t="shared" ref="F6:M6" si="3">E6*(1+$O$6)</f>
        <v>2.9503629</v>
      </c>
      <c r="G6" s="15">
        <f t="shared" si="3"/>
        <v>3.038873787</v>
      </c>
      <c r="H6" s="15">
        <f t="shared" si="3"/>
        <v>3.1300400006100002</v>
      </c>
      <c r="I6" s="15">
        <f t="shared" si="3"/>
        <v>3.2239412006283001</v>
      </c>
      <c r="J6" s="15">
        <f t="shared" si="3"/>
        <v>3.3206594366471491</v>
      </c>
      <c r="K6" s="15">
        <f t="shared" si="3"/>
        <v>3.4202792197465639</v>
      </c>
      <c r="L6" s="15">
        <f t="shared" si="3"/>
        <v>3.5228875963389608</v>
      </c>
      <c r="M6" s="15">
        <f t="shared" si="3"/>
        <v>3.6285742242291299</v>
      </c>
      <c r="O6" s="9">
        <v>0.03</v>
      </c>
      <c r="Q6" s="31"/>
    </row>
    <row r="7" spans="1:19" x14ac:dyDescent="0.25">
      <c r="A7" s="13" t="s">
        <v>81</v>
      </c>
      <c r="C7" s="33">
        <v>105263157.89473684</v>
      </c>
      <c r="D7" s="33">
        <f>C7*(1+$O$7)</f>
        <v>126315789.47368421</v>
      </c>
      <c r="E7" s="33">
        <f>D7*(1+$O$7)</f>
        <v>151578947.36842105</v>
      </c>
      <c r="F7" s="33">
        <f t="shared" ref="F7:M7" si="4">E7*(1+$O$7)</f>
        <v>181894736.84210524</v>
      </c>
      <c r="G7" s="33">
        <f t="shared" si="4"/>
        <v>218273684.21052629</v>
      </c>
      <c r="H7" s="33">
        <f t="shared" si="4"/>
        <v>261928421.05263153</v>
      </c>
      <c r="I7" s="33">
        <f t="shared" si="4"/>
        <v>314314105.26315784</v>
      </c>
      <c r="J7" s="33">
        <f t="shared" si="4"/>
        <v>377176926.3157894</v>
      </c>
      <c r="K7" s="33">
        <f t="shared" si="4"/>
        <v>452612311.57894725</v>
      </c>
      <c r="L7" s="33">
        <f t="shared" si="4"/>
        <v>543134773.89473665</v>
      </c>
      <c r="M7" s="33">
        <f t="shared" si="4"/>
        <v>651761728.673684</v>
      </c>
      <c r="O7" s="9">
        <v>0.2</v>
      </c>
      <c r="Q7" s="31"/>
    </row>
    <row r="8" spans="1:19" x14ac:dyDescent="0.25">
      <c r="A8" s="13" t="s">
        <v>82</v>
      </c>
      <c r="C8" s="33">
        <v>397</v>
      </c>
      <c r="D8" s="33">
        <f>C8*(1+$O$8)</f>
        <v>404.94</v>
      </c>
      <c r="E8" s="33">
        <f>D8*(1+$O$8)</f>
        <v>413.03879999999998</v>
      </c>
      <c r="F8" s="33">
        <f t="shared" ref="F8:M8" si="5">E8*(1+$O$8)</f>
        <v>421.299576</v>
      </c>
      <c r="G8" s="33">
        <f t="shared" si="5"/>
        <v>429.72556752000003</v>
      </c>
      <c r="H8" s="33">
        <f t="shared" si="5"/>
        <v>438.32007887040004</v>
      </c>
      <c r="I8" s="33">
        <f t="shared" si="5"/>
        <v>447.08648044780807</v>
      </c>
      <c r="J8" s="33">
        <f t="shared" si="5"/>
        <v>456.02821005676424</v>
      </c>
      <c r="K8" s="33">
        <f t="shared" si="5"/>
        <v>465.1487742578995</v>
      </c>
      <c r="L8" s="33">
        <f t="shared" si="5"/>
        <v>474.45174974305752</v>
      </c>
      <c r="M8" s="33">
        <f t="shared" si="5"/>
        <v>483.9407847379187</v>
      </c>
      <c r="O8" s="9">
        <v>0.02</v>
      </c>
      <c r="Q8" s="31"/>
    </row>
    <row r="9" spans="1:19" x14ac:dyDescent="0.25">
      <c r="A9" s="1" t="s">
        <v>39</v>
      </c>
      <c r="C9" s="36">
        <f>C7*$O$9</f>
        <v>273684.21052631579</v>
      </c>
      <c r="D9" s="36">
        <f>D7*$O$9</f>
        <v>328421.05263157893</v>
      </c>
      <c r="E9" s="36">
        <f>E7*$O$9</f>
        <v>394105.26315789472</v>
      </c>
      <c r="F9" s="36">
        <f t="shared" ref="F9:M9" si="6">F7*$O$9</f>
        <v>472926.31578947359</v>
      </c>
      <c r="G9" s="36">
        <f t="shared" si="6"/>
        <v>567511.57894736831</v>
      </c>
      <c r="H9" s="36">
        <f t="shared" si="6"/>
        <v>681013.8947368419</v>
      </c>
      <c r="I9" s="36">
        <f t="shared" si="6"/>
        <v>817216.6736842104</v>
      </c>
      <c r="J9" s="36">
        <f t="shared" si="6"/>
        <v>980660.00842105236</v>
      </c>
      <c r="K9" s="36">
        <f t="shared" si="6"/>
        <v>1176792.0101052627</v>
      </c>
      <c r="L9" s="36">
        <f t="shared" si="6"/>
        <v>1412150.4121263153</v>
      </c>
      <c r="M9" s="36">
        <f t="shared" si="6"/>
        <v>1694580.4945515783</v>
      </c>
      <c r="O9" s="35">
        <v>2.5999999999999999E-3</v>
      </c>
      <c r="Q9" s="33"/>
    </row>
    <row r="10" spans="1:19" x14ac:dyDescent="0.25">
      <c r="A10" s="1" t="s">
        <v>40</v>
      </c>
      <c r="C10" s="31">
        <f>C9/8</f>
        <v>34210.526315789473</v>
      </c>
      <c r="D10" s="31">
        <f>D9/8</f>
        <v>41052.631578947367</v>
      </c>
      <c r="E10" s="31">
        <f>E9/8</f>
        <v>49263.15789473684</v>
      </c>
      <c r="F10" s="31">
        <f t="shared" ref="F10:M10" si="7">F9/8</f>
        <v>59115.789473684199</v>
      </c>
      <c r="G10" s="31">
        <f t="shared" si="7"/>
        <v>70938.947368421039</v>
      </c>
      <c r="H10" s="31">
        <f t="shared" si="7"/>
        <v>85126.736842105238</v>
      </c>
      <c r="I10" s="31">
        <f t="shared" si="7"/>
        <v>102152.0842105263</v>
      </c>
      <c r="J10" s="31">
        <f t="shared" si="7"/>
        <v>122582.50105263155</v>
      </c>
      <c r="K10" s="31">
        <f t="shared" si="7"/>
        <v>147099.00126315784</v>
      </c>
      <c r="L10" s="31">
        <f t="shared" si="7"/>
        <v>176518.80151578941</v>
      </c>
      <c r="M10" s="31">
        <f t="shared" si="7"/>
        <v>211822.56181894729</v>
      </c>
    </row>
    <row r="11" spans="1:19" x14ac:dyDescent="0.25">
      <c r="A11" s="1" t="s">
        <v>69</v>
      </c>
      <c r="C11" s="31">
        <f>$O$11*C13</f>
        <v>8210.5263157894733</v>
      </c>
      <c r="D11" s="31">
        <f>$O$11*D13</f>
        <v>9852.6315789473683</v>
      </c>
      <c r="E11" s="31">
        <f>$O$11*E13</f>
        <v>11823.157894736842</v>
      </c>
      <c r="F11" s="31">
        <f t="shared" ref="F11:M11" si="8">$O$11*F13</f>
        <v>14187.789473684208</v>
      </c>
      <c r="G11" s="31">
        <f t="shared" si="8"/>
        <v>17025.347368421048</v>
      </c>
      <c r="H11" s="31">
        <f t="shared" si="8"/>
        <v>20430.416842105256</v>
      </c>
      <c r="I11" s="31">
        <f t="shared" si="8"/>
        <v>24516.500210526312</v>
      </c>
      <c r="J11" s="31">
        <f t="shared" si="8"/>
        <v>29419.800252631572</v>
      </c>
      <c r="K11" s="31">
        <f t="shared" si="8"/>
        <v>35303.760303157884</v>
      </c>
      <c r="L11" s="31">
        <f t="shared" si="8"/>
        <v>42364.512363789458</v>
      </c>
      <c r="M11" s="31">
        <f t="shared" si="8"/>
        <v>50837.414836547345</v>
      </c>
      <c r="O11" s="14">
        <v>0.6</v>
      </c>
    </row>
    <row r="12" spans="1:19" x14ac:dyDescent="0.25">
      <c r="A12" s="1" t="s">
        <v>70</v>
      </c>
      <c r="C12" s="31">
        <f>$O$12*C13</f>
        <v>13684.21052631579</v>
      </c>
      <c r="D12" s="31">
        <f>$O$12*D13</f>
        <v>16421.052631578947</v>
      </c>
      <c r="E12" s="31">
        <f>$O$12*E13</f>
        <v>19705.263157894737</v>
      </c>
      <c r="F12" s="31">
        <f t="shared" ref="F12:M12" si="9">$O$12*F13</f>
        <v>23646.31578947368</v>
      </c>
      <c r="G12" s="31">
        <f t="shared" si="9"/>
        <v>28375.578947368416</v>
      </c>
      <c r="H12" s="31">
        <f t="shared" si="9"/>
        <v>34050.694736842095</v>
      </c>
      <c r="I12" s="31">
        <f t="shared" si="9"/>
        <v>40860.83368421052</v>
      </c>
      <c r="J12" s="31">
        <f t="shared" si="9"/>
        <v>49033.000421052624</v>
      </c>
      <c r="K12" s="31">
        <f t="shared" si="9"/>
        <v>58839.600505263137</v>
      </c>
      <c r="L12" s="31">
        <f t="shared" si="9"/>
        <v>70607.520606315768</v>
      </c>
      <c r="M12" s="31">
        <f t="shared" si="9"/>
        <v>84729.024727578915</v>
      </c>
      <c r="O12" s="14">
        <v>1</v>
      </c>
    </row>
    <row r="13" spans="1:19" x14ac:dyDescent="0.25">
      <c r="A13" s="1" t="s">
        <v>71</v>
      </c>
      <c r="C13" s="31">
        <f>C9*$O$13</f>
        <v>13684.21052631579</v>
      </c>
      <c r="D13" s="31">
        <f>D9*$O$13</f>
        <v>16421.052631578947</v>
      </c>
      <c r="E13" s="31">
        <f>E9*$O$13</f>
        <v>19705.263157894737</v>
      </c>
      <c r="F13" s="31">
        <f t="shared" ref="F13:M13" si="10">F9*$O$13</f>
        <v>23646.31578947368</v>
      </c>
      <c r="G13" s="31">
        <f t="shared" si="10"/>
        <v>28375.578947368416</v>
      </c>
      <c r="H13" s="31">
        <f t="shared" si="10"/>
        <v>34050.694736842095</v>
      </c>
      <c r="I13" s="31">
        <f t="shared" si="10"/>
        <v>40860.83368421052</v>
      </c>
      <c r="J13" s="31">
        <f t="shared" si="10"/>
        <v>49033.000421052624</v>
      </c>
      <c r="K13" s="31">
        <f t="shared" si="10"/>
        <v>58839.600505263137</v>
      </c>
      <c r="L13" s="31">
        <f t="shared" si="10"/>
        <v>70607.520606315768</v>
      </c>
      <c r="M13" s="31">
        <f t="shared" si="10"/>
        <v>84729.024727578915</v>
      </c>
      <c r="O13" s="9">
        <v>0.05</v>
      </c>
    </row>
    <row r="14" spans="1:19" x14ac:dyDescent="0.25">
      <c r="A14" s="1" t="s">
        <v>41</v>
      </c>
      <c r="C14" s="38">
        <f>$O$14*C32</f>
        <v>78.947368421052644</v>
      </c>
      <c r="D14" s="38">
        <f>$O$14*D32</f>
        <v>98.526315789473699</v>
      </c>
      <c r="E14" s="38">
        <f>$O$14*E32</f>
        <v>122.96084210526318</v>
      </c>
      <c r="F14" s="38">
        <f t="shared" ref="F14:M14" si="11">$O$14*F32</f>
        <v>153.45513094736845</v>
      </c>
      <c r="G14" s="38">
        <f t="shared" si="11"/>
        <v>191.51200342231581</v>
      </c>
      <c r="H14" s="38">
        <f t="shared" si="11"/>
        <v>239.00698027105011</v>
      </c>
      <c r="I14" s="38">
        <f t="shared" si="11"/>
        <v>298.28071137827055</v>
      </c>
      <c r="J14" s="38">
        <f t="shared" si="11"/>
        <v>372.25432780008168</v>
      </c>
      <c r="K14" s="38">
        <f t="shared" si="11"/>
        <v>464.57340109450195</v>
      </c>
      <c r="L14" s="38">
        <f t="shared" si="11"/>
        <v>579.78760456593841</v>
      </c>
      <c r="M14" s="38">
        <f t="shared" si="11"/>
        <v>723.57493049829122</v>
      </c>
      <c r="O14" s="28">
        <v>3.605769230769231E-4</v>
      </c>
      <c r="Q14" s="15"/>
    </row>
    <row r="15" spans="1:19" x14ac:dyDescent="0.25">
      <c r="A15" s="1" t="s">
        <v>44</v>
      </c>
      <c r="C15" s="17">
        <f>2.9*1735</f>
        <v>5031.5</v>
      </c>
      <c r="D15" s="17">
        <f>C15*(1+$O$6)</f>
        <v>5182.4449999999997</v>
      </c>
      <c r="E15" s="17">
        <f>D15*(1+$O$6)</f>
        <v>5337.9183499999999</v>
      </c>
      <c r="F15" s="17">
        <f t="shared" ref="F15:M15" si="12">E15*(1+$O$6)</f>
        <v>5498.0559005000005</v>
      </c>
      <c r="G15" s="17">
        <f t="shared" si="12"/>
        <v>5662.9975775150006</v>
      </c>
      <c r="H15" s="17">
        <f t="shared" si="12"/>
        <v>5832.8875048404507</v>
      </c>
      <c r="I15" s="17">
        <f t="shared" si="12"/>
        <v>6007.8741299856647</v>
      </c>
      <c r="J15" s="17">
        <f t="shared" si="12"/>
        <v>6188.1103538852349</v>
      </c>
      <c r="K15" s="17">
        <f t="shared" si="12"/>
        <v>6373.7536645017917</v>
      </c>
      <c r="L15" s="17">
        <f t="shared" si="12"/>
        <v>6564.9662744368452</v>
      </c>
      <c r="M15" s="17">
        <f t="shared" si="12"/>
        <v>6761.9152626699506</v>
      </c>
      <c r="Q15" s="15"/>
    </row>
    <row r="16" spans="1:19" x14ac:dyDescent="0.25">
      <c r="A16" s="1" t="s">
        <v>43</v>
      </c>
      <c r="C16" s="3">
        <f>O16*Q16*R16</f>
        <v>62400</v>
      </c>
      <c r="D16" s="3">
        <f>$O$16*$Q$16*$R$16</f>
        <v>62400</v>
      </c>
      <c r="E16" s="3">
        <f>$O$16*$Q$16*$R$16</f>
        <v>62400</v>
      </c>
      <c r="F16" s="3">
        <f t="shared" ref="F16:M16" si="13">$O$16*$Q$16*$R$16</f>
        <v>62400</v>
      </c>
      <c r="G16" s="3">
        <f t="shared" si="13"/>
        <v>62400</v>
      </c>
      <c r="H16" s="3">
        <f t="shared" si="13"/>
        <v>62400</v>
      </c>
      <c r="I16" s="3">
        <f t="shared" si="13"/>
        <v>62400</v>
      </c>
      <c r="J16" s="3">
        <f t="shared" si="13"/>
        <v>62400</v>
      </c>
      <c r="K16" s="3">
        <f t="shared" si="13"/>
        <v>62400</v>
      </c>
      <c r="L16" s="3">
        <f t="shared" si="13"/>
        <v>62400</v>
      </c>
      <c r="M16" s="3">
        <f t="shared" si="13"/>
        <v>62400</v>
      </c>
      <c r="O16" s="1">
        <v>6</v>
      </c>
      <c r="P16" s="1" t="s">
        <v>48</v>
      </c>
      <c r="Q16" s="18">
        <f>52*40</f>
        <v>2080</v>
      </c>
      <c r="R16" s="14">
        <v>5</v>
      </c>
      <c r="S16" s="1" t="s">
        <v>66</v>
      </c>
    </row>
    <row r="17" spans="1:17" x14ac:dyDescent="0.25">
      <c r="A17" s="1" t="s">
        <v>45</v>
      </c>
      <c r="C17" s="3">
        <f>$O$17*C32</f>
        <v>5368.4210526315792</v>
      </c>
      <c r="D17" s="3">
        <f>$O$17*D32</f>
        <v>6699.7894736842109</v>
      </c>
      <c r="E17" s="3">
        <f>$O$17*E32</f>
        <v>8361.337263157895</v>
      </c>
      <c r="F17" s="3">
        <f t="shared" ref="F17:M17" si="14">$O$17*F32</f>
        <v>10434.948904421053</v>
      </c>
      <c r="G17" s="3">
        <f t="shared" si="14"/>
        <v>13022.816232717474</v>
      </c>
      <c r="H17" s="3">
        <f t="shared" si="14"/>
        <v>16252.474658431407</v>
      </c>
      <c r="I17" s="3">
        <f t="shared" si="14"/>
        <v>20283.088373722396</v>
      </c>
      <c r="J17" s="3">
        <f t="shared" si="14"/>
        <v>25313.294290405553</v>
      </c>
      <c r="K17" s="3">
        <f t="shared" si="14"/>
        <v>31590.991274426131</v>
      </c>
      <c r="L17" s="3">
        <f t="shared" si="14"/>
        <v>39425.557110483809</v>
      </c>
      <c r="M17" s="3">
        <f t="shared" si="14"/>
        <v>49203.095273883795</v>
      </c>
      <c r="O17" s="9">
        <v>2.4519230769230769E-2</v>
      </c>
      <c r="P17" s="14"/>
    </row>
    <row r="18" spans="1:17" x14ac:dyDescent="0.25">
      <c r="A18" s="1" t="s">
        <v>42</v>
      </c>
      <c r="C18" s="3">
        <f>SUM(C32:C33)*$O$18</f>
        <v>7782.8947368421059</v>
      </c>
      <c r="D18" s="3">
        <f>SUM(D32:D33)*$O$18</f>
        <v>9685.3421052631584</v>
      </c>
      <c r="E18" s="3">
        <f>SUM(E32:E33)*$O$18</f>
        <v>12053.056736842107</v>
      </c>
      <c r="F18" s="3">
        <f t="shared" ref="F18:M18" si="15">SUM(F32:F33)*$O$18</f>
        <v>14999.881547368423</v>
      </c>
      <c r="G18" s="3">
        <f t="shared" si="15"/>
        <v>18667.528261495579</v>
      </c>
      <c r="H18" s="3">
        <f t="shared" si="15"/>
        <v>23232.402918055901</v>
      </c>
      <c r="I18" s="3">
        <f t="shared" si="15"/>
        <v>28914.103814302609</v>
      </c>
      <c r="J18" s="3">
        <f t="shared" si="15"/>
        <v>35986.001866344748</v>
      </c>
      <c r="K18" s="3">
        <f t="shared" si="15"/>
        <v>44788.41390753178</v>
      </c>
      <c r="L18" s="3">
        <f t="shared" si="15"/>
        <v>55745.004659419908</v>
      </c>
      <c r="M18" s="3">
        <f t="shared" si="15"/>
        <v>69383.209046041869</v>
      </c>
      <c r="O18" s="19">
        <v>2.5000000000000001E-2</v>
      </c>
      <c r="Q18" s="15"/>
    </row>
    <row r="19" spans="1:17" x14ac:dyDescent="0.25">
      <c r="A19" s="1" t="s">
        <v>46</v>
      </c>
      <c r="C19" s="3">
        <f>$O$19*C32</f>
        <v>7505.0526315789475</v>
      </c>
      <c r="D19" s="3">
        <f>$O$19*D32</f>
        <v>9366.305684210527</v>
      </c>
      <c r="E19" s="3">
        <f>$O$19*E32</f>
        <v>11689.149493894738</v>
      </c>
      <c r="F19" s="3">
        <f t="shared" ref="F19:M19" si="16">$O$19*F32</f>
        <v>14588.058568380631</v>
      </c>
      <c r="G19" s="3">
        <f t="shared" si="16"/>
        <v>18205.89709333903</v>
      </c>
      <c r="H19" s="3">
        <f t="shared" si="16"/>
        <v>22720.959572487107</v>
      </c>
      <c r="I19" s="3">
        <f t="shared" si="16"/>
        <v>28355.757546463909</v>
      </c>
      <c r="J19" s="3">
        <f t="shared" si="16"/>
        <v>35387.985417986958</v>
      </c>
      <c r="K19" s="3">
        <f t="shared" si="16"/>
        <v>44164.205801647724</v>
      </c>
      <c r="L19" s="3">
        <f t="shared" si="16"/>
        <v>55116.928840456363</v>
      </c>
      <c r="M19" s="3">
        <f t="shared" si="16"/>
        <v>68785.927192889547</v>
      </c>
      <c r="O19" s="29">
        <v>3.4277884615384613E-2</v>
      </c>
      <c r="Q19" s="20"/>
    </row>
    <row r="20" spans="1:17" x14ac:dyDescent="0.25">
      <c r="A20" s="1" t="s">
        <v>47</v>
      </c>
      <c r="C20" s="3">
        <f>C32*$O$20</f>
        <v>6568.4210526315792</v>
      </c>
      <c r="D20" s="3">
        <f>D32*$O$20</f>
        <v>8197.3894736842103</v>
      </c>
      <c r="E20" s="3">
        <f>E32*$O$20</f>
        <v>10230.342063157896</v>
      </c>
      <c r="F20" s="3">
        <f t="shared" ref="F20:M20" si="17">F32*$O$20</f>
        <v>12767.466894821053</v>
      </c>
      <c r="G20" s="3">
        <f t="shared" si="17"/>
        <v>15933.798684736676</v>
      </c>
      <c r="H20" s="3">
        <f t="shared" si="17"/>
        <v>19885.380758551368</v>
      </c>
      <c r="I20" s="3">
        <f t="shared" si="17"/>
        <v>24816.955186672109</v>
      </c>
      <c r="J20" s="3">
        <f t="shared" si="17"/>
        <v>30971.560072966793</v>
      </c>
      <c r="K20" s="3">
        <f t="shared" si="17"/>
        <v>38652.506971062561</v>
      </c>
      <c r="L20" s="3">
        <f t="shared" si="17"/>
        <v>48238.328699886079</v>
      </c>
      <c r="M20" s="3">
        <f t="shared" si="17"/>
        <v>60201.43421745782</v>
      </c>
      <c r="O20" s="9">
        <v>0.03</v>
      </c>
      <c r="Q20" s="15"/>
    </row>
    <row r="21" spans="1:17" x14ac:dyDescent="0.25">
      <c r="A21" s="1" t="s">
        <v>51</v>
      </c>
      <c r="C21" s="3">
        <f>2500*12</f>
        <v>30000</v>
      </c>
      <c r="D21" s="3">
        <f>C21*(1+$O$21)</f>
        <v>30449.999999999996</v>
      </c>
      <c r="E21" s="3">
        <f>D21*(1+$O$21)</f>
        <v>30906.749999999993</v>
      </c>
      <c r="F21" s="3">
        <f t="shared" ref="F21:M21" si="18">E21*(1+$O$21)</f>
        <v>31370.351249999989</v>
      </c>
      <c r="G21" s="3">
        <f t="shared" si="18"/>
        <v>31840.906518749987</v>
      </c>
      <c r="H21" s="3">
        <f t="shared" si="18"/>
        <v>32318.520116531236</v>
      </c>
      <c r="I21" s="3">
        <f t="shared" si="18"/>
        <v>32803.297918279204</v>
      </c>
      <c r="J21" s="3">
        <f t="shared" si="18"/>
        <v>33295.347387053393</v>
      </c>
      <c r="K21" s="3">
        <f t="shared" si="18"/>
        <v>33794.777597859189</v>
      </c>
      <c r="L21" s="3">
        <f t="shared" si="18"/>
        <v>34301.699261827074</v>
      </c>
      <c r="M21" s="3">
        <f t="shared" si="18"/>
        <v>34816.224750754474</v>
      </c>
      <c r="O21" s="19">
        <v>1.4999999999999999E-2</v>
      </c>
      <c r="P21" s="14"/>
      <c r="Q21" s="15"/>
    </row>
    <row r="22" spans="1:17" x14ac:dyDescent="0.25">
      <c r="A22" s="1" t="s">
        <v>53</v>
      </c>
      <c r="C22" s="3">
        <v>80000</v>
      </c>
      <c r="D22" s="3">
        <v>80000</v>
      </c>
      <c r="E22" s="3">
        <v>80000</v>
      </c>
      <c r="F22" s="3">
        <v>80000</v>
      </c>
      <c r="G22" s="3">
        <v>80000</v>
      </c>
      <c r="H22" s="3">
        <v>80000</v>
      </c>
      <c r="I22" s="3">
        <v>80000</v>
      </c>
      <c r="J22" s="3">
        <v>80000</v>
      </c>
      <c r="K22" s="3">
        <v>80000</v>
      </c>
      <c r="L22" s="3">
        <v>80000</v>
      </c>
      <c r="M22" s="3">
        <v>80000</v>
      </c>
      <c r="Q22" s="15"/>
    </row>
    <row r="23" spans="1:17" x14ac:dyDescent="0.25">
      <c r="A23" s="1" t="s">
        <v>67</v>
      </c>
      <c r="C23" s="3">
        <f>3658+1500</f>
        <v>5158</v>
      </c>
      <c r="D23" s="3">
        <f>3658+1500</f>
        <v>5158</v>
      </c>
      <c r="E23" s="3">
        <f>3658+1500</f>
        <v>5158</v>
      </c>
      <c r="F23" s="3">
        <f t="shared" ref="F23:M23" si="19">3658+1500</f>
        <v>5158</v>
      </c>
      <c r="G23" s="3">
        <f t="shared" si="19"/>
        <v>5158</v>
      </c>
      <c r="H23" s="3">
        <f t="shared" si="19"/>
        <v>5158</v>
      </c>
      <c r="I23" s="3">
        <f t="shared" si="19"/>
        <v>5158</v>
      </c>
      <c r="J23" s="3">
        <f t="shared" si="19"/>
        <v>5158</v>
      </c>
      <c r="K23" s="3">
        <f t="shared" si="19"/>
        <v>5158</v>
      </c>
      <c r="L23" s="3">
        <f t="shared" si="19"/>
        <v>5158</v>
      </c>
      <c r="M23" s="3">
        <f t="shared" si="19"/>
        <v>5158</v>
      </c>
    </row>
    <row r="24" spans="1:17" x14ac:dyDescent="0.25">
      <c r="A24" s="1" t="s">
        <v>73</v>
      </c>
      <c r="C24" s="3">
        <f>$O$24*SUM(C32:C34)</f>
        <v>16250</v>
      </c>
      <c r="D24" s="3">
        <f>$O$24*SUM(D32:D34)</f>
        <v>20191.736842105267</v>
      </c>
      <c r="E24" s="3">
        <f>$O$24*SUM(E32:E34)</f>
        <v>25091.376631578951</v>
      </c>
      <c r="F24" s="3">
        <f t="shared" ref="F24:M24" si="20">$O$24*SUM(F32:F34)</f>
        <v>31182.078884210532</v>
      </c>
      <c r="G24" s="3">
        <f t="shared" si="20"/>
        <v>38753.835470359583</v>
      </c>
      <c r="H24" s="3">
        <f t="shared" si="20"/>
        <v>48167.340572953908</v>
      </c>
      <c r="I24" s="3">
        <f t="shared" si="20"/>
        <v>59871.249312815737</v>
      </c>
      <c r="J24" s="3">
        <f t="shared" si="20"/>
        <v>74423.653753742125</v>
      </c>
      <c r="K24" s="3">
        <f t="shared" si="20"/>
        <v>92518.807840326714</v>
      </c>
      <c r="L24" s="3">
        <f t="shared" si="20"/>
        <v>115020.38534915559</v>
      </c>
      <c r="M24" s="3">
        <f t="shared" si="20"/>
        <v>143002.86932846266</v>
      </c>
      <c r="O24" s="9">
        <v>0.05</v>
      </c>
    </row>
    <row r="26" spans="1:17" x14ac:dyDescent="0.25">
      <c r="A26" s="2" t="s">
        <v>2</v>
      </c>
    </row>
    <row r="27" spans="1:17" x14ac:dyDescent="0.25">
      <c r="A27" s="1" t="s">
        <v>3</v>
      </c>
      <c r="C27" s="1">
        <v>30</v>
      </c>
      <c r="D27" s="1">
        <v>30</v>
      </c>
      <c r="E27" s="1">
        <v>30</v>
      </c>
      <c r="F27" s="1">
        <v>30</v>
      </c>
      <c r="G27" s="1">
        <v>30</v>
      </c>
      <c r="H27" s="1">
        <v>30</v>
      </c>
      <c r="I27" s="1">
        <v>30</v>
      </c>
      <c r="J27" s="1">
        <v>30</v>
      </c>
      <c r="K27" s="1">
        <v>30</v>
      </c>
      <c r="L27" s="1">
        <v>30</v>
      </c>
      <c r="M27" s="1">
        <v>30</v>
      </c>
    </row>
    <row r="28" spans="1:17" x14ac:dyDescent="0.25">
      <c r="A28" s="1" t="s">
        <v>52</v>
      </c>
      <c r="C28" s="1">
        <v>52</v>
      </c>
      <c r="D28" s="1">
        <v>52</v>
      </c>
      <c r="E28" s="1">
        <v>52</v>
      </c>
      <c r="F28" s="1">
        <v>52</v>
      </c>
      <c r="G28" s="1">
        <v>52</v>
      </c>
      <c r="H28" s="1">
        <v>52</v>
      </c>
      <c r="I28" s="1">
        <v>52</v>
      </c>
      <c r="J28" s="1">
        <v>52</v>
      </c>
      <c r="K28" s="1">
        <v>52</v>
      </c>
      <c r="L28" s="1">
        <v>52</v>
      </c>
      <c r="M28" s="1">
        <v>52</v>
      </c>
    </row>
    <row r="30" spans="1:17" x14ac:dyDescent="0.25">
      <c r="A30" s="2" t="s">
        <v>4</v>
      </c>
    </row>
    <row r="31" spans="1:17" x14ac:dyDescent="0.25">
      <c r="A31" s="4" t="s">
        <v>5</v>
      </c>
    </row>
    <row r="32" spans="1:17" x14ac:dyDescent="0.25">
      <c r="B32" s="1" t="s">
        <v>35</v>
      </c>
      <c r="C32" s="5">
        <f>+C9*C4</f>
        <v>218947.36842105264</v>
      </c>
      <c r="D32" s="5">
        <f>+D9*D4</f>
        <v>273246.31578947371</v>
      </c>
      <c r="E32" s="5">
        <f>+E9*E4</f>
        <v>341011.4021052632</v>
      </c>
      <c r="F32" s="5">
        <f t="shared" ref="F32:M32" si="21">+F9*F4</f>
        <v>425582.22982736846</v>
      </c>
      <c r="G32" s="5">
        <f t="shared" si="21"/>
        <v>531126.62282455584</v>
      </c>
      <c r="H32" s="5">
        <f t="shared" si="21"/>
        <v>662846.02528504562</v>
      </c>
      <c r="I32" s="5">
        <f t="shared" si="21"/>
        <v>827231.83955573698</v>
      </c>
      <c r="J32" s="5">
        <f t="shared" si="21"/>
        <v>1032385.3357655598</v>
      </c>
      <c r="K32" s="5">
        <f t="shared" si="21"/>
        <v>1288416.8990354186</v>
      </c>
      <c r="L32" s="5">
        <f t="shared" si="21"/>
        <v>1607944.2899962026</v>
      </c>
      <c r="M32" s="5">
        <f t="shared" si="21"/>
        <v>2006714.4739152608</v>
      </c>
    </row>
    <row r="33" spans="1:13" x14ac:dyDescent="0.25">
      <c r="B33" s="1" t="s">
        <v>36</v>
      </c>
      <c r="C33" s="5">
        <f>C6*C10</f>
        <v>92368.421052631587</v>
      </c>
      <c r="D33" s="5">
        <f>D6*D10</f>
        <v>114167.36842105263</v>
      </c>
      <c r="E33" s="5">
        <f>E6*E10</f>
        <v>141110.86736842105</v>
      </c>
      <c r="F33" s="5">
        <f t="shared" ref="F33:M33" si="22">F6*F10</f>
        <v>174413.03206736839</v>
      </c>
      <c r="G33" s="5">
        <f t="shared" si="22"/>
        <v>215574.50763526733</v>
      </c>
      <c r="H33" s="5">
        <f t="shared" si="22"/>
        <v>266450.09143719042</v>
      </c>
      <c r="I33" s="5">
        <f t="shared" si="22"/>
        <v>329332.31301636738</v>
      </c>
      <c r="J33" s="5">
        <f t="shared" si="22"/>
        <v>407054.73888823006</v>
      </c>
      <c r="K33" s="5">
        <f t="shared" si="22"/>
        <v>503119.65726585232</v>
      </c>
      <c r="L33" s="5">
        <f t="shared" si="22"/>
        <v>621855.89638059342</v>
      </c>
      <c r="M33" s="5">
        <f t="shared" si="22"/>
        <v>768613.88792641356</v>
      </c>
    </row>
    <row r="34" spans="1:13" x14ac:dyDescent="0.25">
      <c r="B34" s="1" t="s">
        <v>68</v>
      </c>
      <c r="C34" s="5">
        <f>C12</f>
        <v>13684.21052631579</v>
      </c>
      <c r="D34" s="5">
        <f>D12</f>
        <v>16421.052631578947</v>
      </c>
      <c r="E34" s="5">
        <f>E12</f>
        <v>19705.263157894737</v>
      </c>
      <c r="F34" s="5">
        <f t="shared" ref="F34:M34" si="23">F12</f>
        <v>23646.31578947368</v>
      </c>
      <c r="G34" s="5">
        <f t="shared" si="23"/>
        <v>28375.578947368416</v>
      </c>
      <c r="H34" s="5">
        <f t="shared" si="23"/>
        <v>34050.694736842095</v>
      </c>
      <c r="I34" s="5">
        <f t="shared" si="23"/>
        <v>40860.83368421052</v>
      </c>
      <c r="J34" s="5">
        <f t="shared" si="23"/>
        <v>49033.000421052624</v>
      </c>
      <c r="K34" s="5">
        <f t="shared" si="23"/>
        <v>58839.600505263137</v>
      </c>
      <c r="L34" s="5">
        <f t="shared" si="23"/>
        <v>70607.520606315768</v>
      </c>
      <c r="M34" s="5">
        <f t="shared" si="23"/>
        <v>84729.024727578915</v>
      </c>
    </row>
    <row r="35" spans="1:13" x14ac:dyDescent="0.25">
      <c r="A35" s="1" t="s">
        <v>49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B36" s="1" t="s">
        <v>35</v>
      </c>
      <c r="C36" s="5">
        <f>C3*C9</f>
        <v>109473.68421052632</v>
      </c>
      <c r="D36" s="5">
        <f>D3*D9</f>
        <v>136623.15789473685</v>
      </c>
      <c r="E36" s="5">
        <f>E3*E9</f>
        <v>170505.7010526316</v>
      </c>
      <c r="F36" s="5">
        <f t="shared" ref="F36:M36" si="24">F3*F9</f>
        <v>212791.11491368423</v>
      </c>
      <c r="G36" s="5">
        <f t="shared" si="24"/>
        <v>265563.31141227792</v>
      </c>
      <c r="H36" s="5">
        <f t="shared" si="24"/>
        <v>331423.01264252281</v>
      </c>
      <c r="I36" s="5">
        <f t="shared" si="24"/>
        <v>413615.91977786849</v>
      </c>
      <c r="J36" s="5">
        <f t="shared" si="24"/>
        <v>516192.6678827799</v>
      </c>
      <c r="K36" s="5">
        <f t="shared" si="24"/>
        <v>644208.44951770932</v>
      </c>
      <c r="L36" s="5">
        <f t="shared" si="24"/>
        <v>803972.14499810128</v>
      </c>
      <c r="M36" s="5">
        <f t="shared" si="24"/>
        <v>1003357.2369576304</v>
      </c>
    </row>
    <row r="37" spans="1:13" x14ac:dyDescent="0.25">
      <c r="B37" s="1" t="s">
        <v>50</v>
      </c>
      <c r="C37" s="5">
        <f>C5*C10</f>
        <v>15394.736842105263</v>
      </c>
      <c r="D37" s="5">
        <f>D5*D10</f>
        <v>19027.894736842107</v>
      </c>
      <c r="E37" s="5">
        <f>E5*E10</f>
        <v>23518.477894736843</v>
      </c>
      <c r="F37" s="5">
        <f t="shared" ref="F37:M37" si="25">F5*F10</f>
        <v>29068.838677894735</v>
      </c>
      <c r="G37" s="5">
        <f t="shared" si="25"/>
        <v>35929.084605877892</v>
      </c>
      <c r="H37" s="5">
        <f t="shared" si="25"/>
        <v>44408.34857286507</v>
      </c>
      <c r="I37" s="5">
        <f t="shared" si="25"/>
        <v>54888.718836061242</v>
      </c>
      <c r="J37" s="5">
        <f t="shared" si="25"/>
        <v>67842.456481371686</v>
      </c>
      <c r="K37" s="5">
        <f t="shared" si="25"/>
        <v>83853.276210975397</v>
      </c>
      <c r="L37" s="5">
        <f t="shared" si="25"/>
        <v>103642.6493967656</v>
      </c>
      <c r="M37" s="5">
        <f t="shared" si="25"/>
        <v>128102.31465440227</v>
      </c>
    </row>
    <row r="38" spans="1:13" x14ac:dyDescent="0.25">
      <c r="B38" s="1" t="s">
        <v>68</v>
      </c>
      <c r="C38" s="5">
        <f>C11</f>
        <v>8210.5263157894733</v>
      </c>
      <c r="D38" s="5">
        <f>D11</f>
        <v>9852.6315789473683</v>
      </c>
      <c r="E38" s="5">
        <f>E11</f>
        <v>11823.157894736842</v>
      </c>
      <c r="F38" s="5">
        <f t="shared" ref="F38:M38" si="26">F11</f>
        <v>14187.789473684208</v>
      </c>
      <c r="G38" s="5">
        <f t="shared" si="26"/>
        <v>17025.347368421048</v>
      </c>
      <c r="H38" s="5">
        <f t="shared" si="26"/>
        <v>20430.416842105256</v>
      </c>
      <c r="I38" s="5">
        <f t="shared" si="26"/>
        <v>24516.500210526312</v>
      </c>
      <c r="J38" s="5">
        <f t="shared" si="26"/>
        <v>29419.800252631572</v>
      </c>
      <c r="K38" s="5">
        <f t="shared" si="26"/>
        <v>35303.760303157884</v>
      </c>
      <c r="L38" s="5">
        <f t="shared" si="26"/>
        <v>42364.512363789458</v>
      </c>
      <c r="M38" s="5">
        <f t="shared" si="26"/>
        <v>50837.414836547345</v>
      </c>
    </row>
    <row r="39" spans="1:13" x14ac:dyDescent="0.25">
      <c r="A39" s="1" t="s">
        <v>6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5">
      <c r="B40" s="1" t="s">
        <v>41</v>
      </c>
      <c r="C40" s="5">
        <f>C14</f>
        <v>78.947368421052644</v>
      </c>
      <c r="D40" s="5">
        <f>D14</f>
        <v>98.526315789473699</v>
      </c>
      <c r="E40" s="5">
        <f>E14</f>
        <v>122.96084210526318</v>
      </c>
      <c r="F40" s="5">
        <f t="shared" ref="F40:M40" si="27">F14</f>
        <v>153.45513094736845</v>
      </c>
      <c r="G40" s="5">
        <f t="shared" si="27"/>
        <v>191.51200342231581</v>
      </c>
      <c r="H40" s="5">
        <f t="shared" si="27"/>
        <v>239.00698027105011</v>
      </c>
      <c r="I40" s="5">
        <f t="shared" si="27"/>
        <v>298.28071137827055</v>
      </c>
      <c r="J40" s="5">
        <f t="shared" si="27"/>
        <v>372.25432780008168</v>
      </c>
      <c r="K40" s="5">
        <f t="shared" si="27"/>
        <v>464.57340109450195</v>
      </c>
      <c r="L40" s="5">
        <f t="shared" si="27"/>
        <v>579.78760456593841</v>
      </c>
      <c r="M40" s="5">
        <f t="shared" si="27"/>
        <v>723.57493049829122</v>
      </c>
    </row>
    <row r="41" spans="1:13" x14ac:dyDescent="0.25">
      <c r="B41" s="1" t="s">
        <v>54</v>
      </c>
      <c r="C41" s="5">
        <f>C22</f>
        <v>80000</v>
      </c>
      <c r="D41" s="5">
        <f>D22</f>
        <v>80000</v>
      </c>
      <c r="E41" s="5">
        <f>E22</f>
        <v>80000</v>
      </c>
      <c r="F41" s="5">
        <f t="shared" ref="F41:M41" si="28">F22</f>
        <v>80000</v>
      </c>
      <c r="G41" s="5">
        <f t="shared" si="28"/>
        <v>80000</v>
      </c>
      <c r="H41" s="5">
        <f t="shared" si="28"/>
        <v>80000</v>
      </c>
      <c r="I41" s="5">
        <f t="shared" si="28"/>
        <v>80000</v>
      </c>
      <c r="J41" s="5">
        <f t="shared" si="28"/>
        <v>80000</v>
      </c>
      <c r="K41" s="5">
        <f t="shared" si="28"/>
        <v>80000</v>
      </c>
      <c r="L41" s="5">
        <f t="shared" si="28"/>
        <v>80000</v>
      </c>
      <c r="M41" s="5">
        <f t="shared" si="28"/>
        <v>80000</v>
      </c>
    </row>
    <row r="42" spans="1:13" x14ac:dyDescent="0.25">
      <c r="B42" s="1" t="s">
        <v>44</v>
      </c>
      <c r="C42" s="5">
        <f t="shared" ref="C42:M47" si="29">C15</f>
        <v>5031.5</v>
      </c>
      <c r="D42" s="5">
        <f t="shared" si="29"/>
        <v>5182.4449999999997</v>
      </c>
      <c r="E42" s="5">
        <f t="shared" si="29"/>
        <v>5337.9183499999999</v>
      </c>
      <c r="F42" s="5">
        <f t="shared" si="29"/>
        <v>5498.0559005000005</v>
      </c>
      <c r="G42" s="5">
        <f t="shared" si="29"/>
        <v>5662.9975775150006</v>
      </c>
      <c r="H42" s="5">
        <f t="shared" si="29"/>
        <v>5832.8875048404507</v>
      </c>
      <c r="I42" s="5">
        <f t="shared" si="29"/>
        <v>6007.8741299856647</v>
      </c>
      <c r="J42" s="5">
        <f t="shared" si="29"/>
        <v>6188.1103538852349</v>
      </c>
      <c r="K42" s="5">
        <f t="shared" si="29"/>
        <v>6373.7536645017917</v>
      </c>
      <c r="L42" s="5">
        <f t="shared" si="29"/>
        <v>6564.9662744368452</v>
      </c>
      <c r="M42" s="5">
        <f t="shared" si="29"/>
        <v>6761.9152626699506</v>
      </c>
    </row>
    <row r="43" spans="1:13" x14ac:dyDescent="0.25">
      <c r="B43" s="1" t="s">
        <v>43</v>
      </c>
      <c r="C43" s="5">
        <f t="shared" si="29"/>
        <v>62400</v>
      </c>
      <c r="D43" s="5">
        <f t="shared" si="29"/>
        <v>62400</v>
      </c>
      <c r="E43" s="5">
        <f t="shared" si="29"/>
        <v>62400</v>
      </c>
      <c r="F43" s="5">
        <f t="shared" si="29"/>
        <v>62400</v>
      </c>
      <c r="G43" s="5">
        <f t="shared" si="29"/>
        <v>62400</v>
      </c>
      <c r="H43" s="5">
        <f t="shared" si="29"/>
        <v>62400</v>
      </c>
      <c r="I43" s="5">
        <f t="shared" si="29"/>
        <v>62400</v>
      </c>
      <c r="J43" s="5">
        <f t="shared" si="29"/>
        <v>62400</v>
      </c>
      <c r="K43" s="5">
        <f t="shared" si="29"/>
        <v>62400</v>
      </c>
      <c r="L43" s="5">
        <f t="shared" si="29"/>
        <v>62400</v>
      </c>
      <c r="M43" s="5">
        <f t="shared" si="29"/>
        <v>62400</v>
      </c>
    </row>
    <row r="44" spans="1:13" x14ac:dyDescent="0.25">
      <c r="B44" s="1" t="s">
        <v>45</v>
      </c>
      <c r="C44" s="5">
        <f t="shared" si="29"/>
        <v>5368.4210526315792</v>
      </c>
      <c r="D44" s="5">
        <f t="shared" si="29"/>
        <v>6699.7894736842109</v>
      </c>
      <c r="E44" s="5">
        <f t="shared" si="29"/>
        <v>8361.337263157895</v>
      </c>
      <c r="F44" s="5">
        <f t="shared" si="29"/>
        <v>10434.948904421053</v>
      </c>
      <c r="G44" s="5">
        <f t="shared" si="29"/>
        <v>13022.816232717474</v>
      </c>
      <c r="H44" s="5">
        <f t="shared" si="29"/>
        <v>16252.474658431407</v>
      </c>
      <c r="I44" s="5">
        <f t="shared" si="29"/>
        <v>20283.088373722396</v>
      </c>
      <c r="J44" s="5">
        <f t="shared" si="29"/>
        <v>25313.294290405553</v>
      </c>
      <c r="K44" s="5">
        <f t="shared" si="29"/>
        <v>31590.991274426131</v>
      </c>
      <c r="L44" s="5">
        <f t="shared" si="29"/>
        <v>39425.557110483809</v>
      </c>
      <c r="M44" s="5">
        <f t="shared" si="29"/>
        <v>49203.095273883795</v>
      </c>
    </row>
    <row r="45" spans="1:13" x14ac:dyDescent="0.25">
      <c r="B45" s="1" t="s">
        <v>42</v>
      </c>
      <c r="C45" s="5">
        <f t="shared" si="29"/>
        <v>7782.8947368421059</v>
      </c>
      <c r="D45" s="5">
        <f t="shared" si="29"/>
        <v>9685.3421052631584</v>
      </c>
      <c r="E45" s="5">
        <f t="shared" si="29"/>
        <v>12053.056736842107</v>
      </c>
      <c r="F45" s="5">
        <f t="shared" si="29"/>
        <v>14999.881547368423</v>
      </c>
      <c r="G45" s="5">
        <f t="shared" si="29"/>
        <v>18667.528261495579</v>
      </c>
      <c r="H45" s="5">
        <f t="shared" si="29"/>
        <v>23232.402918055901</v>
      </c>
      <c r="I45" s="5">
        <f t="shared" si="29"/>
        <v>28914.103814302609</v>
      </c>
      <c r="J45" s="5">
        <f t="shared" si="29"/>
        <v>35986.001866344748</v>
      </c>
      <c r="K45" s="5">
        <f t="shared" si="29"/>
        <v>44788.41390753178</v>
      </c>
      <c r="L45" s="5">
        <f t="shared" si="29"/>
        <v>55745.004659419908</v>
      </c>
      <c r="M45" s="5">
        <f t="shared" si="29"/>
        <v>69383.209046041869</v>
      </c>
    </row>
    <row r="46" spans="1:13" x14ac:dyDescent="0.25">
      <c r="B46" s="1" t="s">
        <v>46</v>
      </c>
      <c r="C46" s="5">
        <f t="shared" si="29"/>
        <v>7505.0526315789475</v>
      </c>
      <c r="D46" s="5">
        <f t="shared" si="29"/>
        <v>9366.305684210527</v>
      </c>
      <c r="E46" s="5">
        <f t="shared" si="29"/>
        <v>11689.149493894738</v>
      </c>
      <c r="F46" s="5">
        <f t="shared" si="29"/>
        <v>14588.058568380631</v>
      </c>
      <c r="G46" s="5">
        <f t="shared" si="29"/>
        <v>18205.89709333903</v>
      </c>
      <c r="H46" s="5">
        <f t="shared" si="29"/>
        <v>22720.959572487107</v>
      </c>
      <c r="I46" s="5">
        <f t="shared" si="29"/>
        <v>28355.757546463909</v>
      </c>
      <c r="J46" s="5">
        <f t="shared" si="29"/>
        <v>35387.985417986958</v>
      </c>
      <c r="K46" s="5">
        <f t="shared" si="29"/>
        <v>44164.205801647724</v>
      </c>
      <c r="L46" s="5">
        <f t="shared" si="29"/>
        <v>55116.928840456363</v>
      </c>
      <c r="M46" s="5">
        <f t="shared" si="29"/>
        <v>68785.927192889547</v>
      </c>
    </row>
    <row r="47" spans="1:13" x14ac:dyDescent="0.25">
      <c r="B47" s="1" t="s">
        <v>47</v>
      </c>
      <c r="C47" s="5">
        <f t="shared" si="29"/>
        <v>6568.4210526315792</v>
      </c>
      <c r="D47" s="5">
        <f t="shared" si="29"/>
        <v>8197.3894736842103</v>
      </c>
      <c r="E47" s="5">
        <f t="shared" si="29"/>
        <v>10230.342063157896</v>
      </c>
      <c r="F47" s="5">
        <f t="shared" si="29"/>
        <v>12767.466894821053</v>
      </c>
      <c r="G47" s="5">
        <f t="shared" si="29"/>
        <v>15933.798684736676</v>
      </c>
      <c r="H47" s="5">
        <f t="shared" si="29"/>
        <v>19885.380758551368</v>
      </c>
      <c r="I47" s="5">
        <f t="shared" si="29"/>
        <v>24816.955186672109</v>
      </c>
      <c r="J47" s="5">
        <f t="shared" si="29"/>
        <v>30971.560072966793</v>
      </c>
      <c r="K47" s="5">
        <f t="shared" si="29"/>
        <v>38652.506971062561</v>
      </c>
      <c r="L47" s="5">
        <f t="shared" si="29"/>
        <v>48238.328699886079</v>
      </c>
      <c r="M47" s="5">
        <f t="shared" si="29"/>
        <v>60201.43421745782</v>
      </c>
    </row>
    <row r="48" spans="1:13" x14ac:dyDescent="0.25">
      <c r="B48" s="1" t="s">
        <v>67</v>
      </c>
      <c r="C48" s="5">
        <f>C23</f>
        <v>5158</v>
      </c>
      <c r="D48" s="5">
        <f>D23</f>
        <v>5158</v>
      </c>
      <c r="E48" s="5">
        <f>E23</f>
        <v>5158</v>
      </c>
      <c r="F48" s="5">
        <f t="shared" ref="F48:M49" si="30">F23</f>
        <v>5158</v>
      </c>
      <c r="G48" s="5">
        <f t="shared" si="30"/>
        <v>5158</v>
      </c>
      <c r="H48" s="5">
        <f t="shared" si="30"/>
        <v>5158</v>
      </c>
      <c r="I48" s="5">
        <f t="shared" si="30"/>
        <v>5158</v>
      </c>
      <c r="J48" s="5">
        <f t="shared" si="30"/>
        <v>5158</v>
      </c>
      <c r="K48" s="5">
        <f t="shared" si="30"/>
        <v>5158</v>
      </c>
      <c r="L48" s="5">
        <f t="shared" si="30"/>
        <v>5158</v>
      </c>
      <c r="M48" s="5">
        <f t="shared" si="30"/>
        <v>5158</v>
      </c>
    </row>
    <row r="49" spans="1:15" x14ac:dyDescent="0.25">
      <c r="B49" s="1" t="s">
        <v>74</v>
      </c>
      <c r="C49" s="5">
        <f>C24+10000</f>
        <v>26250</v>
      </c>
      <c r="D49" s="5">
        <f>D24</f>
        <v>20191.736842105267</v>
      </c>
      <c r="E49" s="5">
        <f>E24</f>
        <v>25091.376631578951</v>
      </c>
      <c r="F49" s="5">
        <f t="shared" si="30"/>
        <v>31182.078884210532</v>
      </c>
      <c r="G49" s="5">
        <f t="shared" si="30"/>
        <v>38753.835470359583</v>
      </c>
      <c r="H49" s="5">
        <f t="shared" si="30"/>
        <v>48167.340572953908</v>
      </c>
      <c r="I49" s="5">
        <f t="shared" si="30"/>
        <v>59871.249312815737</v>
      </c>
      <c r="J49" s="5">
        <f t="shared" si="30"/>
        <v>74423.653753742125</v>
      </c>
      <c r="K49" s="5">
        <f t="shared" si="30"/>
        <v>92518.807840326714</v>
      </c>
      <c r="L49" s="5">
        <f t="shared" si="30"/>
        <v>115020.38534915559</v>
      </c>
      <c r="M49" s="5">
        <f t="shared" si="30"/>
        <v>143002.86932846266</v>
      </c>
    </row>
    <row r="50" spans="1:15" x14ac:dyDescent="0.25">
      <c r="B50" s="1" t="s">
        <v>7</v>
      </c>
      <c r="C50" s="5">
        <f>C21</f>
        <v>30000</v>
      </c>
      <c r="D50" s="5">
        <f>D21</f>
        <v>30449.999999999996</v>
      </c>
      <c r="E50" s="5">
        <f>E21</f>
        <v>30906.749999999993</v>
      </c>
      <c r="F50" s="5">
        <f t="shared" ref="F50:M50" si="31">F21</f>
        <v>31370.351249999989</v>
      </c>
      <c r="G50" s="5">
        <f t="shared" si="31"/>
        <v>31840.906518749987</v>
      </c>
      <c r="H50" s="5">
        <f t="shared" si="31"/>
        <v>32318.520116531236</v>
      </c>
      <c r="I50" s="5">
        <f t="shared" si="31"/>
        <v>32803.297918279204</v>
      </c>
      <c r="J50" s="5">
        <f t="shared" si="31"/>
        <v>33295.347387053393</v>
      </c>
      <c r="K50" s="5">
        <f t="shared" si="31"/>
        <v>33794.777597859189</v>
      </c>
      <c r="L50" s="5">
        <f t="shared" si="31"/>
        <v>34301.699261827074</v>
      </c>
      <c r="M50" s="5">
        <f t="shared" si="31"/>
        <v>34816.224750754474</v>
      </c>
    </row>
    <row r="51" spans="1:15" x14ac:dyDescent="0.25">
      <c r="B51" s="1" t="s">
        <v>8</v>
      </c>
      <c r="C51" s="5">
        <f>SUM(C40:C50)</f>
        <v>236143.23684210528</v>
      </c>
      <c r="D51" s="5">
        <f>SUM(D40:D50)</f>
        <v>237429.53489473683</v>
      </c>
      <c r="E51" s="5">
        <f>SUM(E40:E50)</f>
        <v>251350.89138073687</v>
      </c>
      <c r="F51" s="5">
        <f t="shared" ref="F51:M51" si="32">SUM(F40:F50)</f>
        <v>268552.29708064906</v>
      </c>
      <c r="G51" s="5">
        <f t="shared" si="32"/>
        <v>289837.29184233572</v>
      </c>
      <c r="H51" s="5">
        <f t="shared" si="32"/>
        <v>316206.97308212239</v>
      </c>
      <c r="I51" s="5">
        <f t="shared" si="32"/>
        <v>348908.60699361988</v>
      </c>
      <c r="J51" s="5">
        <f t="shared" si="32"/>
        <v>389496.20747018489</v>
      </c>
      <c r="K51" s="5">
        <f t="shared" si="32"/>
        <v>439906.03045845049</v>
      </c>
      <c r="L51" s="5">
        <f t="shared" si="32"/>
        <v>502550.65780023159</v>
      </c>
      <c r="M51" s="5">
        <f t="shared" si="32"/>
        <v>580436.25000265834</v>
      </c>
    </row>
    <row r="52" spans="1:15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5" x14ac:dyDescent="0.25">
      <c r="A53" s="1" t="s">
        <v>65</v>
      </c>
      <c r="C53" s="23">
        <f>$O$53*C69</f>
        <v>7000</v>
      </c>
      <c r="D53" s="23">
        <f>$O$53*D69</f>
        <v>7000</v>
      </c>
      <c r="E53" s="23">
        <f>$O$53*E69</f>
        <v>7000</v>
      </c>
      <c r="F53" s="23">
        <f t="shared" ref="F53:M53" si="33">$O$53*F69</f>
        <v>7000</v>
      </c>
      <c r="G53" s="23">
        <f t="shared" si="33"/>
        <v>7000</v>
      </c>
      <c r="H53" s="23">
        <f t="shared" si="33"/>
        <v>7000</v>
      </c>
      <c r="I53" s="23">
        <f t="shared" si="33"/>
        <v>7000</v>
      </c>
      <c r="J53" s="23">
        <f t="shared" si="33"/>
        <v>7000</v>
      </c>
      <c r="K53" s="23">
        <f t="shared" si="33"/>
        <v>7000</v>
      </c>
      <c r="L53" s="23">
        <f t="shared" si="33"/>
        <v>7000</v>
      </c>
      <c r="M53" s="23">
        <f t="shared" si="33"/>
        <v>7000</v>
      </c>
      <c r="O53" s="32">
        <f>1/10</f>
        <v>0.1</v>
      </c>
    </row>
    <row r="54" spans="1:15" x14ac:dyDescent="0.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5" x14ac:dyDescent="0.25">
      <c r="A55" s="21" t="s">
        <v>9</v>
      </c>
      <c r="B55" s="21"/>
      <c r="C55" s="22">
        <f>SUM(C32:C34)-SUM(C36:C38)-C51-C53</f>
        <v>-51222.184210526349</v>
      </c>
      <c r="D55" s="22">
        <f>SUM(D32:D34)-SUM(D36:D38)-D51-D53</f>
        <v>-6098.4822631578718</v>
      </c>
      <c r="E55" s="22">
        <f>SUM(E32:E34)-SUM(E36:E38)-E51-E53</f>
        <v>37629.304408736847</v>
      </c>
      <c r="F55" s="22">
        <f t="shared" ref="F55:M55" si="34">SUM(F32:F34)-SUM(F36:F38)-F51-F53</f>
        <v>92041.537538298406</v>
      </c>
      <c r="G55" s="22">
        <f t="shared" si="34"/>
        <v>159721.67417827906</v>
      </c>
      <c r="H55" s="22">
        <f t="shared" si="34"/>
        <v>243878.06031946256</v>
      </c>
      <c r="I55" s="22">
        <f t="shared" si="34"/>
        <v>348495.24043823878</v>
      </c>
      <c r="J55" s="22">
        <f t="shared" si="34"/>
        <v>478521.94298787438</v>
      </c>
      <c r="K55" s="22">
        <f t="shared" si="34"/>
        <v>640104.64031624119</v>
      </c>
      <c r="L55" s="22">
        <f t="shared" si="34"/>
        <v>840877.7424242238</v>
      </c>
      <c r="M55" s="22">
        <f t="shared" si="34"/>
        <v>1090324.1701180148</v>
      </c>
    </row>
    <row r="56" spans="1:15" x14ac:dyDescent="0.2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5" x14ac:dyDescent="0.25">
      <c r="A57" s="1" t="s">
        <v>10</v>
      </c>
      <c r="C57" s="5">
        <f>+C77*$O$57</f>
        <v>5438.72</v>
      </c>
      <c r="D57" s="5">
        <f>+D77*$O$57</f>
        <v>5094.9500000000007</v>
      </c>
      <c r="E57" s="5">
        <f>+E77*$O$57</f>
        <v>3708.5279439937217</v>
      </c>
      <c r="F57" s="5">
        <f t="shared" ref="F57:M57" si="35">+F77*$O$57</f>
        <v>1649.2732440584859</v>
      </c>
      <c r="G57" s="5">
        <f t="shared" si="35"/>
        <v>0</v>
      </c>
      <c r="H57" s="5">
        <f t="shared" si="35"/>
        <v>0</v>
      </c>
      <c r="I57" s="5">
        <f t="shared" si="35"/>
        <v>0</v>
      </c>
      <c r="J57" s="5">
        <f t="shared" si="35"/>
        <v>0</v>
      </c>
      <c r="K57" s="5">
        <f t="shared" si="35"/>
        <v>0</v>
      </c>
      <c r="L57" s="5">
        <f t="shared" si="35"/>
        <v>0</v>
      </c>
      <c r="M57" s="5">
        <f t="shared" si="35"/>
        <v>0</v>
      </c>
      <c r="O57" s="9">
        <v>7.0000000000000007E-2</v>
      </c>
    </row>
    <row r="58" spans="1:15" x14ac:dyDescent="0.2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5" x14ac:dyDescent="0.25">
      <c r="A59" s="1" t="s">
        <v>11</v>
      </c>
      <c r="C59" s="5">
        <f>+C55-C57</f>
        <v>-56660.904210526351</v>
      </c>
      <c r="D59" s="5">
        <f>+D55-D57</f>
        <v>-11193.432263157873</v>
      </c>
      <c r="E59" s="5">
        <f>+E55-E57</f>
        <v>33920.776464743125</v>
      </c>
      <c r="F59" s="5">
        <f t="shared" ref="F59:M59" si="36">+F55-F57</f>
        <v>90392.264294239925</v>
      </c>
      <c r="G59" s="5">
        <f t="shared" si="36"/>
        <v>159721.67417827906</v>
      </c>
      <c r="H59" s="5">
        <f t="shared" si="36"/>
        <v>243878.06031946256</v>
      </c>
      <c r="I59" s="5">
        <f t="shared" si="36"/>
        <v>348495.24043823878</v>
      </c>
      <c r="J59" s="5">
        <f t="shared" si="36"/>
        <v>478521.94298787438</v>
      </c>
      <c r="K59" s="5">
        <f t="shared" si="36"/>
        <v>640104.64031624119</v>
      </c>
      <c r="L59" s="5">
        <f t="shared" si="36"/>
        <v>840877.7424242238</v>
      </c>
      <c r="M59" s="5">
        <f t="shared" si="36"/>
        <v>1090324.1701180148</v>
      </c>
    </row>
    <row r="60" spans="1:15" x14ac:dyDescent="0.25">
      <c r="A60" s="1" t="s">
        <v>12</v>
      </c>
      <c r="C60" s="5">
        <f>IF(C59&gt;0,C59*$O$60,0)</f>
        <v>0</v>
      </c>
      <c r="D60" s="5">
        <f>IF(D59&gt;0,D59*$O$60,0)</f>
        <v>0</v>
      </c>
      <c r="E60" s="5">
        <f>IF(E59&gt;0,E59*$O$60,0)</f>
        <v>15400.03251499338</v>
      </c>
      <c r="F60" s="5">
        <f t="shared" ref="F60:M60" si="37">IF(F59&gt;0,F59*$O$60,0)</f>
        <v>41038.087989584928</v>
      </c>
      <c r="G60" s="5">
        <f t="shared" si="37"/>
        <v>72513.640076938696</v>
      </c>
      <c r="H60" s="5">
        <f t="shared" si="37"/>
        <v>110720.639385036</v>
      </c>
      <c r="I60" s="5">
        <f t="shared" si="37"/>
        <v>158216.83915896041</v>
      </c>
      <c r="J60" s="5">
        <f t="shared" si="37"/>
        <v>217248.96211649498</v>
      </c>
      <c r="K60" s="5">
        <f t="shared" si="37"/>
        <v>290607.50670357351</v>
      </c>
      <c r="L60" s="5">
        <f t="shared" si="37"/>
        <v>381758.4950605976</v>
      </c>
      <c r="M60" s="5">
        <f t="shared" si="37"/>
        <v>495007.17323357874</v>
      </c>
      <c r="O60" s="9">
        <f>0.38+0.074</f>
        <v>0.45400000000000001</v>
      </c>
    </row>
    <row r="61" spans="1:15" x14ac:dyDescent="0.25">
      <c r="A61" s="2" t="s">
        <v>13</v>
      </c>
      <c r="C61" s="22">
        <f>+C59-C60</f>
        <v>-56660.904210526351</v>
      </c>
      <c r="D61" s="22">
        <f>+D59-D60</f>
        <v>-11193.432263157873</v>
      </c>
      <c r="E61" s="22">
        <f>+E59-E60</f>
        <v>18520.743949749747</v>
      </c>
      <c r="F61" s="22">
        <f t="shared" ref="F61:M61" si="38">+F59-F60</f>
        <v>49354.176304654997</v>
      </c>
      <c r="G61" s="22">
        <f t="shared" si="38"/>
        <v>87208.034101340367</v>
      </c>
      <c r="H61" s="22">
        <f t="shared" si="38"/>
        <v>133157.42093442654</v>
      </c>
      <c r="I61" s="22">
        <f t="shared" si="38"/>
        <v>190278.40127927836</v>
      </c>
      <c r="J61" s="22">
        <f t="shared" si="38"/>
        <v>261272.9808713794</v>
      </c>
      <c r="K61" s="22">
        <f t="shared" si="38"/>
        <v>349497.13361266768</v>
      </c>
      <c r="L61" s="22">
        <f t="shared" si="38"/>
        <v>459119.2473636262</v>
      </c>
      <c r="M61" s="22">
        <f t="shared" si="38"/>
        <v>595316.99688443611</v>
      </c>
    </row>
    <row r="63" spans="1:15" x14ac:dyDescent="0.25">
      <c r="A63" s="2" t="s">
        <v>14</v>
      </c>
    </row>
    <row r="64" spans="1:15" x14ac:dyDescent="0.25">
      <c r="A64" s="2" t="s">
        <v>15</v>
      </c>
    </row>
    <row r="65" spans="1:15" x14ac:dyDescent="0.25">
      <c r="A65" s="1" t="s">
        <v>16</v>
      </c>
      <c r="C65" s="5">
        <v>6000</v>
      </c>
      <c r="D65" s="5">
        <v>6000</v>
      </c>
      <c r="E65" s="5">
        <v>6000</v>
      </c>
      <c r="F65" s="5">
        <v>6000</v>
      </c>
      <c r="G65" s="5">
        <v>6000</v>
      </c>
      <c r="H65" s="5">
        <v>6000</v>
      </c>
      <c r="I65" s="5">
        <v>6000</v>
      </c>
      <c r="J65" s="5">
        <v>6000</v>
      </c>
      <c r="K65" s="5">
        <v>6000</v>
      </c>
      <c r="L65" s="5">
        <v>6000</v>
      </c>
      <c r="M65" s="5">
        <v>6000</v>
      </c>
      <c r="O65" s="5">
        <v>6000</v>
      </c>
    </row>
    <row r="66" spans="1:15" x14ac:dyDescent="0.25">
      <c r="A66" s="1" t="s">
        <v>56</v>
      </c>
      <c r="C66" s="5"/>
      <c r="D66" s="5"/>
      <c r="E66" s="5"/>
      <c r="F66" s="5"/>
      <c r="G66" s="5">
        <v>10916</v>
      </c>
      <c r="H66" s="5">
        <v>51157</v>
      </c>
      <c r="I66" s="5">
        <v>99485</v>
      </c>
      <c r="J66" s="5">
        <v>157856</v>
      </c>
      <c r="K66" s="5">
        <v>228695</v>
      </c>
      <c r="L66" s="5">
        <v>315017</v>
      </c>
      <c r="M66" s="5">
        <v>420567</v>
      </c>
      <c r="O66" s="5"/>
    </row>
    <row r="67" spans="1:15" x14ac:dyDescent="0.25">
      <c r="A67" s="1" t="s">
        <v>64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O67" s="5"/>
    </row>
    <row r="68" spans="1:15" x14ac:dyDescent="0.25">
      <c r="A68" s="1" t="s">
        <v>83</v>
      </c>
      <c r="C68" s="37">
        <f>SUM(C36:C38)/365*C28</f>
        <v>18959.192501802452</v>
      </c>
      <c r="D68" s="37">
        <f>SUM(D36:D38)/365*D28</f>
        <v>23578.607065609231</v>
      </c>
      <c r="E68" s="37">
        <f>SUM(E36:E38)/365*E28</f>
        <v>29326.195933669791</v>
      </c>
      <c r="F68" s="37">
        <f t="shared" ref="F68:M68" si="39">SUM(F36:F38)/365*F28</f>
        <v>36478.034628475849</v>
      </c>
      <c r="G68" s="37">
        <f t="shared" si="39"/>
        <v>45377.8702906904</v>
      </c>
      <c r="H68" s="37">
        <f t="shared" si="39"/>
        <v>56453.732764355191</v>
      </c>
      <c r="I68" s="37">
        <f t="shared" si="39"/>
        <v>70238.627996908792</v>
      </c>
      <c r="J68" s="37">
        <f t="shared" si="39"/>
        <v>87396.318027596499</v>
      </c>
      <c r="K68" s="37">
        <f t="shared" si="39"/>
        <v>108753.43910590633</v>
      </c>
      <c r="L68" s="37">
        <f t="shared" si="39"/>
        <v>135339.51767520583</v>
      </c>
      <c r="M68" s="37">
        <f t="shared" si="39"/>
        <v>168436.82809678398</v>
      </c>
    </row>
    <row r="69" spans="1:15" x14ac:dyDescent="0.25">
      <c r="A69" s="1" t="s">
        <v>17</v>
      </c>
      <c r="C69" s="5">
        <v>70000</v>
      </c>
      <c r="D69" s="5">
        <v>70000</v>
      </c>
      <c r="E69" s="5">
        <v>70000</v>
      </c>
      <c r="F69" s="5">
        <v>70000</v>
      </c>
      <c r="G69" s="5">
        <v>70000</v>
      </c>
      <c r="H69" s="5">
        <v>70000</v>
      </c>
      <c r="I69" s="5">
        <v>70000</v>
      </c>
      <c r="J69" s="5">
        <v>70000</v>
      </c>
      <c r="K69" s="5">
        <v>70000</v>
      </c>
      <c r="L69" s="5">
        <v>70000</v>
      </c>
      <c r="M69" s="5">
        <v>70000</v>
      </c>
    </row>
    <row r="70" spans="1:15" x14ac:dyDescent="0.25">
      <c r="A70" s="1" t="s">
        <v>63</v>
      </c>
      <c r="C70" s="16">
        <f>C53</f>
        <v>7000</v>
      </c>
      <c r="D70" s="16">
        <f>C70+D53</f>
        <v>14000</v>
      </c>
      <c r="E70" s="16">
        <f>D70+E53</f>
        <v>21000</v>
      </c>
      <c r="F70" s="16">
        <f t="shared" ref="F70:M70" si="40">E70+F53</f>
        <v>28000</v>
      </c>
      <c r="G70" s="16">
        <f t="shared" si="40"/>
        <v>35000</v>
      </c>
      <c r="H70" s="16">
        <f t="shared" si="40"/>
        <v>42000</v>
      </c>
      <c r="I70" s="16">
        <f t="shared" si="40"/>
        <v>49000</v>
      </c>
      <c r="J70" s="16">
        <f t="shared" si="40"/>
        <v>56000</v>
      </c>
      <c r="K70" s="16">
        <f t="shared" si="40"/>
        <v>63000</v>
      </c>
      <c r="L70" s="16">
        <f t="shared" si="40"/>
        <v>70000</v>
      </c>
      <c r="M70" s="16">
        <f t="shared" si="40"/>
        <v>77000</v>
      </c>
    </row>
    <row r="71" spans="1:15" x14ac:dyDescent="0.25">
      <c r="A71" s="2" t="s">
        <v>18</v>
      </c>
      <c r="C71" s="24">
        <f>SUM(C65:C69)-C70</f>
        <v>87959.192501802449</v>
      </c>
      <c r="D71" s="24">
        <f>SUM(D65:D69)-D70</f>
        <v>85578.607065609234</v>
      </c>
      <c r="E71" s="24">
        <f>SUM(E65:E69)-E70</f>
        <v>84326.195933669791</v>
      </c>
      <c r="F71" s="24">
        <f t="shared" ref="F71:M71" si="41">SUM(F65:F69)-F70</f>
        <v>84478.034628475842</v>
      </c>
      <c r="G71" s="24">
        <f t="shared" si="41"/>
        <v>97293.870290690393</v>
      </c>
      <c r="H71" s="24">
        <f t="shared" si="41"/>
        <v>141610.7327643552</v>
      </c>
      <c r="I71" s="24">
        <f t="shared" si="41"/>
        <v>196723.62799690879</v>
      </c>
      <c r="J71" s="24">
        <f t="shared" si="41"/>
        <v>265252.31802759651</v>
      </c>
      <c r="K71" s="24">
        <f t="shared" si="41"/>
        <v>350448.43910590635</v>
      </c>
      <c r="L71" s="24">
        <f t="shared" si="41"/>
        <v>456356.51767520583</v>
      </c>
      <c r="M71" s="24">
        <f t="shared" si="41"/>
        <v>588003.82809678395</v>
      </c>
    </row>
    <row r="73" spans="1:15" x14ac:dyDescent="0.25">
      <c r="A73" s="2" t="s">
        <v>19</v>
      </c>
    </row>
    <row r="74" spans="1:15" x14ac:dyDescent="0.25">
      <c r="A74" s="1" t="s">
        <v>20</v>
      </c>
      <c r="C74" s="23">
        <f>C27*SUM(C36:C37)/365</f>
        <v>10263.157894736842</v>
      </c>
      <c r="D74" s="23">
        <f>D27*SUM(D36:D37)/365</f>
        <v>12793.237202595532</v>
      </c>
      <c r="E74" s="23">
        <f>E27*SUM(E36:E37)/365</f>
        <v>15947.192790194664</v>
      </c>
      <c r="F74" s="23">
        <f t="shared" ref="F74:M74" si="42">F27*SUM(F36:F37)/365</f>
        <v>19878.900295198269</v>
      </c>
      <c r="G74" s="23">
        <f t="shared" si="42"/>
        <v>24780.196932999104</v>
      </c>
      <c r="H74" s="23">
        <f t="shared" si="42"/>
        <v>30890.248867018185</v>
      </c>
      <c r="I74" s="23">
        <f t="shared" si="42"/>
        <v>38507.230571007924</v>
      </c>
      <c r="J74" s="23">
        <f t="shared" si="42"/>
        <v>48002.886934039852</v>
      </c>
      <c r="K74" s="23">
        <f t="shared" si="42"/>
        <v>59840.68978591929</v>
      </c>
      <c r="L74" s="23">
        <f t="shared" si="42"/>
        <v>74598.476251632892</v>
      </c>
      <c r="M74" s="23">
        <f t="shared" si="42"/>
        <v>92996.675474961565</v>
      </c>
    </row>
    <row r="75" spans="1:15" x14ac:dyDescent="0.25">
      <c r="A75" s="1" t="s">
        <v>21</v>
      </c>
      <c r="C75" s="5">
        <f>+C60</f>
        <v>0</v>
      </c>
      <c r="D75" s="5">
        <f>+D60</f>
        <v>0</v>
      </c>
      <c r="E75" s="5">
        <f>+E60</f>
        <v>15400.03251499338</v>
      </c>
      <c r="F75" s="5">
        <f t="shared" ref="F75:M75" si="43">+F60</f>
        <v>41038.087989584928</v>
      </c>
      <c r="G75" s="5">
        <f t="shared" si="43"/>
        <v>72513.640076938696</v>
      </c>
      <c r="H75" s="5">
        <f t="shared" si="43"/>
        <v>110720.639385036</v>
      </c>
      <c r="I75" s="5">
        <f t="shared" si="43"/>
        <v>158216.83915896041</v>
      </c>
      <c r="J75" s="5">
        <f t="shared" si="43"/>
        <v>217248.96211649498</v>
      </c>
      <c r="K75" s="5">
        <f t="shared" si="43"/>
        <v>290607.50670357351</v>
      </c>
      <c r="L75" s="5">
        <f t="shared" si="43"/>
        <v>381758.4950605976</v>
      </c>
      <c r="M75" s="5">
        <f t="shared" si="43"/>
        <v>495007.17323357874</v>
      </c>
    </row>
    <row r="76" spans="1:15" x14ac:dyDescent="0.25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5" x14ac:dyDescent="0.25">
      <c r="A77" s="1" t="s">
        <v>22</v>
      </c>
      <c r="C77" s="5">
        <v>77696</v>
      </c>
      <c r="D77" s="5">
        <v>72785</v>
      </c>
      <c r="E77" s="5">
        <v>52978.970628481737</v>
      </c>
      <c r="F77" s="5">
        <v>23561.046343692655</v>
      </c>
      <c r="G77" s="5"/>
      <c r="H77" s="5"/>
      <c r="I77" s="5"/>
      <c r="J77" s="5"/>
      <c r="K77" s="5"/>
      <c r="L77" s="5"/>
      <c r="M77" s="5"/>
    </row>
    <row r="78" spans="1:15" x14ac:dyDescent="0.25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5" x14ac:dyDescent="0.25">
      <c r="A79" s="1" t="s">
        <v>62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5" x14ac:dyDescent="0.25">
      <c r="A80" s="2" t="s">
        <v>23</v>
      </c>
      <c r="C80" s="25">
        <f>SUM(C74:C79)</f>
        <v>87959.15789473684</v>
      </c>
      <c r="D80" s="25">
        <f>SUM(D74:D79)</f>
        <v>85578.237202595526</v>
      </c>
      <c r="E80" s="25">
        <f>SUM(E74:E79)</f>
        <v>84326.195933669776</v>
      </c>
      <c r="F80" s="25">
        <f t="shared" ref="F80:M80" si="44">SUM(F74:F79)</f>
        <v>84478.034628475856</v>
      </c>
      <c r="G80" s="25">
        <f t="shared" si="44"/>
        <v>97293.837009937793</v>
      </c>
      <c r="H80" s="25">
        <f t="shared" si="44"/>
        <v>141610.8882520542</v>
      </c>
      <c r="I80" s="25">
        <f t="shared" si="44"/>
        <v>196724.06972996832</v>
      </c>
      <c r="J80" s="25">
        <f t="shared" si="44"/>
        <v>265251.84905053483</v>
      </c>
      <c r="K80" s="25">
        <f t="shared" si="44"/>
        <v>350448.19648949278</v>
      </c>
      <c r="L80" s="25">
        <f t="shared" si="44"/>
        <v>456356.97131223051</v>
      </c>
      <c r="M80" s="25">
        <f t="shared" si="44"/>
        <v>588003.84870854032</v>
      </c>
    </row>
    <row r="82" spans="1:13" x14ac:dyDescent="0.25">
      <c r="C82" s="6">
        <f>+C71-C80</f>
        <v>3.4607065608724952E-2</v>
      </c>
      <c r="D82" s="6">
        <f>+D71-D80</f>
        <v>0.36986301370779984</v>
      </c>
      <c r="E82" s="6">
        <f>+E71-E80</f>
        <v>0</v>
      </c>
      <c r="F82" s="6">
        <f t="shared" ref="F82:M82" si="45">+F71-F80</f>
        <v>0</v>
      </c>
      <c r="G82" s="6">
        <f t="shared" si="45"/>
        <v>3.3280752599239349E-2</v>
      </c>
      <c r="H82" s="6">
        <f t="shared" si="45"/>
        <v>-0.15548769899760373</v>
      </c>
      <c r="I82" s="6">
        <f t="shared" si="45"/>
        <v>-0.4417330595315434</v>
      </c>
      <c r="J82" s="6">
        <f t="shared" si="45"/>
        <v>0.46897706168238074</v>
      </c>
      <c r="K82" s="6">
        <f t="shared" si="45"/>
        <v>0.24261641356861219</v>
      </c>
      <c r="L82" s="6">
        <f t="shared" si="45"/>
        <v>-0.45363702467875555</v>
      </c>
      <c r="M82" s="6">
        <f t="shared" si="45"/>
        <v>-2.0611756364814937E-2</v>
      </c>
    </row>
    <row r="83" spans="1:13" x14ac:dyDescent="0.25">
      <c r="C83" s="6"/>
      <c r="D83" s="6"/>
      <c r="E83" s="6"/>
      <c r="F83" s="6"/>
    </row>
    <row r="85" spans="1:13" x14ac:dyDescent="0.25">
      <c r="A85" s="7" t="s">
        <v>28</v>
      </c>
      <c r="B85" s="8"/>
      <c r="C85" s="8"/>
      <c r="D85" s="8"/>
    </row>
    <row r="86" spans="1:13" x14ac:dyDescent="0.25">
      <c r="A86" s="8"/>
      <c r="B86" s="8"/>
      <c r="C86" s="7" t="s">
        <v>29</v>
      </c>
      <c r="D86" s="7" t="s">
        <v>30</v>
      </c>
    </row>
    <row r="87" spans="1:13" x14ac:dyDescent="0.25">
      <c r="A87" s="8" t="s">
        <v>24</v>
      </c>
      <c r="B87" s="8"/>
      <c r="C87" s="8"/>
      <c r="D87" s="8"/>
    </row>
    <row r="88" spans="1:13" x14ac:dyDescent="0.25">
      <c r="A88" s="8"/>
      <c r="B88" s="8" t="s">
        <v>35</v>
      </c>
      <c r="C88" s="8"/>
      <c r="D88" s="10">
        <f>C3</f>
        <v>0.4</v>
      </c>
    </row>
    <row r="89" spans="1:13" x14ac:dyDescent="0.25">
      <c r="A89" s="8"/>
      <c r="B89" s="8" t="s">
        <v>50</v>
      </c>
      <c r="C89" s="8"/>
      <c r="D89" s="10">
        <f>C5</f>
        <v>0.45</v>
      </c>
    </row>
    <row r="90" spans="1:13" x14ac:dyDescent="0.25">
      <c r="A90" s="8"/>
      <c r="B90" s="8" t="s">
        <v>68</v>
      </c>
      <c r="C90" s="8"/>
      <c r="D90" s="10">
        <f>O11</f>
        <v>0.6</v>
      </c>
    </row>
    <row r="91" spans="1:13" x14ac:dyDescent="0.25">
      <c r="A91" s="8" t="s">
        <v>25</v>
      </c>
      <c r="B91" s="8"/>
      <c r="C91" s="8"/>
      <c r="D91" s="8"/>
    </row>
    <row r="92" spans="1:13" x14ac:dyDescent="0.25">
      <c r="A92" s="8"/>
      <c r="B92" s="8" t="s">
        <v>41</v>
      </c>
      <c r="C92" s="11"/>
      <c r="D92" s="10">
        <f>SUM($D$88:$D$90)*E92</f>
        <v>5.2283653846153853E-4</v>
      </c>
      <c r="E92" s="28">
        <f>O14</f>
        <v>3.605769230769231E-4</v>
      </c>
    </row>
    <row r="93" spans="1:13" x14ac:dyDescent="0.25">
      <c r="A93" s="8"/>
      <c r="B93" s="8" t="s">
        <v>54</v>
      </c>
      <c r="C93" s="8"/>
      <c r="D93" s="8"/>
    </row>
    <row r="94" spans="1:13" x14ac:dyDescent="0.25">
      <c r="A94" s="8"/>
      <c r="B94" s="8" t="s">
        <v>44</v>
      </c>
      <c r="C94" s="8"/>
      <c r="D94" s="8"/>
    </row>
    <row r="95" spans="1:13" x14ac:dyDescent="0.25">
      <c r="A95" s="8"/>
      <c r="B95" s="8" t="s">
        <v>43</v>
      </c>
      <c r="C95" s="8"/>
      <c r="D95" s="8"/>
    </row>
    <row r="96" spans="1:13" x14ac:dyDescent="0.25">
      <c r="A96" s="8"/>
      <c r="B96" s="8" t="s">
        <v>45</v>
      </c>
      <c r="C96" s="8"/>
      <c r="D96" s="10">
        <f>SUM($D$88:$D$90)*E96</f>
        <v>3.5552884615384618E-2</v>
      </c>
      <c r="E96" s="9">
        <f>O17</f>
        <v>2.4519230769230769E-2</v>
      </c>
    </row>
    <row r="97" spans="1:5" x14ac:dyDescent="0.25">
      <c r="A97" s="8"/>
      <c r="B97" s="8" t="s">
        <v>42</v>
      </c>
      <c r="C97" s="8"/>
      <c r="D97" s="11"/>
      <c r="E97" s="9"/>
    </row>
    <row r="98" spans="1:5" x14ac:dyDescent="0.25">
      <c r="A98" s="8"/>
      <c r="B98" s="8" t="s">
        <v>46</v>
      </c>
      <c r="C98" s="8"/>
      <c r="D98" s="10">
        <f>SUM($D$88:$D$90)*E98</f>
        <v>4.9702932692307696E-2</v>
      </c>
      <c r="E98" s="9">
        <f>O19</f>
        <v>3.4277884615384613E-2</v>
      </c>
    </row>
    <row r="99" spans="1:5" x14ac:dyDescent="0.25">
      <c r="A99" s="8"/>
      <c r="B99" s="8" t="s">
        <v>47</v>
      </c>
      <c r="C99" s="8"/>
      <c r="D99" s="10">
        <f>SUM($D$88:$D$90)*E99</f>
        <v>4.3500000000000004E-2</v>
      </c>
      <c r="E99" s="9">
        <f>O20</f>
        <v>0.03</v>
      </c>
    </row>
    <row r="100" spans="1:5" x14ac:dyDescent="0.25">
      <c r="A100" s="8"/>
      <c r="B100" s="8" t="s">
        <v>7</v>
      </c>
      <c r="C100" s="8"/>
      <c r="D100" s="8"/>
    </row>
    <row r="101" spans="1:5" x14ac:dyDescent="0.25">
      <c r="A101" s="8"/>
      <c r="B101" s="8"/>
      <c r="C101" s="8"/>
      <c r="D101" s="8"/>
    </row>
    <row r="102" spans="1:5" x14ac:dyDescent="0.25">
      <c r="A102" s="12" t="s">
        <v>32</v>
      </c>
      <c r="B102" s="8"/>
      <c r="C102" s="8"/>
      <c r="D102" s="71">
        <f>SUM(D88:D90)-SUM(D92:D99)</f>
        <v>1.3207213461538463</v>
      </c>
    </row>
    <row r="103" spans="1:5" x14ac:dyDescent="0.25">
      <c r="A103" s="8"/>
      <c r="B103" s="8"/>
      <c r="C103" s="8"/>
      <c r="D103" s="8"/>
    </row>
    <row r="104" spans="1:5" x14ac:dyDescent="0.25">
      <c r="A104" s="8" t="s">
        <v>26</v>
      </c>
      <c r="B104" s="8"/>
      <c r="C104" s="8"/>
      <c r="D104" s="8"/>
    </row>
    <row r="105" spans="1:5" x14ac:dyDescent="0.25">
      <c r="A105" s="8"/>
      <c r="B105" s="8" t="s">
        <v>41</v>
      </c>
      <c r="C105" s="11"/>
      <c r="D105" s="8"/>
    </row>
    <row r="106" spans="1:5" x14ac:dyDescent="0.25">
      <c r="A106" s="8"/>
      <c r="B106" s="8" t="s">
        <v>54</v>
      </c>
      <c r="C106" s="11">
        <f>C41</f>
        <v>80000</v>
      </c>
      <c r="D106" s="8"/>
    </row>
    <row r="107" spans="1:5" x14ac:dyDescent="0.25">
      <c r="A107" s="8"/>
      <c r="B107" s="8" t="s">
        <v>44</v>
      </c>
      <c r="C107" s="11">
        <f>C42</f>
        <v>5031.5</v>
      </c>
      <c r="D107" s="8"/>
    </row>
    <row r="108" spans="1:5" x14ac:dyDescent="0.25">
      <c r="A108" s="8"/>
      <c r="B108" s="8" t="s">
        <v>43</v>
      </c>
      <c r="C108" s="11">
        <f>C43</f>
        <v>62400</v>
      </c>
      <c r="D108" s="8"/>
    </row>
    <row r="109" spans="1:5" x14ac:dyDescent="0.25">
      <c r="A109" s="8"/>
      <c r="B109" s="8" t="s">
        <v>45</v>
      </c>
      <c r="C109" s="11"/>
      <c r="D109" s="8"/>
    </row>
    <row r="110" spans="1:5" x14ac:dyDescent="0.25">
      <c r="A110" s="8"/>
      <c r="B110" s="8" t="s">
        <v>42</v>
      </c>
      <c r="C110" s="11">
        <f>C45</f>
        <v>7782.8947368421059</v>
      </c>
      <c r="D110" s="8"/>
    </row>
    <row r="111" spans="1:5" x14ac:dyDescent="0.25">
      <c r="A111" s="8"/>
      <c r="B111" s="8" t="s">
        <v>46</v>
      </c>
      <c r="C111" s="11"/>
      <c r="D111" s="8"/>
    </row>
    <row r="112" spans="1:5" x14ac:dyDescent="0.25">
      <c r="A112" s="8"/>
      <c r="B112" s="8" t="s">
        <v>47</v>
      </c>
      <c r="C112" s="11">
        <f>C47</f>
        <v>6568.4210526315792</v>
      </c>
      <c r="D112" s="8"/>
    </row>
    <row r="113" spans="1:11" x14ac:dyDescent="0.25">
      <c r="A113" s="8"/>
      <c r="B113" s="8" t="s">
        <v>7</v>
      </c>
      <c r="C113" s="11">
        <f>C50</f>
        <v>30000</v>
      </c>
      <c r="D113" s="8"/>
    </row>
    <row r="114" spans="1:11" x14ac:dyDescent="0.25">
      <c r="A114" s="8"/>
      <c r="B114" s="8" t="s">
        <v>76</v>
      </c>
      <c r="C114" s="11">
        <f>C49</f>
        <v>26250</v>
      </c>
      <c r="D114" s="8"/>
    </row>
    <row r="115" spans="1:11" x14ac:dyDescent="0.25">
      <c r="A115" s="8"/>
      <c r="B115" s="8" t="s">
        <v>77</v>
      </c>
      <c r="C115" s="11">
        <f>C48</f>
        <v>5158</v>
      </c>
      <c r="D115" s="8"/>
    </row>
    <row r="116" spans="1:11" x14ac:dyDescent="0.25">
      <c r="A116" s="8"/>
      <c r="B116" s="8" t="s">
        <v>31</v>
      </c>
      <c r="C116" s="11">
        <f>SUM(C106:C115)</f>
        <v>223190.81578947368</v>
      </c>
      <c r="D116" s="8"/>
    </row>
    <row r="117" spans="1:11" x14ac:dyDescent="0.25">
      <c r="A117" s="8"/>
      <c r="B117" s="8"/>
      <c r="C117" s="8"/>
      <c r="D117" s="8"/>
    </row>
    <row r="118" spans="1:11" x14ac:dyDescent="0.25">
      <c r="A118" s="12" t="s">
        <v>27</v>
      </c>
      <c r="B118" s="8"/>
      <c r="C118" s="8"/>
      <c r="D118" s="27">
        <f>C116/D102</f>
        <v>168991.60177840796</v>
      </c>
    </row>
    <row r="120" spans="1:11" x14ac:dyDescent="0.25">
      <c r="A120" s="39" t="s">
        <v>84</v>
      </c>
      <c r="B120" s="40"/>
      <c r="C120" s="41"/>
      <c r="D120" s="42"/>
      <c r="E120" s="43"/>
    </row>
    <row r="121" spans="1:11" x14ac:dyDescent="0.25">
      <c r="A121" s="40"/>
      <c r="B121" s="40"/>
      <c r="C121" s="41"/>
      <c r="D121" s="42"/>
      <c r="E121" s="43"/>
    </row>
    <row r="122" spans="1:11" x14ac:dyDescent="0.25">
      <c r="A122" s="40" t="s">
        <v>85</v>
      </c>
      <c r="B122" s="40"/>
      <c r="C122" s="44">
        <f>H124+H123*(H125-H124)</f>
        <v>0.10199999999999999</v>
      </c>
      <c r="D122" s="42"/>
      <c r="G122" s="1" t="s">
        <v>86</v>
      </c>
    </row>
    <row r="123" spans="1:11" x14ac:dyDescent="0.25">
      <c r="A123" s="40"/>
      <c r="B123" s="40"/>
      <c r="C123" s="41"/>
      <c r="D123" s="42"/>
      <c r="G123" s="1" t="s">
        <v>87</v>
      </c>
      <c r="H123" s="1">
        <v>1.2</v>
      </c>
    </row>
    <row r="124" spans="1:11" x14ac:dyDescent="0.25">
      <c r="A124" s="40" t="s">
        <v>88</v>
      </c>
      <c r="B124" s="40"/>
      <c r="C124" s="45">
        <f>I130</f>
        <v>0</v>
      </c>
      <c r="D124" s="42"/>
      <c r="G124" s="1" t="s">
        <v>89</v>
      </c>
      <c r="H124" s="9">
        <v>0.03</v>
      </c>
    </row>
    <row r="125" spans="1:11" x14ac:dyDescent="0.25">
      <c r="A125" s="40" t="s">
        <v>90</v>
      </c>
      <c r="B125" s="40"/>
      <c r="C125" s="46">
        <v>0.45</v>
      </c>
      <c r="D125" s="42"/>
      <c r="G125" s="1" t="s">
        <v>91</v>
      </c>
      <c r="H125" s="9">
        <v>0.09</v>
      </c>
    </row>
    <row r="126" spans="1:11" x14ac:dyDescent="0.25">
      <c r="A126" s="40"/>
      <c r="B126" s="40"/>
      <c r="C126" s="41"/>
      <c r="D126" s="42"/>
      <c r="E126" s="43"/>
    </row>
    <row r="127" spans="1:11" x14ac:dyDescent="0.25">
      <c r="A127" s="40" t="s">
        <v>92</v>
      </c>
      <c r="B127" s="40"/>
      <c r="C127" s="47">
        <f>D130</f>
        <v>0</v>
      </c>
      <c r="D127" s="42"/>
      <c r="G127" s="43" t="s">
        <v>93</v>
      </c>
      <c r="I127" s="1" t="s">
        <v>94</v>
      </c>
      <c r="K127" s="1" t="s">
        <v>95</v>
      </c>
    </row>
    <row r="128" spans="1:11" x14ac:dyDescent="0.25">
      <c r="A128" s="40" t="s">
        <v>96</v>
      </c>
      <c r="B128" s="40"/>
      <c r="C128" s="48">
        <f>D135</f>
        <v>1</v>
      </c>
      <c r="D128" s="42"/>
      <c r="G128" s="43" t="s">
        <v>97</v>
      </c>
      <c r="H128" s="1">
        <v>0</v>
      </c>
      <c r="I128" s="34">
        <v>0</v>
      </c>
      <c r="K128" s="34">
        <v>0</v>
      </c>
    </row>
    <row r="129" spans="1:14" x14ac:dyDescent="0.25">
      <c r="A129" s="40"/>
      <c r="B129" s="40"/>
      <c r="C129" s="41"/>
      <c r="D129" s="42"/>
      <c r="E129" s="43"/>
      <c r="G129" s="1" t="s">
        <v>98</v>
      </c>
      <c r="H129" s="49">
        <f>M77</f>
        <v>0</v>
      </c>
      <c r="I129" s="9">
        <v>0</v>
      </c>
      <c r="K129" s="50">
        <v>0</v>
      </c>
    </row>
    <row r="130" spans="1:14" x14ac:dyDescent="0.25">
      <c r="A130" s="40" t="s">
        <v>99</v>
      </c>
      <c r="B130" s="40"/>
      <c r="C130" s="51">
        <f>C127*C124*(1-C125)+C128*C122</f>
        <v>0.10199999999999999</v>
      </c>
      <c r="D130" s="34">
        <f>H130/H135</f>
        <v>0</v>
      </c>
      <c r="E130" s="43"/>
      <c r="G130" s="1" t="s">
        <v>29</v>
      </c>
      <c r="H130" s="33">
        <f>SUM(H128:H129)</f>
        <v>0</v>
      </c>
    </row>
    <row r="131" spans="1:14" x14ac:dyDescent="0.25">
      <c r="A131" s="40"/>
      <c r="B131" s="40"/>
      <c r="C131" s="41"/>
      <c r="D131" s="42"/>
      <c r="E131" s="43"/>
    </row>
    <row r="132" spans="1:14" x14ac:dyDescent="0.25">
      <c r="A132" s="40" t="s">
        <v>100</v>
      </c>
      <c r="B132" s="40"/>
      <c r="C132" s="52">
        <f>H123/(1+(1-C125)*(C127/C128))</f>
        <v>1.2</v>
      </c>
      <c r="D132" s="42"/>
      <c r="E132" s="43"/>
      <c r="G132" s="1" t="s">
        <v>101</v>
      </c>
    </row>
    <row r="133" spans="1:14" x14ac:dyDescent="0.25">
      <c r="A133" s="40" t="s">
        <v>102</v>
      </c>
      <c r="B133" s="40"/>
      <c r="C133" s="52">
        <f>C132*(1+(1-C125)*(0.6/0.4))</f>
        <v>2.19</v>
      </c>
      <c r="D133" s="42"/>
      <c r="E133" s="43"/>
      <c r="G133" s="1" t="s">
        <v>103</v>
      </c>
    </row>
    <row r="134" spans="1:14" x14ac:dyDescent="0.25">
      <c r="A134" s="40"/>
      <c r="B134" s="40"/>
      <c r="C134" s="41"/>
      <c r="D134" s="42"/>
      <c r="E134" s="43"/>
      <c r="G134" s="1" t="s">
        <v>104</v>
      </c>
      <c r="H134" s="49">
        <f>M61</f>
        <v>595316.99688443611</v>
      </c>
    </row>
    <row r="135" spans="1:14" x14ac:dyDescent="0.25">
      <c r="A135" s="40" t="s">
        <v>105</v>
      </c>
      <c r="B135" s="40"/>
      <c r="C135" s="44">
        <f>H124+C133*(H125-H124)</f>
        <v>0.16139999999999999</v>
      </c>
      <c r="D135" s="34">
        <f>H135/H137</f>
        <v>1</v>
      </c>
      <c r="E135" s="43"/>
      <c r="G135" s="1" t="s">
        <v>31</v>
      </c>
      <c r="H135" s="15">
        <f>SUM(H133:H134)</f>
        <v>595316.99688443611</v>
      </c>
    </row>
    <row r="136" spans="1:14" x14ac:dyDescent="0.25">
      <c r="A136" s="40"/>
      <c r="B136" s="40"/>
      <c r="C136" s="41"/>
      <c r="D136" s="42"/>
      <c r="E136" s="43"/>
    </row>
    <row r="137" spans="1:14" x14ac:dyDescent="0.25">
      <c r="A137" s="40" t="s">
        <v>106</v>
      </c>
      <c r="B137" s="40"/>
      <c r="C137" s="51">
        <f>(0.6)*C124*(1-C125)+(0.4)*C135</f>
        <v>6.4559999999999992E-2</v>
      </c>
      <c r="D137" s="42"/>
      <c r="E137" s="43"/>
      <c r="G137" s="1" t="s">
        <v>107</v>
      </c>
      <c r="H137" s="53">
        <f>H130+H135</f>
        <v>595316.99688443611</v>
      </c>
    </row>
    <row r="139" spans="1:14" x14ac:dyDescent="0.25">
      <c r="A139" s="54" t="s">
        <v>108</v>
      </c>
      <c r="B139" s="55"/>
      <c r="C139" s="55"/>
      <c r="D139" s="56">
        <f>D145</f>
        <v>0</v>
      </c>
      <c r="E139" s="56">
        <f t="shared" ref="E139:N139" si="46">E145</f>
        <v>0</v>
      </c>
      <c r="F139" s="56">
        <f t="shared" si="46"/>
        <v>13783.186983931582</v>
      </c>
      <c r="G139" s="56">
        <f t="shared" si="46"/>
        <v>38268.691892234281</v>
      </c>
      <c r="H139" s="56">
        <f t="shared" si="46"/>
        <v>68724.753380225578</v>
      </c>
      <c r="I139" s="56">
        <f t="shared" si="46"/>
        <v>106595.12714375816</v>
      </c>
      <c r="J139" s="56">
        <f t="shared" si="46"/>
        <v>153672.85819720745</v>
      </c>
      <c r="K139" s="56">
        <f t="shared" si="46"/>
        <v>212184.87434454347</v>
      </c>
      <c r="L139" s="56">
        <f t="shared" si="46"/>
        <v>284897.08814230852</v>
      </c>
      <c r="M139" s="56">
        <f t="shared" si="46"/>
        <v>375244.98409090075</v>
      </c>
      <c r="N139" s="56">
        <f t="shared" si="46"/>
        <v>487495.87655310665</v>
      </c>
    </row>
    <row r="141" spans="1:14" x14ac:dyDescent="0.25">
      <c r="A141" s="21" t="s">
        <v>109</v>
      </c>
    </row>
    <row r="142" spans="1:14" x14ac:dyDescent="0.25">
      <c r="A142" s="4"/>
      <c r="B142" s="1" t="s">
        <v>9</v>
      </c>
      <c r="D142" s="6">
        <f>C55</f>
        <v>-51222.184210526349</v>
      </c>
      <c r="E142" s="6">
        <f t="shared" ref="E142:N142" si="47">D55</f>
        <v>-6098.4822631578718</v>
      </c>
      <c r="F142" s="6">
        <f t="shared" si="47"/>
        <v>37629.304408736847</v>
      </c>
      <c r="G142" s="6">
        <f t="shared" si="47"/>
        <v>92041.537538298406</v>
      </c>
      <c r="H142" s="6">
        <f t="shared" si="47"/>
        <v>159721.67417827906</v>
      </c>
      <c r="I142" s="6">
        <f t="shared" si="47"/>
        <v>243878.06031946256</v>
      </c>
      <c r="J142" s="6">
        <f t="shared" si="47"/>
        <v>348495.24043823878</v>
      </c>
      <c r="K142" s="6">
        <f t="shared" si="47"/>
        <v>478521.94298787438</v>
      </c>
      <c r="L142" s="6">
        <f t="shared" si="47"/>
        <v>640104.64031624119</v>
      </c>
      <c r="M142" s="6">
        <f t="shared" si="47"/>
        <v>840877.7424242238</v>
      </c>
      <c r="N142" s="6">
        <f t="shared" si="47"/>
        <v>1090324.1701180148</v>
      </c>
    </row>
    <row r="143" spans="1:14" x14ac:dyDescent="0.25">
      <c r="A143" s="4"/>
      <c r="B143" s="1" t="s">
        <v>110</v>
      </c>
      <c r="D143" s="6">
        <f>C53</f>
        <v>7000</v>
      </c>
      <c r="E143" s="6">
        <f t="shared" ref="E143:N143" si="48">D53</f>
        <v>7000</v>
      </c>
      <c r="F143" s="6">
        <f t="shared" si="48"/>
        <v>7000</v>
      </c>
      <c r="G143" s="6">
        <f t="shared" si="48"/>
        <v>7000</v>
      </c>
      <c r="H143" s="6">
        <f t="shared" si="48"/>
        <v>7000</v>
      </c>
      <c r="I143" s="6">
        <f t="shared" si="48"/>
        <v>7000</v>
      </c>
      <c r="J143" s="6">
        <f t="shared" si="48"/>
        <v>7000</v>
      </c>
      <c r="K143" s="6">
        <f t="shared" si="48"/>
        <v>7000</v>
      </c>
      <c r="L143" s="6">
        <f t="shared" si="48"/>
        <v>7000</v>
      </c>
      <c r="M143" s="6">
        <f t="shared" si="48"/>
        <v>7000</v>
      </c>
      <c r="N143" s="6">
        <f t="shared" si="48"/>
        <v>7000</v>
      </c>
    </row>
    <row r="144" spans="1:14" x14ac:dyDescent="0.25">
      <c r="B144" s="1" t="s">
        <v>111</v>
      </c>
      <c r="D144" s="6">
        <f>D142-D143</f>
        <v>-58222.184210526349</v>
      </c>
      <c r="E144" s="6">
        <f t="shared" ref="E144:N144" si="49">E142-E143</f>
        <v>-13098.482263157872</v>
      </c>
      <c r="F144" s="6">
        <f t="shared" si="49"/>
        <v>30629.304408736847</v>
      </c>
      <c r="G144" s="6">
        <f t="shared" si="49"/>
        <v>85041.537538298406</v>
      </c>
      <c r="H144" s="6">
        <f t="shared" si="49"/>
        <v>152721.67417827906</v>
      </c>
      <c r="I144" s="6">
        <f t="shared" si="49"/>
        <v>236878.06031946256</v>
      </c>
      <c r="J144" s="6">
        <f t="shared" si="49"/>
        <v>341495.24043823878</v>
      </c>
      <c r="K144" s="6">
        <f t="shared" si="49"/>
        <v>471521.94298787438</v>
      </c>
      <c r="L144" s="6">
        <f t="shared" si="49"/>
        <v>633104.64031624119</v>
      </c>
      <c r="M144" s="6">
        <f t="shared" si="49"/>
        <v>833877.7424242238</v>
      </c>
      <c r="N144" s="6">
        <f t="shared" si="49"/>
        <v>1083324.1701180148</v>
      </c>
    </row>
    <row r="145" spans="1:17" x14ac:dyDescent="0.25">
      <c r="A145" s="4"/>
      <c r="B145" s="1" t="s">
        <v>112</v>
      </c>
      <c r="D145" s="69">
        <f>IF(D144*$C$125&lt;0,0,D144*$C$125)</f>
        <v>0</v>
      </c>
      <c r="E145" s="69">
        <f t="shared" ref="E145:N145" si="50">IF(E144*$C$125&lt;0,0,E144*$C$125)</f>
        <v>0</v>
      </c>
      <c r="F145" s="69">
        <f t="shared" si="50"/>
        <v>13783.186983931582</v>
      </c>
      <c r="G145" s="69">
        <f t="shared" si="50"/>
        <v>38268.691892234281</v>
      </c>
      <c r="H145" s="69">
        <f t="shared" si="50"/>
        <v>68724.753380225578</v>
      </c>
      <c r="I145" s="69">
        <f t="shared" si="50"/>
        <v>106595.12714375816</v>
      </c>
      <c r="J145" s="69">
        <f t="shared" si="50"/>
        <v>153672.85819720745</v>
      </c>
      <c r="K145" s="69">
        <f t="shared" si="50"/>
        <v>212184.87434454347</v>
      </c>
      <c r="L145" s="69">
        <f t="shared" si="50"/>
        <v>284897.08814230852</v>
      </c>
      <c r="M145" s="69">
        <f t="shared" si="50"/>
        <v>375244.98409090075</v>
      </c>
      <c r="N145" s="69">
        <f t="shared" si="50"/>
        <v>487495.87655310665</v>
      </c>
    </row>
    <row r="146" spans="1:17" x14ac:dyDescent="0.25">
      <c r="A146" s="4"/>
      <c r="B146" s="1" t="s">
        <v>113</v>
      </c>
      <c r="D146" s="6">
        <f>D143</f>
        <v>7000</v>
      </c>
      <c r="E146" s="6">
        <f t="shared" ref="E146:N146" si="51">E143</f>
        <v>7000</v>
      </c>
      <c r="F146" s="6">
        <f t="shared" si="51"/>
        <v>7000</v>
      </c>
      <c r="G146" s="6">
        <f t="shared" si="51"/>
        <v>7000</v>
      </c>
      <c r="H146" s="6">
        <f t="shared" si="51"/>
        <v>7000</v>
      </c>
      <c r="I146" s="6">
        <f t="shared" si="51"/>
        <v>7000</v>
      </c>
      <c r="J146" s="6">
        <f t="shared" si="51"/>
        <v>7000</v>
      </c>
      <c r="K146" s="6">
        <f t="shared" si="51"/>
        <v>7000</v>
      </c>
      <c r="L146" s="6">
        <f t="shared" si="51"/>
        <v>7000</v>
      </c>
      <c r="M146" s="6">
        <f t="shared" si="51"/>
        <v>7000</v>
      </c>
      <c r="N146" s="6">
        <f t="shared" si="51"/>
        <v>7000</v>
      </c>
    </row>
    <row r="147" spans="1:17" x14ac:dyDescent="0.25">
      <c r="B147" s="1" t="s">
        <v>114</v>
      </c>
      <c r="D147" s="6">
        <f>D144-D145+D146</f>
        <v>-51222.184210526349</v>
      </c>
      <c r="E147" s="6">
        <f t="shared" ref="E147:N147" si="52">E144-E145+E146</f>
        <v>-6098.4822631578718</v>
      </c>
      <c r="F147" s="6">
        <f t="shared" si="52"/>
        <v>23846.117424805263</v>
      </c>
      <c r="G147" s="6">
        <f t="shared" si="52"/>
        <v>53772.845646064125</v>
      </c>
      <c r="H147" s="6">
        <f t="shared" si="52"/>
        <v>90996.920798053485</v>
      </c>
      <c r="I147" s="6">
        <f t="shared" si="52"/>
        <v>137282.93317570438</v>
      </c>
      <c r="J147" s="6">
        <f t="shared" si="52"/>
        <v>194822.38224103133</v>
      </c>
      <c r="K147" s="6">
        <f t="shared" si="52"/>
        <v>266337.06864333095</v>
      </c>
      <c r="L147" s="6">
        <f t="shared" si="52"/>
        <v>355207.55217393267</v>
      </c>
      <c r="M147" s="6">
        <f t="shared" si="52"/>
        <v>465632.75833332306</v>
      </c>
      <c r="N147" s="6">
        <f t="shared" si="52"/>
        <v>602828.29356490821</v>
      </c>
    </row>
    <row r="149" spans="1:17" x14ac:dyDescent="0.25">
      <c r="A149" s="21" t="s">
        <v>115</v>
      </c>
    </row>
    <row r="150" spans="1:17" x14ac:dyDescent="0.25">
      <c r="B150" s="1" t="s">
        <v>116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</row>
    <row r="151" spans="1:17" x14ac:dyDescent="0.25">
      <c r="B151" s="1" t="s">
        <v>117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P151" s="1" t="s">
        <v>118</v>
      </c>
      <c r="Q151" s="6">
        <f>G90-G91</f>
        <v>0</v>
      </c>
    </row>
    <row r="152" spans="1:17" x14ac:dyDescent="0.25">
      <c r="B152" s="1" t="s">
        <v>132</v>
      </c>
      <c r="C152" s="70">
        <f>-10000*10</f>
        <v>-100000</v>
      </c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P152" s="9">
        <v>0.25</v>
      </c>
      <c r="Q152" s="1" t="s">
        <v>120</v>
      </c>
    </row>
    <row r="153" spans="1:17" x14ac:dyDescent="0.25">
      <c r="B153" s="1" t="s">
        <v>119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</row>
    <row r="154" spans="1:17" x14ac:dyDescent="0.25">
      <c r="A154" s="21" t="s">
        <v>121</v>
      </c>
    </row>
    <row r="155" spans="1:17" x14ac:dyDescent="0.25">
      <c r="A155" s="57" t="s">
        <v>122</v>
      </c>
      <c r="B155" s="1" t="s">
        <v>64</v>
      </c>
      <c r="D155" s="6">
        <f>-(D67-C67)</f>
        <v>0</v>
      </c>
      <c r="E155" s="6">
        <f t="shared" ref="E155:N156" si="53">-(E67-D67)</f>
        <v>0</v>
      </c>
      <c r="F155" s="6">
        <f t="shared" si="53"/>
        <v>0</v>
      </c>
      <c r="G155" s="6">
        <f t="shared" si="53"/>
        <v>0</v>
      </c>
      <c r="H155" s="6">
        <f t="shared" si="53"/>
        <v>0</v>
      </c>
      <c r="I155" s="6">
        <f t="shared" si="53"/>
        <v>0</v>
      </c>
      <c r="J155" s="6">
        <f t="shared" si="53"/>
        <v>0</v>
      </c>
      <c r="K155" s="6">
        <f t="shared" si="53"/>
        <v>0</v>
      </c>
      <c r="L155" s="6">
        <f t="shared" si="53"/>
        <v>0</v>
      </c>
      <c r="M155" s="6">
        <f t="shared" si="53"/>
        <v>0</v>
      </c>
      <c r="N155" s="6">
        <f t="shared" si="53"/>
        <v>0</v>
      </c>
    </row>
    <row r="156" spans="1:17" x14ac:dyDescent="0.25">
      <c r="A156" s="57" t="s">
        <v>122</v>
      </c>
      <c r="B156" s="1" t="s">
        <v>55</v>
      </c>
      <c r="D156" s="6">
        <f>-(D68-C68)</f>
        <v>-4619.4145638067785</v>
      </c>
      <c r="E156" s="6">
        <f t="shared" si="53"/>
        <v>-5747.5888680605603</v>
      </c>
      <c r="F156" s="6">
        <f t="shared" si="53"/>
        <v>-7151.8386948060579</v>
      </c>
      <c r="G156" s="6">
        <f t="shared" si="53"/>
        <v>-8899.8356622145511</v>
      </c>
      <c r="H156" s="6">
        <f t="shared" si="53"/>
        <v>-11075.862473664791</v>
      </c>
      <c r="I156" s="6">
        <f t="shared" si="53"/>
        <v>-13784.895232553601</v>
      </c>
      <c r="J156" s="6">
        <f t="shared" si="53"/>
        <v>-17157.690030687707</v>
      </c>
      <c r="K156" s="6">
        <f t="shared" si="53"/>
        <v>-21357.121078309836</v>
      </c>
      <c r="L156" s="6">
        <f t="shared" si="53"/>
        <v>-26586.078569299498</v>
      </c>
      <c r="M156" s="6">
        <f t="shared" si="53"/>
        <v>-33097.31042157815</v>
      </c>
      <c r="N156" s="6">
        <f t="shared" si="53"/>
        <v>168436.82809678398</v>
      </c>
    </row>
    <row r="157" spans="1:17" x14ac:dyDescent="0.25">
      <c r="A157" s="57" t="s">
        <v>123</v>
      </c>
      <c r="B157" s="1" t="s">
        <v>124</v>
      </c>
      <c r="D157" s="6">
        <f>(D139-C139)</f>
        <v>0</v>
      </c>
      <c r="E157" s="6">
        <f t="shared" ref="E157:N157" si="54">(E139-D139)</f>
        <v>0</v>
      </c>
      <c r="F157" s="6">
        <f t="shared" si="54"/>
        <v>13783.186983931582</v>
      </c>
      <c r="G157" s="6">
        <f t="shared" si="54"/>
        <v>24485.504908302697</v>
      </c>
      <c r="H157" s="6">
        <f t="shared" si="54"/>
        <v>30456.061487991297</v>
      </c>
      <c r="I157" s="6">
        <f t="shared" si="54"/>
        <v>37870.373763532582</v>
      </c>
      <c r="J157" s="6">
        <f t="shared" si="54"/>
        <v>47077.731053449286</v>
      </c>
      <c r="K157" s="6">
        <f t="shared" si="54"/>
        <v>58512.01614733602</v>
      </c>
      <c r="L157" s="6">
        <f t="shared" si="54"/>
        <v>72712.213797765056</v>
      </c>
      <c r="M157" s="6">
        <f t="shared" si="54"/>
        <v>90347.895948592224</v>
      </c>
      <c r="N157" s="6">
        <f t="shared" si="54"/>
        <v>112250.8924622059</v>
      </c>
    </row>
    <row r="158" spans="1:17" x14ac:dyDescent="0.25">
      <c r="A158" s="57" t="s">
        <v>123</v>
      </c>
      <c r="B158" s="1" t="s">
        <v>125</v>
      </c>
      <c r="D158" s="6">
        <f>(C74-B74)</f>
        <v>10263.157894736842</v>
      </c>
      <c r="E158" s="6">
        <f t="shared" ref="E158:N158" si="55">(D74-C74)</f>
        <v>2530.0793078586903</v>
      </c>
      <c r="F158" s="6">
        <f t="shared" si="55"/>
        <v>3153.9555875991318</v>
      </c>
      <c r="G158" s="6">
        <f t="shared" si="55"/>
        <v>3931.7075050036055</v>
      </c>
      <c r="H158" s="6">
        <f t="shared" si="55"/>
        <v>4901.296637800835</v>
      </c>
      <c r="I158" s="6">
        <f t="shared" si="55"/>
        <v>6110.0519340190804</v>
      </c>
      <c r="J158" s="6">
        <f t="shared" si="55"/>
        <v>7616.9817039897389</v>
      </c>
      <c r="K158" s="6">
        <f t="shared" si="55"/>
        <v>9495.6563630319288</v>
      </c>
      <c r="L158" s="6">
        <f t="shared" si="55"/>
        <v>11837.802851879438</v>
      </c>
      <c r="M158" s="6">
        <f t="shared" si="55"/>
        <v>14757.786465713602</v>
      </c>
      <c r="N158" s="6">
        <f t="shared" si="55"/>
        <v>18398.199223328673</v>
      </c>
    </row>
    <row r="160" spans="1:17" x14ac:dyDescent="0.25">
      <c r="A160" s="21" t="s">
        <v>126</v>
      </c>
    </row>
    <row r="161" spans="1:14" x14ac:dyDescent="0.25">
      <c r="A161" s="57" t="s">
        <v>123</v>
      </c>
      <c r="B161" s="1" t="s">
        <v>64</v>
      </c>
      <c r="N161" s="6">
        <f>M67</f>
        <v>0</v>
      </c>
    </row>
    <row r="162" spans="1:14" x14ac:dyDescent="0.25">
      <c r="A162" s="57" t="s">
        <v>123</v>
      </c>
      <c r="B162" s="1" t="s">
        <v>55</v>
      </c>
      <c r="N162" s="6">
        <f>M68</f>
        <v>168436.82809678398</v>
      </c>
    </row>
    <row r="163" spans="1:14" x14ac:dyDescent="0.25">
      <c r="A163" s="57" t="s">
        <v>122</v>
      </c>
      <c r="B163" s="1" t="s">
        <v>124</v>
      </c>
      <c r="N163" s="6">
        <f>-N157</f>
        <v>-112250.8924622059</v>
      </c>
    </row>
    <row r="164" spans="1:14" x14ac:dyDescent="0.25">
      <c r="A164" s="57" t="s">
        <v>122</v>
      </c>
      <c r="B164" s="1" t="s">
        <v>125</v>
      </c>
      <c r="N164" s="6">
        <f>N158</f>
        <v>18398.199223328673</v>
      </c>
    </row>
    <row r="166" spans="1:14" x14ac:dyDescent="0.25">
      <c r="A166" s="21" t="s">
        <v>127</v>
      </c>
      <c r="C166" s="6">
        <f>SUM(C147:C164)</f>
        <v>-100000</v>
      </c>
      <c r="D166" s="6">
        <f>SUM(D147:D164)</f>
        <v>-45578.440879596288</v>
      </c>
      <c r="E166" s="6">
        <f t="shared" ref="E166:N166" si="56">SUM(E147:E164)</f>
        <v>-9315.9918233597418</v>
      </c>
      <c r="F166" s="6">
        <f t="shared" si="56"/>
        <v>33631.421301529917</v>
      </c>
      <c r="G166" s="6">
        <f t="shared" si="56"/>
        <v>73290.222397155885</v>
      </c>
      <c r="H166" s="6">
        <f t="shared" si="56"/>
        <v>115278.41645018084</v>
      </c>
      <c r="I166" s="6">
        <f t="shared" si="56"/>
        <v>167478.46364070245</v>
      </c>
      <c r="J166" s="6">
        <f t="shared" si="56"/>
        <v>232359.40496778261</v>
      </c>
      <c r="K166" s="6">
        <f t="shared" si="56"/>
        <v>312987.62007538904</v>
      </c>
      <c r="L166" s="6">
        <f t="shared" si="56"/>
        <v>413171.49025427765</v>
      </c>
      <c r="M166" s="6">
        <f t="shared" si="56"/>
        <v>537641.1303260508</v>
      </c>
      <c r="N166" s="6">
        <f t="shared" si="56"/>
        <v>976498.34820513334</v>
      </c>
    </row>
    <row r="167" spans="1:14" x14ac:dyDescent="0.25">
      <c r="C167" s="1">
        <v>0</v>
      </c>
      <c r="D167" s="1">
        <v>1</v>
      </c>
      <c r="E167" s="1">
        <v>2</v>
      </c>
      <c r="F167" s="1">
        <v>3</v>
      </c>
      <c r="G167" s="1">
        <v>4</v>
      </c>
      <c r="H167" s="1">
        <v>5</v>
      </c>
      <c r="I167" s="1">
        <v>6</v>
      </c>
      <c r="J167" s="1">
        <v>7</v>
      </c>
      <c r="K167" s="1">
        <v>8</v>
      </c>
      <c r="L167" s="1">
        <v>9</v>
      </c>
      <c r="M167" s="1">
        <v>10</v>
      </c>
      <c r="N167" s="42">
        <v>11</v>
      </c>
    </row>
    <row r="168" spans="1:14" x14ac:dyDescent="0.25">
      <c r="A168" s="1" t="s">
        <v>128</v>
      </c>
      <c r="C168" s="58">
        <f>-PV($C$122,C167,,C166)</f>
        <v>-100000</v>
      </c>
      <c r="D168" s="58">
        <f>-PV($C$169,D167,,D166)</f>
        <v>-42814.346659273586</v>
      </c>
      <c r="E168" s="58">
        <f t="shared" ref="E168:N168" si="57">-PV($C$169,E167,,E166)</f>
        <v>-8220.3216446038441</v>
      </c>
      <c r="F168" s="58">
        <f t="shared" si="57"/>
        <v>27876.278187946376</v>
      </c>
      <c r="G168" s="58">
        <f t="shared" si="57"/>
        <v>57064.427435247839</v>
      </c>
      <c r="H168" s="58">
        <f t="shared" si="57"/>
        <v>84313.531975236139</v>
      </c>
      <c r="I168" s="58">
        <f t="shared" si="57"/>
        <v>115063.63903300816</v>
      </c>
      <c r="J168" s="58">
        <f t="shared" si="57"/>
        <v>149957.86498362286</v>
      </c>
      <c r="K168" s="58">
        <f t="shared" si="57"/>
        <v>189743.10745275536</v>
      </c>
      <c r="L168" s="58">
        <f t="shared" si="57"/>
        <v>235287.60646434705</v>
      </c>
      <c r="M168" s="58">
        <f t="shared" si="57"/>
        <v>287601.43374851329</v>
      </c>
      <c r="N168" s="58">
        <f t="shared" si="57"/>
        <v>490681.77813809068</v>
      </c>
    </row>
    <row r="169" spans="1:14" ht="15.75" thickBot="1" x14ac:dyDescent="0.3">
      <c r="A169" s="1" t="s">
        <v>129</v>
      </c>
      <c r="C169" s="35">
        <f>C137</f>
        <v>6.4559999999999992E-2</v>
      </c>
    </row>
    <row r="170" spans="1:14" ht="15.75" thickBot="1" x14ac:dyDescent="0.3">
      <c r="A170" s="59" t="s">
        <v>130</v>
      </c>
      <c r="B170" s="60"/>
      <c r="C170" s="61">
        <f>SUM(C168:N168)</f>
        <v>1486554.9991148901</v>
      </c>
      <c r="D170" s="62"/>
      <c r="E170" s="62"/>
      <c r="F170" s="63"/>
    </row>
    <row r="171" spans="1:14" ht="15.75" thickBot="1" x14ac:dyDescent="0.3">
      <c r="A171" s="64"/>
      <c r="B171" s="55"/>
      <c r="C171" s="55"/>
      <c r="D171" s="55"/>
      <c r="E171" s="55"/>
      <c r="F171" s="65"/>
    </row>
    <row r="172" spans="1:14" ht="15.75" thickBot="1" x14ac:dyDescent="0.3">
      <c r="A172" s="59" t="s">
        <v>131</v>
      </c>
      <c r="B172" s="60"/>
      <c r="C172" s="66">
        <f>IRR(C166:N166)</f>
        <v>0.4579484202459787</v>
      </c>
      <c r="D172" s="67"/>
      <c r="E172" s="67"/>
      <c r="F172" s="68"/>
    </row>
    <row r="175" spans="1:14" x14ac:dyDescent="0.25">
      <c r="A175" s="1" t="s">
        <v>57</v>
      </c>
    </row>
    <row r="177" spans="1:1" x14ac:dyDescent="0.25">
      <c r="A177" s="26" t="s">
        <v>58</v>
      </c>
    </row>
    <row r="178" spans="1:1" x14ac:dyDescent="0.25">
      <c r="A178" s="26" t="s">
        <v>59</v>
      </c>
    </row>
    <row r="179" spans="1:1" x14ac:dyDescent="0.25">
      <c r="A179" s="26" t="s">
        <v>60</v>
      </c>
    </row>
    <row r="180" spans="1:1" x14ac:dyDescent="0.25">
      <c r="A180" s="26" t="s">
        <v>61</v>
      </c>
    </row>
    <row r="181" spans="1:1" x14ac:dyDescent="0.25">
      <c r="A181" s="30" t="s">
        <v>79</v>
      </c>
    </row>
    <row r="182" spans="1:1" x14ac:dyDescent="0.25">
      <c r="A182" s="30" t="s">
        <v>80</v>
      </c>
    </row>
    <row r="183" spans="1:1" x14ac:dyDescent="0.25">
      <c r="A183" s="30" t="s">
        <v>72</v>
      </c>
    </row>
    <row r="184" spans="1:1" x14ac:dyDescent="0.25">
      <c r="A184" s="30" t="s">
        <v>75</v>
      </c>
    </row>
    <row r="185" spans="1:1" x14ac:dyDescent="0.25">
      <c r="A185" s="30" t="s">
        <v>78</v>
      </c>
    </row>
  </sheetData>
  <sheetProtection selectLockedCells="1" selectUnlockedCells="1"/>
  <hyperlinks>
    <hyperlink ref="A177" r:id="rId1" display="http://www.pdco.com/node/88289"/>
    <hyperlink ref="A178" r:id="rId2" display="http://www.restaurantaccountants.com/newsletters/10-12-maintenance-program"/>
    <hyperlink ref="A179" r:id="rId3" display="http://www.indeed.com/salary?q1=Waiter%2Fwaitress&amp;l1=Idaho"/>
    <hyperlink ref="A180" r:id="rId4" display="http://www.loopnet.com/Idaho/Coeur-d-Alene-Commercial-Real-Estate/"/>
    <hyperlink ref="A183" r:id="rId5"/>
    <hyperlink ref="A184" r:id="rId6"/>
    <hyperlink ref="A185" r:id="rId7"/>
    <hyperlink ref="A181" r:id="rId8"/>
    <hyperlink ref="A182" r:id="rId9"/>
  </hyperlinks>
  <pageMargins left="0.7" right="0.7" top="0.75" bottom="0.75" header="0.51180555555555551" footer="0.51180555555555551"/>
  <pageSetup scale="57" firstPageNumber="0" fitToHeight="0" orientation="portrait" horizontalDpi="300" verticalDpi="300" r:id="rId1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 Method</vt:lpstr>
      <vt:lpstr>Realistic 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2013-12-05T20:58:12Z</dcterms:created>
  <dcterms:modified xsi:type="dcterms:W3CDTF">2019-07-22T21:28:02Z</dcterms:modified>
</cp:coreProperties>
</file>