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autoCompressPictures="0"/>
  <bookViews>
    <workbookView xWindow="0" yWindow="0" windowWidth="25440" windowHeight="15780"/>
  </bookViews>
  <sheets>
    <sheet name="Financials" sheetId="1" r:id="rId1"/>
    <sheet name="Mortgage" sheetId="2" r:id="rId2"/>
    <sheet name="Sources" sheetId="3" r:id="rId3"/>
    <sheet name="Sheet1" sheetId="4" r:id="rId4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13" i="1" l="1"/>
  <c r="V14" i="1"/>
  <c r="O71" i="1"/>
  <c r="F71" i="1"/>
  <c r="F54" i="1"/>
  <c r="F72" i="1"/>
  <c r="G71" i="1"/>
  <c r="G54" i="1"/>
  <c r="G72" i="1"/>
  <c r="H71" i="1"/>
  <c r="H54" i="1"/>
  <c r="H72" i="1"/>
  <c r="I71" i="1"/>
  <c r="I54" i="1"/>
  <c r="I72" i="1"/>
  <c r="J71" i="1"/>
  <c r="J54" i="1"/>
  <c r="J72" i="1"/>
  <c r="K71" i="1"/>
  <c r="K54" i="1"/>
  <c r="K72" i="1"/>
  <c r="L71" i="1"/>
  <c r="L54" i="1"/>
  <c r="L72" i="1"/>
  <c r="M71" i="1"/>
  <c r="M54" i="1"/>
  <c r="M72" i="1"/>
  <c r="N71" i="1"/>
  <c r="N54" i="1"/>
  <c r="N72" i="1"/>
  <c r="O54" i="1"/>
  <c r="O72" i="1"/>
  <c r="Q146" i="1"/>
  <c r="O146" i="1"/>
  <c r="V6" i="1"/>
  <c r="V8" i="1"/>
  <c r="O70" i="1"/>
  <c r="Q147" i="1"/>
  <c r="O147" i="1"/>
  <c r="O148" i="1"/>
  <c r="F70" i="1"/>
  <c r="E145" i="1"/>
  <c r="I5" i="2"/>
  <c r="C1" i="2"/>
  <c r="F6" i="2"/>
  <c r="B7" i="2"/>
  <c r="C7" i="2"/>
  <c r="D7" i="2"/>
  <c r="F7" i="2"/>
  <c r="F8" i="2"/>
  <c r="F9" i="2"/>
  <c r="F10" i="2"/>
  <c r="F11" i="2"/>
  <c r="F12" i="2"/>
  <c r="F13" i="2"/>
  <c r="F14" i="2"/>
  <c r="F15" i="2"/>
  <c r="F16" i="2"/>
  <c r="F17" i="2"/>
  <c r="F18" i="2"/>
  <c r="C19" i="2"/>
  <c r="F19" i="2"/>
  <c r="C20" i="2"/>
  <c r="F20" i="2"/>
  <c r="C21" i="2"/>
  <c r="F21" i="2"/>
  <c r="C22" i="2"/>
  <c r="F22" i="2"/>
  <c r="C23" i="2"/>
  <c r="F23" i="2"/>
  <c r="C24" i="2"/>
  <c r="F24" i="2"/>
  <c r="C25" i="2"/>
  <c r="F25" i="2"/>
  <c r="C26" i="2"/>
  <c r="F26" i="2"/>
  <c r="C27" i="2"/>
  <c r="F27" i="2"/>
  <c r="C28" i="2"/>
  <c r="F28" i="2"/>
  <c r="C29" i="2"/>
  <c r="F29" i="2"/>
  <c r="C30" i="2"/>
  <c r="H30" i="2"/>
  <c r="G56" i="1"/>
  <c r="G52" i="1"/>
  <c r="G70" i="1"/>
  <c r="G55" i="1"/>
  <c r="G57" i="1"/>
  <c r="G94" i="1"/>
  <c r="F30" i="2"/>
  <c r="C31" i="2"/>
  <c r="F31" i="2"/>
  <c r="C32" i="2"/>
  <c r="F32" i="2"/>
  <c r="C33" i="2"/>
  <c r="F33" i="2"/>
  <c r="C34" i="2"/>
  <c r="F34" i="2"/>
  <c r="C35" i="2"/>
  <c r="F35" i="2"/>
  <c r="C36" i="2"/>
  <c r="F36" i="2"/>
  <c r="C37" i="2"/>
  <c r="F37" i="2"/>
  <c r="C38" i="2"/>
  <c r="F38" i="2"/>
  <c r="C39" i="2"/>
  <c r="F39" i="2"/>
  <c r="C40" i="2"/>
  <c r="F40" i="2"/>
  <c r="C41" i="2"/>
  <c r="F41" i="2"/>
  <c r="C42" i="2"/>
  <c r="H42" i="2"/>
  <c r="H56" i="1"/>
  <c r="H52" i="1"/>
  <c r="H70" i="1"/>
  <c r="H55" i="1"/>
  <c r="H57" i="1"/>
  <c r="H94" i="1"/>
  <c r="F42" i="2"/>
  <c r="C43" i="2"/>
  <c r="F43" i="2"/>
  <c r="C44" i="2"/>
  <c r="F44" i="2"/>
  <c r="C45" i="2"/>
  <c r="F45" i="2"/>
  <c r="C46" i="2"/>
  <c r="F46" i="2"/>
  <c r="C47" i="2"/>
  <c r="F47" i="2"/>
  <c r="C48" i="2"/>
  <c r="F48" i="2"/>
  <c r="C49" i="2"/>
  <c r="F49" i="2"/>
  <c r="C50" i="2"/>
  <c r="F50" i="2"/>
  <c r="C51" i="2"/>
  <c r="F51" i="2"/>
  <c r="C52" i="2"/>
  <c r="F52" i="2"/>
  <c r="C53" i="2"/>
  <c r="F53" i="2"/>
  <c r="C54" i="2"/>
  <c r="H54" i="2"/>
  <c r="I56" i="1"/>
  <c r="I52" i="1"/>
  <c r="I70" i="1"/>
  <c r="I55" i="1"/>
  <c r="I57" i="1"/>
  <c r="I94" i="1"/>
  <c r="F54" i="2"/>
  <c r="C55" i="2"/>
  <c r="F55" i="2"/>
  <c r="C56" i="2"/>
  <c r="F56" i="2"/>
  <c r="C57" i="2"/>
  <c r="F57" i="2"/>
  <c r="C58" i="2"/>
  <c r="F58" i="2"/>
  <c r="C59" i="2"/>
  <c r="F59" i="2"/>
  <c r="C60" i="2"/>
  <c r="F60" i="2"/>
  <c r="C61" i="2"/>
  <c r="F61" i="2"/>
  <c r="C62" i="2"/>
  <c r="F62" i="2"/>
  <c r="C63" i="2"/>
  <c r="F63" i="2"/>
  <c r="C64" i="2"/>
  <c r="F64" i="2"/>
  <c r="C65" i="2"/>
  <c r="F65" i="2"/>
  <c r="C66" i="2"/>
  <c r="H66" i="2"/>
  <c r="J56" i="1"/>
  <c r="J52" i="1"/>
  <c r="J70" i="1"/>
  <c r="J55" i="1"/>
  <c r="J57" i="1"/>
  <c r="J94" i="1"/>
  <c r="F66" i="2"/>
  <c r="C67" i="2"/>
  <c r="F67" i="2"/>
  <c r="C68" i="2"/>
  <c r="F68" i="2"/>
  <c r="C69" i="2"/>
  <c r="F69" i="2"/>
  <c r="C70" i="2"/>
  <c r="F70" i="2"/>
  <c r="C71" i="2"/>
  <c r="F71" i="2"/>
  <c r="C72" i="2"/>
  <c r="F72" i="2"/>
  <c r="C73" i="2"/>
  <c r="F73" i="2"/>
  <c r="C74" i="2"/>
  <c r="F74" i="2"/>
  <c r="C75" i="2"/>
  <c r="F75" i="2"/>
  <c r="C76" i="2"/>
  <c r="F76" i="2"/>
  <c r="C77" i="2"/>
  <c r="F77" i="2"/>
  <c r="C78" i="2"/>
  <c r="H78" i="2"/>
  <c r="K56" i="1"/>
  <c r="K52" i="1"/>
  <c r="K70" i="1"/>
  <c r="K55" i="1"/>
  <c r="K57" i="1"/>
  <c r="K94" i="1"/>
  <c r="F78" i="2"/>
  <c r="C79" i="2"/>
  <c r="F79" i="2"/>
  <c r="C80" i="2"/>
  <c r="F80" i="2"/>
  <c r="C81" i="2"/>
  <c r="F81" i="2"/>
  <c r="C82" i="2"/>
  <c r="F82" i="2"/>
  <c r="C83" i="2"/>
  <c r="F83" i="2"/>
  <c r="C84" i="2"/>
  <c r="F84" i="2"/>
  <c r="C85" i="2"/>
  <c r="F85" i="2"/>
  <c r="C86" i="2"/>
  <c r="F86" i="2"/>
  <c r="C87" i="2"/>
  <c r="F87" i="2"/>
  <c r="C88" i="2"/>
  <c r="F88" i="2"/>
  <c r="C89" i="2"/>
  <c r="F89" i="2"/>
  <c r="C90" i="2"/>
  <c r="H90" i="2"/>
  <c r="L56" i="1"/>
  <c r="L52" i="1"/>
  <c r="L70" i="1"/>
  <c r="L55" i="1"/>
  <c r="L57" i="1"/>
  <c r="L94" i="1"/>
  <c r="F90" i="2"/>
  <c r="C91" i="2"/>
  <c r="F91" i="2"/>
  <c r="C92" i="2"/>
  <c r="F92" i="2"/>
  <c r="C93" i="2"/>
  <c r="F93" i="2"/>
  <c r="C94" i="2"/>
  <c r="F94" i="2"/>
  <c r="C95" i="2"/>
  <c r="F95" i="2"/>
  <c r="C96" i="2"/>
  <c r="F96" i="2"/>
  <c r="C97" i="2"/>
  <c r="F97" i="2"/>
  <c r="C98" i="2"/>
  <c r="F98" i="2"/>
  <c r="C99" i="2"/>
  <c r="F99" i="2"/>
  <c r="C100" i="2"/>
  <c r="F100" i="2"/>
  <c r="C101" i="2"/>
  <c r="F101" i="2"/>
  <c r="C102" i="2"/>
  <c r="H102" i="2"/>
  <c r="M56" i="1"/>
  <c r="M52" i="1"/>
  <c r="M70" i="1"/>
  <c r="M55" i="1"/>
  <c r="M57" i="1"/>
  <c r="M94" i="1"/>
  <c r="F102" i="2"/>
  <c r="C103" i="2"/>
  <c r="F103" i="2"/>
  <c r="C104" i="2"/>
  <c r="F104" i="2"/>
  <c r="C105" i="2"/>
  <c r="F105" i="2"/>
  <c r="C106" i="2"/>
  <c r="F106" i="2"/>
  <c r="C107" i="2"/>
  <c r="F107" i="2"/>
  <c r="C108" i="2"/>
  <c r="F108" i="2"/>
  <c r="C109" i="2"/>
  <c r="F109" i="2"/>
  <c r="C110" i="2"/>
  <c r="F110" i="2"/>
  <c r="C111" i="2"/>
  <c r="F111" i="2"/>
  <c r="C112" i="2"/>
  <c r="F112" i="2"/>
  <c r="C113" i="2"/>
  <c r="F113" i="2"/>
  <c r="C114" i="2"/>
  <c r="H114" i="2"/>
  <c r="N56" i="1"/>
  <c r="N52" i="1"/>
  <c r="N70" i="1"/>
  <c r="N55" i="1"/>
  <c r="N57" i="1"/>
  <c r="N94" i="1"/>
  <c r="F114" i="2"/>
  <c r="C115" i="2"/>
  <c r="F115" i="2"/>
  <c r="C116" i="2"/>
  <c r="F116" i="2"/>
  <c r="C117" i="2"/>
  <c r="F117" i="2"/>
  <c r="C118" i="2"/>
  <c r="F118" i="2"/>
  <c r="C119" i="2"/>
  <c r="F119" i="2"/>
  <c r="C120" i="2"/>
  <c r="F120" i="2"/>
  <c r="C121" i="2"/>
  <c r="F121" i="2"/>
  <c r="C122" i="2"/>
  <c r="F122" i="2"/>
  <c r="C123" i="2"/>
  <c r="F123" i="2"/>
  <c r="C124" i="2"/>
  <c r="F124" i="2"/>
  <c r="C125" i="2"/>
  <c r="F125" i="2"/>
  <c r="C126" i="2"/>
  <c r="H126" i="2"/>
  <c r="O56" i="1"/>
  <c r="O52" i="1"/>
  <c r="O55" i="1"/>
  <c r="O57" i="1"/>
  <c r="O94" i="1"/>
  <c r="C8" i="2"/>
  <c r="C9" i="2"/>
  <c r="C10" i="2"/>
  <c r="C11" i="2"/>
  <c r="C12" i="2"/>
  <c r="C13" i="2"/>
  <c r="C14" i="2"/>
  <c r="C15" i="2"/>
  <c r="C16" i="2"/>
  <c r="C17" i="2"/>
  <c r="C18" i="2"/>
  <c r="H18" i="2"/>
  <c r="F56" i="1"/>
  <c r="F55" i="1"/>
  <c r="F57" i="1"/>
  <c r="F94" i="1"/>
  <c r="F4" i="1"/>
  <c r="F5" i="1"/>
  <c r="V39" i="1"/>
  <c r="V41" i="1"/>
  <c r="F6" i="1"/>
  <c r="F7" i="1"/>
  <c r="F8" i="1"/>
  <c r="F9" i="1"/>
  <c r="F10" i="1"/>
  <c r="F48" i="1"/>
  <c r="F91" i="1"/>
  <c r="F126" i="2"/>
  <c r="G126" i="2"/>
  <c r="O80" i="1"/>
  <c r="G115" i="1"/>
  <c r="F12" i="1"/>
  <c r="F44" i="1"/>
  <c r="F45" i="1"/>
  <c r="F59" i="1"/>
  <c r="F60" i="1"/>
  <c r="F61" i="1"/>
  <c r="F84" i="1"/>
  <c r="G3" i="1"/>
  <c r="G4" i="1"/>
  <c r="G5" i="1"/>
  <c r="G6" i="1"/>
  <c r="G7" i="1"/>
  <c r="G11" i="1"/>
  <c r="G12" i="1"/>
  <c r="G44" i="1"/>
  <c r="G8" i="1"/>
  <c r="G9" i="1"/>
  <c r="G10" i="1"/>
  <c r="G14" i="1"/>
  <c r="G45" i="1"/>
  <c r="G13" i="1"/>
  <c r="G48" i="1"/>
  <c r="P50" i="1"/>
  <c r="G50" i="1"/>
  <c r="G59" i="1"/>
  <c r="G60" i="1"/>
  <c r="G61" i="1"/>
  <c r="G84" i="1"/>
  <c r="H3" i="1"/>
  <c r="H4" i="1"/>
  <c r="H5" i="1"/>
  <c r="H6" i="1"/>
  <c r="H7" i="1"/>
  <c r="H11" i="1"/>
  <c r="H12" i="1"/>
  <c r="H44" i="1"/>
  <c r="H8" i="1"/>
  <c r="H9" i="1"/>
  <c r="H10" i="1"/>
  <c r="H14" i="1"/>
  <c r="H45" i="1"/>
  <c r="H13" i="1"/>
  <c r="H48" i="1"/>
  <c r="H50" i="1"/>
  <c r="H59" i="1"/>
  <c r="H60" i="1"/>
  <c r="H61" i="1"/>
  <c r="H84" i="1"/>
  <c r="I3" i="1"/>
  <c r="I4" i="1"/>
  <c r="I5" i="1"/>
  <c r="I6" i="1"/>
  <c r="I7" i="1"/>
  <c r="I11" i="1"/>
  <c r="I12" i="1"/>
  <c r="I44" i="1"/>
  <c r="I8" i="1"/>
  <c r="I9" i="1"/>
  <c r="I10" i="1"/>
  <c r="I14" i="1"/>
  <c r="I45" i="1"/>
  <c r="I13" i="1"/>
  <c r="I48" i="1"/>
  <c r="I50" i="1"/>
  <c r="I59" i="1"/>
  <c r="I60" i="1"/>
  <c r="I61" i="1"/>
  <c r="I84" i="1"/>
  <c r="J3" i="1"/>
  <c r="J4" i="1"/>
  <c r="J5" i="1"/>
  <c r="J6" i="1"/>
  <c r="J7" i="1"/>
  <c r="J11" i="1"/>
  <c r="J12" i="1"/>
  <c r="J44" i="1"/>
  <c r="J8" i="1"/>
  <c r="J9" i="1"/>
  <c r="J10" i="1"/>
  <c r="J14" i="1"/>
  <c r="J45" i="1"/>
  <c r="J13" i="1"/>
  <c r="J48" i="1"/>
  <c r="J50" i="1"/>
  <c r="J59" i="1"/>
  <c r="J60" i="1"/>
  <c r="J61" i="1"/>
  <c r="J84" i="1"/>
  <c r="K3" i="1"/>
  <c r="K4" i="1"/>
  <c r="K5" i="1"/>
  <c r="K6" i="1"/>
  <c r="K7" i="1"/>
  <c r="K11" i="1"/>
  <c r="K12" i="1"/>
  <c r="K44" i="1"/>
  <c r="K8" i="1"/>
  <c r="K9" i="1"/>
  <c r="K10" i="1"/>
  <c r="K14" i="1"/>
  <c r="K45" i="1"/>
  <c r="K13" i="1"/>
  <c r="K48" i="1"/>
  <c r="K50" i="1"/>
  <c r="K59" i="1"/>
  <c r="K60" i="1"/>
  <c r="K61" i="1"/>
  <c r="K84" i="1"/>
  <c r="L3" i="1"/>
  <c r="L4" i="1"/>
  <c r="L5" i="1"/>
  <c r="L6" i="1"/>
  <c r="L7" i="1"/>
  <c r="L11" i="1"/>
  <c r="L12" i="1"/>
  <c r="L44" i="1"/>
  <c r="L8" i="1"/>
  <c r="L9" i="1"/>
  <c r="L10" i="1"/>
  <c r="L14" i="1"/>
  <c r="L45" i="1"/>
  <c r="L13" i="1"/>
  <c r="L48" i="1"/>
  <c r="L50" i="1"/>
  <c r="L59" i="1"/>
  <c r="L60" i="1"/>
  <c r="L61" i="1"/>
  <c r="L84" i="1"/>
  <c r="M3" i="1"/>
  <c r="M4" i="1"/>
  <c r="M5" i="1"/>
  <c r="M6" i="1"/>
  <c r="M7" i="1"/>
  <c r="M11" i="1"/>
  <c r="M12" i="1"/>
  <c r="M44" i="1"/>
  <c r="M8" i="1"/>
  <c r="M9" i="1"/>
  <c r="M10" i="1"/>
  <c r="M14" i="1"/>
  <c r="M45" i="1"/>
  <c r="M13" i="1"/>
  <c r="M48" i="1"/>
  <c r="M50" i="1"/>
  <c r="M59" i="1"/>
  <c r="M60" i="1"/>
  <c r="M61" i="1"/>
  <c r="M84" i="1"/>
  <c r="N3" i="1"/>
  <c r="N4" i="1"/>
  <c r="N5" i="1"/>
  <c r="N6" i="1"/>
  <c r="N7" i="1"/>
  <c r="N11" i="1"/>
  <c r="N12" i="1"/>
  <c r="N44" i="1"/>
  <c r="N8" i="1"/>
  <c r="N9" i="1"/>
  <c r="N10" i="1"/>
  <c r="N14" i="1"/>
  <c r="N45" i="1"/>
  <c r="N13" i="1"/>
  <c r="N48" i="1"/>
  <c r="N50" i="1"/>
  <c r="N59" i="1"/>
  <c r="N60" i="1"/>
  <c r="N61" i="1"/>
  <c r="N84" i="1"/>
  <c r="O3" i="1"/>
  <c r="O4" i="1"/>
  <c r="O5" i="1"/>
  <c r="O6" i="1"/>
  <c r="O7" i="1"/>
  <c r="O11" i="1"/>
  <c r="O12" i="1"/>
  <c r="O44" i="1"/>
  <c r="O8" i="1"/>
  <c r="O9" i="1"/>
  <c r="O10" i="1"/>
  <c r="O14" i="1"/>
  <c r="O45" i="1"/>
  <c r="O13" i="1"/>
  <c r="O48" i="1"/>
  <c r="O50" i="1"/>
  <c r="O59" i="1"/>
  <c r="O60" i="1"/>
  <c r="O61" i="1"/>
  <c r="O84" i="1"/>
  <c r="G120" i="1"/>
  <c r="G116" i="1"/>
  <c r="G119" i="1"/>
  <c r="G122" i="1"/>
  <c r="H115" i="1"/>
  <c r="H119" i="1"/>
  <c r="G112" i="1"/>
  <c r="G126" i="1"/>
  <c r="G127" i="1"/>
  <c r="G108" i="1"/>
  <c r="G110" i="1"/>
  <c r="G129" i="1"/>
  <c r="G131" i="1"/>
  <c r="H30" i="1"/>
  <c r="H31" i="1"/>
  <c r="H23" i="1"/>
  <c r="H25" i="1"/>
  <c r="E17" i="4"/>
  <c r="E19" i="4"/>
  <c r="E11" i="4"/>
  <c r="E12" i="4"/>
  <c r="E4" i="4"/>
  <c r="E6" i="4"/>
  <c r="G17" i="1"/>
  <c r="G77" i="1"/>
  <c r="F77" i="1"/>
  <c r="G154" i="1"/>
  <c r="H17" i="1"/>
  <c r="H77" i="1"/>
  <c r="H154" i="1"/>
  <c r="I17" i="1"/>
  <c r="I77" i="1"/>
  <c r="I154" i="1"/>
  <c r="J17" i="1"/>
  <c r="J77" i="1"/>
  <c r="J154" i="1"/>
  <c r="K17" i="1"/>
  <c r="K77" i="1"/>
  <c r="K154" i="1"/>
  <c r="L17" i="1"/>
  <c r="L77" i="1"/>
  <c r="L154" i="1"/>
  <c r="M17" i="1"/>
  <c r="M77" i="1"/>
  <c r="M154" i="1"/>
  <c r="N17" i="1"/>
  <c r="N77" i="1"/>
  <c r="N154" i="1"/>
  <c r="O17" i="1"/>
  <c r="O77" i="1"/>
  <c r="O154" i="1"/>
  <c r="F137" i="1"/>
  <c r="F138" i="1"/>
  <c r="F139" i="1"/>
  <c r="G137" i="1"/>
  <c r="G138" i="1"/>
  <c r="G139" i="1"/>
  <c r="G140" i="1"/>
  <c r="F140" i="1"/>
  <c r="G153" i="1"/>
  <c r="H137" i="1"/>
  <c r="H138" i="1"/>
  <c r="H139" i="1"/>
  <c r="H140" i="1"/>
  <c r="H153" i="1"/>
  <c r="I137" i="1"/>
  <c r="I138" i="1"/>
  <c r="I139" i="1"/>
  <c r="I140" i="1"/>
  <c r="I153" i="1"/>
  <c r="J137" i="1"/>
  <c r="J138" i="1"/>
  <c r="J139" i="1"/>
  <c r="J140" i="1"/>
  <c r="J153" i="1"/>
  <c r="K137" i="1"/>
  <c r="K138" i="1"/>
  <c r="K139" i="1"/>
  <c r="K140" i="1"/>
  <c r="K153" i="1"/>
  <c r="L137" i="1"/>
  <c r="L138" i="1"/>
  <c r="L139" i="1"/>
  <c r="L140" i="1"/>
  <c r="L153" i="1"/>
  <c r="M137" i="1"/>
  <c r="M138" i="1"/>
  <c r="M139" i="1"/>
  <c r="M140" i="1"/>
  <c r="M153" i="1"/>
  <c r="N137" i="1"/>
  <c r="N138" i="1"/>
  <c r="N139" i="1"/>
  <c r="N140" i="1"/>
  <c r="N153" i="1"/>
  <c r="O137" i="1"/>
  <c r="O138" i="1"/>
  <c r="O139" i="1"/>
  <c r="O140" i="1"/>
  <c r="O153" i="1"/>
  <c r="G16" i="1"/>
  <c r="G68" i="1"/>
  <c r="F68" i="1"/>
  <c r="G152" i="1"/>
  <c r="H16" i="1"/>
  <c r="H68" i="1"/>
  <c r="H152" i="1"/>
  <c r="I16" i="1"/>
  <c r="I68" i="1"/>
  <c r="I152" i="1"/>
  <c r="J16" i="1"/>
  <c r="J68" i="1"/>
  <c r="J152" i="1"/>
  <c r="K16" i="1"/>
  <c r="K68" i="1"/>
  <c r="K152" i="1"/>
  <c r="L16" i="1"/>
  <c r="L68" i="1"/>
  <c r="L152" i="1"/>
  <c r="M16" i="1"/>
  <c r="M68" i="1"/>
  <c r="M152" i="1"/>
  <c r="N16" i="1"/>
  <c r="N68" i="1"/>
  <c r="N152" i="1"/>
  <c r="O16" i="1"/>
  <c r="O68" i="1"/>
  <c r="O152" i="1"/>
  <c r="G67" i="1"/>
  <c r="F67" i="1"/>
  <c r="G151" i="1"/>
  <c r="H67" i="1"/>
  <c r="H151" i="1"/>
  <c r="I67" i="1"/>
  <c r="I151" i="1"/>
  <c r="J67" i="1"/>
  <c r="J151" i="1"/>
  <c r="K67" i="1"/>
  <c r="K151" i="1"/>
  <c r="L67" i="1"/>
  <c r="L151" i="1"/>
  <c r="M67" i="1"/>
  <c r="M151" i="1"/>
  <c r="N67" i="1"/>
  <c r="N151" i="1"/>
  <c r="O67" i="1"/>
  <c r="O151" i="1"/>
  <c r="F153" i="1"/>
  <c r="G141" i="1"/>
  <c r="G142" i="1"/>
  <c r="H141" i="1"/>
  <c r="H142" i="1"/>
  <c r="I141" i="1"/>
  <c r="I142" i="1"/>
  <c r="J141" i="1"/>
  <c r="J142" i="1"/>
  <c r="K141" i="1"/>
  <c r="K142" i="1"/>
  <c r="L141" i="1"/>
  <c r="L142" i="1"/>
  <c r="M141" i="1"/>
  <c r="M142" i="1"/>
  <c r="N141" i="1"/>
  <c r="N142" i="1"/>
  <c r="O141" i="1"/>
  <c r="O142" i="1"/>
  <c r="F141" i="1"/>
  <c r="F142" i="1"/>
  <c r="F151" i="1"/>
  <c r="F152" i="1"/>
  <c r="F154" i="1"/>
  <c r="F162" i="1"/>
  <c r="G162" i="1"/>
  <c r="H162" i="1"/>
  <c r="I162" i="1"/>
  <c r="J162" i="1"/>
  <c r="K162" i="1"/>
  <c r="L162" i="1"/>
  <c r="M162" i="1"/>
  <c r="N162" i="1"/>
  <c r="O78" i="1"/>
  <c r="O159" i="1"/>
  <c r="O157" i="1"/>
  <c r="O158" i="1"/>
  <c r="O160" i="1"/>
  <c r="O162" i="1"/>
  <c r="E162" i="1"/>
  <c r="E166" i="1"/>
  <c r="G105" i="1"/>
  <c r="G124" i="1"/>
  <c r="F164" i="1"/>
  <c r="G164" i="1"/>
  <c r="H164" i="1"/>
  <c r="I164" i="1"/>
  <c r="J164" i="1"/>
  <c r="K164" i="1"/>
  <c r="L164" i="1"/>
  <c r="M164" i="1"/>
  <c r="N164" i="1"/>
  <c r="O164" i="1"/>
  <c r="E164" i="1"/>
  <c r="E165" i="1"/>
  <c r="G114" i="2"/>
  <c r="N80" i="1"/>
  <c r="G102" i="2"/>
  <c r="M80" i="1"/>
  <c r="G90" i="2"/>
  <c r="L80" i="1"/>
  <c r="G78" i="2"/>
  <c r="K80" i="1"/>
  <c r="G66" i="2"/>
  <c r="J80" i="1"/>
  <c r="G54" i="2"/>
  <c r="I80" i="1"/>
  <c r="G42" i="2"/>
  <c r="H80" i="1"/>
  <c r="G30" i="2"/>
  <c r="G80" i="1"/>
  <c r="G18" i="2"/>
  <c r="F80" i="1"/>
  <c r="I6" i="2"/>
  <c r="G91" i="1"/>
  <c r="G92" i="1"/>
  <c r="G93" i="1"/>
  <c r="G96" i="1"/>
  <c r="H91" i="1"/>
  <c r="H92" i="1"/>
  <c r="H93" i="1"/>
  <c r="H96" i="1"/>
  <c r="I91" i="1"/>
  <c r="I92" i="1"/>
  <c r="I93" i="1"/>
  <c r="I96" i="1"/>
  <c r="J91" i="1"/>
  <c r="J92" i="1"/>
  <c r="J93" i="1"/>
  <c r="J96" i="1"/>
  <c r="K91" i="1"/>
  <c r="K92" i="1"/>
  <c r="K93" i="1"/>
  <c r="K96" i="1"/>
  <c r="L91" i="1"/>
  <c r="L92" i="1"/>
  <c r="L93" i="1"/>
  <c r="L96" i="1"/>
  <c r="M91" i="1"/>
  <c r="M92" i="1"/>
  <c r="M93" i="1"/>
  <c r="M96" i="1"/>
  <c r="N91" i="1"/>
  <c r="N92" i="1"/>
  <c r="N93" i="1"/>
  <c r="N96" i="1"/>
  <c r="O91" i="1"/>
  <c r="O92" i="1"/>
  <c r="O93" i="1"/>
  <c r="O96" i="1"/>
  <c r="F92" i="1"/>
  <c r="F93" i="1"/>
  <c r="F96" i="1"/>
  <c r="J78" i="1"/>
  <c r="J86" i="1"/>
  <c r="J74" i="1"/>
  <c r="J88" i="1"/>
  <c r="K78" i="1"/>
  <c r="K86" i="1"/>
  <c r="K74" i="1"/>
  <c r="K88" i="1"/>
  <c r="L78" i="1"/>
  <c r="L86" i="1"/>
  <c r="L74" i="1"/>
  <c r="L88" i="1"/>
  <c r="M78" i="1"/>
  <c r="M86" i="1"/>
  <c r="M74" i="1"/>
  <c r="M88" i="1"/>
  <c r="N78" i="1"/>
  <c r="N86" i="1"/>
  <c r="N74" i="1"/>
  <c r="N88" i="1"/>
  <c r="O86" i="1"/>
  <c r="O74" i="1"/>
  <c r="O88" i="1"/>
  <c r="F74" i="1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G74" i="1"/>
  <c r="F78" i="1"/>
  <c r="F86" i="1"/>
  <c r="F88" i="1"/>
  <c r="I74" i="1"/>
  <c r="I78" i="1"/>
  <c r="I86" i="1"/>
  <c r="I88" i="1"/>
  <c r="H74" i="1"/>
  <c r="H78" i="1"/>
  <c r="H86" i="1"/>
  <c r="H88" i="1"/>
  <c r="G78" i="1"/>
  <c r="G86" i="1"/>
  <c r="G88" i="1"/>
</calcChain>
</file>

<file path=xl/sharedStrings.xml><?xml version="1.0" encoding="utf-8"?>
<sst xmlns="http://schemas.openxmlformats.org/spreadsheetml/2006/main" count="189" uniqueCount="139">
  <si>
    <t>FORECASTED PRO FORMA</t>
  </si>
  <si>
    <t>INCOME STATEMENT</t>
  </si>
  <si>
    <t>Tire Revenue</t>
  </si>
  <si>
    <t>Service Revenue</t>
  </si>
  <si>
    <t>Cost of Goods Sold</t>
  </si>
  <si>
    <t xml:space="preserve"> Labor Expense</t>
  </si>
  <si>
    <t>General and Admin Expense</t>
  </si>
  <si>
    <t>Depreciation Expense</t>
  </si>
  <si>
    <t>Mortgage Interest Expense</t>
  </si>
  <si>
    <t>Extra Bank Loan Interest Expense</t>
  </si>
  <si>
    <t>Taxable Income</t>
  </si>
  <si>
    <t>Income Tax Expense</t>
  </si>
  <si>
    <t>Net Income</t>
  </si>
  <si>
    <t>BALANCE SHEET</t>
  </si>
  <si>
    <t>Assets</t>
  </si>
  <si>
    <t>Minimum Cash Inventory</t>
  </si>
  <si>
    <t>Cash Above Minimum</t>
  </si>
  <si>
    <t>Accounts Receivable</t>
  </si>
  <si>
    <t>Inventory</t>
  </si>
  <si>
    <t>Buildings</t>
  </si>
  <si>
    <t>Accumulated Depreciation</t>
  </si>
  <si>
    <t>Total Assets</t>
  </si>
  <si>
    <t>Liabilities and Equity</t>
  </si>
  <si>
    <t>Accounts Payable</t>
  </si>
  <si>
    <t>Income Tax Payable</t>
  </si>
  <si>
    <t>Mortgage Loan</t>
  </si>
  <si>
    <t>Extra Bank Loan</t>
  </si>
  <si>
    <t>Common Stock</t>
  </si>
  <si>
    <t>Retained Earnings</t>
  </si>
  <si>
    <t>Total Liabilities and Equity</t>
  </si>
  <si>
    <t>Loan Amount</t>
  </si>
  <si>
    <t>Extra Payment</t>
  </si>
  <si>
    <t>Int Rate</t>
  </si>
  <si>
    <t>Annual</t>
  </si>
  <si>
    <t>Periods</t>
  </si>
  <si>
    <t>Payment</t>
  </si>
  <si>
    <t>Interest</t>
  </si>
  <si>
    <t>Principle</t>
  </si>
  <si>
    <t>Extra payment</t>
  </si>
  <si>
    <t>Loan Balance</t>
  </si>
  <si>
    <t>Total Interest</t>
  </si>
  <si>
    <t>Total Paid</t>
  </si>
  <si>
    <t>DFN</t>
  </si>
  <si>
    <t>Building Maintenance Expense/insurance</t>
  </si>
  <si>
    <t>Property Tax Expense</t>
  </si>
  <si>
    <t>Land</t>
  </si>
  <si>
    <t>Wyoming Tourism</t>
  </si>
  <si>
    <t>Tourist Traffic</t>
  </si>
  <si>
    <t>Tourist Customers</t>
  </si>
  <si>
    <t>Tires Sold returning customers</t>
  </si>
  <si>
    <t>Total tire services</t>
  </si>
  <si>
    <t>Total Cars Serviced</t>
  </si>
  <si>
    <t>Cars Serviced</t>
  </si>
  <si>
    <t>Tourist Cars Serviced</t>
  </si>
  <si>
    <t>inflation</t>
  </si>
  <si>
    <t>Tire Markup</t>
  </si>
  <si>
    <t>http://www.bigotires.com/What-Is-Involved</t>
  </si>
  <si>
    <t>http://www.landwatch.com/Wyoming_land_for_sale/Afton</t>
  </si>
  <si>
    <t>Benchmark Land Cost</t>
  </si>
  <si>
    <t>Current Listing</t>
  </si>
  <si>
    <t>Acres</t>
  </si>
  <si>
    <t>Cost per acre</t>
  </si>
  <si>
    <t>Commercial Adjustment</t>
  </si>
  <si>
    <t>Total Cost per Acre</t>
  </si>
  <si>
    <t>Benchmark Building Cost</t>
  </si>
  <si>
    <t>Cost Per Acre</t>
  </si>
  <si>
    <t>Big O Tires Cost</t>
  </si>
  <si>
    <t>Assumption: Building estimated at current market price starting with a new 30 year depreciation schedule</t>
  </si>
  <si>
    <t>Total Variable Cost</t>
  </si>
  <si>
    <t>Total Fixed Cost</t>
  </si>
  <si>
    <t>Contribution margin/unit</t>
  </si>
  <si>
    <t>Contribution margin</t>
  </si>
  <si>
    <t>Breakeven</t>
  </si>
  <si>
    <t>Down</t>
  </si>
  <si>
    <t>Cost</t>
  </si>
  <si>
    <t>Months</t>
  </si>
  <si>
    <t>Local Non-tourist Market Size</t>
  </si>
  <si>
    <t>Average car per household</t>
  </si>
  <si>
    <t>Households</t>
  </si>
  <si>
    <t>Total Cars</t>
  </si>
  <si>
    <t>Market Share</t>
  </si>
  <si>
    <t>Returning Customers</t>
  </si>
  <si>
    <t>Assumptions</t>
  </si>
  <si>
    <t>WACC</t>
  </si>
  <si>
    <t>CAPM for the return equity holders want</t>
  </si>
  <si>
    <t>Beta</t>
  </si>
  <si>
    <t>T-Bill rate</t>
  </si>
  <si>
    <t>S&amp;P 500 rate</t>
  </si>
  <si>
    <t>Return equity holders want</t>
  </si>
  <si>
    <t>Return debt holders want</t>
  </si>
  <si>
    <t>Rixed rate of Mortgage debt</t>
  </si>
  <si>
    <t xml:space="preserve"> </t>
  </si>
  <si>
    <t>Fixed rate of Bank Loan debt</t>
  </si>
  <si>
    <t>Combined rate of all debt</t>
  </si>
  <si>
    <t>Tax Rate of Company</t>
  </si>
  <si>
    <t>Debt Investors</t>
  </si>
  <si>
    <t>Mortgage on Buildings</t>
  </si>
  <si>
    <t>Bank Loan</t>
  </si>
  <si>
    <t>Equity Investors (Including Retained Earnings)</t>
  </si>
  <si>
    <t>Shareholder Contributions</t>
  </si>
  <si>
    <t>Total Debt and Equity Investors</t>
  </si>
  <si>
    <t>WACC projected for 2015</t>
  </si>
  <si>
    <t>FCF, NPV, IRR</t>
  </si>
  <si>
    <t>Cash From Operations</t>
  </si>
  <si>
    <t>Less</t>
  </si>
  <si>
    <t>Taxable Operating Income</t>
  </si>
  <si>
    <t>Tax Expense on Operations</t>
  </si>
  <si>
    <t>Add back Depreciation</t>
  </si>
  <si>
    <t>Net Operating Income</t>
  </si>
  <si>
    <t>Cash in/out from Capital Expenditures</t>
  </si>
  <si>
    <t>Sell Building</t>
  </si>
  <si>
    <t>Taxes</t>
  </si>
  <si>
    <t>Cash in/out from Working Capital</t>
  </si>
  <si>
    <t>Income Taxes Payable</t>
  </si>
  <si>
    <t>Total Free Cash Flows</t>
  </si>
  <si>
    <t>Year</t>
  </si>
  <si>
    <t>PV</t>
  </si>
  <si>
    <t>NPV of Free Cash Flows</t>
  </si>
  <si>
    <t>IRR</t>
  </si>
  <si>
    <t>Year 0</t>
  </si>
  <si>
    <t>Operating Profit</t>
  </si>
  <si>
    <t>Depreciation</t>
  </si>
  <si>
    <t>book value</t>
  </si>
  <si>
    <t>Accounts receivables days</t>
  </si>
  <si>
    <t>Buy price tire</t>
  </si>
  <si>
    <t>Sell price tire</t>
  </si>
  <si>
    <t>Buy service price</t>
  </si>
  <si>
    <t>Sell service price</t>
  </si>
  <si>
    <t>Inventory days</t>
  </si>
  <si>
    <t>Accounts payable days</t>
  </si>
  <si>
    <t>Unlevered Beta</t>
  </si>
  <si>
    <t>Relevered Beta</t>
  </si>
  <si>
    <t>Relevered CAPM</t>
  </si>
  <si>
    <t>New WACC</t>
  </si>
  <si>
    <t>New Debt/Equity</t>
  </si>
  <si>
    <t>percent debt</t>
  </si>
  <si>
    <t>Percent Equity</t>
  </si>
  <si>
    <t>Sell Land</t>
  </si>
  <si>
    <t>Buy Building and 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</si>
</sst>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  <numFmt numFmtId="166" formatCode="_(\$* #,##0_);_(\$* \(#,##0\);_(\$* \-??_);_(@_)"/>
    <numFmt numFmtId="167" formatCode="_(* #,##0.00_);_(* \(#,##0.00\);_(* \-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4" tint="0.59999389629810485"/>
      <name val="Calibri"/>
      <family val="2"/>
      <scheme val="minor"/>
    </font>
    <font>
      <sz val="11"/>
      <color theme="4" tint="0.5999938962981048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0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96">
    <xf numFmtId="0" fontId="0" fillId="0" borderId="0" xfId="0"/>
    <xf numFmtId="0" fontId="0" fillId="0" borderId="0" xfId="0"/>
    <xf numFmtId="44" fontId="0" fillId="0" borderId="0" xfId="1" applyFont="1"/>
    <xf numFmtId="8" fontId="0" fillId="0" borderId="0" xfId="0" applyNumberFormat="1"/>
    <xf numFmtId="44" fontId="0" fillId="0" borderId="0" xfId="0" applyNumberFormat="1"/>
    <xf numFmtId="44" fontId="0" fillId="0" borderId="0" xfId="1" applyNumberFormat="1" applyFont="1"/>
    <xf numFmtId="9" fontId="0" fillId="0" borderId="0" xfId="2" applyFont="1"/>
    <xf numFmtId="44" fontId="2" fillId="0" borderId="0" xfId="0" applyNumberFormat="1" applyFont="1"/>
    <xf numFmtId="0" fontId="0" fillId="0" borderId="0" xfId="0" applyNumberFormat="1"/>
    <xf numFmtId="0" fontId="0" fillId="2" borderId="0" xfId="0" applyFill="1"/>
    <xf numFmtId="9" fontId="0" fillId="2" borderId="0" xfId="0" applyNumberFormat="1" applyFill="1"/>
    <xf numFmtId="164" fontId="0" fillId="2" borderId="0" xfId="0" applyNumberFormat="1" applyFill="1"/>
    <xf numFmtId="0" fontId="9" fillId="2" borderId="0" xfId="7" applyFont="1" applyFill="1"/>
    <xf numFmtId="0" fontId="8" fillId="2" borderId="0" xfId="7" applyFill="1"/>
    <xf numFmtId="0" fontId="8" fillId="2" borderId="0" xfId="7" applyFont="1" applyFill="1"/>
    <xf numFmtId="166" fontId="8" fillId="2" borderId="0" xfId="7" applyNumberFormat="1" applyFill="1"/>
    <xf numFmtId="167" fontId="8" fillId="2" borderId="0" xfId="7" applyNumberFormat="1" applyFill="1"/>
    <xf numFmtId="165" fontId="8" fillId="2" borderId="0" xfId="2" applyNumberFormat="1" applyFont="1" applyFill="1" applyBorder="1" applyAlignment="1" applyProtection="1"/>
    <xf numFmtId="0" fontId="2" fillId="3" borderId="1" xfId="0" applyFont="1" applyFill="1" applyBorder="1"/>
    <xf numFmtId="0" fontId="0" fillId="3" borderId="1" xfId="0" applyFill="1" applyBorder="1"/>
    <xf numFmtId="0" fontId="0" fillId="3" borderId="4" xfId="0" applyFill="1" applyBorder="1"/>
    <xf numFmtId="2" fontId="0" fillId="3" borderId="9" xfId="0" applyNumberFormat="1" applyFont="1" applyFill="1" applyBorder="1"/>
    <xf numFmtId="9" fontId="0" fillId="3" borderId="5" xfId="0" applyNumberFormat="1" applyFill="1" applyBorder="1"/>
    <xf numFmtId="2" fontId="0" fillId="3" borderId="1" xfId="0" applyNumberFormat="1" applyFont="1" applyFill="1" applyBorder="1"/>
    <xf numFmtId="2" fontId="0" fillId="3" borderId="1" xfId="0" applyNumberFormat="1" applyFill="1" applyBorder="1"/>
    <xf numFmtId="9" fontId="0" fillId="3" borderId="5" xfId="2" applyFont="1" applyFill="1" applyBorder="1"/>
    <xf numFmtId="0" fontId="0" fillId="3" borderId="4" xfId="0" applyFont="1" applyFill="1" applyBorder="1"/>
    <xf numFmtId="0" fontId="0" fillId="3" borderId="6" xfId="0" applyFill="1" applyBorder="1"/>
    <xf numFmtId="9" fontId="0" fillId="3" borderId="7" xfId="2" applyFont="1" applyFill="1" applyBorder="1"/>
    <xf numFmtId="0" fontId="0" fillId="3" borderId="2" xfId="0" applyFill="1" applyBorder="1"/>
    <xf numFmtId="0" fontId="0" fillId="3" borderId="8" xfId="0" applyFill="1" applyBorder="1"/>
    <xf numFmtId="164" fontId="0" fillId="3" borderId="8" xfId="0" applyNumberFormat="1" applyFill="1" applyBorder="1"/>
    <xf numFmtId="164" fontId="0" fillId="3" borderId="3" xfId="0" applyNumberFormat="1" applyFill="1" applyBorder="1"/>
    <xf numFmtId="0" fontId="0" fillId="3" borderId="0" xfId="0" applyFill="1" applyBorder="1"/>
    <xf numFmtId="164" fontId="0" fillId="3" borderId="0" xfId="0" applyNumberFormat="1" applyFill="1" applyBorder="1"/>
    <xf numFmtId="164" fontId="0" fillId="3" borderId="5" xfId="0" applyNumberFormat="1" applyFill="1" applyBorder="1"/>
    <xf numFmtId="0" fontId="0" fillId="3" borderId="5" xfId="0" applyFill="1" applyBorder="1"/>
    <xf numFmtId="0" fontId="0" fillId="3" borderId="10" xfId="0" applyFill="1" applyBorder="1"/>
    <xf numFmtId="0" fontId="9" fillId="3" borderId="1" xfId="7" applyFont="1" applyFill="1" applyBorder="1"/>
    <xf numFmtId="0" fontId="8" fillId="3" borderId="1" xfId="7" applyFill="1" applyBorder="1"/>
    <xf numFmtId="10" fontId="8" fillId="3" borderId="1" xfId="7" applyNumberFormat="1" applyFill="1" applyBorder="1"/>
    <xf numFmtId="10" fontId="8" fillId="3" borderId="1" xfId="2" applyNumberFormat="1" applyFont="1" applyFill="1" applyBorder="1" applyAlignment="1" applyProtection="1"/>
    <xf numFmtId="165" fontId="8" fillId="3" borderId="1" xfId="2" applyNumberFormat="1" applyFont="1" applyFill="1" applyBorder="1" applyAlignment="1" applyProtection="1"/>
    <xf numFmtId="0" fontId="8" fillId="3" borderId="1" xfId="7" applyFont="1" applyFill="1" applyBorder="1"/>
    <xf numFmtId="166" fontId="8" fillId="3" borderId="1" xfId="1" applyNumberFormat="1" applyFont="1" applyFill="1" applyBorder="1" applyAlignment="1" applyProtection="1"/>
    <xf numFmtId="166" fontId="8" fillId="3" borderId="1" xfId="7" applyNumberFormat="1" applyFill="1" applyBorder="1"/>
    <xf numFmtId="0" fontId="9" fillId="3" borderId="0" xfId="7" applyFont="1" applyFill="1" applyBorder="1"/>
    <xf numFmtId="0" fontId="8" fillId="3" borderId="0" xfId="7" applyFill="1" applyBorder="1"/>
    <xf numFmtId="0" fontId="9" fillId="3" borderId="2" xfId="7" applyFont="1" applyFill="1" applyBorder="1"/>
    <xf numFmtId="0" fontId="8" fillId="3" borderId="8" xfId="7" applyFill="1" applyBorder="1"/>
    <xf numFmtId="0" fontId="0" fillId="3" borderId="3" xfId="0" applyFill="1" applyBorder="1"/>
    <xf numFmtId="0" fontId="8" fillId="3" borderId="4" xfId="7" applyFill="1" applyBorder="1"/>
    <xf numFmtId="0" fontId="9" fillId="3" borderId="4" xfId="7" applyFont="1" applyFill="1" applyBorder="1"/>
    <xf numFmtId="44" fontId="0" fillId="3" borderId="0" xfId="0" applyNumberFormat="1" applyFill="1" applyBorder="1"/>
    <xf numFmtId="44" fontId="0" fillId="3" borderId="5" xfId="0" applyNumberFormat="1" applyFill="1" applyBorder="1"/>
    <xf numFmtId="44" fontId="0" fillId="3" borderId="5" xfId="1" applyFont="1" applyFill="1" applyBorder="1"/>
    <xf numFmtId="0" fontId="8" fillId="3" borderId="4" xfId="7" applyFont="1" applyFill="1" applyBorder="1"/>
    <xf numFmtId="44" fontId="0" fillId="3" borderId="0" xfId="1" applyFont="1" applyFill="1" applyBorder="1"/>
    <xf numFmtId="8" fontId="0" fillId="3" borderId="0" xfId="0" applyNumberFormat="1" applyFill="1" applyBorder="1"/>
    <xf numFmtId="8" fontId="0" fillId="3" borderId="5" xfId="0" applyNumberFormat="1" applyFill="1" applyBorder="1"/>
    <xf numFmtId="0" fontId="8" fillId="3" borderId="6" xfId="7" applyFill="1" applyBorder="1"/>
    <xf numFmtId="0" fontId="9" fillId="3" borderId="10" xfId="7" applyFont="1" applyFill="1" applyBorder="1"/>
    <xf numFmtId="9" fontId="0" fillId="3" borderId="10" xfId="0" applyNumberFormat="1" applyFill="1" applyBorder="1"/>
    <xf numFmtId="0" fontId="0" fillId="3" borderId="7" xfId="0" applyFill="1" applyBorder="1"/>
    <xf numFmtId="0" fontId="2" fillId="3" borderId="2" xfId="0" applyFont="1" applyFill="1" applyBorder="1"/>
    <xf numFmtId="0" fontId="2" fillId="3" borderId="8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164" fontId="0" fillId="3" borderId="0" xfId="1" applyNumberFormat="1" applyFont="1" applyFill="1" applyBorder="1"/>
    <xf numFmtId="164" fontId="0" fillId="3" borderId="5" xfId="1" applyNumberFormat="1" applyFont="1" applyFill="1" applyBorder="1"/>
    <xf numFmtId="0" fontId="3" fillId="3" borderId="4" xfId="0" applyFont="1" applyFill="1" applyBorder="1"/>
    <xf numFmtId="44" fontId="0" fillId="3" borderId="0" xfId="1" applyNumberFormat="1" applyFont="1" applyFill="1" applyBorder="1"/>
    <xf numFmtId="44" fontId="0" fillId="3" borderId="5" xfId="1" applyNumberFormat="1" applyFont="1" applyFill="1" applyBorder="1"/>
    <xf numFmtId="0" fontId="4" fillId="3" borderId="4" xfId="0" applyFont="1" applyFill="1" applyBorder="1"/>
    <xf numFmtId="0" fontId="3" fillId="3" borderId="0" xfId="0" applyFont="1" applyFill="1" applyBorder="1"/>
    <xf numFmtId="2" fontId="0" fillId="3" borderId="0" xfId="0" applyNumberFormat="1" applyFill="1" applyBorder="1"/>
    <xf numFmtId="44" fontId="0" fillId="3" borderId="10" xfId="1" applyFont="1" applyFill="1" applyBorder="1"/>
    <xf numFmtId="44" fontId="0" fillId="3" borderId="7" xfId="1" applyFont="1" applyFill="1" applyBorder="1"/>
    <xf numFmtId="0" fontId="0" fillId="2" borderId="0" xfId="0" applyFill="1" applyBorder="1"/>
    <xf numFmtId="0" fontId="0" fillId="2" borderId="10" xfId="0" applyFill="1" applyBorder="1"/>
    <xf numFmtId="2" fontId="0" fillId="2" borderId="10" xfId="0" applyNumberFormat="1" applyFill="1" applyBorder="1"/>
    <xf numFmtId="2" fontId="0" fillId="2" borderId="0" xfId="0" applyNumberFormat="1" applyFill="1" applyBorder="1"/>
    <xf numFmtId="0" fontId="0" fillId="3" borderId="0" xfId="0" applyFill="1"/>
    <xf numFmtId="164" fontId="0" fillId="3" borderId="0" xfId="0" applyNumberFormat="1" applyFill="1"/>
    <xf numFmtId="9" fontId="0" fillId="3" borderId="0" xfId="2" applyFont="1" applyFill="1"/>
    <xf numFmtId="9" fontId="0" fillId="3" borderId="0" xfId="0" applyNumberFormat="1" applyFill="1"/>
    <xf numFmtId="0" fontId="10" fillId="2" borderId="0" xfId="0" applyFont="1" applyFill="1" applyBorder="1"/>
    <xf numFmtId="0" fontId="11" fillId="2" borderId="0" xfId="0" applyFont="1" applyFill="1" applyBorder="1"/>
    <xf numFmtId="9" fontId="11" fillId="2" borderId="0" xfId="0" applyNumberFormat="1" applyFont="1" applyFill="1" applyBorder="1"/>
    <xf numFmtId="9" fontId="11" fillId="2" borderId="0" xfId="2" applyFont="1" applyFill="1" applyBorder="1"/>
    <xf numFmtId="0" fontId="0" fillId="2" borderId="0" xfId="0" applyFont="1" applyFill="1" applyBorder="1"/>
    <xf numFmtId="0" fontId="0" fillId="3" borderId="1" xfId="0" applyFont="1" applyFill="1" applyBorder="1"/>
    <xf numFmtId="9" fontId="0" fillId="3" borderId="1" xfId="0" applyNumberFormat="1" applyFont="1" applyFill="1" applyBorder="1"/>
    <xf numFmtId="0" fontId="8" fillId="2" borderId="0" xfId="7" applyFill="1" applyBorder="1"/>
    <xf numFmtId="9" fontId="8" fillId="3" borderId="0" xfId="7" applyNumberFormat="1" applyFill="1" applyBorder="1"/>
    <xf numFmtId="2" fontId="8" fillId="3" borderId="1" xfId="2" applyNumberFormat="1" applyFont="1" applyFill="1" applyBorder="1" applyAlignment="1" applyProtection="1"/>
  </cellXfs>
  <cellStyles count="20">
    <cellStyle name="Currency" xfId="1" builtinId="4"/>
    <cellStyle name="Excel Built-in Normal" xfId="7"/>
    <cellStyle name="Followed Hyperlink" xfId="4" builtinId="9" hidden="1"/>
    <cellStyle name="Followed Hyperlink" xfId="6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Hyperlink" xfId="3" builtinId="8" hidden="1"/>
    <cellStyle name="Hyperlink" xfId="5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W166"/>
  <sheetViews>
    <sheetView tabSelected="1" zoomScale="75" zoomScaleNormal="75" zoomScalePageLayoutView="75" workbookViewId="0">
      <selection activeCell="F96" sqref="F96"/>
    </sheetView>
  </sheetViews>
  <sheetFormatPr defaultColWidth="8.85546875" defaultRowHeight="15" x14ac:dyDescent="0.25"/>
  <cols>
    <col min="1" max="3" width="8.85546875" style="9"/>
    <col min="4" max="4" width="24.140625" style="9" bestFit="1" customWidth="1"/>
    <col min="5" max="5" width="24.140625" style="9" customWidth="1"/>
    <col min="6" max="6" width="26.42578125" style="9" bestFit="1" customWidth="1"/>
    <col min="7" max="7" width="39.7109375" style="9" bestFit="1" customWidth="1"/>
    <col min="8" max="8" width="14.85546875" style="9" bestFit="1" customWidth="1"/>
    <col min="9" max="9" width="18.85546875" style="9" customWidth="1"/>
    <col min="10" max="10" width="14.85546875" style="9" bestFit="1" customWidth="1"/>
    <col min="11" max="11" width="15.28515625" style="9" bestFit="1" customWidth="1"/>
    <col min="12" max="12" width="16.28515625" style="9" bestFit="1" customWidth="1"/>
    <col min="13" max="15" width="17" style="9" bestFit="1" customWidth="1"/>
    <col min="16" max="16" width="6.7109375" style="9" bestFit="1" customWidth="1"/>
    <col min="17" max="17" width="12.42578125" style="9" bestFit="1" customWidth="1"/>
    <col min="18" max="18" width="10.42578125" style="9" bestFit="1" customWidth="1"/>
    <col min="19" max="20" width="8.85546875" style="9"/>
    <col min="21" max="21" width="24" style="9" bestFit="1" customWidth="1"/>
    <col min="22" max="22" width="12.140625" style="9" bestFit="1" customWidth="1"/>
    <col min="23" max="16384" width="8.85546875" style="9"/>
  </cols>
  <sheetData>
    <row r="2" spans="4:23" x14ac:dyDescent="0.25">
      <c r="D2" s="18" t="s">
        <v>82</v>
      </c>
      <c r="E2" s="18"/>
      <c r="F2" s="18">
        <v>2012</v>
      </c>
      <c r="G2" s="18">
        <v>2013</v>
      </c>
      <c r="H2" s="18">
        <v>2014</v>
      </c>
      <c r="I2" s="18">
        <v>2015</v>
      </c>
      <c r="J2" s="18">
        <v>2016</v>
      </c>
      <c r="K2" s="18">
        <v>2017</v>
      </c>
      <c r="L2" s="18">
        <v>2018</v>
      </c>
      <c r="M2" s="18">
        <v>2019</v>
      </c>
      <c r="N2" s="18">
        <v>2020</v>
      </c>
      <c r="O2" s="18">
        <v>2021</v>
      </c>
      <c r="P2" s="19"/>
    </row>
    <row r="3" spans="4:23" x14ac:dyDescent="0.25">
      <c r="D3" s="20" t="s">
        <v>46</v>
      </c>
      <c r="E3" s="20"/>
      <c r="F3" s="21">
        <v>8670000</v>
      </c>
      <c r="G3" s="21">
        <f>F3+(F3*$P$3)</f>
        <v>9016800</v>
      </c>
      <c r="H3" s="21">
        <f t="shared" ref="H3:O3" si="0">G3+(G3*$P$3)</f>
        <v>9377472</v>
      </c>
      <c r="I3" s="21">
        <f t="shared" si="0"/>
        <v>9752570.8800000008</v>
      </c>
      <c r="J3" s="21">
        <f t="shared" si="0"/>
        <v>10142673.715200001</v>
      </c>
      <c r="K3" s="21">
        <f t="shared" si="0"/>
        <v>10548380.663808001</v>
      </c>
      <c r="L3" s="21">
        <f t="shared" si="0"/>
        <v>10970315.890360322</v>
      </c>
      <c r="M3" s="21">
        <f t="shared" si="0"/>
        <v>11409128.525974736</v>
      </c>
      <c r="N3" s="21">
        <f t="shared" si="0"/>
        <v>11865493.667013725</v>
      </c>
      <c r="O3" s="21">
        <f t="shared" si="0"/>
        <v>12340113.413694274</v>
      </c>
      <c r="P3" s="22">
        <v>0.04</v>
      </c>
      <c r="R3" s="86" t="s">
        <v>55</v>
      </c>
      <c r="S3" s="87">
        <v>4</v>
      </c>
      <c r="T3" s="87"/>
      <c r="U3" s="86" t="s">
        <v>58</v>
      </c>
      <c r="V3" s="87"/>
      <c r="W3" s="87"/>
    </row>
    <row r="4" spans="4:23" x14ac:dyDescent="0.25">
      <c r="D4" s="20" t="s">
        <v>47</v>
      </c>
      <c r="E4" s="20"/>
      <c r="F4" s="23">
        <f>F3*$P$4</f>
        <v>86700</v>
      </c>
      <c r="G4" s="23">
        <f t="shared" ref="G4:O4" si="1">G3*$P$4</f>
        <v>90168</v>
      </c>
      <c r="H4" s="23">
        <f t="shared" si="1"/>
        <v>93774.720000000001</v>
      </c>
      <c r="I4" s="23">
        <f t="shared" si="1"/>
        <v>97525.708800000008</v>
      </c>
      <c r="J4" s="23">
        <f t="shared" si="1"/>
        <v>101426.73715200002</v>
      </c>
      <c r="K4" s="23">
        <f t="shared" si="1"/>
        <v>105483.80663808002</v>
      </c>
      <c r="L4" s="23">
        <f t="shared" si="1"/>
        <v>109703.15890360322</v>
      </c>
      <c r="M4" s="23">
        <f t="shared" si="1"/>
        <v>114091.28525974735</v>
      </c>
      <c r="N4" s="23">
        <f t="shared" si="1"/>
        <v>118654.93667013725</v>
      </c>
      <c r="O4" s="23">
        <f t="shared" si="1"/>
        <v>123401.13413694274</v>
      </c>
      <c r="P4" s="22">
        <v>0.01</v>
      </c>
      <c r="R4" s="86" t="s">
        <v>60</v>
      </c>
      <c r="S4" s="87">
        <v>2</v>
      </c>
      <c r="T4" s="87"/>
      <c r="U4" s="87" t="s">
        <v>59</v>
      </c>
      <c r="V4" s="87">
        <v>500000</v>
      </c>
      <c r="W4" s="87"/>
    </row>
    <row r="5" spans="4:23" x14ac:dyDescent="0.25">
      <c r="D5" s="20" t="s">
        <v>48</v>
      </c>
      <c r="E5" s="20"/>
      <c r="F5" s="23">
        <f>F4*$P$5</f>
        <v>1734</v>
      </c>
      <c r="G5" s="23">
        <f t="shared" ref="G5:O5" si="2">G4*$P$5</f>
        <v>1803.3600000000001</v>
      </c>
      <c r="H5" s="23">
        <f t="shared" si="2"/>
        <v>1875.4944</v>
      </c>
      <c r="I5" s="23">
        <f t="shared" si="2"/>
        <v>1950.5141760000001</v>
      </c>
      <c r="J5" s="23">
        <f t="shared" si="2"/>
        <v>2028.5347430400004</v>
      </c>
      <c r="K5" s="23">
        <f t="shared" si="2"/>
        <v>2109.6761327616005</v>
      </c>
      <c r="L5" s="23">
        <f t="shared" si="2"/>
        <v>2194.0631780720646</v>
      </c>
      <c r="M5" s="23">
        <f t="shared" si="2"/>
        <v>2281.8257051949472</v>
      </c>
      <c r="N5" s="23">
        <f t="shared" si="2"/>
        <v>2373.098733402745</v>
      </c>
      <c r="O5" s="23">
        <f t="shared" si="2"/>
        <v>2468.0226827388547</v>
      </c>
      <c r="P5" s="22">
        <v>0.02</v>
      </c>
      <c r="R5" s="87"/>
      <c r="S5" s="87"/>
      <c r="T5" s="87"/>
      <c r="U5" s="87" t="s">
        <v>60</v>
      </c>
      <c r="V5" s="87">
        <v>40</v>
      </c>
      <c r="W5" s="87"/>
    </row>
    <row r="6" spans="4:23" x14ac:dyDescent="0.25">
      <c r="D6" s="20" t="s">
        <v>49</v>
      </c>
      <c r="E6" s="20"/>
      <c r="F6" s="24">
        <f>$V$41</f>
        <v>1150</v>
      </c>
      <c r="G6" s="24">
        <f>F6*(1+$P$6)</f>
        <v>1173</v>
      </c>
      <c r="H6" s="24">
        <f t="shared" ref="H6:O6" si="3">G6*(1+$P$6)</f>
        <v>1196.46</v>
      </c>
      <c r="I6" s="24">
        <f t="shared" si="3"/>
        <v>1220.3892000000001</v>
      </c>
      <c r="J6" s="24">
        <f t="shared" si="3"/>
        <v>1244.7969840000001</v>
      </c>
      <c r="K6" s="24">
        <f t="shared" si="3"/>
        <v>1269.6929236800001</v>
      </c>
      <c r="L6" s="24">
        <f t="shared" si="3"/>
        <v>1295.0867821536001</v>
      </c>
      <c r="M6" s="24">
        <f t="shared" si="3"/>
        <v>1320.9885177966721</v>
      </c>
      <c r="N6" s="24">
        <f t="shared" si="3"/>
        <v>1347.4082881526056</v>
      </c>
      <c r="O6" s="24">
        <f t="shared" si="3"/>
        <v>1374.3564539156578</v>
      </c>
      <c r="P6" s="25">
        <v>0.02</v>
      </c>
      <c r="R6" s="87"/>
      <c r="S6" s="87"/>
      <c r="T6" s="87"/>
      <c r="U6" s="87" t="s">
        <v>61</v>
      </c>
      <c r="V6" s="87">
        <f>V4/V5</f>
        <v>12500</v>
      </c>
      <c r="W6" s="87"/>
    </row>
    <row r="7" spans="4:23" x14ac:dyDescent="0.25">
      <c r="D7" s="26" t="s">
        <v>50</v>
      </c>
      <c r="E7" s="26"/>
      <c r="F7" s="24">
        <f>F5+F6</f>
        <v>2884</v>
      </c>
      <c r="G7" s="24">
        <f t="shared" ref="G7:O7" si="4">G5+G6</f>
        <v>2976.36</v>
      </c>
      <c r="H7" s="24">
        <f t="shared" si="4"/>
        <v>3071.9544000000001</v>
      </c>
      <c r="I7" s="24">
        <f t="shared" si="4"/>
        <v>3170.9033760000002</v>
      </c>
      <c r="J7" s="24">
        <f t="shared" si="4"/>
        <v>3273.3317270400003</v>
      </c>
      <c r="K7" s="24">
        <f t="shared" si="4"/>
        <v>3379.3690564416006</v>
      </c>
      <c r="L7" s="24">
        <f t="shared" si="4"/>
        <v>3489.1499602256645</v>
      </c>
      <c r="M7" s="24">
        <f t="shared" si="4"/>
        <v>3602.8142229916193</v>
      </c>
      <c r="N7" s="24">
        <f t="shared" si="4"/>
        <v>3720.5070215553505</v>
      </c>
      <c r="O7" s="24">
        <f t="shared" si="4"/>
        <v>3842.3791366545124</v>
      </c>
      <c r="P7" s="25"/>
      <c r="R7" s="87"/>
      <c r="S7" s="87"/>
      <c r="T7" s="87"/>
      <c r="U7" s="87" t="s">
        <v>62</v>
      </c>
      <c r="V7" s="88">
        <v>0.3</v>
      </c>
      <c r="W7" s="87"/>
    </row>
    <row r="8" spans="4:23" x14ac:dyDescent="0.25">
      <c r="D8" s="26" t="s">
        <v>53</v>
      </c>
      <c r="E8" s="26"/>
      <c r="F8" s="23">
        <f>F4*$P$5</f>
        <v>1734</v>
      </c>
      <c r="G8" s="23">
        <f t="shared" ref="G8:O8" si="5">G4*$P$5</f>
        <v>1803.3600000000001</v>
      </c>
      <c r="H8" s="23">
        <f t="shared" si="5"/>
        <v>1875.4944</v>
      </c>
      <c r="I8" s="23">
        <f t="shared" si="5"/>
        <v>1950.5141760000001</v>
      </c>
      <c r="J8" s="23">
        <f t="shared" si="5"/>
        <v>2028.5347430400004</v>
      </c>
      <c r="K8" s="23">
        <f t="shared" si="5"/>
        <v>2109.6761327616005</v>
      </c>
      <c r="L8" s="23">
        <f t="shared" si="5"/>
        <v>2194.0631780720646</v>
      </c>
      <c r="M8" s="23">
        <f t="shared" si="5"/>
        <v>2281.8257051949472</v>
      </c>
      <c r="N8" s="23">
        <f t="shared" si="5"/>
        <v>2373.098733402745</v>
      </c>
      <c r="O8" s="23">
        <f t="shared" si="5"/>
        <v>2468.0226827388547</v>
      </c>
      <c r="P8" s="25"/>
      <c r="R8" s="87"/>
      <c r="S8" s="87"/>
      <c r="T8" s="87"/>
      <c r="U8" s="87" t="s">
        <v>63</v>
      </c>
      <c r="V8" s="87">
        <f>V6+(V6*V7)</f>
        <v>16250</v>
      </c>
      <c r="W8" s="87"/>
    </row>
    <row r="9" spans="4:23" x14ac:dyDescent="0.25">
      <c r="D9" s="20" t="s">
        <v>52</v>
      </c>
      <c r="E9" s="20"/>
      <c r="F9" s="24">
        <f>$V$41</f>
        <v>1150</v>
      </c>
      <c r="G9" s="24">
        <f>F9+(F9*$P$9)</f>
        <v>1207.5</v>
      </c>
      <c r="H9" s="24">
        <f t="shared" ref="H9:O9" si="6">G9+(G9*$P$9)</f>
        <v>1267.875</v>
      </c>
      <c r="I9" s="24">
        <f t="shared" si="6"/>
        <v>1331.26875</v>
      </c>
      <c r="J9" s="24">
        <f t="shared" si="6"/>
        <v>1397.8321874999999</v>
      </c>
      <c r="K9" s="24">
        <f t="shared" si="6"/>
        <v>1467.7237968749998</v>
      </c>
      <c r="L9" s="24">
        <f t="shared" si="6"/>
        <v>1541.1099867187497</v>
      </c>
      <c r="M9" s="24">
        <f t="shared" si="6"/>
        <v>1618.1654860546873</v>
      </c>
      <c r="N9" s="24">
        <f t="shared" si="6"/>
        <v>1699.0737603574216</v>
      </c>
      <c r="O9" s="24">
        <f t="shared" si="6"/>
        <v>1784.0274483752928</v>
      </c>
      <c r="P9" s="25">
        <v>0.05</v>
      </c>
      <c r="R9" s="87"/>
      <c r="S9" s="87"/>
      <c r="T9" s="87"/>
      <c r="U9" s="87"/>
      <c r="V9" s="87"/>
      <c r="W9" s="87"/>
    </row>
    <row r="10" spans="4:23" x14ac:dyDescent="0.25">
      <c r="D10" s="26" t="s">
        <v>51</v>
      </c>
      <c r="E10" s="26"/>
      <c r="F10" s="24">
        <f>F8+F9</f>
        <v>2884</v>
      </c>
      <c r="G10" s="24">
        <f t="shared" ref="G10:O10" si="7">G8+G9</f>
        <v>3010.86</v>
      </c>
      <c r="H10" s="24">
        <f t="shared" si="7"/>
        <v>3143.3694</v>
      </c>
      <c r="I10" s="24">
        <f t="shared" si="7"/>
        <v>3281.7829259999999</v>
      </c>
      <c r="J10" s="24">
        <f t="shared" si="7"/>
        <v>3426.3669305400003</v>
      </c>
      <c r="K10" s="24">
        <f t="shared" si="7"/>
        <v>3577.3999296366001</v>
      </c>
      <c r="L10" s="24">
        <f t="shared" si="7"/>
        <v>3735.1731647908146</v>
      </c>
      <c r="M10" s="24">
        <f t="shared" si="7"/>
        <v>3899.9911912496345</v>
      </c>
      <c r="N10" s="24">
        <f t="shared" si="7"/>
        <v>4072.1724937601666</v>
      </c>
      <c r="O10" s="24">
        <f t="shared" si="7"/>
        <v>4252.050131114147</v>
      </c>
      <c r="P10" s="25"/>
      <c r="R10" s="87"/>
      <c r="S10" s="87"/>
      <c r="T10" s="87"/>
      <c r="U10" s="86" t="s">
        <v>64</v>
      </c>
      <c r="V10" s="87"/>
      <c r="W10" s="87"/>
    </row>
    <row r="11" spans="4:23" x14ac:dyDescent="0.25">
      <c r="D11" s="20" t="s">
        <v>124</v>
      </c>
      <c r="E11" s="20"/>
      <c r="F11" s="24">
        <v>30</v>
      </c>
      <c r="G11" s="24">
        <f>F11+(F11*$P$11)</f>
        <v>30.9</v>
      </c>
      <c r="H11" s="24">
        <f t="shared" ref="H11:O11" si="8">G11+(G11*$P$11)</f>
        <v>31.826999999999998</v>
      </c>
      <c r="I11" s="24">
        <f t="shared" si="8"/>
        <v>32.78181</v>
      </c>
      <c r="J11" s="24">
        <f t="shared" si="8"/>
        <v>33.765264299999998</v>
      </c>
      <c r="K11" s="24">
        <f t="shared" si="8"/>
        <v>34.778222229000001</v>
      </c>
      <c r="L11" s="24">
        <f t="shared" si="8"/>
        <v>35.821568895870001</v>
      </c>
      <c r="M11" s="24">
        <f t="shared" si="8"/>
        <v>36.896215962746098</v>
      </c>
      <c r="N11" s="24">
        <f t="shared" si="8"/>
        <v>38.003102441628478</v>
      </c>
      <c r="O11" s="24">
        <f t="shared" si="8"/>
        <v>39.143195514877334</v>
      </c>
      <c r="P11" s="25">
        <v>0.03</v>
      </c>
      <c r="Q11" s="82" t="s">
        <v>54</v>
      </c>
      <c r="R11" s="87"/>
      <c r="S11" s="87"/>
      <c r="T11" s="87"/>
      <c r="U11" s="87" t="s">
        <v>59</v>
      </c>
      <c r="V11" s="87">
        <v>85000</v>
      </c>
      <c r="W11" s="87"/>
    </row>
    <row r="12" spans="4:23" x14ac:dyDescent="0.25">
      <c r="D12" s="20" t="s">
        <v>125</v>
      </c>
      <c r="E12" s="20"/>
      <c r="F12" s="24">
        <f>F11*$S$3</f>
        <v>120</v>
      </c>
      <c r="G12" s="24">
        <f t="shared" ref="G12:O12" si="9">G11*$S$3</f>
        <v>123.6</v>
      </c>
      <c r="H12" s="24">
        <f t="shared" si="9"/>
        <v>127.30799999999999</v>
      </c>
      <c r="I12" s="24">
        <f t="shared" si="9"/>
        <v>131.12724</v>
      </c>
      <c r="J12" s="24">
        <f t="shared" si="9"/>
        <v>135.06105719999999</v>
      </c>
      <c r="K12" s="24">
        <f t="shared" si="9"/>
        <v>139.112888916</v>
      </c>
      <c r="L12" s="24">
        <f t="shared" si="9"/>
        <v>143.28627558348001</v>
      </c>
      <c r="M12" s="24">
        <f t="shared" si="9"/>
        <v>147.58486385098439</v>
      </c>
      <c r="N12" s="24">
        <f t="shared" si="9"/>
        <v>152.01240976651391</v>
      </c>
      <c r="O12" s="24">
        <f t="shared" si="9"/>
        <v>156.57278205950934</v>
      </c>
      <c r="P12" s="25"/>
      <c r="R12" s="87"/>
      <c r="S12" s="87"/>
      <c r="T12" s="87"/>
      <c r="U12" s="87" t="s">
        <v>60</v>
      </c>
      <c r="V12" s="87">
        <v>0.64</v>
      </c>
      <c r="W12" s="87"/>
    </row>
    <row r="13" spans="4:23" x14ac:dyDescent="0.25">
      <c r="D13" s="20" t="s">
        <v>126</v>
      </c>
      <c r="E13" s="20"/>
      <c r="F13" s="24">
        <v>10</v>
      </c>
      <c r="G13" s="24">
        <f>F13*(1+$P$13)</f>
        <v>10.199999999999999</v>
      </c>
      <c r="H13" s="24">
        <f t="shared" ref="H13:O13" si="10">G13*(1+$P$13)</f>
        <v>10.404</v>
      </c>
      <c r="I13" s="24">
        <f t="shared" si="10"/>
        <v>10.612080000000001</v>
      </c>
      <c r="J13" s="24">
        <f t="shared" si="10"/>
        <v>10.824321600000001</v>
      </c>
      <c r="K13" s="24">
        <f t="shared" si="10"/>
        <v>11.040808032000001</v>
      </c>
      <c r="L13" s="24">
        <f t="shared" si="10"/>
        <v>11.261624192640001</v>
      </c>
      <c r="M13" s="24">
        <f t="shared" si="10"/>
        <v>11.486856676492801</v>
      </c>
      <c r="N13" s="24">
        <f t="shared" si="10"/>
        <v>11.716593810022657</v>
      </c>
      <c r="O13" s="24">
        <f t="shared" si="10"/>
        <v>11.95092568622311</v>
      </c>
      <c r="P13" s="25">
        <v>0.02</v>
      </c>
      <c r="R13" s="87"/>
      <c r="S13" s="87"/>
      <c r="T13" s="87"/>
      <c r="U13" s="87" t="s">
        <v>65</v>
      </c>
      <c r="V13" s="87">
        <f>V11/V12</f>
        <v>132812.5</v>
      </c>
      <c r="W13" s="87"/>
    </row>
    <row r="14" spans="4:23" x14ac:dyDescent="0.25">
      <c r="D14" s="20" t="s">
        <v>127</v>
      </c>
      <c r="E14" s="20"/>
      <c r="F14" s="24">
        <v>40</v>
      </c>
      <c r="G14" s="24">
        <f>F14*(1+$P$14)</f>
        <v>42</v>
      </c>
      <c r="H14" s="24">
        <f t="shared" ref="H14:O14" si="11">G14*(1+$P$14)</f>
        <v>44.1</v>
      </c>
      <c r="I14" s="24">
        <f t="shared" si="11"/>
        <v>46.305000000000007</v>
      </c>
      <c r="J14" s="24">
        <f t="shared" si="11"/>
        <v>48.620250000000006</v>
      </c>
      <c r="K14" s="24">
        <f t="shared" si="11"/>
        <v>51.051262500000007</v>
      </c>
      <c r="L14" s="24">
        <f t="shared" si="11"/>
        <v>53.603825625000013</v>
      </c>
      <c r="M14" s="24">
        <f t="shared" si="11"/>
        <v>56.284016906250017</v>
      </c>
      <c r="N14" s="24">
        <f t="shared" si="11"/>
        <v>59.098217751562522</v>
      </c>
      <c r="O14" s="24">
        <f t="shared" si="11"/>
        <v>62.053128639140652</v>
      </c>
      <c r="P14" s="25">
        <v>0.05</v>
      </c>
      <c r="R14" s="87"/>
      <c r="S14" s="87"/>
      <c r="T14" s="87"/>
      <c r="U14" s="87" t="s">
        <v>66</v>
      </c>
      <c r="V14" s="87">
        <f>V13*S4</f>
        <v>265625</v>
      </c>
      <c r="W14" s="87" t="s">
        <v>67</v>
      </c>
    </row>
    <row r="15" spans="4:23" x14ac:dyDescent="0.25">
      <c r="D15" s="20" t="s">
        <v>123</v>
      </c>
      <c r="E15" s="20"/>
      <c r="F15" s="24">
        <v>30</v>
      </c>
      <c r="G15" s="24">
        <v>30</v>
      </c>
      <c r="H15" s="24">
        <v>30</v>
      </c>
      <c r="I15" s="24">
        <v>30</v>
      </c>
      <c r="J15" s="24">
        <v>30</v>
      </c>
      <c r="K15" s="24">
        <v>30</v>
      </c>
      <c r="L15" s="24">
        <v>30</v>
      </c>
      <c r="M15" s="24">
        <v>30</v>
      </c>
      <c r="N15" s="24">
        <v>30</v>
      </c>
      <c r="O15" s="24">
        <v>30</v>
      </c>
      <c r="P15" s="25"/>
      <c r="R15" s="87"/>
      <c r="S15" s="87"/>
      <c r="T15" s="87"/>
      <c r="U15" s="87"/>
      <c r="V15" s="87"/>
      <c r="W15" s="87"/>
    </row>
    <row r="16" spans="4:23" x14ac:dyDescent="0.25">
      <c r="D16" s="20" t="s">
        <v>128</v>
      </c>
      <c r="E16" s="20"/>
      <c r="F16" s="24">
        <v>30</v>
      </c>
      <c r="G16" s="24">
        <f>F16*(1+$P$16)</f>
        <v>30.900000000000002</v>
      </c>
      <c r="H16" s="24">
        <f t="shared" ref="H16:O16" si="12">G16*(1+$P$16)</f>
        <v>31.827000000000002</v>
      </c>
      <c r="I16" s="24">
        <f t="shared" si="12"/>
        <v>32.78181</v>
      </c>
      <c r="J16" s="24">
        <f t="shared" si="12"/>
        <v>33.765264299999998</v>
      </c>
      <c r="K16" s="24">
        <f t="shared" si="12"/>
        <v>34.778222229000001</v>
      </c>
      <c r="L16" s="24">
        <f t="shared" si="12"/>
        <v>35.821568895870001</v>
      </c>
      <c r="M16" s="24">
        <f t="shared" si="12"/>
        <v>36.896215962746105</v>
      </c>
      <c r="N16" s="24">
        <f t="shared" si="12"/>
        <v>38.003102441628492</v>
      </c>
      <c r="O16" s="24">
        <f t="shared" si="12"/>
        <v>39.143195514877348</v>
      </c>
      <c r="P16" s="25">
        <v>0.03</v>
      </c>
      <c r="R16" s="87"/>
      <c r="S16" s="87"/>
      <c r="T16" s="87"/>
      <c r="U16" s="86" t="s">
        <v>76</v>
      </c>
      <c r="V16" s="87"/>
      <c r="W16" s="87"/>
    </row>
    <row r="17" spans="4:23" x14ac:dyDescent="0.25">
      <c r="D17" s="27" t="s">
        <v>129</v>
      </c>
      <c r="E17" s="27"/>
      <c r="F17" s="24">
        <v>40</v>
      </c>
      <c r="G17" s="24">
        <f>F17*(1+$P$17)</f>
        <v>39.200000000000003</v>
      </c>
      <c r="H17" s="24">
        <f t="shared" ref="H17:O17" si="13">G17*(1+$P$17)</f>
        <v>38.416000000000004</v>
      </c>
      <c r="I17" s="24">
        <f t="shared" si="13"/>
        <v>37.647680000000001</v>
      </c>
      <c r="J17" s="24">
        <f t="shared" si="13"/>
        <v>36.894726400000003</v>
      </c>
      <c r="K17" s="24">
        <f t="shared" si="13"/>
        <v>36.156831872000005</v>
      </c>
      <c r="L17" s="24">
        <f t="shared" si="13"/>
        <v>35.433695234560005</v>
      </c>
      <c r="M17" s="24">
        <f t="shared" si="13"/>
        <v>34.725021329868802</v>
      </c>
      <c r="N17" s="24">
        <f t="shared" si="13"/>
        <v>34.030520903271423</v>
      </c>
      <c r="O17" s="24">
        <f t="shared" si="13"/>
        <v>33.349910485205996</v>
      </c>
      <c r="P17" s="28">
        <v>-0.02</v>
      </c>
      <c r="R17" s="87"/>
      <c r="S17" s="87"/>
      <c r="T17" s="87"/>
      <c r="U17" s="87" t="s">
        <v>77</v>
      </c>
      <c r="V17" s="87">
        <v>2.2999999999999998</v>
      </c>
      <c r="W17" s="87"/>
    </row>
    <row r="18" spans="4:23" x14ac:dyDescent="0.25">
      <c r="R18" s="87"/>
      <c r="S18" s="87"/>
      <c r="T18" s="87"/>
      <c r="U18" s="87" t="s">
        <v>78</v>
      </c>
      <c r="V18" s="87">
        <v>2000</v>
      </c>
      <c r="W18" s="87"/>
    </row>
    <row r="19" spans="4:23" x14ac:dyDescent="0.25">
      <c r="R19" s="87"/>
      <c r="S19" s="87"/>
      <c r="T19" s="87"/>
      <c r="U19" s="87"/>
      <c r="V19" s="87"/>
      <c r="W19" s="87"/>
    </row>
    <row r="20" spans="4:23" x14ac:dyDescent="0.25">
      <c r="D20" s="18" t="s">
        <v>55</v>
      </c>
      <c r="E20" s="91">
        <v>4</v>
      </c>
      <c r="F20" s="90"/>
      <c r="G20" s="18" t="s">
        <v>58</v>
      </c>
      <c r="H20" s="91"/>
      <c r="I20" s="90"/>
      <c r="R20" s="87"/>
      <c r="S20" s="87"/>
      <c r="T20" s="87"/>
      <c r="U20" s="87"/>
      <c r="V20" s="87"/>
      <c r="W20" s="87"/>
    </row>
    <row r="21" spans="4:23" x14ac:dyDescent="0.25">
      <c r="D21" s="18" t="s">
        <v>60</v>
      </c>
      <c r="E21" s="91">
        <v>2</v>
      </c>
      <c r="F21" s="90"/>
      <c r="G21" s="91" t="s">
        <v>59</v>
      </c>
      <c r="H21" s="91">
        <v>500000</v>
      </c>
      <c r="I21" s="90"/>
      <c r="R21" s="87"/>
      <c r="S21" s="87"/>
      <c r="T21" s="87"/>
      <c r="U21" s="87"/>
      <c r="V21" s="87"/>
      <c r="W21" s="87"/>
    </row>
    <row r="22" spans="4:23" x14ac:dyDescent="0.25">
      <c r="D22" s="90"/>
      <c r="E22" s="90"/>
      <c r="F22" s="90"/>
      <c r="G22" s="91" t="s">
        <v>60</v>
      </c>
      <c r="H22" s="91">
        <v>40</v>
      </c>
      <c r="I22" s="90"/>
      <c r="R22" s="87"/>
      <c r="S22" s="87"/>
      <c r="T22" s="87"/>
      <c r="U22" s="87"/>
      <c r="V22" s="87"/>
      <c r="W22" s="87"/>
    </row>
    <row r="23" spans="4:23" x14ac:dyDescent="0.25">
      <c r="D23" s="90"/>
      <c r="E23" s="90"/>
      <c r="F23" s="90"/>
      <c r="G23" s="91" t="s">
        <v>61</v>
      </c>
      <c r="H23" s="91">
        <f>H21/H22</f>
        <v>12500</v>
      </c>
      <c r="I23" s="90"/>
      <c r="R23" s="87"/>
      <c r="S23" s="87"/>
      <c r="T23" s="87"/>
      <c r="U23" s="87"/>
      <c r="V23" s="87"/>
      <c r="W23" s="87"/>
    </row>
    <row r="24" spans="4:23" x14ac:dyDescent="0.25">
      <c r="D24" s="90"/>
      <c r="E24" s="90"/>
      <c r="F24" s="90"/>
      <c r="G24" s="91" t="s">
        <v>62</v>
      </c>
      <c r="H24" s="92">
        <v>0.3</v>
      </c>
      <c r="I24" s="90"/>
      <c r="R24" s="87"/>
      <c r="S24" s="87"/>
      <c r="T24" s="87"/>
      <c r="U24" s="87"/>
      <c r="V24" s="87"/>
      <c r="W24" s="87"/>
    </row>
    <row r="25" spans="4:23" x14ac:dyDescent="0.25">
      <c r="D25" s="90"/>
      <c r="E25" s="90"/>
      <c r="F25" s="90"/>
      <c r="G25" s="91" t="s">
        <v>63</v>
      </c>
      <c r="H25" s="91">
        <f>H23+(H23*H24)</f>
        <v>16250</v>
      </c>
      <c r="I25" s="90"/>
      <c r="R25" s="87"/>
      <c r="S25" s="87"/>
      <c r="T25" s="87"/>
      <c r="U25" s="87"/>
      <c r="V25" s="87"/>
      <c r="W25" s="87"/>
    </row>
    <row r="26" spans="4:23" x14ac:dyDescent="0.25">
      <c r="D26" s="90"/>
      <c r="E26" s="90"/>
      <c r="F26" s="90"/>
      <c r="G26" s="91"/>
      <c r="H26" s="91"/>
      <c r="I26" s="90"/>
      <c r="R26" s="87"/>
      <c r="S26" s="87"/>
      <c r="T26" s="87"/>
      <c r="U26" s="87"/>
      <c r="V26" s="87"/>
      <c r="W26" s="87"/>
    </row>
    <row r="27" spans="4:23" x14ac:dyDescent="0.25">
      <c r="D27" s="90"/>
      <c r="E27" s="90"/>
      <c r="F27" s="90"/>
      <c r="G27" s="18" t="s">
        <v>64</v>
      </c>
      <c r="H27" s="91"/>
      <c r="I27" s="90"/>
      <c r="R27" s="87"/>
      <c r="S27" s="87"/>
      <c r="T27" s="87"/>
      <c r="U27" s="87"/>
      <c r="V27" s="87"/>
      <c r="W27" s="87"/>
    </row>
    <row r="28" spans="4:23" x14ac:dyDescent="0.25">
      <c r="D28" s="90"/>
      <c r="E28" s="90"/>
      <c r="F28" s="90"/>
      <c r="G28" s="91" t="s">
        <v>59</v>
      </c>
      <c r="H28" s="91">
        <v>85000</v>
      </c>
      <c r="I28" s="90"/>
      <c r="R28" s="87"/>
      <c r="S28" s="87"/>
      <c r="T28" s="87"/>
      <c r="U28" s="87"/>
      <c r="V28" s="87"/>
      <c r="W28" s="87"/>
    </row>
    <row r="29" spans="4:23" x14ac:dyDescent="0.25">
      <c r="D29" s="90"/>
      <c r="E29" s="90"/>
      <c r="F29" s="90"/>
      <c r="G29" s="91" t="s">
        <v>60</v>
      </c>
      <c r="H29" s="91">
        <v>0.64</v>
      </c>
      <c r="I29" s="90"/>
      <c r="R29" s="87"/>
      <c r="S29" s="87"/>
      <c r="T29" s="87"/>
      <c r="U29" s="87"/>
      <c r="V29" s="87"/>
      <c r="W29" s="87"/>
    </row>
    <row r="30" spans="4:23" x14ac:dyDescent="0.25">
      <c r="D30" s="90"/>
      <c r="E30" s="90"/>
      <c r="F30" s="90"/>
      <c r="G30" s="91" t="s">
        <v>65</v>
      </c>
      <c r="H30" s="91">
        <f>H28/H29</f>
        <v>132812.5</v>
      </c>
      <c r="I30" s="90"/>
      <c r="R30" s="87"/>
      <c r="S30" s="87"/>
      <c r="T30" s="87"/>
      <c r="U30" s="87"/>
      <c r="V30" s="87"/>
      <c r="W30" s="87"/>
    </row>
    <row r="31" spans="4:23" x14ac:dyDescent="0.25">
      <c r="D31" s="90"/>
      <c r="E31" s="90"/>
      <c r="F31" s="90"/>
      <c r="G31" s="91" t="s">
        <v>66</v>
      </c>
      <c r="H31" s="91">
        <f>H30*E21</f>
        <v>265625</v>
      </c>
      <c r="I31" s="90" t="s">
        <v>67</v>
      </c>
      <c r="R31" s="87"/>
      <c r="S31" s="87"/>
      <c r="T31" s="87"/>
      <c r="U31" s="87"/>
      <c r="V31" s="87"/>
      <c r="W31" s="87"/>
    </row>
    <row r="32" spans="4:23" x14ac:dyDescent="0.25">
      <c r="D32" s="90"/>
      <c r="E32" s="90"/>
      <c r="F32" s="90"/>
      <c r="G32" s="91"/>
      <c r="H32" s="91"/>
      <c r="I32" s="90"/>
      <c r="R32" s="87"/>
      <c r="S32" s="87"/>
      <c r="T32" s="87"/>
      <c r="U32" s="87"/>
      <c r="V32" s="87"/>
      <c r="W32" s="87"/>
    </row>
    <row r="33" spans="2:23" x14ac:dyDescent="0.25">
      <c r="D33" s="90"/>
      <c r="E33" s="90"/>
      <c r="F33" s="90"/>
      <c r="G33" s="18" t="s">
        <v>76</v>
      </c>
      <c r="H33" s="91"/>
      <c r="I33" s="90"/>
      <c r="R33" s="87"/>
      <c r="S33" s="87"/>
      <c r="T33" s="87"/>
      <c r="U33" s="87"/>
      <c r="V33" s="87"/>
      <c r="W33" s="87"/>
    </row>
    <row r="34" spans="2:23" x14ac:dyDescent="0.25">
      <c r="D34" s="90"/>
      <c r="E34" s="90"/>
      <c r="F34" s="90"/>
      <c r="G34" s="91" t="s">
        <v>77</v>
      </c>
      <c r="H34" s="91">
        <v>2.2999999999999998</v>
      </c>
      <c r="I34" s="90"/>
      <c r="R34" s="87"/>
      <c r="S34" s="87"/>
      <c r="T34" s="87"/>
      <c r="U34" s="87"/>
      <c r="V34" s="87"/>
      <c r="W34" s="87"/>
    </row>
    <row r="35" spans="2:23" x14ac:dyDescent="0.25">
      <c r="D35" s="90"/>
      <c r="E35" s="90"/>
      <c r="F35" s="90"/>
      <c r="G35" s="91" t="s">
        <v>78</v>
      </c>
      <c r="H35" s="91">
        <v>2000</v>
      </c>
      <c r="I35" s="90"/>
      <c r="R35" s="87"/>
      <c r="S35" s="87"/>
      <c r="T35" s="87"/>
      <c r="U35" s="87"/>
      <c r="V35" s="87"/>
      <c r="W35" s="87"/>
    </row>
    <row r="36" spans="2:23" x14ac:dyDescent="0.25">
      <c r="D36" s="90"/>
      <c r="E36" s="90"/>
      <c r="F36" s="90"/>
      <c r="G36" s="90"/>
      <c r="H36" s="90"/>
      <c r="I36" s="90"/>
      <c r="R36" s="87"/>
      <c r="S36" s="87"/>
      <c r="T36" s="87"/>
      <c r="U36" s="87"/>
      <c r="V36" s="87"/>
      <c r="W36" s="87"/>
    </row>
    <row r="37" spans="2:23" x14ac:dyDescent="0.25">
      <c r="R37" s="87"/>
      <c r="S37" s="87"/>
      <c r="T37" s="87"/>
      <c r="U37" s="87"/>
      <c r="V37" s="87"/>
      <c r="W37" s="87"/>
    </row>
    <row r="38" spans="2:23" x14ac:dyDescent="0.25">
      <c r="R38" s="87"/>
      <c r="S38" s="87"/>
      <c r="T38" s="87"/>
      <c r="U38" s="87"/>
      <c r="V38" s="87"/>
      <c r="W38" s="87"/>
    </row>
    <row r="39" spans="2:23" x14ac:dyDescent="0.25">
      <c r="R39" s="87"/>
      <c r="S39" s="87"/>
      <c r="T39" s="87"/>
      <c r="U39" s="87" t="s">
        <v>79</v>
      </c>
      <c r="V39" s="87">
        <f>V18*V17</f>
        <v>4600</v>
      </c>
      <c r="W39" s="87"/>
    </row>
    <row r="40" spans="2:23" x14ac:dyDescent="0.25">
      <c r="R40" s="87"/>
      <c r="S40" s="87"/>
      <c r="T40" s="87"/>
      <c r="U40" s="87" t="s">
        <v>80</v>
      </c>
      <c r="V40" s="89">
        <v>0.25</v>
      </c>
      <c r="W40" s="87"/>
    </row>
    <row r="41" spans="2:23" x14ac:dyDescent="0.25">
      <c r="B41" s="64" t="s">
        <v>0</v>
      </c>
      <c r="C41" s="30"/>
      <c r="D41" s="30"/>
      <c r="E41" s="30" t="s">
        <v>119</v>
      </c>
      <c r="F41" s="65">
        <v>2012</v>
      </c>
      <c r="G41" s="65">
        <v>2013</v>
      </c>
      <c r="H41" s="65">
        <v>2014</v>
      </c>
      <c r="I41" s="65">
        <v>2015</v>
      </c>
      <c r="J41" s="65">
        <v>2016</v>
      </c>
      <c r="K41" s="65">
        <v>2017</v>
      </c>
      <c r="L41" s="65">
        <v>2018</v>
      </c>
      <c r="M41" s="65">
        <v>2019</v>
      </c>
      <c r="N41" s="65">
        <v>2020</v>
      </c>
      <c r="O41" s="66">
        <v>2021</v>
      </c>
      <c r="R41" s="87"/>
      <c r="S41" s="87"/>
      <c r="T41" s="87"/>
      <c r="U41" s="87" t="s">
        <v>81</v>
      </c>
      <c r="V41" s="87">
        <f>V40*V39</f>
        <v>1150</v>
      </c>
      <c r="W41" s="87"/>
    </row>
    <row r="42" spans="2:23" x14ac:dyDescent="0.25">
      <c r="B42" s="20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6"/>
    </row>
    <row r="43" spans="2:23" x14ac:dyDescent="0.25">
      <c r="B43" s="67" t="s">
        <v>1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6"/>
    </row>
    <row r="44" spans="2:23" x14ac:dyDescent="0.25">
      <c r="B44" s="20" t="s">
        <v>2</v>
      </c>
      <c r="C44" s="33"/>
      <c r="D44" s="33"/>
      <c r="E44" s="33"/>
      <c r="F44" s="68">
        <f t="shared" ref="F44:O44" si="14">F7*F12</f>
        <v>346080</v>
      </c>
      <c r="G44" s="68">
        <f t="shared" si="14"/>
        <v>367878.09600000002</v>
      </c>
      <c r="H44" s="68">
        <f t="shared" si="14"/>
        <v>391084.37075519998</v>
      </c>
      <c r="I44" s="68">
        <f t="shared" si="14"/>
        <v>415791.80800156225</v>
      </c>
      <c r="J44" s="68">
        <f t="shared" si="14"/>
        <v>442099.64362032426</v>
      </c>
      <c r="K44" s="68">
        <f t="shared" si="14"/>
        <v>470113.79215492815</v>
      </c>
      <c r="L44" s="68">
        <f t="shared" si="14"/>
        <v>499947.30275298288</v>
      </c>
      <c r="M44" s="68">
        <f t="shared" si="14"/>
        <v>531720.84658060828</v>
      </c>
      <c r="N44" s="68">
        <f t="shared" si="14"/>
        <v>565563.23789986421</v>
      </c>
      <c r="O44" s="69">
        <f t="shared" si="14"/>
        <v>601611.99115341261</v>
      </c>
    </row>
    <row r="45" spans="2:23" x14ac:dyDescent="0.25">
      <c r="B45" s="20" t="s">
        <v>3</v>
      </c>
      <c r="C45" s="33"/>
      <c r="D45" s="33"/>
      <c r="E45" s="33"/>
      <c r="F45" s="68">
        <f t="shared" ref="F45:O45" si="15">F10*F14</f>
        <v>115360</v>
      </c>
      <c r="G45" s="68">
        <f t="shared" si="15"/>
        <v>126456.12000000001</v>
      </c>
      <c r="H45" s="68">
        <f t="shared" si="15"/>
        <v>138622.59054</v>
      </c>
      <c r="I45" s="68">
        <f t="shared" si="15"/>
        <v>151962.95838843001</v>
      </c>
      <c r="J45" s="68">
        <f t="shared" si="15"/>
        <v>166590.81675458746</v>
      </c>
      <c r="K45" s="68">
        <f t="shared" si="15"/>
        <v>182630.78287535961</v>
      </c>
      <c r="L45" s="68">
        <f t="shared" si="15"/>
        <v>200219.57100462625</v>
      </c>
      <c r="M45" s="68">
        <f t="shared" si="15"/>
        <v>219507.17014252057</v>
      </c>
      <c r="N45" s="68">
        <f t="shared" si="15"/>
        <v>240658.13675816171</v>
      </c>
      <c r="O45" s="69">
        <f t="shared" si="15"/>
        <v>263853.01376610104</v>
      </c>
    </row>
    <row r="46" spans="2:23" x14ac:dyDescent="0.25">
      <c r="B46" s="20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6"/>
    </row>
    <row r="47" spans="2:23" x14ac:dyDescent="0.25">
      <c r="B47" s="20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6"/>
      <c r="W47" s="10"/>
    </row>
    <row r="48" spans="2:23" x14ac:dyDescent="0.25">
      <c r="B48" s="20" t="s">
        <v>4</v>
      </c>
      <c r="C48" s="33"/>
      <c r="D48" s="33"/>
      <c r="E48" s="33"/>
      <c r="F48" s="68">
        <f t="shared" ref="F48:O48" si="16">(F7*F11)+(F10*F13)</f>
        <v>115360</v>
      </c>
      <c r="G48" s="68">
        <f t="shared" si="16"/>
        <v>122680.296</v>
      </c>
      <c r="H48" s="68">
        <f t="shared" si="16"/>
        <v>130474.70792639999</v>
      </c>
      <c r="I48" s="68">
        <f t="shared" si="16"/>
        <v>138774.49495373663</v>
      </c>
      <c r="J48" s="68">
        <f t="shared" si="16"/>
        <v>147613.0084808509</v>
      </c>
      <c r="K48" s="68">
        <f t="shared" si="16"/>
        <v>157025.83391554005</v>
      </c>
      <c r="L48" s="68">
        <f t="shared" si="16"/>
        <v>167050.94216455368</v>
      </c>
      <c r="M48" s="68">
        <f t="shared" si="16"/>
        <v>177728.85149862105</v>
      </c>
      <c r="N48" s="68">
        <f t="shared" si="16"/>
        <v>189102.80050870095</v>
      </c>
      <c r="O48" s="69">
        <f t="shared" si="16"/>
        <v>201218.93291939356</v>
      </c>
    </row>
    <row r="49" spans="2:16" x14ac:dyDescent="0.25">
      <c r="B49" s="20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6"/>
    </row>
    <row r="50" spans="2:16" x14ac:dyDescent="0.25">
      <c r="B50" s="70" t="s">
        <v>5</v>
      </c>
      <c r="C50" s="33"/>
      <c r="D50" s="33"/>
      <c r="E50" s="33"/>
      <c r="F50" s="68">
        <v>126360</v>
      </c>
      <c r="G50" s="71">
        <f>G44*$P$50</f>
        <v>134318.87485714286</v>
      </c>
      <c r="H50" s="71">
        <f t="shared" ref="H50:O50" si="17">H44*$P$50</f>
        <v>142791.90097268572</v>
      </c>
      <c r="I50" s="71">
        <f t="shared" si="17"/>
        <v>151813.02837227637</v>
      </c>
      <c r="J50" s="71">
        <f t="shared" si="17"/>
        <v>161418.48985166487</v>
      </c>
      <c r="K50" s="71">
        <f t="shared" si="17"/>
        <v>171646.95670566551</v>
      </c>
      <c r="L50" s="71">
        <f t="shared" si="17"/>
        <v>182539.70520072503</v>
      </c>
      <c r="M50" s="71">
        <f t="shared" si="17"/>
        <v>194140.79453862016</v>
      </c>
      <c r="N50" s="71">
        <f t="shared" si="17"/>
        <v>206497.25711115013</v>
      </c>
      <c r="O50" s="72">
        <f t="shared" si="17"/>
        <v>219659.30190171412</v>
      </c>
      <c r="P50" s="84">
        <f>F50/F44</f>
        <v>0.36511789181692095</v>
      </c>
    </row>
    <row r="51" spans="2:16" x14ac:dyDescent="0.25">
      <c r="B51" s="70" t="s">
        <v>43</v>
      </c>
      <c r="C51" s="33"/>
      <c r="D51" s="33"/>
      <c r="E51" s="33"/>
      <c r="F51" s="68">
        <v>25000</v>
      </c>
      <c r="G51" s="68">
        <v>25000</v>
      </c>
      <c r="H51" s="68">
        <v>25000</v>
      </c>
      <c r="I51" s="68">
        <v>25000</v>
      </c>
      <c r="J51" s="68">
        <v>25000</v>
      </c>
      <c r="K51" s="68">
        <v>25000</v>
      </c>
      <c r="L51" s="68">
        <v>25000</v>
      </c>
      <c r="M51" s="68">
        <v>25000</v>
      </c>
      <c r="N51" s="68">
        <v>25000</v>
      </c>
      <c r="O51" s="69">
        <v>25000</v>
      </c>
    </row>
    <row r="52" spans="2:16" x14ac:dyDescent="0.25">
      <c r="B52" s="70" t="s">
        <v>6</v>
      </c>
      <c r="C52" s="33"/>
      <c r="D52" s="33"/>
      <c r="E52" s="33"/>
      <c r="F52" s="68">
        <v>75000</v>
      </c>
      <c r="G52" s="68">
        <f>F52+(F52*$P$52)</f>
        <v>75375</v>
      </c>
      <c r="H52" s="68">
        <f t="shared" ref="H52:O52" si="18">G52+(G52*$P$52)</f>
        <v>75751.875</v>
      </c>
      <c r="I52" s="68">
        <f t="shared" si="18"/>
        <v>76130.634374999994</v>
      </c>
      <c r="J52" s="68">
        <f t="shared" si="18"/>
        <v>76511.287546874999</v>
      </c>
      <c r="K52" s="68">
        <f t="shared" si="18"/>
        <v>76893.843984609368</v>
      </c>
      <c r="L52" s="68">
        <f t="shared" si="18"/>
        <v>77278.313204532416</v>
      </c>
      <c r="M52" s="68">
        <f t="shared" si="18"/>
        <v>77664.704770555079</v>
      </c>
      <c r="N52" s="68">
        <f t="shared" si="18"/>
        <v>78053.02829440785</v>
      </c>
      <c r="O52" s="69">
        <f t="shared" si="18"/>
        <v>78443.293435879896</v>
      </c>
      <c r="P52" s="84">
        <v>5.0000000000000001E-3</v>
      </c>
    </row>
    <row r="53" spans="2:16" x14ac:dyDescent="0.25">
      <c r="B53" s="70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6"/>
    </row>
    <row r="54" spans="2:16" x14ac:dyDescent="0.25">
      <c r="B54" s="70" t="s">
        <v>7</v>
      </c>
      <c r="C54" s="33"/>
      <c r="D54" s="33"/>
      <c r="E54" s="33"/>
      <c r="F54" s="71">
        <f>F71/$P$54</f>
        <v>8854.1666666666661</v>
      </c>
      <c r="G54" s="71">
        <f>G71/$P$54</f>
        <v>8854.1666666666661</v>
      </c>
      <c r="H54" s="71">
        <f t="shared" ref="H54:O54" si="19">H71/$P$54</f>
        <v>8854.1666666666661</v>
      </c>
      <c r="I54" s="71">
        <f t="shared" si="19"/>
        <v>8854.1666666666661</v>
      </c>
      <c r="J54" s="71">
        <f t="shared" si="19"/>
        <v>8854.1666666666661</v>
      </c>
      <c r="K54" s="71">
        <f t="shared" si="19"/>
        <v>8854.1666666666661</v>
      </c>
      <c r="L54" s="71">
        <f t="shared" si="19"/>
        <v>8854.1666666666661</v>
      </c>
      <c r="M54" s="71">
        <f t="shared" si="19"/>
        <v>8854.1666666666661</v>
      </c>
      <c r="N54" s="71">
        <f t="shared" si="19"/>
        <v>8854.1666666666661</v>
      </c>
      <c r="O54" s="72">
        <f t="shared" si="19"/>
        <v>8854.1666666666661</v>
      </c>
      <c r="P54" s="82">
        <v>30</v>
      </c>
    </row>
    <row r="55" spans="2:16" x14ac:dyDescent="0.25">
      <c r="B55" s="70" t="s">
        <v>44</v>
      </c>
      <c r="C55" s="33"/>
      <c r="D55" s="33"/>
      <c r="E55" s="33"/>
      <c r="F55" s="68">
        <f>F70*$P$55</f>
        <v>1950</v>
      </c>
      <c r="G55" s="68">
        <f t="shared" ref="G55:O55" si="20">G70*$P$55</f>
        <v>1950</v>
      </c>
      <c r="H55" s="68">
        <f t="shared" si="20"/>
        <v>1950</v>
      </c>
      <c r="I55" s="68">
        <f t="shared" si="20"/>
        <v>1950</v>
      </c>
      <c r="J55" s="68">
        <f t="shared" si="20"/>
        <v>1950</v>
      </c>
      <c r="K55" s="68">
        <f t="shared" si="20"/>
        <v>1950</v>
      </c>
      <c r="L55" s="68">
        <f t="shared" si="20"/>
        <v>1950</v>
      </c>
      <c r="M55" s="68">
        <f t="shared" si="20"/>
        <v>1950</v>
      </c>
      <c r="N55" s="68">
        <f t="shared" si="20"/>
        <v>1950</v>
      </c>
      <c r="O55" s="69">
        <f t="shared" si="20"/>
        <v>1950</v>
      </c>
      <c r="P55" s="85">
        <v>0.06</v>
      </c>
    </row>
    <row r="56" spans="2:16" x14ac:dyDescent="0.25">
      <c r="B56" s="70" t="s">
        <v>8</v>
      </c>
      <c r="C56" s="33"/>
      <c r="D56" s="33"/>
      <c r="E56" s="33"/>
      <c r="F56" s="34">
        <f>Mortgage!H18</f>
        <v>9373.5703223559758</v>
      </c>
      <c r="G56" s="34">
        <f>Mortgage!H30</f>
        <v>8955.5401778987634</v>
      </c>
      <c r="H56" s="34">
        <f>Mortgage!H42</f>
        <v>8505.5890329132744</v>
      </c>
      <c r="I56" s="34">
        <f>Mortgage!H54</f>
        <v>8023.1108832754271</v>
      </c>
      <c r="J56" s="53">
        <f>Mortgage!H66</f>
        <v>7505.7543491888928</v>
      </c>
      <c r="K56" s="53">
        <f>Mortgage!H78</f>
        <v>6950.9980694217411</v>
      </c>
      <c r="L56" s="53">
        <f>Mortgage!H90</f>
        <v>6356.1384133347192</v>
      </c>
      <c r="M56" s="53">
        <f>Mortgage!H102</f>
        <v>5718.2763046110531</v>
      </c>
      <c r="N56" s="53">
        <f>Mortgage!H114</f>
        <v>5034.3030924726236</v>
      </c>
      <c r="O56" s="54">
        <f>Mortgage!H126</f>
        <v>4300.8854015252091</v>
      </c>
    </row>
    <row r="57" spans="2:16" x14ac:dyDescent="0.25">
      <c r="B57" s="70" t="s">
        <v>9</v>
      </c>
      <c r="C57" s="33"/>
      <c r="D57" s="33"/>
      <c r="E57" s="33"/>
      <c r="F57" s="57">
        <f>F81*$P$57</f>
        <v>0</v>
      </c>
      <c r="G57" s="57">
        <f t="shared" ref="G57:O57" si="21">G81*$P$57</f>
        <v>0</v>
      </c>
      <c r="H57" s="57">
        <f t="shared" si="21"/>
        <v>0</v>
      </c>
      <c r="I57" s="57">
        <f t="shared" si="21"/>
        <v>0</v>
      </c>
      <c r="J57" s="57">
        <f t="shared" si="21"/>
        <v>0</v>
      </c>
      <c r="K57" s="57">
        <f t="shared" si="21"/>
        <v>0</v>
      </c>
      <c r="L57" s="57">
        <f t="shared" si="21"/>
        <v>0</v>
      </c>
      <c r="M57" s="57">
        <f t="shared" si="21"/>
        <v>0</v>
      </c>
      <c r="N57" s="57">
        <f t="shared" si="21"/>
        <v>0</v>
      </c>
      <c r="O57" s="55">
        <f t="shared" si="21"/>
        <v>0</v>
      </c>
      <c r="P57" s="85">
        <v>0.03</v>
      </c>
    </row>
    <row r="58" spans="2:16" x14ac:dyDescent="0.25">
      <c r="B58" s="70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6"/>
    </row>
    <row r="59" spans="2:16" x14ac:dyDescent="0.25">
      <c r="B59" s="70" t="s">
        <v>10</v>
      </c>
      <c r="C59" s="33"/>
      <c r="D59" s="33"/>
      <c r="E59" s="33"/>
      <c r="F59" s="57">
        <f>SUM(F44:F45)-SUM(F48:F57)</f>
        <v>99542.26301097736</v>
      </c>
      <c r="G59" s="57">
        <f t="shared" ref="G59:O59" si="22">SUM(G44:G45)-SUM(G48:G57)</f>
        <v>117200.33829829167</v>
      </c>
      <c r="H59" s="57">
        <f t="shared" si="22"/>
        <v>136378.72169653437</v>
      </c>
      <c r="I59" s="57">
        <f t="shared" si="22"/>
        <v>157209.33113903715</v>
      </c>
      <c r="J59" s="57">
        <f t="shared" si="22"/>
        <v>179837.75347966544</v>
      </c>
      <c r="K59" s="57">
        <f t="shared" si="22"/>
        <v>204422.77568838437</v>
      </c>
      <c r="L59" s="57">
        <f t="shared" si="22"/>
        <v>231137.60810779664</v>
      </c>
      <c r="M59" s="57">
        <f t="shared" si="22"/>
        <v>260171.22294405481</v>
      </c>
      <c r="N59" s="57">
        <f t="shared" si="22"/>
        <v>291729.81898462767</v>
      </c>
      <c r="O59" s="55">
        <f t="shared" si="22"/>
        <v>326038.42459433421</v>
      </c>
      <c r="P59" s="10"/>
    </row>
    <row r="60" spans="2:16" x14ac:dyDescent="0.25">
      <c r="B60" s="70" t="s">
        <v>11</v>
      </c>
      <c r="C60" s="33"/>
      <c r="D60" s="33"/>
      <c r="E60" s="33"/>
      <c r="F60" s="57">
        <f>IF(F59&lt;0,0,F59*$P$60)</f>
        <v>24885.56575274434</v>
      </c>
      <c r="G60" s="57">
        <f t="shared" ref="G60:O60" si="23">IF(G59&lt;0,0,G59*$P$60)</f>
        <v>29300.084574572917</v>
      </c>
      <c r="H60" s="57">
        <f t="shared" si="23"/>
        <v>34094.680424133592</v>
      </c>
      <c r="I60" s="57">
        <f t="shared" si="23"/>
        <v>39302.332784759288</v>
      </c>
      <c r="J60" s="57">
        <f t="shared" si="23"/>
        <v>44959.438369916359</v>
      </c>
      <c r="K60" s="57">
        <f t="shared" si="23"/>
        <v>51105.693922096092</v>
      </c>
      <c r="L60" s="57">
        <f t="shared" si="23"/>
        <v>57784.402026949159</v>
      </c>
      <c r="M60" s="57">
        <f t="shared" si="23"/>
        <v>65042.805736013703</v>
      </c>
      <c r="N60" s="57">
        <f t="shared" si="23"/>
        <v>72932.454746156916</v>
      </c>
      <c r="O60" s="55">
        <f t="shared" si="23"/>
        <v>81509.606148583553</v>
      </c>
      <c r="P60" s="85">
        <v>0.25</v>
      </c>
    </row>
    <row r="61" spans="2:16" x14ac:dyDescent="0.25">
      <c r="B61" s="73" t="s">
        <v>12</v>
      </c>
      <c r="C61" s="33"/>
      <c r="D61" s="33"/>
      <c r="E61" s="33"/>
      <c r="F61" s="57">
        <f>F59-F60</f>
        <v>74656.69725823302</v>
      </c>
      <c r="G61" s="57">
        <f t="shared" ref="G61:O61" si="24">G59-G60</f>
        <v>87900.25372371875</v>
      </c>
      <c r="H61" s="57">
        <f t="shared" si="24"/>
        <v>102284.04127240078</v>
      </c>
      <c r="I61" s="57">
        <f t="shared" si="24"/>
        <v>117906.99835427786</v>
      </c>
      <c r="J61" s="57">
        <f t="shared" si="24"/>
        <v>134878.31510974909</v>
      </c>
      <c r="K61" s="57">
        <f t="shared" si="24"/>
        <v>153317.08176628826</v>
      </c>
      <c r="L61" s="57">
        <f t="shared" si="24"/>
        <v>173353.20608084748</v>
      </c>
      <c r="M61" s="57">
        <f t="shared" si="24"/>
        <v>195128.41720804112</v>
      </c>
      <c r="N61" s="57">
        <f t="shared" si="24"/>
        <v>218797.36423847073</v>
      </c>
      <c r="O61" s="55">
        <f t="shared" si="24"/>
        <v>244528.81844575066</v>
      </c>
    </row>
    <row r="62" spans="2:16" x14ac:dyDescent="0.25">
      <c r="B62" s="70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6"/>
    </row>
    <row r="63" spans="2:16" x14ac:dyDescent="0.25">
      <c r="B63" s="67" t="s">
        <v>13</v>
      </c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6"/>
    </row>
    <row r="64" spans="2:16" x14ac:dyDescent="0.25">
      <c r="B64" s="67" t="s">
        <v>14</v>
      </c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6"/>
    </row>
    <row r="65" spans="2:16" x14ac:dyDescent="0.25">
      <c r="B65" s="20"/>
      <c r="C65" s="33" t="s">
        <v>15</v>
      </c>
      <c r="D65" s="33"/>
      <c r="E65" s="33"/>
      <c r="F65" s="68">
        <v>2000</v>
      </c>
      <c r="G65" s="68">
        <v>2000</v>
      </c>
      <c r="H65" s="68">
        <v>2000</v>
      </c>
      <c r="I65" s="68">
        <v>2000</v>
      </c>
      <c r="J65" s="68">
        <v>2000</v>
      </c>
      <c r="K65" s="68">
        <v>2000</v>
      </c>
      <c r="L65" s="68">
        <v>2000</v>
      </c>
      <c r="M65" s="68">
        <v>2000</v>
      </c>
      <c r="N65" s="68">
        <v>2000</v>
      </c>
      <c r="O65" s="69">
        <v>2000</v>
      </c>
    </row>
    <row r="66" spans="2:16" x14ac:dyDescent="0.25">
      <c r="B66" s="20"/>
      <c r="C66" s="33" t="s">
        <v>16</v>
      </c>
      <c r="D66" s="33"/>
      <c r="E66" s="33"/>
      <c r="F66" s="71">
        <v>16835.276872516817</v>
      </c>
      <c r="G66" s="71">
        <v>103805.79656619247</v>
      </c>
      <c r="H66" s="71">
        <v>204475.29755877281</v>
      </c>
      <c r="I66" s="71">
        <v>320035.00283943443</v>
      </c>
      <c r="J66" s="53">
        <v>451782.4883374215</v>
      </c>
      <c r="K66" s="53">
        <v>601130.97257567034</v>
      </c>
      <c r="L66" s="53">
        <v>769619.90697083087</v>
      </c>
      <c r="M66" s="53">
        <v>958926.55570174346</v>
      </c>
      <c r="N66" s="53">
        <v>1170878.6589869573</v>
      </c>
      <c r="O66" s="54">
        <v>1407468.2826100239</v>
      </c>
    </row>
    <row r="67" spans="2:16" x14ac:dyDescent="0.25">
      <c r="B67" s="20"/>
      <c r="C67" s="74" t="s">
        <v>17</v>
      </c>
      <c r="D67" s="33"/>
      <c r="E67" s="33"/>
      <c r="F67" s="68">
        <f t="shared" ref="F67:O67" si="25">SUM(F44:F45)/365*F15</f>
        <v>37926.575342465752</v>
      </c>
      <c r="G67" s="68">
        <f t="shared" si="25"/>
        <v>40630.209534246576</v>
      </c>
      <c r="H67" s="68">
        <f t="shared" si="25"/>
        <v>43537.558462619185</v>
      </c>
      <c r="I67" s="68">
        <f t="shared" si="25"/>
        <v>46664.775319725399</v>
      </c>
      <c r="J67" s="68">
        <f t="shared" si="25"/>
        <v>50029.352907526991</v>
      </c>
      <c r="K67" s="68">
        <f t="shared" si="25"/>
        <v>53650.239043585294</v>
      </c>
      <c r="L67" s="68">
        <f t="shared" si="25"/>
        <v>57547.962226652809</v>
      </c>
      <c r="M67" s="68">
        <f t="shared" si="25"/>
        <v>61744.768497791418</v>
      </c>
      <c r="N67" s="68">
        <f t="shared" si="25"/>
        <v>66264.770519837752</v>
      </c>
      <c r="O67" s="69">
        <f t="shared" si="25"/>
        <v>71134.109993384671</v>
      </c>
    </row>
    <row r="68" spans="2:16" x14ac:dyDescent="0.25">
      <c r="B68" s="20"/>
      <c r="C68" s="74" t="s">
        <v>18</v>
      </c>
      <c r="D68" s="33"/>
      <c r="E68" s="33"/>
      <c r="F68" s="68">
        <f t="shared" ref="F68:O68" si="26">F48/$P$68*F16</f>
        <v>9481.6438356164381</v>
      </c>
      <c r="G68" s="68">
        <f t="shared" si="26"/>
        <v>10385.811360000002</v>
      </c>
      <c r="H68" s="68">
        <f t="shared" si="26"/>
        <v>11377.037066228857</v>
      </c>
      <c r="I68" s="68">
        <f t="shared" si="26"/>
        <v>12463.778428546173</v>
      </c>
      <c r="J68" s="68">
        <f t="shared" si="26"/>
        <v>13655.321220476908</v>
      </c>
      <c r="K68" s="68">
        <f t="shared" si="26"/>
        <v>14961.861226325196</v>
      </c>
      <c r="L68" s="68">
        <f t="shared" si="26"/>
        <v>16394.59406539056</v>
      </c>
      <c r="M68" s="68">
        <f t="shared" si="26"/>
        <v>17965.813938914944</v>
      </c>
      <c r="N68" s="68">
        <f t="shared" si="26"/>
        <v>19689.022191043834</v>
      </c>
      <c r="O68" s="69">
        <f t="shared" si="26"/>
        <v>21579.04666454469</v>
      </c>
      <c r="P68" s="82">
        <v>365</v>
      </c>
    </row>
    <row r="69" spans="2:16" x14ac:dyDescent="0.25">
      <c r="B69" s="20"/>
      <c r="C69" s="33"/>
      <c r="D69" s="33"/>
      <c r="E69" s="33"/>
      <c r="F69" s="75"/>
      <c r="G69" s="75"/>
      <c r="H69" s="75"/>
      <c r="I69" s="75"/>
      <c r="J69" s="33"/>
      <c r="K69" s="33"/>
      <c r="L69" s="33"/>
      <c r="M69" s="33"/>
      <c r="N69" s="33"/>
      <c r="O69" s="36"/>
    </row>
    <row r="70" spans="2:16" x14ac:dyDescent="0.25">
      <c r="B70" s="20"/>
      <c r="C70" s="33" t="s">
        <v>45</v>
      </c>
      <c r="D70" s="33"/>
      <c r="E70" s="33"/>
      <c r="F70" s="68">
        <f>$V$8*$S$4</f>
        <v>32500</v>
      </c>
      <c r="G70" s="68">
        <f t="shared" ref="G70:O70" si="27">$V$8*$S$4</f>
        <v>32500</v>
      </c>
      <c r="H70" s="68">
        <f t="shared" si="27"/>
        <v>32500</v>
      </c>
      <c r="I70" s="68">
        <f t="shared" si="27"/>
        <v>32500</v>
      </c>
      <c r="J70" s="68">
        <f t="shared" si="27"/>
        <v>32500</v>
      </c>
      <c r="K70" s="68">
        <f t="shared" si="27"/>
        <v>32500</v>
      </c>
      <c r="L70" s="68">
        <f t="shared" si="27"/>
        <v>32500</v>
      </c>
      <c r="M70" s="68">
        <f t="shared" si="27"/>
        <v>32500</v>
      </c>
      <c r="N70" s="68">
        <f t="shared" si="27"/>
        <v>32500</v>
      </c>
      <c r="O70" s="69">
        <f t="shared" si="27"/>
        <v>32500</v>
      </c>
    </row>
    <row r="71" spans="2:16" x14ac:dyDescent="0.25">
      <c r="B71" s="20"/>
      <c r="C71" s="74" t="s">
        <v>19</v>
      </c>
      <c r="D71" s="33"/>
      <c r="E71" s="33"/>
      <c r="F71" s="68">
        <f>$V$14</f>
        <v>265625</v>
      </c>
      <c r="G71" s="68">
        <f t="shared" ref="G71:O71" si="28">$V$14</f>
        <v>265625</v>
      </c>
      <c r="H71" s="68">
        <f t="shared" si="28"/>
        <v>265625</v>
      </c>
      <c r="I71" s="68">
        <f t="shared" si="28"/>
        <v>265625</v>
      </c>
      <c r="J71" s="68">
        <f t="shared" si="28"/>
        <v>265625</v>
      </c>
      <c r="K71" s="68">
        <f t="shared" si="28"/>
        <v>265625</v>
      </c>
      <c r="L71" s="68">
        <f t="shared" si="28"/>
        <v>265625</v>
      </c>
      <c r="M71" s="68">
        <f t="shared" si="28"/>
        <v>265625</v>
      </c>
      <c r="N71" s="68">
        <f t="shared" si="28"/>
        <v>265625</v>
      </c>
      <c r="O71" s="69">
        <f t="shared" si="28"/>
        <v>265625</v>
      </c>
    </row>
    <row r="72" spans="2:16" x14ac:dyDescent="0.25">
      <c r="B72" s="20"/>
      <c r="C72" s="74" t="s">
        <v>20</v>
      </c>
      <c r="D72" s="33"/>
      <c r="E72" s="33"/>
      <c r="F72" s="68">
        <f>D72+F54</f>
        <v>8854.1666666666661</v>
      </c>
      <c r="G72" s="68">
        <f>F72+G54</f>
        <v>17708.333333333332</v>
      </c>
      <c r="H72" s="68">
        <f t="shared" ref="H72:I72" si="29">G72+H54</f>
        <v>26562.5</v>
      </c>
      <c r="I72" s="68">
        <f t="shared" si="29"/>
        <v>35416.666666666664</v>
      </c>
      <c r="J72" s="68">
        <f t="shared" ref="J72" si="30">I72+J54</f>
        <v>44270.833333333328</v>
      </c>
      <c r="K72" s="68">
        <f t="shared" ref="K72" si="31">J72+K54</f>
        <v>53124.999999999993</v>
      </c>
      <c r="L72" s="68">
        <f t="shared" ref="L72" si="32">K72+L54</f>
        <v>61979.166666666657</v>
      </c>
      <c r="M72" s="68">
        <f t="shared" ref="M72" si="33">L72+M54</f>
        <v>70833.333333333328</v>
      </c>
      <c r="N72" s="68">
        <f t="shared" ref="N72" si="34">M72+N54</f>
        <v>79687.5</v>
      </c>
      <c r="O72" s="69">
        <f t="shared" ref="O72" si="35">N72+O54</f>
        <v>88541.666666666672</v>
      </c>
    </row>
    <row r="73" spans="2:16" x14ac:dyDescent="0.25">
      <c r="B73" s="20"/>
      <c r="C73" s="33"/>
      <c r="D73" s="33"/>
      <c r="E73" s="33"/>
      <c r="F73" s="75"/>
      <c r="G73" s="75"/>
      <c r="H73" s="75"/>
      <c r="I73" s="75"/>
      <c r="J73" s="33"/>
      <c r="K73" s="33"/>
      <c r="L73" s="33"/>
      <c r="M73" s="33"/>
      <c r="N73" s="33"/>
      <c r="O73" s="36"/>
    </row>
    <row r="74" spans="2:16" x14ac:dyDescent="0.25">
      <c r="B74" s="67" t="s">
        <v>21</v>
      </c>
      <c r="C74" s="33"/>
      <c r="D74" s="33"/>
      <c r="E74" s="33"/>
      <c r="F74" s="68">
        <f>SUM(F65:F71)-F72</f>
        <v>355514.32938393235</v>
      </c>
      <c r="G74" s="68">
        <f t="shared" ref="G74:O74" si="36">SUM(G65:G71)-G72</f>
        <v>437238.48412710574</v>
      </c>
      <c r="H74" s="68">
        <f t="shared" si="36"/>
        <v>532952.39308762085</v>
      </c>
      <c r="I74" s="68">
        <f t="shared" si="36"/>
        <v>643871.88992103934</v>
      </c>
      <c r="J74" s="68">
        <f t="shared" si="36"/>
        <v>771321.32913209207</v>
      </c>
      <c r="K74" s="68">
        <f t="shared" si="36"/>
        <v>916743.07284558075</v>
      </c>
      <c r="L74" s="68">
        <f t="shared" si="36"/>
        <v>1081708.2965962074</v>
      </c>
      <c r="M74" s="68">
        <f t="shared" si="36"/>
        <v>1267928.8048051165</v>
      </c>
      <c r="N74" s="68">
        <f t="shared" si="36"/>
        <v>1477269.951697839</v>
      </c>
      <c r="O74" s="69">
        <f t="shared" si="36"/>
        <v>1711764.7726012864</v>
      </c>
    </row>
    <row r="75" spans="2:16" x14ac:dyDescent="0.25">
      <c r="B75" s="20"/>
      <c r="C75" s="33"/>
      <c r="D75" s="33"/>
      <c r="E75" s="33"/>
      <c r="F75" s="75"/>
      <c r="G75" s="75"/>
      <c r="H75" s="75"/>
      <c r="I75" s="75"/>
      <c r="J75" s="33"/>
      <c r="K75" s="33"/>
      <c r="L75" s="33"/>
      <c r="M75" s="33"/>
      <c r="N75" s="33"/>
      <c r="O75" s="36"/>
    </row>
    <row r="76" spans="2:16" x14ac:dyDescent="0.25">
      <c r="B76" s="67" t="s">
        <v>22</v>
      </c>
      <c r="C76" s="33"/>
      <c r="D76" s="33"/>
      <c r="E76" s="33"/>
      <c r="F76" s="75"/>
      <c r="G76" s="75"/>
      <c r="H76" s="75"/>
      <c r="I76" s="75"/>
      <c r="J76" s="33"/>
      <c r="K76" s="33"/>
      <c r="L76" s="33"/>
      <c r="M76" s="33"/>
      <c r="N76" s="33"/>
      <c r="O76" s="36"/>
    </row>
    <row r="77" spans="2:16" x14ac:dyDescent="0.25">
      <c r="B77" s="20"/>
      <c r="C77" s="33" t="s">
        <v>23</v>
      </c>
      <c r="D77" s="33"/>
      <c r="E77" s="33"/>
      <c r="F77" s="57">
        <f t="shared" ref="F77:O77" si="37">F48/645*F17</f>
        <v>7154.1085271317834</v>
      </c>
      <c r="G77" s="57">
        <f t="shared" si="37"/>
        <v>7455.9187646511637</v>
      </c>
      <c r="H77" s="57">
        <f t="shared" si="37"/>
        <v>7771.0331468226086</v>
      </c>
      <c r="I77" s="57">
        <f t="shared" si="37"/>
        <v>8100.0585708215376</v>
      </c>
      <c r="J77" s="57">
        <f t="shared" si="37"/>
        <v>8443.6303271036813</v>
      </c>
      <c r="K77" s="57">
        <f t="shared" si="37"/>
        <v>8802.4134518523697</v>
      </c>
      <c r="L77" s="57">
        <f t="shared" si="37"/>
        <v>9177.104144658766</v>
      </c>
      <c r="M77" s="57">
        <f t="shared" si="37"/>
        <v>9568.4312546088386</v>
      </c>
      <c r="N77" s="57">
        <f t="shared" si="37"/>
        <v>9977.1578381062227</v>
      </c>
      <c r="O77" s="55">
        <f t="shared" si="37"/>
        <v>10404.082791923171</v>
      </c>
    </row>
    <row r="78" spans="2:16" x14ac:dyDescent="0.25">
      <c r="B78" s="20"/>
      <c r="C78" s="33" t="s">
        <v>24</v>
      </c>
      <c r="D78" s="33"/>
      <c r="E78" s="33"/>
      <c r="F78" s="57">
        <f>F60</f>
        <v>24885.56575274434</v>
      </c>
      <c r="G78" s="57">
        <f t="shared" ref="G78:O78" si="38">G60</f>
        <v>29300.084574572917</v>
      </c>
      <c r="H78" s="57">
        <f t="shared" si="38"/>
        <v>34094.680424133592</v>
      </c>
      <c r="I78" s="57">
        <f t="shared" si="38"/>
        <v>39302.332784759288</v>
      </c>
      <c r="J78" s="57">
        <f t="shared" si="38"/>
        <v>44959.438369916359</v>
      </c>
      <c r="K78" s="57">
        <f t="shared" si="38"/>
        <v>51105.693922096092</v>
      </c>
      <c r="L78" s="57">
        <f t="shared" si="38"/>
        <v>57784.402026949159</v>
      </c>
      <c r="M78" s="57">
        <f t="shared" si="38"/>
        <v>65042.805736013703</v>
      </c>
      <c r="N78" s="57">
        <f t="shared" si="38"/>
        <v>72932.454746156916</v>
      </c>
      <c r="O78" s="55">
        <f t="shared" si="38"/>
        <v>81509.606148583553</v>
      </c>
    </row>
    <row r="79" spans="2:16" x14ac:dyDescent="0.25">
      <c r="B79" s="20"/>
      <c r="C79" s="33"/>
      <c r="D79" s="33"/>
      <c r="E79" s="33"/>
      <c r="F79" s="75"/>
      <c r="G79" s="75"/>
      <c r="H79" s="75"/>
      <c r="I79" s="75"/>
      <c r="J79" s="33"/>
      <c r="K79" s="33"/>
      <c r="L79" s="33"/>
      <c r="M79" s="33"/>
      <c r="N79" s="33"/>
      <c r="O79" s="36"/>
    </row>
    <row r="80" spans="2:16" x14ac:dyDescent="0.25">
      <c r="B80" s="20"/>
      <c r="C80" s="33" t="s">
        <v>25</v>
      </c>
      <c r="D80" s="33"/>
      <c r="E80" s="33"/>
      <c r="F80" s="57">
        <f>Mortgage!G18</f>
        <v>228817.95784582314</v>
      </c>
      <c r="G80" s="57">
        <f>Mortgage!G30</f>
        <v>217925.52980592992</v>
      </c>
      <c r="H80" s="57">
        <f>Mortgage!G42</f>
        <v>206245.6872623121</v>
      </c>
      <c r="I80" s="57">
        <f>Mortgage!G54</f>
        <v>193721.50795682805</v>
      </c>
      <c r="J80" s="53">
        <f>Mortgage!G66</f>
        <v>180291.95471669256</v>
      </c>
      <c r="K80" s="53">
        <f>Mortgage!G78</f>
        <v>165891.57798696461</v>
      </c>
      <c r="L80" s="53">
        <f>Mortgage!G90</f>
        <v>150450.19685908436</v>
      </c>
      <c r="M80" s="53">
        <f>Mortgage!G102</f>
        <v>133892.55704093768</v>
      </c>
      <c r="N80" s="53">
        <f>Mortgage!G114</f>
        <v>116137.96410154876</v>
      </c>
      <c r="O80" s="54">
        <f>Mortgage!G126</f>
        <v>97099.890203001865</v>
      </c>
    </row>
    <row r="81" spans="2:15" x14ac:dyDescent="0.25">
      <c r="B81" s="20"/>
      <c r="C81" s="33" t="s">
        <v>26</v>
      </c>
      <c r="D81" s="33"/>
      <c r="E81" s="33"/>
      <c r="F81" s="75"/>
      <c r="G81" s="75"/>
      <c r="H81" s="57"/>
      <c r="I81" s="57"/>
      <c r="J81" s="33"/>
      <c r="K81" s="33"/>
      <c r="L81" s="33"/>
      <c r="M81" s="33"/>
      <c r="N81" s="33"/>
      <c r="O81" s="36"/>
    </row>
    <row r="82" spans="2:15" x14ac:dyDescent="0.25">
      <c r="B82" s="20"/>
      <c r="C82" s="33"/>
      <c r="D82" s="33"/>
      <c r="E82" s="33"/>
      <c r="F82" s="75"/>
      <c r="G82" s="75"/>
      <c r="H82" s="75"/>
      <c r="I82" s="75"/>
      <c r="J82" s="33"/>
      <c r="K82" s="33"/>
      <c r="L82" s="33"/>
      <c r="M82" s="33"/>
      <c r="N82" s="33"/>
      <c r="O82" s="36"/>
    </row>
    <row r="83" spans="2:15" x14ac:dyDescent="0.25">
      <c r="B83" s="20"/>
      <c r="C83" s="33" t="s">
        <v>27</v>
      </c>
      <c r="D83" s="33"/>
      <c r="E83" s="33"/>
      <c r="F83" s="57">
        <v>20000</v>
      </c>
      <c r="G83" s="57">
        <v>20000</v>
      </c>
      <c r="H83" s="57">
        <v>20000</v>
      </c>
      <c r="I83" s="57">
        <v>20000</v>
      </c>
      <c r="J83" s="57">
        <v>20000</v>
      </c>
      <c r="K83" s="57">
        <v>20000</v>
      </c>
      <c r="L83" s="57">
        <v>20000</v>
      </c>
      <c r="M83" s="57">
        <v>20000</v>
      </c>
      <c r="N83" s="57">
        <v>20000</v>
      </c>
      <c r="O83" s="55">
        <v>20000</v>
      </c>
    </row>
    <row r="84" spans="2:15" x14ac:dyDescent="0.25">
      <c r="B84" s="20"/>
      <c r="C84" s="33" t="s">
        <v>28</v>
      </c>
      <c r="D84" s="33"/>
      <c r="E84" s="33"/>
      <c r="F84" s="57">
        <f>D84+F61</f>
        <v>74656.69725823302</v>
      </c>
      <c r="G84" s="57">
        <f>F84+G61</f>
        <v>162556.95098195178</v>
      </c>
      <c r="H84" s="57">
        <f t="shared" ref="H84:I84" si="39">G84+H61</f>
        <v>264840.99225435255</v>
      </c>
      <c r="I84" s="57">
        <f t="shared" si="39"/>
        <v>382747.99060863041</v>
      </c>
      <c r="J84" s="57">
        <f t="shared" ref="J84" si="40">I84+J61</f>
        <v>517626.3057183795</v>
      </c>
      <c r="K84" s="57">
        <f t="shared" ref="K84" si="41">J84+K61</f>
        <v>670943.38748466782</v>
      </c>
      <c r="L84" s="57">
        <f t="shared" ref="L84" si="42">K84+L61</f>
        <v>844296.59356551524</v>
      </c>
      <c r="M84" s="57">
        <f t="shared" ref="M84" si="43">L84+M61</f>
        <v>1039425.0107735563</v>
      </c>
      <c r="N84" s="57">
        <f t="shared" ref="N84" si="44">M84+N61</f>
        <v>1258222.3750120271</v>
      </c>
      <c r="O84" s="55">
        <f t="shared" ref="O84" si="45">N84+O61</f>
        <v>1502751.1934577778</v>
      </c>
    </row>
    <row r="85" spans="2:15" x14ac:dyDescent="0.25">
      <c r="B85" s="20"/>
      <c r="C85" s="33"/>
      <c r="D85" s="33"/>
      <c r="E85" s="33"/>
      <c r="F85" s="75"/>
      <c r="G85" s="75"/>
      <c r="H85" s="75"/>
      <c r="I85" s="75"/>
      <c r="J85" s="33"/>
      <c r="K85" s="33"/>
      <c r="L85" s="33"/>
      <c r="M85" s="33"/>
      <c r="N85" s="33"/>
      <c r="O85" s="36"/>
    </row>
    <row r="86" spans="2:15" x14ac:dyDescent="0.25">
      <c r="B86" s="67" t="s">
        <v>29</v>
      </c>
      <c r="C86" s="33"/>
      <c r="D86" s="33"/>
      <c r="E86" s="33"/>
      <c r="F86" s="57">
        <f>SUM(F77:F84)</f>
        <v>355514.32938393229</v>
      </c>
      <c r="G86" s="57">
        <f t="shared" ref="G86:H86" si="46">SUM(G77:G84)</f>
        <v>437238.4841271058</v>
      </c>
      <c r="H86" s="57">
        <f t="shared" si="46"/>
        <v>532952.39308762085</v>
      </c>
      <c r="I86" s="57">
        <f>SUM(I77:I84)</f>
        <v>643871.88992103934</v>
      </c>
      <c r="J86" s="57">
        <f t="shared" ref="J86:O86" si="47">SUM(J77:J84)</f>
        <v>771321.32913209207</v>
      </c>
      <c r="K86" s="57">
        <f t="shared" si="47"/>
        <v>916743.07284558087</v>
      </c>
      <c r="L86" s="57">
        <f t="shared" si="47"/>
        <v>1081708.2965962077</v>
      </c>
      <c r="M86" s="57">
        <f t="shared" si="47"/>
        <v>1267928.8048051165</v>
      </c>
      <c r="N86" s="57">
        <f t="shared" si="47"/>
        <v>1477269.951697839</v>
      </c>
      <c r="O86" s="55">
        <f t="shared" si="47"/>
        <v>1711764.7726012864</v>
      </c>
    </row>
    <row r="87" spans="2:15" x14ac:dyDescent="0.25">
      <c r="B87" s="20"/>
      <c r="C87" s="33"/>
      <c r="D87" s="33"/>
      <c r="E87" s="33"/>
      <c r="F87" s="75"/>
      <c r="G87" s="75"/>
      <c r="H87" s="75"/>
      <c r="I87" s="75"/>
      <c r="J87" s="33"/>
      <c r="K87" s="33"/>
      <c r="L87" s="33"/>
      <c r="M87" s="33"/>
      <c r="N87" s="33"/>
      <c r="O87" s="36"/>
    </row>
    <row r="88" spans="2:15" x14ac:dyDescent="0.25">
      <c r="B88" s="27"/>
      <c r="C88" s="37"/>
      <c r="D88" s="37" t="s">
        <v>42</v>
      </c>
      <c r="E88" s="37"/>
      <c r="F88" s="76">
        <f>F74-F86</f>
        <v>0</v>
      </c>
      <c r="G88" s="76">
        <f t="shared" ref="G88:O88" si="48">G74-G86</f>
        <v>0</v>
      </c>
      <c r="H88" s="76">
        <f t="shared" si="48"/>
        <v>0</v>
      </c>
      <c r="I88" s="76">
        <f t="shared" si="48"/>
        <v>0</v>
      </c>
      <c r="J88" s="76">
        <f t="shared" si="48"/>
        <v>0</v>
      </c>
      <c r="K88" s="76">
        <f t="shared" si="48"/>
        <v>0</v>
      </c>
      <c r="L88" s="76">
        <f t="shared" si="48"/>
        <v>0</v>
      </c>
      <c r="M88" s="76">
        <f t="shared" si="48"/>
        <v>0</v>
      </c>
      <c r="N88" s="76">
        <f t="shared" si="48"/>
        <v>0</v>
      </c>
      <c r="O88" s="77">
        <f t="shared" si="48"/>
        <v>0</v>
      </c>
    </row>
    <row r="90" spans="2:15" x14ac:dyDescent="0.25">
      <c r="F90" s="11"/>
    </row>
    <row r="91" spans="2:15" x14ac:dyDescent="0.25">
      <c r="B91" s="29"/>
      <c r="C91" s="30"/>
      <c r="D91" s="30" t="s">
        <v>68</v>
      </c>
      <c r="E91" s="30"/>
      <c r="F91" s="31">
        <f>F50+F48</f>
        <v>241720</v>
      </c>
      <c r="G91" s="31">
        <f t="shared" ref="G91:O91" si="49">G50+G48</f>
        <v>256999.17085714286</v>
      </c>
      <c r="H91" s="31">
        <f t="shared" si="49"/>
        <v>273266.60889908572</v>
      </c>
      <c r="I91" s="31">
        <f t="shared" si="49"/>
        <v>290587.523326013</v>
      </c>
      <c r="J91" s="31">
        <f t="shared" si="49"/>
        <v>309031.49833251577</v>
      </c>
      <c r="K91" s="31">
        <f t="shared" si="49"/>
        <v>328672.79062120558</v>
      </c>
      <c r="L91" s="31">
        <f t="shared" si="49"/>
        <v>349590.64736527868</v>
      </c>
      <c r="M91" s="31">
        <f t="shared" si="49"/>
        <v>371869.64603724121</v>
      </c>
      <c r="N91" s="31">
        <f t="shared" si="49"/>
        <v>395600.05761985108</v>
      </c>
      <c r="O91" s="32">
        <f t="shared" si="49"/>
        <v>420878.2348211077</v>
      </c>
    </row>
    <row r="92" spans="2:15" x14ac:dyDescent="0.25">
      <c r="B92" s="20"/>
      <c r="C92" s="33"/>
      <c r="D92" s="33" t="s">
        <v>71</v>
      </c>
      <c r="E92" s="33"/>
      <c r="F92" s="34">
        <f>(F44+F45)-F91</f>
        <v>219720</v>
      </c>
      <c r="G92" s="34">
        <f t="shared" ref="G92:O92" si="50">(G44+G45)-G91</f>
        <v>237335.04514285715</v>
      </c>
      <c r="H92" s="34">
        <f t="shared" si="50"/>
        <v>256440.35239611432</v>
      </c>
      <c r="I92" s="34">
        <f t="shared" si="50"/>
        <v>277167.24306397932</v>
      </c>
      <c r="J92" s="34">
        <f t="shared" si="50"/>
        <v>299658.96204239602</v>
      </c>
      <c r="K92" s="34">
        <f t="shared" si="50"/>
        <v>324071.78440908215</v>
      </c>
      <c r="L92" s="34">
        <f t="shared" si="50"/>
        <v>350576.22639233049</v>
      </c>
      <c r="M92" s="34">
        <f t="shared" si="50"/>
        <v>379358.37068588764</v>
      </c>
      <c r="N92" s="34">
        <f t="shared" si="50"/>
        <v>410621.31703817484</v>
      </c>
      <c r="O92" s="35">
        <f t="shared" si="50"/>
        <v>444586.77009840589</v>
      </c>
    </row>
    <row r="93" spans="2:15" x14ac:dyDescent="0.25">
      <c r="B93" s="20"/>
      <c r="C93" s="33"/>
      <c r="D93" s="33" t="s">
        <v>70</v>
      </c>
      <c r="E93" s="33"/>
      <c r="F93" s="34">
        <f>F92/($F$10+$F$7)</f>
        <v>38.092926490984745</v>
      </c>
      <c r="G93" s="34">
        <f t="shared" ref="G93:O93" si="51">G92/($F$10+$F$7)</f>
        <v>41.146852486625718</v>
      </c>
      <c r="H93" s="34">
        <f t="shared" si="51"/>
        <v>44.459145699742429</v>
      </c>
      <c r="I93" s="34">
        <f t="shared" si="51"/>
        <v>48.052573346737049</v>
      </c>
      <c r="J93" s="34">
        <f t="shared" si="51"/>
        <v>51.951969840914707</v>
      </c>
      <c r="K93" s="34">
        <f t="shared" si="51"/>
        <v>56.184428642351271</v>
      </c>
      <c r="L93" s="34">
        <f t="shared" si="51"/>
        <v>60.77951220394079</v>
      </c>
      <c r="M93" s="34">
        <f t="shared" si="51"/>
        <v>65.769481741658751</v>
      </c>
      <c r="N93" s="34">
        <f t="shared" si="51"/>
        <v>71.18954872367803</v>
      </c>
      <c r="O93" s="35">
        <f t="shared" si="51"/>
        <v>77.078150155756916</v>
      </c>
    </row>
    <row r="94" spans="2:15" x14ac:dyDescent="0.25">
      <c r="B94" s="20"/>
      <c r="C94" s="33"/>
      <c r="D94" s="33" t="s">
        <v>69</v>
      </c>
      <c r="E94" s="33"/>
      <c r="F94" s="34">
        <f>F51+F52+F54+F55+F56+F57</f>
        <v>120177.73698902264</v>
      </c>
      <c r="G94" s="34">
        <f t="shared" ref="G94:O94" si="52">G51+G52+G54+G55+G56+G57</f>
        <v>120134.70684456543</v>
      </c>
      <c r="H94" s="34">
        <f t="shared" si="52"/>
        <v>120061.63069957995</v>
      </c>
      <c r="I94" s="34">
        <f t="shared" si="52"/>
        <v>119957.91192494209</v>
      </c>
      <c r="J94" s="34">
        <f t="shared" si="52"/>
        <v>119821.20856273056</v>
      </c>
      <c r="K94" s="34">
        <f t="shared" si="52"/>
        <v>119649.00872069778</v>
      </c>
      <c r="L94" s="34">
        <f t="shared" si="52"/>
        <v>119438.6182845338</v>
      </c>
      <c r="M94" s="34">
        <f t="shared" si="52"/>
        <v>119187.1477418328</v>
      </c>
      <c r="N94" s="34">
        <f t="shared" si="52"/>
        <v>118891.49805354714</v>
      </c>
      <c r="O94" s="35">
        <f t="shared" si="52"/>
        <v>118548.34550407178</v>
      </c>
    </row>
    <row r="95" spans="2:15" x14ac:dyDescent="0.25">
      <c r="B95" s="20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6"/>
    </row>
    <row r="96" spans="2:15" x14ac:dyDescent="0.25">
      <c r="B96" s="27"/>
      <c r="C96" s="37"/>
      <c r="D96" s="37" t="s">
        <v>72</v>
      </c>
      <c r="E96" s="37"/>
      <c r="F96" s="76">
        <f>F94/F93</f>
        <v>3154.8570314613262</v>
      </c>
      <c r="G96" s="76">
        <f t="shared" ref="G96:O96" si="53">G94/G93</f>
        <v>2919.6572662177196</v>
      </c>
      <c r="H96" s="76">
        <f t="shared" si="53"/>
        <v>2700.4934262665224</v>
      </c>
      <c r="I96" s="76">
        <f t="shared" si="53"/>
        <v>2496.3889250915149</v>
      </c>
      <c r="J96" s="76">
        <f t="shared" si="53"/>
        <v>2306.3843186243444</v>
      </c>
      <c r="K96" s="76">
        <f t="shared" si="53"/>
        <v>2129.5759628052447</v>
      </c>
      <c r="L96" s="76">
        <f t="shared" si="53"/>
        <v>1965.1131434514821</v>
      </c>
      <c r="M96" s="76">
        <f t="shared" si="53"/>
        <v>1812.1953311111315</v>
      </c>
      <c r="N96" s="76">
        <f t="shared" si="53"/>
        <v>1670.0695563477168</v>
      </c>
      <c r="O96" s="77">
        <f t="shared" si="53"/>
        <v>1538.0279010914676</v>
      </c>
    </row>
    <row r="97" spans="2:15" x14ac:dyDescent="0.25">
      <c r="B97" s="78"/>
      <c r="C97" s="78"/>
      <c r="D97" s="78"/>
      <c r="E97" s="79"/>
      <c r="F97" s="80"/>
      <c r="G97" s="80"/>
      <c r="H97" s="81"/>
      <c r="I97" s="81"/>
      <c r="J97" s="81"/>
      <c r="K97" s="81"/>
      <c r="L97" s="81"/>
      <c r="M97" s="81"/>
      <c r="N97" s="81"/>
      <c r="O97" s="81"/>
    </row>
    <row r="98" spans="2:15" x14ac:dyDescent="0.25">
      <c r="B98" s="12"/>
      <c r="C98" s="13"/>
      <c r="D98" s="13"/>
      <c r="E98" s="38" t="s">
        <v>83</v>
      </c>
      <c r="F98" s="39"/>
      <c r="G98" s="39"/>
      <c r="H98" s="93"/>
      <c r="I98" s="13"/>
      <c r="J98" s="13"/>
      <c r="K98" s="13"/>
      <c r="L98" s="13"/>
      <c r="M98" s="13"/>
    </row>
    <row r="99" spans="2:15" x14ac:dyDescent="0.25">
      <c r="B99" s="13"/>
      <c r="C99" s="13"/>
      <c r="D99" s="13"/>
      <c r="E99" s="39"/>
      <c r="F99" s="39"/>
      <c r="G99" s="40"/>
      <c r="H99" s="93"/>
      <c r="I99" s="13"/>
      <c r="J99" s="13"/>
      <c r="K99" s="13"/>
      <c r="L99" s="13"/>
      <c r="M99" s="13"/>
    </row>
    <row r="100" spans="2:15" x14ac:dyDescent="0.25">
      <c r="B100" s="12"/>
      <c r="C100" s="13"/>
      <c r="D100" s="13"/>
      <c r="E100" s="38" t="s">
        <v>84</v>
      </c>
      <c r="F100" s="39"/>
      <c r="G100" s="39"/>
      <c r="H100" s="93"/>
      <c r="I100" s="13"/>
      <c r="J100" s="13"/>
      <c r="K100" s="13"/>
      <c r="L100" s="13"/>
      <c r="M100" s="13"/>
    </row>
    <row r="101" spans="2:15" x14ac:dyDescent="0.25">
      <c r="B101" s="13"/>
      <c r="C101" s="13"/>
      <c r="D101" s="13"/>
      <c r="E101" s="39"/>
      <c r="F101" s="39" t="s">
        <v>85</v>
      </c>
      <c r="G101" s="39">
        <v>2.2799999999999998</v>
      </c>
      <c r="H101" s="93"/>
      <c r="I101" s="13"/>
      <c r="J101" s="13"/>
      <c r="K101" s="13"/>
      <c r="L101" s="13"/>
      <c r="M101" s="13"/>
    </row>
    <row r="102" spans="2:15" x14ac:dyDescent="0.25">
      <c r="B102" s="13"/>
      <c r="C102" s="13"/>
      <c r="D102" s="13"/>
      <c r="E102" s="39"/>
      <c r="F102" s="39" t="s">
        <v>86</v>
      </c>
      <c r="G102" s="41">
        <v>1.8599999999999998E-2</v>
      </c>
      <c r="H102" s="93"/>
      <c r="I102" s="13"/>
      <c r="J102" s="13"/>
      <c r="K102" s="13"/>
      <c r="L102" s="13"/>
      <c r="M102" s="13"/>
    </row>
    <row r="103" spans="2:15" x14ac:dyDescent="0.25">
      <c r="B103" s="13"/>
      <c r="C103" s="13"/>
      <c r="D103" s="13"/>
      <c r="E103" s="39"/>
      <c r="F103" s="39" t="s">
        <v>87</v>
      </c>
      <c r="G103" s="41">
        <v>0.12790000000000001</v>
      </c>
      <c r="H103" s="93"/>
      <c r="I103" s="13"/>
      <c r="J103" s="13"/>
      <c r="K103" s="13"/>
      <c r="L103" s="13"/>
      <c r="M103" s="13"/>
    </row>
    <row r="104" spans="2:15" x14ac:dyDescent="0.25">
      <c r="B104" s="13"/>
      <c r="C104" s="13"/>
      <c r="D104" s="13"/>
      <c r="E104" s="39"/>
      <c r="F104" s="39"/>
      <c r="G104" s="42"/>
      <c r="H104" s="93"/>
      <c r="I104" s="13"/>
      <c r="J104" s="13"/>
      <c r="K104" s="13"/>
      <c r="L104" s="13"/>
      <c r="M104" s="13"/>
    </row>
    <row r="105" spans="2:15" x14ac:dyDescent="0.25">
      <c r="B105" s="13"/>
      <c r="C105" s="14"/>
      <c r="D105" s="14"/>
      <c r="E105" s="39"/>
      <c r="F105" s="43" t="s">
        <v>88</v>
      </c>
      <c r="G105" s="41">
        <f>G102+G101*(G103-G102)</f>
        <v>0.26780399999999999</v>
      </c>
      <c r="H105" s="93"/>
      <c r="I105" s="13"/>
      <c r="J105" s="13"/>
      <c r="K105" s="13"/>
      <c r="L105" s="13"/>
      <c r="M105" s="13"/>
    </row>
    <row r="106" spans="2:15" x14ac:dyDescent="0.25">
      <c r="B106" s="13"/>
      <c r="C106" s="13"/>
      <c r="D106" s="13"/>
      <c r="E106" s="39"/>
      <c r="F106" s="39"/>
      <c r="G106" s="42"/>
      <c r="H106" s="93"/>
      <c r="I106" s="13"/>
      <c r="J106" s="13"/>
      <c r="K106" s="13"/>
      <c r="L106" s="13"/>
      <c r="M106" s="13"/>
    </row>
    <row r="107" spans="2:15" x14ac:dyDescent="0.25">
      <c r="B107" s="12"/>
      <c r="C107" s="13"/>
      <c r="D107" s="13"/>
      <c r="E107" s="38" t="s">
        <v>89</v>
      </c>
      <c r="F107" s="39"/>
      <c r="G107" s="42"/>
      <c r="H107" s="93"/>
      <c r="I107" s="13"/>
      <c r="J107" s="13"/>
      <c r="K107" s="13"/>
      <c r="L107" s="13"/>
      <c r="M107" s="13"/>
    </row>
    <row r="108" spans="2:15" x14ac:dyDescent="0.25">
      <c r="B108" s="13"/>
      <c r="C108" s="13"/>
      <c r="D108" s="13"/>
      <c r="E108" s="39"/>
      <c r="F108" s="39" t="s">
        <v>90</v>
      </c>
      <c r="G108" s="42">
        <f>O56/O80</f>
        <v>4.4293411584025111E-2</v>
      </c>
      <c r="H108" s="47">
        <v>1</v>
      </c>
      <c r="I108" s="15"/>
      <c r="J108" s="13"/>
      <c r="K108" s="16"/>
      <c r="L108" s="13"/>
      <c r="M108" s="13"/>
    </row>
    <row r="109" spans="2:15" x14ac:dyDescent="0.25">
      <c r="B109" s="13"/>
      <c r="C109" s="13"/>
      <c r="D109" s="13"/>
      <c r="E109" s="39" t="s">
        <v>91</v>
      </c>
      <c r="F109" s="39" t="s">
        <v>92</v>
      </c>
      <c r="G109" s="42">
        <v>0.1</v>
      </c>
      <c r="H109" s="47">
        <v>0</v>
      </c>
      <c r="I109" s="15"/>
      <c r="J109" s="13"/>
      <c r="K109" s="16"/>
      <c r="L109" s="13"/>
      <c r="M109" s="13"/>
    </row>
    <row r="110" spans="2:15" x14ac:dyDescent="0.25">
      <c r="B110" s="13"/>
      <c r="C110" s="13"/>
      <c r="D110" s="13"/>
      <c r="E110" s="39"/>
      <c r="F110" s="39" t="s">
        <v>93</v>
      </c>
      <c r="G110" s="42">
        <f>(G108*H108)+(G109*H109)</f>
        <v>4.4293411584025111E-2</v>
      </c>
      <c r="H110" s="93"/>
      <c r="I110" s="15"/>
      <c r="J110" s="13"/>
      <c r="K110" s="16"/>
      <c r="L110" s="13"/>
      <c r="M110" s="13"/>
    </row>
    <row r="111" spans="2:15" x14ac:dyDescent="0.25">
      <c r="B111" s="13"/>
      <c r="C111" s="13"/>
      <c r="D111" s="13"/>
      <c r="E111" s="39"/>
      <c r="F111" s="39"/>
      <c r="G111" s="42"/>
      <c r="H111" s="93"/>
      <c r="I111" s="13"/>
      <c r="J111" s="13"/>
      <c r="K111" s="13"/>
      <c r="L111" s="13"/>
      <c r="M111" s="13"/>
    </row>
    <row r="112" spans="2:15" x14ac:dyDescent="0.25">
      <c r="B112" s="13"/>
      <c r="C112" s="13"/>
      <c r="D112" s="13"/>
      <c r="E112" s="39" t="s">
        <v>94</v>
      </c>
      <c r="F112" s="39"/>
      <c r="G112" s="42">
        <f>O60/O59</f>
        <v>0.25</v>
      </c>
      <c r="H112" s="93"/>
      <c r="I112" s="13"/>
      <c r="J112" s="13"/>
      <c r="K112" s="13"/>
      <c r="L112" s="13"/>
      <c r="M112" s="13"/>
    </row>
    <row r="113" spans="2:13" x14ac:dyDescent="0.25">
      <c r="B113" s="13"/>
      <c r="C113" s="13"/>
      <c r="D113" s="13"/>
      <c r="E113" s="39"/>
      <c r="F113" s="39"/>
      <c r="G113" s="44"/>
      <c r="H113" s="93"/>
      <c r="I113" s="13"/>
      <c r="J113" s="13"/>
      <c r="K113" s="13"/>
      <c r="L113" s="13"/>
      <c r="M113" s="13"/>
    </row>
    <row r="114" spans="2:13" x14ac:dyDescent="0.25">
      <c r="B114" s="12"/>
      <c r="C114" s="13"/>
      <c r="D114" s="13"/>
      <c r="E114" s="38" t="s">
        <v>95</v>
      </c>
      <c r="F114" s="39"/>
      <c r="G114" s="44"/>
      <c r="H114" s="47" t="s">
        <v>135</v>
      </c>
      <c r="I114" s="13"/>
      <c r="J114" s="13"/>
      <c r="K114" s="13"/>
      <c r="L114" s="13"/>
      <c r="M114" s="13"/>
    </row>
    <row r="115" spans="2:13" x14ac:dyDescent="0.25">
      <c r="B115" s="13"/>
      <c r="C115" s="13"/>
      <c r="D115" s="13"/>
      <c r="E115" s="39" t="s">
        <v>96</v>
      </c>
      <c r="F115" s="39"/>
      <c r="G115" s="44">
        <f>O80</f>
        <v>97099.890203001865</v>
      </c>
      <c r="H115" s="94">
        <f>(G115+G116)/G122</f>
        <v>5.9943714074976034E-2</v>
      </c>
      <c r="I115" s="17"/>
      <c r="J115" s="13"/>
      <c r="K115" s="13"/>
      <c r="L115" s="13"/>
      <c r="M115" s="13"/>
    </row>
    <row r="116" spans="2:13" x14ac:dyDescent="0.25">
      <c r="B116" s="13"/>
      <c r="C116" s="13"/>
      <c r="D116" s="13"/>
      <c r="E116" s="39" t="s">
        <v>97</v>
      </c>
      <c r="F116" s="39"/>
      <c r="G116" s="44">
        <f>O57</f>
        <v>0</v>
      </c>
      <c r="H116" s="93"/>
      <c r="I116" s="17"/>
      <c r="J116" s="13"/>
      <c r="K116" s="13"/>
      <c r="L116" s="13"/>
      <c r="M116" s="13"/>
    </row>
    <row r="117" spans="2:13" x14ac:dyDescent="0.25">
      <c r="B117" s="13"/>
      <c r="C117" s="13"/>
      <c r="D117" s="13"/>
      <c r="E117" s="39"/>
      <c r="F117" s="39"/>
      <c r="G117" s="39"/>
      <c r="H117" s="93"/>
      <c r="I117" s="17"/>
      <c r="J117" s="13"/>
      <c r="K117" s="13"/>
      <c r="L117" s="13"/>
      <c r="M117" s="13"/>
    </row>
    <row r="118" spans="2:13" x14ac:dyDescent="0.25">
      <c r="B118" s="12"/>
      <c r="C118" s="13"/>
      <c r="D118" s="13"/>
      <c r="E118" s="38" t="s">
        <v>98</v>
      </c>
      <c r="F118" s="39"/>
      <c r="G118" s="39"/>
      <c r="H118" s="93" t="s">
        <v>136</v>
      </c>
      <c r="I118" s="17"/>
      <c r="J118" s="13"/>
      <c r="K118" s="13"/>
      <c r="L118" s="13"/>
      <c r="M118" s="13"/>
    </row>
    <row r="119" spans="2:13" x14ac:dyDescent="0.25">
      <c r="B119" s="13"/>
      <c r="C119" s="13"/>
      <c r="D119" s="13"/>
      <c r="E119" s="39" t="s">
        <v>99</v>
      </c>
      <c r="F119" s="39"/>
      <c r="G119" s="44">
        <f>O83</f>
        <v>20000</v>
      </c>
      <c r="H119" s="94">
        <f>1-H115</f>
        <v>0.94005628592502399</v>
      </c>
      <c r="I119" s="17"/>
      <c r="J119" s="13"/>
      <c r="K119" s="13"/>
      <c r="L119" s="13"/>
      <c r="M119" s="13"/>
    </row>
    <row r="120" spans="2:13" x14ac:dyDescent="0.25">
      <c r="B120" s="13"/>
      <c r="C120" s="13"/>
      <c r="D120" s="13"/>
      <c r="E120" s="39" t="s">
        <v>28</v>
      </c>
      <c r="F120" s="39"/>
      <c r="G120" s="44">
        <f>O84</f>
        <v>1502751.1934577778</v>
      </c>
      <c r="H120" s="93"/>
      <c r="I120" s="13"/>
      <c r="J120" s="13"/>
      <c r="K120" s="13"/>
      <c r="L120" s="13"/>
      <c r="M120" s="13"/>
    </row>
    <row r="121" spans="2:13" x14ac:dyDescent="0.25">
      <c r="B121" s="13"/>
      <c r="C121" s="13"/>
      <c r="D121" s="13"/>
      <c r="E121" s="39"/>
      <c r="F121" s="39"/>
      <c r="G121" s="44"/>
      <c r="H121" s="93"/>
      <c r="I121" s="13"/>
      <c r="J121" s="13"/>
      <c r="K121" s="13"/>
      <c r="L121" s="13"/>
      <c r="M121" s="13"/>
    </row>
    <row r="122" spans="2:13" x14ac:dyDescent="0.25">
      <c r="B122" s="12"/>
      <c r="C122" s="13"/>
      <c r="D122" s="13"/>
      <c r="E122" s="38" t="s">
        <v>100</v>
      </c>
      <c r="F122" s="39"/>
      <c r="G122" s="45">
        <f>SUM(G115:G120)</f>
        <v>1619851.0836607798</v>
      </c>
      <c r="H122" s="93"/>
      <c r="I122" s="13"/>
      <c r="J122" s="13"/>
      <c r="K122" s="13"/>
      <c r="L122" s="13"/>
      <c r="M122" s="13"/>
    </row>
    <row r="123" spans="2:13" x14ac:dyDescent="0.25">
      <c r="B123" s="13"/>
      <c r="C123" s="13"/>
      <c r="D123" s="13"/>
      <c r="E123" s="39"/>
      <c r="F123" s="39"/>
      <c r="G123" s="44"/>
      <c r="H123" s="93"/>
      <c r="I123" s="13"/>
      <c r="J123" s="13"/>
      <c r="K123" s="13"/>
      <c r="L123" s="13"/>
      <c r="M123" s="13"/>
    </row>
    <row r="124" spans="2:13" x14ac:dyDescent="0.25">
      <c r="B124" s="12"/>
      <c r="C124" s="13"/>
      <c r="D124" s="13"/>
      <c r="E124" s="38" t="s">
        <v>101</v>
      </c>
      <c r="F124" s="39"/>
      <c r="G124" s="41">
        <f>H115*(1-G112)*G110+(H119*G105)</f>
        <v>0.2537421672954136</v>
      </c>
      <c r="H124" s="93"/>
      <c r="I124" s="13"/>
      <c r="J124" s="13"/>
      <c r="K124" s="13"/>
      <c r="L124" s="13"/>
      <c r="M124" s="13"/>
    </row>
    <row r="125" spans="2:13" x14ac:dyDescent="0.25">
      <c r="B125" s="12"/>
      <c r="C125" s="13"/>
      <c r="D125" s="13"/>
      <c r="E125" s="38"/>
      <c r="F125" s="39"/>
      <c r="G125" s="41"/>
      <c r="H125" s="93"/>
      <c r="I125" s="13"/>
      <c r="J125" s="13"/>
      <c r="K125" s="13"/>
      <c r="L125" s="13"/>
      <c r="M125" s="13"/>
    </row>
    <row r="126" spans="2:13" x14ac:dyDescent="0.25">
      <c r="B126" s="12"/>
      <c r="C126" s="13"/>
      <c r="D126" s="13"/>
      <c r="E126" s="38" t="s">
        <v>130</v>
      </c>
      <c r="F126" s="39"/>
      <c r="G126" s="95">
        <f>G101/(1+(1-G112)*(H115/H119))</f>
        <v>2.1759367647265537</v>
      </c>
      <c r="H126" s="93" t="s">
        <v>134</v>
      </c>
      <c r="I126" s="13"/>
      <c r="J126" s="13"/>
      <c r="K126" s="13"/>
      <c r="L126" s="13"/>
      <c r="M126" s="13"/>
    </row>
    <row r="127" spans="2:13" x14ac:dyDescent="0.25">
      <c r="B127" s="12"/>
      <c r="C127" s="13"/>
      <c r="D127" s="13"/>
      <c r="E127" s="38" t="s">
        <v>131</v>
      </c>
      <c r="F127" s="39"/>
      <c r="G127" s="95">
        <f>G126/(1+(1-G112)*(H127/H128))</f>
        <v>1.4506245098177024</v>
      </c>
      <c r="H127" s="94">
        <v>0.4</v>
      </c>
      <c r="I127" s="13"/>
      <c r="J127" s="13"/>
      <c r="K127" s="13"/>
      <c r="L127" s="13"/>
      <c r="M127" s="13"/>
    </row>
    <row r="128" spans="2:13" x14ac:dyDescent="0.25">
      <c r="B128" s="12"/>
      <c r="C128" s="13"/>
      <c r="D128" s="13"/>
      <c r="E128" s="38"/>
      <c r="F128" s="39"/>
      <c r="G128" s="41"/>
      <c r="H128" s="94">
        <v>0.6</v>
      </c>
      <c r="I128" s="13"/>
      <c r="J128" s="13"/>
      <c r="K128" s="13"/>
      <c r="L128" s="13"/>
      <c r="M128" s="13"/>
    </row>
    <row r="129" spans="2:16" x14ac:dyDescent="0.25">
      <c r="B129" s="12"/>
      <c r="C129" s="13"/>
      <c r="D129" s="13"/>
      <c r="E129" s="38" t="s">
        <v>132</v>
      </c>
      <c r="F129" s="39"/>
      <c r="G129" s="41">
        <f>G102+G127*(G112-G110)</f>
        <v>0.31700301898719546</v>
      </c>
      <c r="H129" s="93"/>
      <c r="I129" s="13"/>
      <c r="J129" s="13"/>
      <c r="K129" s="13"/>
      <c r="L129" s="13"/>
      <c r="M129" s="13"/>
    </row>
    <row r="130" spans="2:16" x14ac:dyDescent="0.25">
      <c r="B130" s="12"/>
      <c r="C130" s="13"/>
      <c r="D130" s="13"/>
      <c r="E130" s="38"/>
      <c r="F130" s="39"/>
      <c r="G130" s="41"/>
      <c r="H130" s="93"/>
      <c r="I130" s="13"/>
      <c r="J130" s="13"/>
      <c r="K130" s="13"/>
      <c r="L130" s="13"/>
      <c r="M130" s="13"/>
    </row>
    <row r="131" spans="2:16" x14ac:dyDescent="0.25">
      <c r="B131" s="12"/>
      <c r="C131" s="13"/>
      <c r="D131" s="13"/>
      <c r="E131" s="38" t="s">
        <v>133</v>
      </c>
      <c r="F131" s="39"/>
      <c r="G131" s="41">
        <f>H127*G110*(1-G112)+H128*G129</f>
        <v>0.20348983486752478</v>
      </c>
      <c r="H131" s="93"/>
      <c r="I131" s="13"/>
      <c r="J131" s="13"/>
      <c r="K131" s="13"/>
      <c r="L131" s="13"/>
      <c r="M131" s="13"/>
    </row>
    <row r="134" spans="2:16" x14ac:dyDescent="0.25">
      <c r="B134" s="48" t="s">
        <v>102</v>
      </c>
      <c r="C134" s="49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50"/>
    </row>
    <row r="135" spans="2:16" x14ac:dyDescent="0.25">
      <c r="B135" s="51"/>
      <c r="C135" s="47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6"/>
    </row>
    <row r="136" spans="2:16" x14ac:dyDescent="0.25">
      <c r="B136" s="52" t="s">
        <v>103</v>
      </c>
      <c r="C136" s="47"/>
      <c r="D136" s="33"/>
      <c r="E136" s="33" t="s">
        <v>119</v>
      </c>
      <c r="F136" s="33">
        <v>1</v>
      </c>
      <c r="G136" s="33">
        <v>2</v>
      </c>
      <c r="H136" s="33">
        <v>3</v>
      </c>
      <c r="I136" s="33">
        <v>4</v>
      </c>
      <c r="J136" s="33">
        <v>5</v>
      </c>
      <c r="K136" s="33">
        <v>6</v>
      </c>
      <c r="L136" s="33">
        <v>7</v>
      </c>
      <c r="M136" s="33">
        <v>8</v>
      </c>
      <c r="N136" s="33">
        <v>9</v>
      </c>
      <c r="O136" s="36">
        <v>10</v>
      </c>
    </row>
    <row r="137" spans="2:16" x14ac:dyDescent="0.25">
      <c r="B137" s="51"/>
      <c r="C137" s="47" t="s">
        <v>120</v>
      </c>
      <c r="D137" s="33"/>
      <c r="E137" s="33"/>
      <c r="F137" s="34">
        <f t="shared" ref="F137:O137" si="54">(F44+F45-F48)-(F50+F51+F52)</f>
        <v>119720</v>
      </c>
      <c r="G137" s="34">
        <f t="shared" si="54"/>
        <v>136960.04514285718</v>
      </c>
      <c r="H137" s="34">
        <f t="shared" si="54"/>
        <v>155688.47739611432</v>
      </c>
      <c r="I137" s="34">
        <f t="shared" si="54"/>
        <v>176036.60868897929</v>
      </c>
      <c r="J137" s="34">
        <f t="shared" si="54"/>
        <v>198147.674495521</v>
      </c>
      <c r="K137" s="34">
        <f t="shared" si="54"/>
        <v>222177.94042447285</v>
      </c>
      <c r="L137" s="34">
        <f t="shared" si="54"/>
        <v>248297.91318779805</v>
      </c>
      <c r="M137" s="34">
        <f t="shared" si="54"/>
        <v>276693.66591533256</v>
      </c>
      <c r="N137" s="34">
        <f t="shared" si="54"/>
        <v>307568.28874376707</v>
      </c>
      <c r="O137" s="35">
        <f t="shared" si="54"/>
        <v>341143.47666252602</v>
      </c>
    </row>
    <row r="138" spans="2:16" x14ac:dyDescent="0.25">
      <c r="B138" s="51" t="s">
        <v>104</v>
      </c>
      <c r="C138" s="47" t="s">
        <v>121</v>
      </c>
      <c r="D138" s="33"/>
      <c r="E138" s="33"/>
      <c r="F138" s="53">
        <f t="shared" ref="F138:O138" si="55">-F54</f>
        <v>-8854.1666666666661</v>
      </c>
      <c r="G138" s="53">
        <f t="shared" si="55"/>
        <v>-8854.1666666666661</v>
      </c>
      <c r="H138" s="53">
        <f t="shared" si="55"/>
        <v>-8854.1666666666661</v>
      </c>
      <c r="I138" s="53">
        <f t="shared" si="55"/>
        <v>-8854.1666666666661</v>
      </c>
      <c r="J138" s="53">
        <f t="shared" si="55"/>
        <v>-8854.1666666666661</v>
      </c>
      <c r="K138" s="53">
        <f t="shared" si="55"/>
        <v>-8854.1666666666661</v>
      </c>
      <c r="L138" s="53">
        <f t="shared" si="55"/>
        <v>-8854.1666666666661</v>
      </c>
      <c r="M138" s="53">
        <f t="shared" si="55"/>
        <v>-8854.1666666666661</v>
      </c>
      <c r="N138" s="53">
        <f t="shared" si="55"/>
        <v>-8854.1666666666661</v>
      </c>
      <c r="O138" s="54">
        <f t="shared" si="55"/>
        <v>-8854.1666666666661</v>
      </c>
    </row>
    <row r="139" spans="2:16" x14ac:dyDescent="0.25">
      <c r="B139" s="51"/>
      <c r="C139" s="47" t="s">
        <v>105</v>
      </c>
      <c r="D139" s="33"/>
      <c r="E139" s="33"/>
      <c r="F139" s="53">
        <f>F137+F138</f>
        <v>110865.83333333333</v>
      </c>
      <c r="G139" s="53">
        <f t="shared" ref="G139:O139" si="56">G137+G138</f>
        <v>128105.87847619051</v>
      </c>
      <c r="H139" s="53">
        <f t="shared" si="56"/>
        <v>146834.31072944766</v>
      </c>
      <c r="I139" s="53">
        <f t="shared" si="56"/>
        <v>167182.44202231264</v>
      </c>
      <c r="J139" s="53">
        <f t="shared" si="56"/>
        <v>189293.50782885434</v>
      </c>
      <c r="K139" s="53">
        <f t="shared" si="56"/>
        <v>213323.77375780619</v>
      </c>
      <c r="L139" s="53">
        <f t="shared" si="56"/>
        <v>239443.7465211314</v>
      </c>
      <c r="M139" s="53">
        <f t="shared" si="56"/>
        <v>267839.49924866587</v>
      </c>
      <c r="N139" s="53">
        <f t="shared" si="56"/>
        <v>298714.12207710039</v>
      </c>
      <c r="O139" s="54">
        <f t="shared" si="56"/>
        <v>332289.30999585934</v>
      </c>
    </row>
    <row r="140" spans="2:16" x14ac:dyDescent="0.25">
      <c r="B140" s="51"/>
      <c r="C140" s="47" t="s">
        <v>106</v>
      </c>
      <c r="D140" s="33"/>
      <c r="E140" s="33"/>
      <c r="F140" s="53">
        <f t="shared" ref="F140:O140" si="57">IF(P140*$F$139&lt;0,0,F139*$P$140)</f>
        <v>27716.458333333332</v>
      </c>
      <c r="G140" s="53">
        <f t="shared" si="57"/>
        <v>32026.469619047628</v>
      </c>
      <c r="H140" s="53">
        <f t="shared" si="57"/>
        <v>36708.577682361916</v>
      </c>
      <c r="I140" s="53">
        <f t="shared" si="57"/>
        <v>41795.610505578159</v>
      </c>
      <c r="J140" s="53">
        <f t="shared" si="57"/>
        <v>47323.376957213586</v>
      </c>
      <c r="K140" s="53">
        <f t="shared" si="57"/>
        <v>53330.943439451548</v>
      </c>
      <c r="L140" s="53">
        <f t="shared" si="57"/>
        <v>59860.936630282849</v>
      </c>
      <c r="M140" s="53">
        <f t="shared" si="57"/>
        <v>66959.874812166468</v>
      </c>
      <c r="N140" s="53">
        <f t="shared" si="57"/>
        <v>74678.530519275097</v>
      </c>
      <c r="O140" s="54">
        <f t="shared" si="57"/>
        <v>83072.327498964834</v>
      </c>
      <c r="P140" s="82">
        <v>0.25</v>
      </c>
    </row>
    <row r="141" spans="2:16" x14ac:dyDescent="0.25">
      <c r="B141" s="51"/>
      <c r="C141" s="47" t="s">
        <v>107</v>
      </c>
      <c r="D141" s="33"/>
      <c r="E141" s="33"/>
      <c r="F141" s="53">
        <f>-F138</f>
        <v>8854.1666666666661</v>
      </c>
      <c r="G141" s="53">
        <f t="shared" ref="G141:O141" si="58">-G138</f>
        <v>8854.1666666666661</v>
      </c>
      <c r="H141" s="53">
        <f t="shared" si="58"/>
        <v>8854.1666666666661</v>
      </c>
      <c r="I141" s="53">
        <f t="shared" si="58"/>
        <v>8854.1666666666661</v>
      </c>
      <c r="J141" s="53">
        <f t="shared" si="58"/>
        <v>8854.1666666666661</v>
      </c>
      <c r="K141" s="53">
        <f t="shared" si="58"/>
        <v>8854.1666666666661</v>
      </c>
      <c r="L141" s="53">
        <f t="shared" si="58"/>
        <v>8854.1666666666661</v>
      </c>
      <c r="M141" s="53">
        <f t="shared" si="58"/>
        <v>8854.1666666666661</v>
      </c>
      <c r="N141" s="53">
        <f t="shared" si="58"/>
        <v>8854.1666666666661</v>
      </c>
      <c r="O141" s="54">
        <f t="shared" si="58"/>
        <v>8854.1666666666661</v>
      </c>
    </row>
    <row r="142" spans="2:16" x14ac:dyDescent="0.25">
      <c r="B142" s="51"/>
      <c r="C142" s="46" t="s">
        <v>108</v>
      </c>
      <c r="D142" s="33"/>
      <c r="E142" s="33"/>
      <c r="F142" s="53">
        <f>F139-F140+F141</f>
        <v>92003.541666666672</v>
      </c>
      <c r="G142" s="53">
        <f t="shared" ref="G142:O142" si="59">G139-G140+G141</f>
        <v>104933.57552380956</v>
      </c>
      <c r="H142" s="53">
        <f t="shared" si="59"/>
        <v>118979.89971375243</v>
      </c>
      <c r="I142" s="53">
        <f t="shared" si="59"/>
        <v>134240.99818340113</v>
      </c>
      <c r="J142" s="53">
        <f t="shared" si="59"/>
        <v>150824.29753830741</v>
      </c>
      <c r="K142" s="53">
        <f t="shared" si="59"/>
        <v>168846.99698502131</v>
      </c>
      <c r="L142" s="53">
        <f t="shared" si="59"/>
        <v>188436.97655751521</v>
      </c>
      <c r="M142" s="53">
        <f t="shared" si="59"/>
        <v>209733.79110316606</v>
      </c>
      <c r="N142" s="53">
        <f t="shared" si="59"/>
        <v>232889.75822449193</v>
      </c>
      <c r="O142" s="54">
        <f t="shared" si="59"/>
        <v>258071.14916356115</v>
      </c>
    </row>
    <row r="143" spans="2:16" x14ac:dyDescent="0.25">
      <c r="B143" s="51"/>
      <c r="C143" s="47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6"/>
    </row>
    <row r="144" spans="2:16" x14ac:dyDescent="0.25">
      <c r="B144" s="52" t="s">
        <v>109</v>
      </c>
      <c r="C144" s="47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6"/>
    </row>
    <row r="145" spans="2:17" x14ac:dyDescent="0.25">
      <c r="B145" s="51"/>
      <c r="C145" s="47" t="s">
        <v>138</v>
      </c>
      <c r="D145" s="33"/>
      <c r="E145" s="34">
        <f>-F71-F70</f>
        <v>-298125</v>
      </c>
      <c r="F145" s="33"/>
      <c r="G145" s="33"/>
      <c r="H145" s="33"/>
      <c r="I145" s="33"/>
      <c r="J145" s="33"/>
      <c r="K145" s="33"/>
      <c r="L145" s="33"/>
      <c r="M145" s="33"/>
      <c r="N145" s="33"/>
      <c r="O145" s="36"/>
      <c r="Q145" s="82" t="s">
        <v>122</v>
      </c>
    </row>
    <row r="146" spans="2:17" x14ac:dyDescent="0.25">
      <c r="B146" s="51"/>
      <c r="C146" s="47" t="s">
        <v>110</v>
      </c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55">
        <f>Q146*125%</f>
        <v>221354.16666666663</v>
      </c>
      <c r="Q146" s="83">
        <f>O71-O72</f>
        <v>177083.33333333331</v>
      </c>
    </row>
    <row r="147" spans="2:17" x14ac:dyDescent="0.25">
      <c r="B147" s="51"/>
      <c r="C147" s="47" t="s">
        <v>137</v>
      </c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55">
        <f>P147*Q147</f>
        <v>45500</v>
      </c>
      <c r="P147" s="85">
        <v>1.4</v>
      </c>
      <c r="Q147" s="83">
        <f>O70</f>
        <v>32500</v>
      </c>
    </row>
    <row r="148" spans="2:17" x14ac:dyDescent="0.25">
      <c r="B148" s="51"/>
      <c r="C148" s="47" t="s">
        <v>111</v>
      </c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54">
        <f>-((O146-Q146)*P140)-((O147-Q147)*P140)</f>
        <v>-14317.708333333328</v>
      </c>
    </row>
    <row r="149" spans="2:17" x14ac:dyDescent="0.25">
      <c r="B149" s="51"/>
      <c r="C149" s="47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54"/>
    </row>
    <row r="150" spans="2:17" x14ac:dyDescent="0.25">
      <c r="B150" s="52" t="s">
        <v>112</v>
      </c>
      <c r="C150" s="47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6"/>
    </row>
    <row r="151" spans="2:17" x14ac:dyDescent="0.25">
      <c r="B151" s="56"/>
      <c r="C151" s="47" t="s">
        <v>17</v>
      </c>
      <c r="D151" s="33"/>
      <c r="E151" s="33"/>
      <c r="F151" s="34">
        <f t="shared" ref="F151:O151" si="60">-(F67-E67)</f>
        <v>-37926.575342465752</v>
      </c>
      <c r="G151" s="34">
        <f t="shared" si="60"/>
        <v>-2703.634191780824</v>
      </c>
      <c r="H151" s="34">
        <f t="shared" si="60"/>
        <v>-2907.3489283726085</v>
      </c>
      <c r="I151" s="34">
        <f t="shared" si="60"/>
        <v>-3127.2168571062139</v>
      </c>
      <c r="J151" s="34">
        <f t="shared" si="60"/>
        <v>-3364.577587801592</v>
      </c>
      <c r="K151" s="34">
        <f t="shared" si="60"/>
        <v>-3620.8861360583032</v>
      </c>
      <c r="L151" s="34">
        <f t="shared" si="60"/>
        <v>-3897.7231830675155</v>
      </c>
      <c r="M151" s="34">
        <f t="shared" si="60"/>
        <v>-4196.8062711386083</v>
      </c>
      <c r="N151" s="34">
        <f t="shared" si="60"/>
        <v>-4520.0020220463339</v>
      </c>
      <c r="O151" s="35">
        <f t="shared" si="60"/>
        <v>-4869.3394735469192</v>
      </c>
    </row>
    <row r="152" spans="2:17" x14ac:dyDescent="0.25">
      <c r="B152" s="51"/>
      <c r="C152" s="47" t="s">
        <v>18</v>
      </c>
      <c r="D152" s="33"/>
      <c r="E152" s="33"/>
      <c r="F152" s="34">
        <f t="shared" ref="F152:O152" si="61">-(F68-E68)</f>
        <v>-9481.6438356164381</v>
      </c>
      <c r="G152" s="34">
        <f t="shared" si="61"/>
        <v>-904.16752438356343</v>
      </c>
      <c r="H152" s="34">
        <f t="shared" si="61"/>
        <v>-991.22570622885542</v>
      </c>
      <c r="I152" s="34">
        <f t="shared" si="61"/>
        <v>-1086.7413623173161</v>
      </c>
      <c r="J152" s="34">
        <f t="shared" si="61"/>
        <v>-1191.5427919307349</v>
      </c>
      <c r="K152" s="34">
        <f t="shared" si="61"/>
        <v>-1306.5400058482883</v>
      </c>
      <c r="L152" s="34">
        <f t="shared" si="61"/>
        <v>-1432.7328390653638</v>
      </c>
      <c r="M152" s="34">
        <f t="shared" si="61"/>
        <v>-1571.2198735243837</v>
      </c>
      <c r="N152" s="34">
        <f t="shared" si="61"/>
        <v>-1723.2082521288903</v>
      </c>
      <c r="O152" s="35">
        <f t="shared" si="61"/>
        <v>-1890.0244735008564</v>
      </c>
    </row>
    <row r="153" spans="2:17" x14ac:dyDescent="0.25">
      <c r="B153" s="51"/>
      <c r="C153" s="47" t="s">
        <v>113</v>
      </c>
      <c r="D153" s="33"/>
      <c r="E153" s="33"/>
      <c r="F153" s="53">
        <f t="shared" ref="F153:O153" si="62">F140-E140</f>
        <v>27716.458333333332</v>
      </c>
      <c r="G153" s="53">
        <f t="shared" si="62"/>
        <v>4310.0112857142958</v>
      </c>
      <c r="H153" s="53">
        <f t="shared" si="62"/>
        <v>4682.1080633142883</v>
      </c>
      <c r="I153" s="53">
        <f t="shared" si="62"/>
        <v>5087.0328232162428</v>
      </c>
      <c r="J153" s="53">
        <f t="shared" si="62"/>
        <v>5527.7664516354271</v>
      </c>
      <c r="K153" s="53">
        <f t="shared" si="62"/>
        <v>6007.5664822379622</v>
      </c>
      <c r="L153" s="53">
        <f t="shared" si="62"/>
        <v>6529.993190831301</v>
      </c>
      <c r="M153" s="53">
        <f t="shared" si="62"/>
        <v>7098.9381818836191</v>
      </c>
      <c r="N153" s="53">
        <f t="shared" si="62"/>
        <v>7718.6557071086281</v>
      </c>
      <c r="O153" s="54">
        <f t="shared" si="62"/>
        <v>8393.7969796897378</v>
      </c>
    </row>
    <row r="154" spans="2:17" x14ac:dyDescent="0.25">
      <c r="B154" s="51"/>
      <c r="C154" s="47" t="s">
        <v>23</v>
      </c>
      <c r="D154" s="33"/>
      <c r="E154" s="33"/>
      <c r="F154" s="53">
        <f t="shared" ref="F154:O154" si="63">F77-E77</f>
        <v>7154.1085271317834</v>
      </c>
      <c r="G154" s="53">
        <f t="shared" si="63"/>
        <v>301.81023751938028</v>
      </c>
      <c r="H154" s="53">
        <f t="shared" si="63"/>
        <v>315.11438217144496</v>
      </c>
      <c r="I154" s="53">
        <f t="shared" si="63"/>
        <v>329.025423998929</v>
      </c>
      <c r="J154" s="53">
        <f t="shared" si="63"/>
        <v>343.57175628214372</v>
      </c>
      <c r="K154" s="53">
        <f t="shared" si="63"/>
        <v>358.78312474868835</v>
      </c>
      <c r="L154" s="53">
        <f t="shared" si="63"/>
        <v>374.69069280639633</v>
      </c>
      <c r="M154" s="53">
        <f t="shared" si="63"/>
        <v>391.32710995007255</v>
      </c>
      <c r="N154" s="53">
        <f t="shared" si="63"/>
        <v>408.72658349738413</v>
      </c>
      <c r="O154" s="54">
        <f t="shared" si="63"/>
        <v>426.92495381694789</v>
      </c>
    </row>
    <row r="155" spans="2:17" x14ac:dyDescent="0.25">
      <c r="B155" s="51"/>
      <c r="C155" s="47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6"/>
    </row>
    <row r="156" spans="2:17" x14ac:dyDescent="0.25">
      <c r="B156" s="52" t="s">
        <v>112</v>
      </c>
      <c r="C156" s="47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6"/>
    </row>
    <row r="157" spans="2:17" x14ac:dyDescent="0.25">
      <c r="B157" s="56"/>
      <c r="C157" s="47" t="s">
        <v>17</v>
      </c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5">
        <f>O67</f>
        <v>71134.109993384671</v>
      </c>
    </row>
    <row r="158" spans="2:17" x14ac:dyDescent="0.25">
      <c r="B158" s="51"/>
      <c r="C158" s="47" t="s">
        <v>18</v>
      </c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5">
        <f>O68</f>
        <v>21579.04666454469</v>
      </c>
    </row>
    <row r="159" spans="2:17" x14ac:dyDescent="0.25">
      <c r="B159" s="51"/>
      <c r="C159" s="47" t="s">
        <v>113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54">
        <f>-O78</f>
        <v>-81509.606148583553</v>
      </c>
    </row>
    <row r="160" spans="2:17" x14ac:dyDescent="0.25">
      <c r="B160" s="51"/>
      <c r="C160" s="47" t="s">
        <v>23</v>
      </c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54">
        <f>-O77</f>
        <v>-10404.082791923171</v>
      </c>
    </row>
    <row r="161" spans="2:15" x14ac:dyDescent="0.25">
      <c r="B161" s="51"/>
      <c r="C161" s="47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6"/>
    </row>
    <row r="162" spans="2:15" x14ac:dyDescent="0.25">
      <c r="B162" s="51"/>
      <c r="C162" s="46" t="s">
        <v>114</v>
      </c>
      <c r="D162" s="33"/>
      <c r="E162" s="57">
        <f t="shared" ref="E162:O162" si="64">SUM(E142:E160)</f>
        <v>-298125</v>
      </c>
      <c r="F162" s="57">
        <f t="shared" si="64"/>
        <v>79465.889349049598</v>
      </c>
      <c r="G162" s="57">
        <f t="shared" si="64"/>
        <v>105937.59533087886</v>
      </c>
      <c r="H162" s="57">
        <f t="shared" si="64"/>
        <v>120078.5475246367</v>
      </c>
      <c r="I162" s="57">
        <f t="shared" si="64"/>
        <v>135443.09821119273</v>
      </c>
      <c r="J162" s="57">
        <f t="shared" si="64"/>
        <v>152139.51536649268</v>
      </c>
      <c r="K162" s="57">
        <f t="shared" si="64"/>
        <v>170285.92045010137</v>
      </c>
      <c r="L162" s="57">
        <f t="shared" si="64"/>
        <v>190011.20441902001</v>
      </c>
      <c r="M162" s="57">
        <f t="shared" si="64"/>
        <v>211456.03025033677</v>
      </c>
      <c r="N162" s="57">
        <f t="shared" si="64"/>
        <v>234773.93024092275</v>
      </c>
      <c r="O162" s="55">
        <f t="shared" si="64"/>
        <v>513468.43320077599</v>
      </c>
    </row>
    <row r="163" spans="2:15" x14ac:dyDescent="0.25">
      <c r="B163" s="51"/>
      <c r="C163" s="47" t="s">
        <v>115</v>
      </c>
      <c r="D163" s="33"/>
      <c r="E163" s="33">
        <v>0</v>
      </c>
      <c r="F163" s="33">
        <v>1</v>
      </c>
      <c r="G163" s="33">
        <v>2</v>
      </c>
      <c r="H163" s="33">
        <v>3</v>
      </c>
      <c r="I163" s="33">
        <v>4</v>
      </c>
      <c r="J163" s="33">
        <v>5</v>
      </c>
      <c r="K163" s="33">
        <v>6</v>
      </c>
      <c r="L163" s="33">
        <v>7</v>
      </c>
      <c r="M163" s="33">
        <v>8</v>
      </c>
      <c r="N163" s="33">
        <v>9</v>
      </c>
      <c r="O163" s="36">
        <v>10</v>
      </c>
    </row>
    <row r="164" spans="2:15" x14ac:dyDescent="0.25">
      <c r="B164" s="51"/>
      <c r="C164" s="46" t="s">
        <v>116</v>
      </c>
      <c r="D164" s="33"/>
      <c r="E164" s="58">
        <f>PV($G$124,E163,,-E162)</f>
        <v>-298125</v>
      </c>
      <c r="F164" s="58">
        <f t="shared" ref="F164:O164" si="65">PV($G$124,F163,,-F162)</f>
        <v>63382.959767935608</v>
      </c>
      <c r="G164" s="58">
        <f t="shared" si="65"/>
        <v>67395.926051164686</v>
      </c>
      <c r="H164" s="58">
        <f t="shared" si="65"/>
        <v>60931.339776164539</v>
      </c>
      <c r="I164" s="58">
        <f t="shared" si="65"/>
        <v>54818.096158182161</v>
      </c>
      <c r="J164" s="58">
        <f t="shared" si="65"/>
        <v>49113.497729083138</v>
      </c>
      <c r="K164" s="58">
        <f t="shared" si="65"/>
        <v>43845.935877843476</v>
      </c>
      <c r="L164" s="58">
        <f t="shared" si="65"/>
        <v>39023.083321515129</v>
      </c>
      <c r="M164" s="58">
        <f t="shared" si="65"/>
        <v>34638.112017540159</v>
      </c>
      <c r="N164" s="58">
        <f t="shared" si="65"/>
        <v>30674.378711056797</v>
      </c>
      <c r="O164" s="59">
        <f t="shared" si="65"/>
        <v>53509.565116324309</v>
      </c>
    </row>
    <row r="165" spans="2:15" x14ac:dyDescent="0.25">
      <c r="B165" s="51"/>
      <c r="C165" s="46" t="s">
        <v>117</v>
      </c>
      <c r="D165" s="33"/>
      <c r="E165" s="58">
        <f>SUM(E164:O164)</f>
        <v>199207.89452681001</v>
      </c>
      <c r="F165" s="33"/>
      <c r="G165" s="33"/>
      <c r="H165" s="33"/>
      <c r="I165" s="33"/>
      <c r="J165" s="33"/>
      <c r="K165" s="33"/>
      <c r="L165" s="33"/>
      <c r="M165" s="33"/>
      <c r="N165" s="33"/>
      <c r="O165" s="36"/>
    </row>
    <row r="166" spans="2:15" x14ac:dyDescent="0.25">
      <c r="B166" s="60"/>
      <c r="C166" s="61" t="s">
        <v>118</v>
      </c>
      <c r="D166" s="37"/>
      <c r="E166" s="62">
        <f>IRR(E162:O162)</f>
        <v>0.40467335201632615</v>
      </c>
      <c r="F166" s="37"/>
      <c r="G166" s="37"/>
      <c r="H166" s="37"/>
      <c r="I166" s="37"/>
      <c r="J166" s="37"/>
      <c r="K166" s="37"/>
      <c r="L166" s="37"/>
      <c r="M166" s="37"/>
      <c r="N166" s="37"/>
      <c r="O166" s="63"/>
    </row>
  </sheetData>
  <phoneticPr fontId="5" type="noConversion"/>
  <pageMargins left="0.7" right="0.7" top="0.75" bottom="0.75" header="0.3" footer="0.3"/>
  <pageSetup scale="25" orientation="landscape" horizontalDpi="4294967292" verticalDpi="4294967292"/>
  <ignoredErrors>
    <ignoredError sqref="F74:O74 F72 F86:O86 F84" emptyCellReference="1"/>
  </ignoredErrors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6"/>
  <sheetViews>
    <sheetView topLeftCell="A99" workbookViewId="0">
      <selection activeCell="C142" sqref="C142"/>
    </sheetView>
  </sheetViews>
  <sheetFormatPr defaultColWidth="8.85546875" defaultRowHeight="15" x14ac:dyDescent="0.25"/>
  <cols>
    <col min="2" max="2" width="12.7109375" bestFit="1" customWidth="1"/>
    <col min="3" max="3" width="14.28515625" bestFit="1" customWidth="1"/>
    <col min="4" max="4" width="9.85546875" bestFit="1" customWidth="1"/>
    <col min="5" max="5" width="12.140625" bestFit="1" customWidth="1"/>
    <col min="6" max="6" width="14.28515625" bestFit="1" customWidth="1"/>
    <col min="7" max="7" width="12.42578125" bestFit="1" customWidth="1"/>
    <col min="8" max="8" width="14.28515625" bestFit="1" customWidth="1"/>
    <col min="9" max="9" width="11.7109375" bestFit="1" customWidth="1"/>
  </cols>
  <sheetData>
    <row r="1" spans="1:9" x14ac:dyDescent="0.25">
      <c r="A1" s="1"/>
      <c r="B1" s="1" t="s">
        <v>30</v>
      </c>
      <c r="C1" s="5">
        <f>I5*0.8</f>
        <v>238500</v>
      </c>
      <c r="D1" s="1"/>
      <c r="E1" s="1" t="s">
        <v>31</v>
      </c>
      <c r="F1" s="1">
        <v>0</v>
      </c>
      <c r="G1" s="1"/>
      <c r="H1" s="1"/>
    </row>
    <row r="2" spans="1:9" x14ac:dyDescent="0.25">
      <c r="A2" s="1"/>
      <c r="B2" s="1" t="s">
        <v>32</v>
      </c>
      <c r="C2" s="6">
        <v>0.04</v>
      </c>
      <c r="D2" s="1" t="s">
        <v>33</v>
      </c>
      <c r="E2" s="1"/>
      <c r="F2" s="1"/>
      <c r="G2" s="1"/>
      <c r="H2" s="1"/>
    </row>
    <row r="3" spans="1:9" x14ac:dyDescent="0.25">
      <c r="A3" s="1"/>
      <c r="B3" s="1" t="s">
        <v>34</v>
      </c>
      <c r="C3" s="8">
        <v>360</v>
      </c>
      <c r="D3" s="1" t="s">
        <v>75</v>
      </c>
      <c r="E3" s="1"/>
      <c r="F3" s="1"/>
      <c r="G3" s="1"/>
      <c r="H3" s="1"/>
    </row>
    <row r="5" spans="1:9" x14ac:dyDescent="0.25">
      <c r="A5" s="1"/>
      <c r="B5" s="1" t="s">
        <v>35</v>
      </c>
      <c r="C5" s="4" t="s">
        <v>36</v>
      </c>
      <c r="D5" s="1" t="s">
        <v>37</v>
      </c>
      <c r="E5" s="1" t="s">
        <v>38</v>
      </c>
      <c r="F5" s="1" t="s">
        <v>39</v>
      </c>
      <c r="G5" s="1"/>
      <c r="H5" s="1" t="s">
        <v>74</v>
      </c>
      <c r="I5" s="2">
        <f>Financials!F70+Financials!F71</f>
        <v>298125</v>
      </c>
    </row>
    <row r="6" spans="1:9" x14ac:dyDescent="0.25">
      <c r="A6" s="1"/>
      <c r="B6" s="1"/>
      <c r="C6" s="1"/>
      <c r="D6" s="1"/>
      <c r="E6" s="1"/>
      <c r="F6" s="2">
        <f>C1</f>
        <v>238500</v>
      </c>
      <c r="G6" s="1"/>
      <c r="H6" s="1" t="s">
        <v>73</v>
      </c>
      <c r="I6" s="2">
        <f>I5*0.2</f>
        <v>59625</v>
      </c>
    </row>
    <row r="7" spans="1:9" x14ac:dyDescent="0.25">
      <c r="A7" s="1">
        <v>1</v>
      </c>
      <c r="B7" s="3">
        <f>PMT($C$2/12,$C$3,-$C$1)</f>
        <v>1138.635479685121</v>
      </c>
      <c r="C7" s="4">
        <f>F6*($C$2/12)</f>
        <v>795</v>
      </c>
      <c r="D7" s="3">
        <f>B7-C7</f>
        <v>343.63547968512103</v>
      </c>
      <c r="E7" s="1">
        <v>0</v>
      </c>
      <c r="F7" s="4">
        <f>F6-D7</f>
        <v>238156.36452031488</v>
      </c>
      <c r="G7" s="1"/>
      <c r="H7" s="1" t="s">
        <v>40</v>
      </c>
    </row>
    <row r="8" spans="1:9" x14ac:dyDescent="0.25">
      <c r="A8" s="1">
        <v>2</v>
      </c>
      <c r="B8" s="3">
        <f t="shared" ref="B8:B71" si="0">PMT($C$2/12,$C$3,-$C$1)</f>
        <v>1138.635479685121</v>
      </c>
      <c r="C8" s="4">
        <f t="shared" ref="C8:C71" si="1">F7*($C$2/12)</f>
        <v>793.85454840104967</v>
      </c>
      <c r="D8" s="3">
        <v>824.47315289949984</v>
      </c>
      <c r="E8" s="1">
        <v>0</v>
      </c>
      <c r="F8" s="4">
        <f t="shared" ref="F8:F71" si="2">F7-D8</f>
        <v>237331.89136741537</v>
      </c>
      <c r="G8" s="1"/>
      <c r="H8" s="2">
        <v>1395088.9826450674</v>
      </c>
    </row>
    <row r="9" spans="1:9" x14ac:dyDescent="0.25">
      <c r="A9" s="1">
        <v>3</v>
      </c>
      <c r="B9" s="3">
        <f t="shared" si="0"/>
        <v>1138.635479685121</v>
      </c>
      <c r="C9" s="4">
        <f t="shared" si="1"/>
        <v>791.10630455805131</v>
      </c>
      <c r="D9" s="3">
        <v>829.28257962474709</v>
      </c>
      <c r="E9" s="1">
        <v>0</v>
      </c>
      <c r="F9" s="4">
        <f t="shared" si="2"/>
        <v>236502.60878779064</v>
      </c>
      <c r="G9" s="1"/>
      <c r="H9" s="1"/>
    </row>
    <row r="10" spans="1:9" x14ac:dyDescent="0.25">
      <c r="A10" s="1">
        <v>4</v>
      </c>
      <c r="B10" s="3">
        <f t="shared" si="0"/>
        <v>1138.635479685121</v>
      </c>
      <c r="C10" s="4">
        <f t="shared" si="1"/>
        <v>788.34202929263552</v>
      </c>
      <c r="D10" s="3">
        <v>834.12006133922478</v>
      </c>
      <c r="E10" s="1">
        <v>0</v>
      </c>
      <c r="F10" s="4">
        <f t="shared" si="2"/>
        <v>235668.48872645141</v>
      </c>
      <c r="G10" s="1"/>
      <c r="H10" s="1" t="s">
        <v>41</v>
      </c>
    </row>
    <row r="11" spans="1:9" x14ac:dyDescent="0.25">
      <c r="A11" s="1">
        <v>5</v>
      </c>
      <c r="B11" s="3">
        <f t="shared" si="0"/>
        <v>1138.635479685121</v>
      </c>
      <c r="C11" s="4">
        <f t="shared" si="1"/>
        <v>785.56162908817146</v>
      </c>
      <c r="D11" s="3">
        <v>838.98576169703756</v>
      </c>
      <c r="E11" s="1">
        <v>0</v>
      </c>
      <c r="F11" s="4">
        <f t="shared" si="2"/>
        <v>234829.50296475439</v>
      </c>
      <c r="G11" s="1"/>
      <c r="H11" s="4">
        <v>2395088.9826450674</v>
      </c>
    </row>
    <row r="12" spans="1:9" x14ac:dyDescent="0.25">
      <c r="A12" s="1">
        <v>6</v>
      </c>
      <c r="B12" s="3">
        <f t="shared" si="0"/>
        <v>1138.635479685121</v>
      </c>
      <c r="C12" s="4">
        <f t="shared" si="1"/>
        <v>782.76500988251462</v>
      </c>
      <c r="D12" s="3">
        <v>843.87984530693666</v>
      </c>
      <c r="E12" s="1">
        <v>0</v>
      </c>
      <c r="F12" s="4">
        <f t="shared" si="2"/>
        <v>233985.62311944744</v>
      </c>
      <c r="G12" s="1"/>
      <c r="H12" s="1"/>
    </row>
    <row r="13" spans="1:9" x14ac:dyDescent="0.25">
      <c r="A13" s="1">
        <v>7</v>
      </c>
      <c r="B13" s="3">
        <f t="shared" si="0"/>
        <v>1138.635479685121</v>
      </c>
      <c r="C13" s="4">
        <f t="shared" si="1"/>
        <v>779.95207706482483</v>
      </c>
      <c r="D13" s="3">
        <v>848.80247773789415</v>
      </c>
      <c r="E13" s="1">
        <v>0</v>
      </c>
      <c r="F13" s="4">
        <f t="shared" si="2"/>
        <v>233136.82064170955</v>
      </c>
      <c r="G13" s="1"/>
      <c r="H13" s="1"/>
    </row>
    <row r="14" spans="1:9" x14ac:dyDescent="0.25">
      <c r="A14" s="1">
        <v>8</v>
      </c>
      <c r="B14" s="3">
        <f t="shared" si="0"/>
        <v>1138.635479685121</v>
      </c>
      <c r="C14" s="4">
        <f t="shared" si="1"/>
        <v>777.12273547236521</v>
      </c>
      <c r="D14" s="3">
        <v>853.75382552469819</v>
      </c>
      <c r="E14" s="1">
        <v>0</v>
      </c>
      <c r="F14" s="4">
        <f t="shared" si="2"/>
        <v>232283.06681618484</v>
      </c>
      <c r="G14" s="1"/>
      <c r="H14" s="1"/>
    </row>
    <row r="15" spans="1:9" x14ac:dyDescent="0.25">
      <c r="A15" s="1">
        <v>9</v>
      </c>
      <c r="B15" s="3">
        <f t="shared" si="0"/>
        <v>1138.635479685121</v>
      </c>
      <c r="C15" s="4">
        <f t="shared" si="1"/>
        <v>774.27688938728284</v>
      </c>
      <c r="D15" s="3">
        <v>858.73405617359276</v>
      </c>
      <c r="E15" s="1">
        <v>0</v>
      </c>
      <c r="F15" s="4">
        <f t="shared" si="2"/>
        <v>231424.33276001125</v>
      </c>
      <c r="G15" s="1"/>
      <c r="H15" s="1"/>
    </row>
    <row r="16" spans="1:9" x14ac:dyDescent="0.25">
      <c r="A16" s="1">
        <v>10</v>
      </c>
      <c r="B16" s="3">
        <f t="shared" si="0"/>
        <v>1138.635479685121</v>
      </c>
      <c r="C16" s="4">
        <f t="shared" si="1"/>
        <v>771.4144425333709</v>
      </c>
      <c r="D16" s="3">
        <v>863.74333816793842</v>
      </c>
      <c r="E16" s="1">
        <v>0</v>
      </c>
      <c r="F16" s="4">
        <f t="shared" si="2"/>
        <v>230560.58942184332</v>
      </c>
      <c r="G16" s="1"/>
      <c r="H16" s="1"/>
    </row>
    <row r="17" spans="1:8" x14ac:dyDescent="0.25">
      <c r="A17" s="1">
        <v>11</v>
      </c>
      <c r="B17" s="3">
        <f t="shared" si="0"/>
        <v>1138.635479685121</v>
      </c>
      <c r="C17" s="4">
        <f t="shared" si="1"/>
        <v>768.53529807281109</v>
      </c>
      <c r="D17" s="3">
        <v>868.7818409739175</v>
      </c>
      <c r="E17" s="1">
        <v>0</v>
      </c>
      <c r="F17" s="4">
        <f t="shared" si="2"/>
        <v>229691.80758086941</v>
      </c>
      <c r="G17" s="1"/>
      <c r="H17" s="1"/>
    </row>
    <row r="18" spans="1:8" x14ac:dyDescent="0.25">
      <c r="A18" s="1">
        <v>12</v>
      </c>
      <c r="B18" s="3">
        <f t="shared" si="0"/>
        <v>1138.635479685121</v>
      </c>
      <c r="C18" s="4">
        <f t="shared" si="1"/>
        <v>765.63935860289814</v>
      </c>
      <c r="D18" s="3">
        <v>873.84973504626578</v>
      </c>
      <c r="E18" s="1">
        <v>0</v>
      </c>
      <c r="F18" s="4">
        <f t="shared" si="2"/>
        <v>228817.95784582314</v>
      </c>
      <c r="G18" s="7">
        <f>F18</f>
        <v>228817.95784582314</v>
      </c>
      <c r="H18" s="7">
        <f>SUM(C7:C18)</f>
        <v>9373.5703223559758</v>
      </c>
    </row>
    <row r="19" spans="1:8" x14ac:dyDescent="0.25">
      <c r="A19" s="1">
        <v>13</v>
      </c>
      <c r="B19" s="3">
        <f t="shared" si="0"/>
        <v>1138.635479685121</v>
      </c>
      <c r="C19" s="4">
        <f t="shared" si="1"/>
        <v>762.72652615274387</v>
      </c>
      <c r="D19" s="3">
        <v>878.94719183403504</v>
      </c>
      <c r="E19" s="1">
        <v>0</v>
      </c>
      <c r="F19" s="4">
        <f t="shared" si="2"/>
        <v>227939.0106539891</v>
      </c>
      <c r="G19" s="1"/>
      <c r="H19" s="1"/>
    </row>
    <row r="20" spans="1:8" x14ac:dyDescent="0.25">
      <c r="A20" s="1">
        <v>14</v>
      </c>
      <c r="B20" s="3">
        <f t="shared" si="0"/>
        <v>1138.635479685121</v>
      </c>
      <c r="C20" s="4">
        <f t="shared" si="1"/>
        <v>759.79670217996375</v>
      </c>
      <c r="D20" s="3">
        <v>884.07438378640018</v>
      </c>
      <c r="E20" s="1">
        <v>0</v>
      </c>
      <c r="F20" s="4">
        <f t="shared" si="2"/>
        <v>227054.93627020268</v>
      </c>
      <c r="G20" s="1"/>
      <c r="H20" s="1"/>
    </row>
    <row r="21" spans="1:8" x14ac:dyDescent="0.25">
      <c r="A21" s="1">
        <v>15</v>
      </c>
      <c r="B21" s="3">
        <f t="shared" si="0"/>
        <v>1138.635479685121</v>
      </c>
      <c r="C21" s="4">
        <f t="shared" si="1"/>
        <v>756.84978756734233</v>
      </c>
      <c r="D21" s="3">
        <v>889.23148435848725</v>
      </c>
      <c r="E21" s="1">
        <v>0</v>
      </c>
      <c r="F21" s="4">
        <f t="shared" si="2"/>
        <v>226165.70478584419</v>
      </c>
      <c r="G21" s="1"/>
      <c r="H21" s="1"/>
    </row>
    <row r="22" spans="1:8" x14ac:dyDescent="0.25">
      <c r="A22" s="1">
        <v>16</v>
      </c>
      <c r="B22" s="3">
        <f t="shared" si="0"/>
        <v>1138.635479685121</v>
      </c>
      <c r="C22" s="4">
        <f t="shared" si="1"/>
        <v>753.88568261948069</v>
      </c>
      <c r="D22" s="3">
        <v>894.41866801724518</v>
      </c>
      <c r="E22" s="1">
        <v>0</v>
      </c>
      <c r="F22" s="4">
        <f t="shared" si="2"/>
        <v>225271.28611782694</v>
      </c>
      <c r="G22" s="1"/>
      <c r="H22" s="1"/>
    </row>
    <row r="23" spans="1:8" x14ac:dyDescent="0.25">
      <c r="A23" s="1">
        <v>17</v>
      </c>
      <c r="B23" s="3">
        <f t="shared" si="0"/>
        <v>1138.635479685121</v>
      </c>
      <c r="C23" s="4">
        <f t="shared" si="1"/>
        <v>750.90428705942315</v>
      </c>
      <c r="D23" s="3">
        <v>899.63611024734564</v>
      </c>
      <c r="E23" s="1">
        <v>0</v>
      </c>
      <c r="F23" s="4">
        <f t="shared" si="2"/>
        <v>224371.65000757959</v>
      </c>
      <c r="G23" s="1"/>
      <c r="H23" s="1"/>
    </row>
    <row r="24" spans="1:8" x14ac:dyDescent="0.25">
      <c r="A24" s="1">
        <v>18</v>
      </c>
      <c r="B24" s="3">
        <f t="shared" si="0"/>
        <v>1138.635479685121</v>
      </c>
      <c r="C24" s="4">
        <f t="shared" si="1"/>
        <v>747.90550002526538</v>
      </c>
      <c r="D24" s="3">
        <v>904.88398755712205</v>
      </c>
      <c r="E24" s="1">
        <v>0</v>
      </c>
      <c r="F24" s="4">
        <f t="shared" si="2"/>
        <v>223466.76602002248</v>
      </c>
      <c r="G24" s="1"/>
      <c r="H24" s="1"/>
    </row>
    <row r="25" spans="1:8" x14ac:dyDescent="0.25">
      <c r="A25" s="1">
        <v>19</v>
      </c>
      <c r="B25" s="3">
        <f t="shared" si="0"/>
        <v>1138.635479685121</v>
      </c>
      <c r="C25" s="4">
        <f t="shared" si="1"/>
        <v>744.88922006674159</v>
      </c>
      <c r="D25" s="3">
        <v>910.16247748453861</v>
      </c>
      <c r="E25" s="1">
        <v>0</v>
      </c>
      <c r="F25" s="4">
        <f t="shared" si="2"/>
        <v>222556.60354253795</v>
      </c>
      <c r="G25" s="1"/>
      <c r="H25" s="1"/>
    </row>
    <row r="26" spans="1:8" x14ac:dyDescent="0.25">
      <c r="A26" s="1">
        <v>20</v>
      </c>
      <c r="B26" s="3">
        <f t="shared" si="0"/>
        <v>1138.635479685121</v>
      </c>
      <c r="C26" s="4">
        <f t="shared" si="1"/>
        <v>741.85534514179324</v>
      </c>
      <c r="D26" s="3">
        <v>915.4717586031984</v>
      </c>
      <c r="E26" s="1">
        <v>0</v>
      </c>
      <c r="F26" s="4">
        <f t="shared" si="2"/>
        <v>221641.13178393475</v>
      </c>
      <c r="G26" s="1"/>
      <c r="H26" s="1"/>
    </row>
    <row r="27" spans="1:8" x14ac:dyDescent="0.25">
      <c r="A27" s="1">
        <v>21</v>
      </c>
      <c r="B27" s="3">
        <f t="shared" si="0"/>
        <v>1138.635479685121</v>
      </c>
      <c r="C27" s="4">
        <f t="shared" si="1"/>
        <v>738.80377261311583</v>
      </c>
      <c r="D27" s="3">
        <v>920.81201052838423</v>
      </c>
      <c r="E27" s="1">
        <v>0</v>
      </c>
      <c r="F27" s="4">
        <f t="shared" si="2"/>
        <v>220720.31977340637</v>
      </c>
      <c r="G27" s="1"/>
      <c r="H27" s="1"/>
    </row>
    <row r="28" spans="1:8" x14ac:dyDescent="0.25">
      <c r="A28" s="1">
        <v>22</v>
      </c>
      <c r="B28" s="3">
        <f t="shared" si="0"/>
        <v>1138.635479685121</v>
      </c>
      <c r="C28" s="4">
        <f t="shared" si="1"/>
        <v>735.73439924468801</v>
      </c>
      <c r="D28" s="3">
        <v>926.18341392313323</v>
      </c>
      <c r="E28" s="1">
        <v>0</v>
      </c>
      <c r="F28" s="4">
        <f t="shared" si="2"/>
        <v>219794.13635948324</v>
      </c>
      <c r="G28" s="1"/>
      <c r="H28" s="1"/>
    </row>
    <row r="29" spans="1:8" x14ac:dyDescent="0.25">
      <c r="A29" s="1">
        <v>23</v>
      </c>
      <c r="B29" s="3">
        <f t="shared" si="0"/>
        <v>1138.635479685121</v>
      </c>
      <c r="C29" s="4">
        <f t="shared" si="1"/>
        <v>732.64712119827755</v>
      </c>
      <c r="D29" s="3">
        <v>931.58615050435128</v>
      </c>
      <c r="E29" s="1">
        <v>0</v>
      </c>
      <c r="F29" s="4">
        <f t="shared" si="2"/>
        <v>218862.55020897888</v>
      </c>
      <c r="G29" s="1"/>
      <c r="H29" s="1"/>
    </row>
    <row r="30" spans="1:8" x14ac:dyDescent="0.25">
      <c r="A30" s="1">
        <v>24</v>
      </c>
      <c r="B30" s="3">
        <f t="shared" si="0"/>
        <v>1138.635479685121</v>
      </c>
      <c r="C30" s="4">
        <f t="shared" si="1"/>
        <v>729.54183402992965</v>
      </c>
      <c r="D30" s="3">
        <v>937.02040304896036</v>
      </c>
      <c r="E30" s="1">
        <v>0</v>
      </c>
      <c r="F30" s="4">
        <f t="shared" si="2"/>
        <v>217925.52980592992</v>
      </c>
      <c r="G30" s="7">
        <f>F30</f>
        <v>217925.52980592992</v>
      </c>
      <c r="H30" s="7">
        <f>SUM(C19:C30)</f>
        <v>8955.5401778987634</v>
      </c>
    </row>
    <row r="31" spans="1:8" x14ac:dyDescent="0.25">
      <c r="A31" s="1">
        <v>25</v>
      </c>
      <c r="B31" s="3">
        <f t="shared" si="0"/>
        <v>1138.635479685121</v>
      </c>
      <c r="C31" s="4">
        <f t="shared" si="1"/>
        <v>726.41843268643311</v>
      </c>
      <c r="D31" s="3">
        <v>942.48635540007854</v>
      </c>
      <c r="E31" s="1">
        <v>0</v>
      </c>
      <c r="F31" s="4">
        <f t="shared" si="2"/>
        <v>216983.04345052983</v>
      </c>
      <c r="G31" s="1"/>
      <c r="H31" s="1"/>
    </row>
    <row r="32" spans="1:8" x14ac:dyDescent="0.25">
      <c r="A32" s="1">
        <v>26</v>
      </c>
      <c r="B32" s="3">
        <f t="shared" si="0"/>
        <v>1138.635479685121</v>
      </c>
      <c r="C32" s="4">
        <f t="shared" si="1"/>
        <v>723.27681150176613</v>
      </c>
      <c r="D32" s="3">
        <v>947.98419247324546</v>
      </c>
      <c r="E32" s="1">
        <v>0</v>
      </c>
      <c r="F32" s="4">
        <f t="shared" si="2"/>
        <v>216035.0592580566</v>
      </c>
      <c r="G32" s="1"/>
      <c r="H32" s="1"/>
    </row>
    <row r="33" spans="1:8" x14ac:dyDescent="0.25">
      <c r="A33" s="1">
        <v>27</v>
      </c>
      <c r="B33" s="3">
        <f t="shared" si="0"/>
        <v>1138.635479685121</v>
      </c>
      <c r="C33" s="4">
        <f t="shared" si="1"/>
        <v>720.11686419352202</v>
      </c>
      <c r="D33" s="3">
        <v>953.51410026267331</v>
      </c>
      <c r="E33" s="1">
        <v>0</v>
      </c>
      <c r="F33" s="4">
        <f t="shared" si="2"/>
        <v>215081.54515779394</v>
      </c>
      <c r="G33" s="1"/>
      <c r="H33" s="1"/>
    </row>
    <row r="34" spans="1:8" x14ac:dyDescent="0.25">
      <c r="A34" s="1">
        <v>28</v>
      </c>
      <c r="B34" s="3">
        <f t="shared" si="0"/>
        <v>1138.635479685121</v>
      </c>
      <c r="C34" s="4">
        <f t="shared" si="1"/>
        <v>716.93848385931312</v>
      </c>
      <c r="D34" s="3">
        <v>959.07626584753871</v>
      </c>
      <c r="E34" s="1">
        <v>0</v>
      </c>
      <c r="F34" s="4">
        <f t="shared" si="2"/>
        <v>214122.4688919464</v>
      </c>
      <c r="G34" s="1"/>
      <c r="H34" s="1"/>
    </row>
    <row r="35" spans="1:8" x14ac:dyDescent="0.25">
      <c r="A35" s="1">
        <v>29</v>
      </c>
      <c r="B35" s="3">
        <f t="shared" si="0"/>
        <v>1138.635479685121</v>
      </c>
      <c r="C35" s="4">
        <f t="shared" si="1"/>
        <v>713.74156297315471</v>
      </c>
      <c r="D35" s="3">
        <v>964.6708773983155</v>
      </c>
      <c r="E35" s="1">
        <v>0</v>
      </c>
      <c r="F35" s="4">
        <f t="shared" si="2"/>
        <v>213157.79801454808</v>
      </c>
      <c r="G35" s="1"/>
      <c r="H35" s="1"/>
    </row>
    <row r="36" spans="1:8" x14ac:dyDescent="0.25">
      <c r="A36" s="1">
        <v>30</v>
      </c>
      <c r="B36" s="3">
        <f t="shared" si="0"/>
        <v>1138.635479685121</v>
      </c>
      <c r="C36" s="4">
        <f t="shared" si="1"/>
        <v>710.52599338182699</v>
      </c>
      <c r="D36" s="3">
        <v>970.29812418313941</v>
      </c>
      <c r="E36" s="1">
        <v>0</v>
      </c>
      <c r="F36" s="4">
        <f t="shared" si="2"/>
        <v>212187.49989036494</v>
      </c>
      <c r="G36" s="1"/>
      <c r="H36" s="1"/>
    </row>
    <row r="37" spans="1:8" x14ac:dyDescent="0.25">
      <c r="A37" s="1">
        <v>31</v>
      </c>
      <c r="B37" s="3">
        <f t="shared" si="0"/>
        <v>1138.635479685121</v>
      </c>
      <c r="C37" s="4">
        <f t="shared" si="1"/>
        <v>707.29166630121654</v>
      </c>
      <c r="D37" s="3">
        <v>975.95819657420725</v>
      </c>
      <c r="E37" s="1">
        <v>0</v>
      </c>
      <c r="F37" s="4">
        <f t="shared" si="2"/>
        <v>211211.54169379073</v>
      </c>
      <c r="G37" s="1"/>
      <c r="H37" s="1"/>
    </row>
    <row r="38" spans="1:8" x14ac:dyDescent="0.25">
      <c r="A38" s="1">
        <v>32</v>
      </c>
      <c r="B38" s="3">
        <f t="shared" si="0"/>
        <v>1138.635479685121</v>
      </c>
      <c r="C38" s="4">
        <f t="shared" si="1"/>
        <v>704.0384723126358</v>
      </c>
      <c r="D38" s="3">
        <v>981.65128605422433</v>
      </c>
      <c r="E38" s="1">
        <v>0</v>
      </c>
      <c r="F38" s="4">
        <f t="shared" si="2"/>
        <v>210229.8904077365</v>
      </c>
      <c r="G38" s="1"/>
      <c r="H38" s="1"/>
    </row>
    <row r="39" spans="1:8" x14ac:dyDescent="0.25">
      <c r="A39" s="1">
        <v>33</v>
      </c>
      <c r="B39" s="3">
        <f t="shared" si="0"/>
        <v>1138.635479685121</v>
      </c>
      <c r="C39" s="4">
        <f t="shared" si="1"/>
        <v>700.76630135912171</v>
      </c>
      <c r="D39" s="3">
        <v>987.37758522287368</v>
      </c>
      <c r="E39" s="1">
        <v>0</v>
      </c>
      <c r="F39" s="4">
        <f t="shared" si="2"/>
        <v>209242.51282251361</v>
      </c>
      <c r="G39" s="1"/>
      <c r="H39" s="1"/>
    </row>
    <row r="40" spans="1:8" x14ac:dyDescent="0.25">
      <c r="A40" s="1">
        <v>34</v>
      </c>
      <c r="B40" s="3">
        <f t="shared" si="0"/>
        <v>1138.635479685121</v>
      </c>
      <c r="C40" s="4">
        <f t="shared" si="1"/>
        <v>697.47504274171206</v>
      </c>
      <c r="D40" s="3">
        <v>993.13728780333986</v>
      </c>
      <c r="E40" s="1">
        <v>0</v>
      </c>
      <c r="F40" s="4">
        <f t="shared" si="2"/>
        <v>208249.37553471027</v>
      </c>
      <c r="G40" s="1"/>
      <c r="H40" s="1"/>
    </row>
    <row r="41" spans="1:8" x14ac:dyDescent="0.25">
      <c r="A41" s="1">
        <v>35</v>
      </c>
      <c r="B41" s="3">
        <f t="shared" si="0"/>
        <v>1138.635479685121</v>
      </c>
      <c r="C41" s="4">
        <f t="shared" si="1"/>
        <v>694.1645851157009</v>
      </c>
      <c r="D41" s="3">
        <v>998.93058864885916</v>
      </c>
      <c r="E41" s="1">
        <v>0</v>
      </c>
      <c r="F41" s="4">
        <f t="shared" si="2"/>
        <v>207250.44494606141</v>
      </c>
      <c r="G41" s="1"/>
      <c r="H41" s="1"/>
    </row>
    <row r="42" spans="1:8" x14ac:dyDescent="0.25">
      <c r="A42" s="1">
        <v>36</v>
      </c>
      <c r="B42" s="3">
        <f t="shared" si="0"/>
        <v>1138.635479685121</v>
      </c>
      <c r="C42" s="4">
        <f t="shared" si="1"/>
        <v>690.83481648687143</v>
      </c>
      <c r="D42" s="3">
        <v>1004.7576837493107</v>
      </c>
      <c r="E42" s="1">
        <v>0</v>
      </c>
      <c r="F42" s="4">
        <f t="shared" si="2"/>
        <v>206245.6872623121</v>
      </c>
      <c r="G42" s="4">
        <f>F42</f>
        <v>206245.6872623121</v>
      </c>
      <c r="H42" s="4">
        <f>SUM(C31:C42)</f>
        <v>8505.5890329132744</v>
      </c>
    </row>
    <row r="43" spans="1:8" x14ac:dyDescent="0.25">
      <c r="A43" s="1">
        <v>37</v>
      </c>
      <c r="B43" s="3">
        <f t="shared" si="0"/>
        <v>1138.635479685121</v>
      </c>
      <c r="C43" s="4">
        <f t="shared" si="1"/>
        <v>687.48562420770702</v>
      </c>
      <c r="D43" s="3">
        <v>1010.6187702378484</v>
      </c>
      <c r="E43" s="1">
        <v>0</v>
      </c>
      <c r="F43" s="4">
        <f t="shared" si="2"/>
        <v>205235.06849207426</v>
      </c>
      <c r="G43" s="1"/>
      <c r="H43" s="1"/>
    </row>
    <row r="44" spans="1:8" x14ac:dyDescent="0.25">
      <c r="A44" s="1">
        <v>38</v>
      </c>
      <c r="B44" s="3">
        <f t="shared" si="0"/>
        <v>1138.635479685121</v>
      </c>
      <c r="C44" s="4">
        <f t="shared" si="1"/>
        <v>684.11689497358088</v>
      </c>
      <c r="D44" s="3">
        <v>1016.5140463975695</v>
      </c>
      <c r="E44" s="1">
        <v>0</v>
      </c>
      <c r="F44" s="4">
        <f t="shared" si="2"/>
        <v>204218.55444567668</v>
      </c>
      <c r="G44" s="1"/>
      <c r="H44" s="1"/>
    </row>
    <row r="45" spans="1:8" x14ac:dyDescent="0.25">
      <c r="A45" s="1">
        <v>39</v>
      </c>
      <c r="B45" s="3">
        <f t="shared" si="0"/>
        <v>1138.635479685121</v>
      </c>
      <c r="C45" s="4">
        <f t="shared" si="1"/>
        <v>680.72851481892235</v>
      </c>
      <c r="D45" s="3">
        <v>1022.443711668222</v>
      </c>
      <c r="E45" s="1">
        <v>0</v>
      </c>
      <c r="F45" s="4">
        <f t="shared" si="2"/>
        <v>203196.11073400846</v>
      </c>
      <c r="G45" s="1"/>
      <c r="H45" s="1"/>
    </row>
    <row r="46" spans="1:8" x14ac:dyDescent="0.25">
      <c r="A46" s="1">
        <v>40</v>
      </c>
      <c r="B46" s="3">
        <f t="shared" si="0"/>
        <v>1138.635479685121</v>
      </c>
      <c r="C46" s="4">
        <f t="shared" si="1"/>
        <v>677.32036911336161</v>
      </c>
      <c r="D46" s="3">
        <v>1028.4079666529533</v>
      </c>
      <c r="E46" s="1">
        <v>0</v>
      </c>
      <c r="F46" s="4">
        <f t="shared" si="2"/>
        <v>202167.70276735551</v>
      </c>
      <c r="G46" s="1"/>
      <c r="H46" s="1"/>
    </row>
    <row r="47" spans="1:8" x14ac:dyDescent="0.25">
      <c r="A47" s="1">
        <v>41</v>
      </c>
      <c r="B47" s="3">
        <f t="shared" si="0"/>
        <v>1138.635479685121</v>
      </c>
      <c r="C47" s="4">
        <f t="shared" si="1"/>
        <v>673.89234255785175</v>
      </c>
      <c r="D47" s="3">
        <v>1034.4070131250965</v>
      </c>
      <c r="E47" s="1">
        <v>0</v>
      </c>
      <c r="F47" s="4">
        <f t="shared" si="2"/>
        <v>201133.29575423041</v>
      </c>
      <c r="G47" s="1"/>
      <c r="H47" s="1"/>
    </row>
    <row r="48" spans="1:8" x14ac:dyDescent="0.25">
      <c r="A48" s="1">
        <v>42</v>
      </c>
      <c r="B48" s="3">
        <f t="shared" si="0"/>
        <v>1138.635479685121</v>
      </c>
      <c r="C48" s="4">
        <f t="shared" si="1"/>
        <v>670.44431918076805</v>
      </c>
      <c r="D48" s="3">
        <v>1040.4410540349927</v>
      </c>
      <c r="E48" s="1">
        <v>0</v>
      </c>
      <c r="F48" s="4">
        <f t="shared" si="2"/>
        <v>200092.85470019543</v>
      </c>
      <c r="G48" s="1"/>
      <c r="H48" s="1"/>
    </row>
    <row r="49" spans="1:8" x14ac:dyDescent="0.25">
      <c r="A49" s="1">
        <v>43</v>
      </c>
      <c r="B49" s="3">
        <f t="shared" si="0"/>
        <v>1138.635479685121</v>
      </c>
      <c r="C49" s="4">
        <f t="shared" si="1"/>
        <v>666.97618233398475</v>
      </c>
      <c r="D49" s="3">
        <v>1046.5102935168634</v>
      </c>
      <c r="E49" s="1">
        <v>0</v>
      </c>
      <c r="F49" s="4">
        <f t="shared" si="2"/>
        <v>199046.34440667857</v>
      </c>
      <c r="G49" s="1"/>
      <c r="H49" s="1"/>
    </row>
    <row r="50" spans="1:8" x14ac:dyDescent="0.25">
      <c r="A50" s="1">
        <v>44</v>
      </c>
      <c r="B50" s="3">
        <f t="shared" si="0"/>
        <v>1138.635479685121</v>
      </c>
      <c r="C50" s="4">
        <f t="shared" si="1"/>
        <v>663.48781468892867</v>
      </c>
      <c r="D50" s="3">
        <v>1052.6149368957122</v>
      </c>
      <c r="E50" s="1">
        <v>0</v>
      </c>
      <c r="F50" s="4">
        <f t="shared" si="2"/>
        <v>197993.72946978285</v>
      </c>
      <c r="G50" s="1"/>
      <c r="H50" s="1"/>
    </row>
    <row r="51" spans="1:8" x14ac:dyDescent="0.25">
      <c r="A51" s="1">
        <v>45</v>
      </c>
      <c r="B51" s="3">
        <f t="shared" si="0"/>
        <v>1138.635479685121</v>
      </c>
      <c r="C51" s="4">
        <f t="shared" si="1"/>
        <v>659.97909823260954</v>
      </c>
      <c r="D51" s="3">
        <v>1058.7551906942699</v>
      </c>
      <c r="E51" s="1">
        <v>0</v>
      </c>
      <c r="F51" s="4">
        <f t="shared" si="2"/>
        <v>196934.97427908858</v>
      </c>
      <c r="G51" s="1"/>
      <c r="H51" s="1"/>
    </row>
    <row r="52" spans="1:8" x14ac:dyDescent="0.25">
      <c r="A52" s="1">
        <v>46</v>
      </c>
      <c r="B52" s="3">
        <f t="shared" si="0"/>
        <v>1138.635479685121</v>
      </c>
      <c r="C52" s="4">
        <f t="shared" si="1"/>
        <v>656.44991426362867</v>
      </c>
      <c r="D52" s="3">
        <v>1064.9312626399869</v>
      </c>
      <c r="E52" s="1">
        <v>0</v>
      </c>
      <c r="F52" s="4">
        <f t="shared" si="2"/>
        <v>195870.04301644859</v>
      </c>
      <c r="G52" s="1"/>
      <c r="H52" s="1"/>
    </row>
    <row r="53" spans="1:8" x14ac:dyDescent="0.25">
      <c r="A53" s="1">
        <v>47</v>
      </c>
      <c r="B53" s="3">
        <f t="shared" si="0"/>
        <v>1138.635479685121</v>
      </c>
      <c r="C53" s="4">
        <f t="shared" si="1"/>
        <v>652.90014338816195</v>
      </c>
      <c r="D53" s="3">
        <v>1071.1433616720524</v>
      </c>
      <c r="E53" s="1">
        <v>0</v>
      </c>
      <c r="F53" s="4">
        <f t="shared" si="2"/>
        <v>194798.89965477653</v>
      </c>
      <c r="G53" s="1"/>
      <c r="H53" s="1"/>
    </row>
    <row r="54" spans="1:8" x14ac:dyDescent="0.25">
      <c r="A54" s="1">
        <v>48</v>
      </c>
      <c r="B54" s="3">
        <f t="shared" si="0"/>
        <v>1138.635479685121</v>
      </c>
      <c r="C54" s="4">
        <f t="shared" si="1"/>
        <v>649.32966551592176</v>
      </c>
      <c r="D54" s="3">
        <v>1077.3916979484729</v>
      </c>
      <c r="E54" s="1">
        <v>0</v>
      </c>
      <c r="F54" s="4">
        <f t="shared" si="2"/>
        <v>193721.50795682805</v>
      </c>
      <c r="G54" s="4">
        <f>F54</f>
        <v>193721.50795682805</v>
      </c>
      <c r="H54" s="4">
        <f>SUM(C43:C54)</f>
        <v>8023.1108832754271</v>
      </c>
    </row>
    <row r="55" spans="1:8" x14ac:dyDescent="0.25">
      <c r="A55" s="1">
        <v>49</v>
      </c>
      <c r="B55" s="3">
        <f t="shared" si="0"/>
        <v>1138.635479685121</v>
      </c>
      <c r="C55" s="4">
        <f t="shared" si="1"/>
        <v>645.73835985609355</v>
      </c>
      <c r="D55" s="3">
        <v>1083.6764828531723</v>
      </c>
      <c r="E55" s="1">
        <v>0</v>
      </c>
      <c r="F55" s="4">
        <f t="shared" si="2"/>
        <v>192637.83147397489</v>
      </c>
      <c r="G55" s="1"/>
      <c r="H55" s="1"/>
    </row>
    <row r="56" spans="1:8" x14ac:dyDescent="0.25">
      <c r="A56" s="1">
        <v>50</v>
      </c>
      <c r="B56" s="3">
        <f t="shared" si="0"/>
        <v>1138.635479685121</v>
      </c>
      <c r="C56" s="4">
        <f t="shared" si="1"/>
        <v>642.12610491324972</v>
      </c>
      <c r="D56" s="3">
        <v>1089.9979290031488</v>
      </c>
      <c r="E56" s="1">
        <v>0</v>
      </c>
      <c r="F56" s="4">
        <f t="shared" si="2"/>
        <v>191547.83354497174</v>
      </c>
      <c r="G56" s="1"/>
      <c r="H56" s="1"/>
    </row>
    <row r="57" spans="1:8" x14ac:dyDescent="0.25">
      <c r="A57" s="1">
        <v>51</v>
      </c>
      <c r="B57" s="3">
        <f t="shared" si="0"/>
        <v>1138.635479685121</v>
      </c>
      <c r="C57" s="4">
        <f t="shared" si="1"/>
        <v>638.49277848323914</v>
      </c>
      <c r="D57" s="3">
        <v>1096.3562502556679</v>
      </c>
      <c r="E57" s="1">
        <v>0</v>
      </c>
      <c r="F57" s="4">
        <f t="shared" si="2"/>
        <v>190451.47729471608</v>
      </c>
      <c r="G57" s="1"/>
      <c r="H57" s="1"/>
    </row>
    <row r="58" spans="1:8" x14ac:dyDescent="0.25">
      <c r="A58" s="1">
        <v>52</v>
      </c>
      <c r="B58" s="3">
        <f t="shared" si="0"/>
        <v>1138.635479685121</v>
      </c>
      <c r="C58" s="4">
        <f t="shared" si="1"/>
        <v>634.83825764905362</v>
      </c>
      <c r="D58" s="3">
        <v>1102.7516617154924</v>
      </c>
      <c r="E58" s="1">
        <v>0</v>
      </c>
      <c r="F58" s="4">
        <f t="shared" si="2"/>
        <v>189348.72563300058</v>
      </c>
      <c r="G58" s="1"/>
      <c r="H58" s="1"/>
    </row>
    <row r="59" spans="1:8" x14ac:dyDescent="0.25">
      <c r="A59" s="1">
        <v>53</v>
      </c>
      <c r="B59" s="3">
        <f t="shared" si="0"/>
        <v>1138.635479685121</v>
      </c>
      <c r="C59" s="4">
        <f t="shared" si="1"/>
        <v>631.16241877666857</v>
      </c>
      <c r="D59" s="3">
        <v>1109.1843797421661</v>
      </c>
      <c r="E59" s="1">
        <v>0</v>
      </c>
      <c r="F59" s="4">
        <f t="shared" si="2"/>
        <v>188239.54125325842</v>
      </c>
      <c r="G59" s="1"/>
      <c r="H59" s="1"/>
    </row>
    <row r="60" spans="1:8" x14ac:dyDescent="0.25">
      <c r="A60" s="1">
        <v>54</v>
      </c>
      <c r="B60" s="3">
        <f t="shared" si="0"/>
        <v>1138.635479685121</v>
      </c>
      <c r="C60" s="4">
        <f t="shared" si="1"/>
        <v>627.46513751086138</v>
      </c>
      <c r="D60" s="3">
        <v>1115.6546219573283</v>
      </c>
      <c r="E60" s="1">
        <v>0</v>
      </c>
      <c r="F60" s="4">
        <f t="shared" si="2"/>
        <v>187123.88663130108</v>
      </c>
      <c r="G60" s="1"/>
      <c r="H60" s="1"/>
    </row>
    <row r="61" spans="1:8" x14ac:dyDescent="0.25">
      <c r="A61" s="1">
        <v>55</v>
      </c>
      <c r="B61" s="3">
        <f t="shared" si="0"/>
        <v>1138.635479685121</v>
      </c>
      <c r="C61" s="4">
        <f t="shared" si="1"/>
        <v>623.74628877100361</v>
      </c>
      <c r="D61" s="3">
        <v>1122.1626072520794</v>
      </c>
      <c r="E61" s="1">
        <v>0</v>
      </c>
      <c r="F61" s="4">
        <f t="shared" si="2"/>
        <v>186001.72402404901</v>
      </c>
      <c r="G61" s="1"/>
      <c r="H61" s="1"/>
    </row>
    <row r="62" spans="1:8" x14ac:dyDescent="0.25">
      <c r="A62" s="1">
        <v>56</v>
      </c>
      <c r="B62" s="3">
        <f t="shared" si="0"/>
        <v>1138.635479685121</v>
      </c>
      <c r="C62" s="4">
        <f t="shared" si="1"/>
        <v>620.00574674683003</v>
      </c>
      <c r="D62" s="3">
        <v>1128.7085557943838</v>
      </c>
      <c r="E62" s="1">
        <v>0</v>
      </c>
      <c r="F62" s="4">
        <f t="shared" si="2"/>
        <v>184873.01546825463</v>
      </c>
      <c r="G62" s="1"/>
      <c r="H62" s="1"/>
    </row>
    <row r="63" spans="1:8" x14ac:dyDescent="0.25">
      <c r="A63" s="1">
        <v>57</v>
      </c>
      <c r="B63" s="3">
        <f t="shared" si="0"/>
        <v>1138.635479685121</v>
      </c>
      <c r="C63" s="4">
        <f t="shared" si="1"/>
        <v>616.2433848941821</v>
      </c>
      <c r="D63" s="3">
        <v>1135.2926890365179</v>
      </c>
      <c r="E63" s="1">
        <v>0</v>
      </c>
      <c r="F63" s="4">
        <f t="shared" si="2"/>
        <v>183737.72277921811</v>
      </c>
      <c r="G63" s="1"/>
      <c r="H63" s="1"/>
    </row>
    <row r="64" spans="1:8" x14ac:dyDescent="0.25">
      <c r="A64" s="1">
        <v>58</v>
      </c>
      <c r="B64" s="3">
        <f t="shared" si="0"/>
        <v>1138.635479685121</v>
      </c>
      <c r="C64" s="4">
        <f t="shared" si="1"/>
        <v>612.45907593072707</v>
      </c>
      <c r="D64" s="3">
        <v>1141.9152297225637</v>
      </c>
      <c r="E64" s="1">
        <v>0</v>
      </c>
      <c r="F64" s="4">
        <f t="shared" si="2"/>
        <v>182595.80754949554</v>
      </c>
      <c r="G64" s="1"/>
      <c r="H64" s="1"/>
    </row>
    <row r="65" spans="1:8" x14ac:dyDescent="0.25">
      <c r="A65" s="1">
        <v>59</v>
      </c>
      <c r="B65" s="3">
        <f t="shared" si="0"/>
        <v>1138.635479685121</v>
      </c>
      <c r="C65" s="4">
        <f t="shared" si="1"/>
        <v>608.65269183165185</v>
      </c>
      <c r="D65" s="3">
        <v>1148.5764018959453</v>
      </c>
      <c r="E65" s="1">
        <v>0</v>
      </c>
      <c r="F65" s="4">
        <f t="shared" si="2"/>
        <v>181447.23114759958</v>
      </c>
      <c r="G65" s="1"/>
      <c r="H65" s="1"/>
    </row>
    <row r="66" spans="1:8" x14ac:dyDescent="0.25">
      <c r="A66" s="1">
        <v>60</v>
      </c>
      <c r="B66" s="3">
        <f t="shared" si="0"/>
        <v>1138.635479685121</v>
      </c>
      <c r="C66" s="4">
        <f t="shared" si="1"/>
        <v>604.82410382533203</v>
      </c>
      <c r="D66" s="3">
        <v>1155.2764309070053</v>
      </c>
      <c r="E66" s="1">
        <v>0</v>
      </c>
      <c r="F66" s="4">
        <f t="shared" si="2"/>
        <v>180291.95471669256</v>
      </c>
      <c r="G66" s="4">
        <f>F66</f>
        <v>180291.95471669256</v>
      </c>
      <c r="H66" s="4">
        <f>SUM(C55:C66)</f>
        <v>7505.7543491888928</v>
      </c>
    </row>
    <row r="67" spans="1:8" x14ac:dyDescent="0.25">
      <c r="A67" s="1">
        <v>61</v>
      </c>
      <c r="B67" s="3">
        <f t="shared" si="0"/>
        <v>1138.635479685121</v>
      </c>
      <c r="C67" s="4">
        <f t="shared" si="1"/>
        <v>600.97318238897526</v>
      </c>
      <c r="D67" s="3">
        <v>1162.015543420629</v>
      </c>
      <c r="E67" s="1">
        <v>0</v>
      </c>
      <c r="F67" s="4">
        <f t="shared" si="2"/>
        <v>179129.93917327194</v>
      </c>
      <c r="G67" s="1"/>
      <c r="H67" s="1"/>
    </row>
    <row r="68" spans="1:8" x14ac:dyDescent="0.25">
      <c r="A68" s="1">
        <v>62</v>
      </c>
      <c r="B68" s="3">
        <f t="shared" si="0"/>
        <v>1138.635479685121</v>
      </c>
      <c r="C68" s="4">
        <f t="shared" si="1"/>
        <v>597.09979724423988</v>
      </c>
      <c r="D68" s="3">
        <v>1168.793967423916</v>
      </c>
      <c r="E68" s="1">
        <v>0</v>
      </c>
      <c r="F68" s="4">
        <f t="shared" si="2"/>
        <v>177961.14520584804</v>
      </c>
      <c r="G68" s="1"/>
      <c r="H68" s="1"/>
    </row>
    <row r="69" spans="1:8" x14ac:dyDescent="0.25">
      <c r="A69" s="1">
        <v>63</v>
      </c>
      <c r="B69" s="3">
        <f t="shared" si="0"/>
        <v>1138.635479685121</v>
      </c>
      <c r="C69" s="4">
        <f t="shared" si="1"/>
        <v>593.20381735282683</v>
      </c>
      <c r="D69" s="3">
        <v>1175.6119322338891</v>
      </c>
      <c r="E69" s="1">
        <v>0</v>
      </c>
      <c r="F69" s="4">
        <f t="shared" si="2"/>
        <v>176785.53327361416</v>
      </c>
      <c r="G69" s="1"/>
      <c r="H69" s="1"/>
    </row>
    <row r="70" spans="1:8" x14ac:dyDescent="0.25">
      <c r="A70" s="1">
        <v>64</v>
      </c>
      <c r="B70" s="3">
        <f t="shared" si="0"/>
        <v>1138.635479685121</v>
      </c>
      <c r="C70" s="4">
        <f t="shared" si="1"/>
        <v>589.28511091204723</v>
      </c>
      <c r="D70" s="3">
        <v>1182.469668505254</v>
      </c>
      <c r="E70" s="1">
        <v>0</v>
      </c>
      <c r="F70" s="4">
        <f t="shared" si="2"/>
        <v>175603.06360510891</v>
      </c>
      <c r="G70" s="1"/>
      <c r="H70" s="1"/>
    </row>
    <row r="71" spans="1:8" x14ac:dyDescent="0.25">
      <c r="A71" s="1">
        <v>65</v>
      </c>
      <c r="B71" s="3">
        <f t="shared" si="0"/>
        <v>1138.635479685121</v>
      </c>
      <c r="C71" s="4">
        <f t="shared" si="1"/>
        <v>585.34354535036312</v>
      </c>
      <c r="D71" s="3">
        <v>1189.3674082382013</v>
      </c>
      <c r="E71" s="1">
        <v>0</v>
      </c>
      <c r="F71" s="4">
        <f t="shared" si="2"/>
        <v>174413.6961968707</v>
      </c>
      <c r="G71" s="1"/>
      <c r="H71" s="1"/>
    </row>
    <row r="72" spans="1:8" x14ac:dyDescent="0.25">
      <c r="A72" s="1">
        <v>66</v>
      </c>
      <c r="B72" s="3">
        <f t="shared" ref="B72:B135" si="3">PMT($C$2/12,$C$3,-$C$1)</f>
        <v>1138.635479685121</v>
      </c>
      <c r="C72" s="4">
        <f t="shared" ref="C72:C135" si="4">F71*($C$2/12)</f>
        <v>581.37898732290239</v>
      </c>
      <c r="D72" s="3">
        <v>1196.3053847862575</v>
      </c>
      <c r="E72" s="1">
        <v>0</v>
      </c>
      <c r="F72" s="4">
        <f t="shared" ref="F72:F135" si="5">F71-D72</f>
        <v>173217.39081208446</v>
      </c>
      <c r="G72" s="1"/>
      <c r="H72" s="1"/>
    </row>
    <row r="73" spans="1:8" x14ac:dyDescent="0.25">
      <c r="A73" s="1">
        <v>67</v>
      </c>
      <c r="B73" s="3">
        <f t="shared" si="3"/>
        <v>1138.635479685121</v>
      </c>
      <c r="C73" s="4">
        <f t="shared" si="4"/>
        <v>577.39130270694818</v>
      </c>
      <c r="D73" s="3">
        <v>1203.2838328641774</v>
      </c>
      <c r="E73" s="1">
        <v>0</v>
      </c>
      <c r="F73" s="4">
        <f t="shared" si="5"/>
        <v>172014.10697922029</v>
      </c>
      <c r="G73" s="1"/>
      <c r="H73" s="1"/>
    </row>
    <row r="74" spans="1:8" x14ac:dyDescent="0.25">
      <c r="A74" s="1">
        <v>68</v>
      </c>
      <c r="B74" s="3">
        <f t="shared" si="3"/>
        <v>1138.635479685121</v>
      </c>
      <c r="C74" s="4">
        <f t="shared" si="4"/>
        <v>573.38035659740103</v>
      </c>
      <c r="D74" s="3">
        <v>1210.3029885558844</v>
      </c>
      <c r="E74" s="1">
        <v>0</v>
      </c>
      <c r="F74" s="4">
        <f t="shared" si="5"/>
        <v>170803.8039906644</v>
      </c>
      <c r="G74" s="1"/>
      <c r="H74" s="1"/>
    </row>
    <row r="75" spans="1:8" x14ac:dyDescent="0.25">
      <c r="A75" s="1">
        <v>69</v>
      </c>
      <c r="B75" s="3">
        <f t="shared" si="3"/>
        <v>1138.635479685121</v>
      </c>
      <c r="C75" s="4">
        <f t="shared" si="4"/>
        <v>569.34601330221471</v>
      </c>
      <c r="D75" s="3">
        <v>1217.3630893224608</v>
      </c>
      <c r="E75" s="1">
        <v>0</v>
      </c>
      <c r="F75" s="4">
        <f t="shared" si="5"/>
        <v>169586.44090134194</v>
      </c>
      <c r="G75" s="1"/>
      <c r="H75" s="1"/>
    </row>
    <row r="76" spans="1:8" x14ac:dyDescent="0.25">
      <c r="A76" s="1">
        <v>70</v>
      </c>
      <c r="B76" s="3">
        <f t="shared" si="3"/>
        <v>1138.635479685121</v>
      </c>
      <c r="C76" s="4">
        <f t="shared" si="4"/>
        <v>565.28813633780646</v>
      </c>
      <c r="D76" s="3">
        <v>1224.4643740101747</v>
      </c>
      <c r="E76" s="1">
        <v>0</v>
      </c>
      <c r="F76" s="4">
        <f t="shared" si="5"/>
        <v>168361.97652733175</v>
      </c>
      <c r="G76" s="1"/>
      <c r="H76" s="1"/>
    </row>
    <row r="77" spans="1:8" x14ac:dyDescent="0.25">
      <c r="A77" s="1">
        <v>71</v>
      </c>
      <c r="B77" s="3">
        <f t="shared" si="3"/>
        <v>1138.635479685121</v>
      </c>
      <c r="C77" s="4">
        <f t="shared" si="4"/>
        <v>561.20658842443925</v>
      </c>
      <c r="D77" s="3">
        <v>1231.607082858568</v>
      </c>
      <c r="E77" s="1">
        <v>0</v>
      </c>
      <c r="F77" s="4">
        <f t="shared" si="5"/>
        <v>167130.36944447318</v>
      </c>
      <c r="G77" s="1"/>
      <c r="H77" s="1"/>
    </row>
    <row r="78" spans="1:8" x14ac:dyDescent="0.25">
      <c r="A78" s="1">
        <v>72</v>
      </c>
      <c r="B78" s="3">
        <f t="shared" si="3"/>
        <v>1138.635479685121</v>
      </c>
      <c r="C78" s="4">
        <f t="shared" si="4"/>
        <v>557.10123148157732</v>
      </c>
      <c r="D78" s="3">
        <v>1238.7914575085761</v>
      </c>
      <c r="E78" s="1">
        <v>0</v>
      </c>
      <c r="F78" s="4">
        <f t="shared" si="5"/>
        <v>165891.57798696461</v>
      </c>
      <c r="G78" s="4">
        <f>F78</f>
        <v>165891.57798696461</v>
      </c>
      <c r="H78" s="4">
        <f>SUM(C67:C78)</f>
        <v>6950.9980694217411</v>
      </c>
    </row>
    <row r="79" spans="1:8" x14ac:dyDescent="0.25">
      <c r="A79" s="1">
        <v>73</v>
      </c>
      <c r="B79" s="3">
        <f t="shared" si="3"/>
        <v>1138.635479685121</v>
      </c>
      <c r="C79" s="4">
        <f t="shared" si="4"/>
        <v>552.97192662321538</v>
      </c>
      <c r="D79" s="3">
        <v>1246.0177410107099</v>
      </c>
      <c r="E79" s="1">
        <v>0</v>
      </c>
      <c r="F79" s="4">
        <f t="shared" si="5"/>
        <v>164645.56024595391</v>
      </c>
      <c r="G79" s="1"/>
      <c r="H79" s="1"/>
    </row>
    <row r="80" spans="1:8" x14ac:dyDescent="0.25">
      <c r="A80" s="1">
        <v>74</v>
      </c>
      <c r="B80" s="3">
        <f t="shared" si="3"/>
        <v>1138.635479685121</v>
      </c>
      <c r="C80" s="4">
        <f t="shared" si="4"/>
        <v>548.81853415317971</v>
      </c>
      <c r="D80" s="3">
        <v>1253.2861778332726</v>
      </c>
      <c r="E80" s="1">
        <v>0</v>
      </c>
      <c r="F80" s="4">
        <f t="shared" si="5"/>
        <v>163392.27406812063</v>
      </c>
      <c r="G80" s="1"/>
      <c r="H80" s="1"/>
    </row>
    <row r="81" spans="1:8" x14ac:dyDescent="0.25">
      <c r="A81" s="1">
        <v>75</v>
      </c>
      <c r="B81" s="3">
        <f t="shared" si="3"/>
        <v>1138.635479685121</v>
      </c>
      <c r="C81" s="4">
        <f t="shared" si="4"/>
        <v>544.64091356040217</v>
      </c>
      <c r="D81" s="3">
        <v>1260.5970138706325</v>
      </c>
      <c r="E81" s="1">
        <v>0</v>
      </c>
      <c r="F81" s="4">
        <f t="shared" si="5"/>
        <v>162131.67705425</v>
      </c>
    </row>
    <row r="82" spans="1:8" x14ac:dyDescent="0.25">
      <c r="A82" s="1">
        <v>76</v>
      </c>
      <c r="B82" s="3">
        <f t="shared" si="3"/>
        <v>1138.635479685121</v>
      </c>
      <c r="C82" s="4">
        <f t="shared" si="4"/>
        <v>540.43892351416673</v>
      </c>
      <c r="D82" s="3">
        <v>1267.9504964515445</v>
      </c>
      <c r="E82" s="1">
        <v>0</v>
      </c>
      <c r="F82" s="4">
        <f t="shared" si="5"/>
        <v>160863.72655779845</v>
      </c>
    </row>
    <row r="83" spans="1:8" x14ac:dyDescent="0.25">
      <c r="A83" s="1">
        <v>77</v>
      </c>
      <c r="B83" s="3">
        <f t="shared" si="3"/>
        <v>1138.635479685121</v>
      </c>
      <c r="C83" s="4">
        <f t="shared" si="4"/>
        <v>536.21242185932817</v>
      </c>
      <c r="D83" s="3">
        <v>1275.3468743475123</v>
      </c>
      <c r="E83" s="1">
        <v>0</v>
      </c>
      <c r="F83" s="4">
        <f t="shared" si="5"/>
        <v>159588.37968345094</v>
      </c>
    </row>
    <row r="84" spans="1:8" x14ac:dyDescent="0.25">
      <c r="A84" s="1">
        <v>78</v>
      </c>
      <c r="B84" s="3">
        <f t="shared" si="3"/>
        <v>1138.635479685121</v>
      </c>
      <c r="C84" s="4">
        <f t="shared" si="4"/>
        <v>531.96126561150322</v>
      </c>
      <c r="D84" s="3">
        <v>1282.7863977812058</v>
      </c>
      <c r="E84" s="1">
        <v>0</v>
      </c>
      <c r="F84" s="4">
        <f t="shared" si="5"/>
        <v>158305.59328566975</v>
      </c>
    </row>
    <row r="85" spans="1:8" x14ac:dyDescent="0.25">
      <c r="A85" s="1">
        <v>79</v>
      </c>
      <c r="B85" s="3">
        <f t="shared" si="3"/>
        <v>1138.635479685121</v>
      </c>
      <c r="C85" s="4">
        <f t="shared" si="4"/>
        <v>527.6853109522325</v>
      </c>
      <c r="D85" s="3">
        <v>1290.26931843493</v>
      </c>
      <c r="E85" s="1">
        <v>0</v>
      </c>
      <c r="F85" s="4">
        <f t="shared" si="5"/>
        <v>157015.32396723481</v>
      </c>
    </row>
    <row r="86" spans="1:8" x14ac:dyDescent="0.25">
      <c r="A86" s="1">
        <v>80</v>
      </c>
      <c r="B86" s="3">
        <f t="shared" si="3"/>
        <v>1138.635479685121</v>
      </c>
      <c r="C86" s="4">
        <f t="shared" si="4"/>
        <v>523.38441322411609</v>
      </c>
      <c r="D86" s="3">
        <v>1297.7958894591329</v>
      </c>
      <c r="E86" s="1">
        <v>0</v>
      </c>
      <c r="F86" s="4">
        <f t="shared" si="5"/>
        <v>155717.52807777567</v>
      </c>
    </row>
    <row r="87" spans="1:8" x14ac:dyDescent="0.25">
      <c r="A87" s="1">
        <v>81</v>
      </c>
      <c r="B87" s="3">
        <f t="shared" si="3"/>
        <v>1138.635479685121</v>
      </c>
      <c r="C87" s="4">
        <f t="shared" si="4"/>
        <v>519.05842692591898</v>
      </c>
      <c r="D87" s="3">
        <v>1305.3663654809779</v>
      </c>
      <c r="E87" s="1">
        <v>0</v>
      </c>
      <c r="F87" s="4">
        <f t="shared" si="5"/>
        <v>154412.16171229471</v>
      </c>
    </row>
    <row r="88" spans="1:8" x14ac:dyDescent="0.25">
      <c r="A88" s="1">
        <v>82</v>
      </c>
      <c r="B88" s="3">
        <f t="shared" si="3"/>
        <v>1138.635479685121</v>
      </c>
      <c r="C88" s="4">
        <f t="shared" si="4"/>
        <v>514.70720570764911</v>
      </c>
      <c r="D88" s="3">
        <v>1312.9810026129499</v>
      </c>
      <c r="E88" s="1">
        <v>0</v>
      </c>
      <c r="F88" s="4">
        <f t="shared" si="5"/>
        <v>153099.18070968176</v>
      </c>
    </row>
    <row r="89" spans="1:8" x14ac:dyDescent="0.25">
      <c r="A89" s="1">
        <v>83</v>
      </c>
      <c r="B89" s="3">
        <f t="shared" si="3"/>
        <v>1138.635479685121</v>
      </c>
      <c r="C89" s="4">
        <f t="shared" si="4"/>
        <v>510.3306023656059</v>
      </c>
      <c r="D89" s="3">
        <v>1320.6400584615258</v>
      </c>
      <c r="E89" s="1">
        <v>0</v>
      </c>
      <c r="F89" s="4">
        <f t="shared" si="5"/>
        <v>151778.54065122025</v>
      </c>
    </row>
    <row r="90" spans="1:8" x14ac:dyDescent="0.25">
      <c r="A90" s="1">
        <v>84</v>
      </c>
      <c r="B90" s="3">
        <f t="shared" si="3"/>
        <v>1138.635479685121</v>
      </c>
      <c r="C90" s="4">
        <f t="shared" si="4"/>
        <v>505.92846883740083</v>
      </c>
      <c r="D90" s="3">
        <v>1328.3437921358845</v>
      </c>
      <c r="E90" s="1">
        <v>0</v>
      </c>
      <c r="F90" s="4">
        <f t="shared" si="5"/>
        <v>150450.19685908436</v>
      </c>
      <c r="G90" s="4">
        <f>F90</f>
        <v>150450.19685908436</v>
      </c>
      <c r="H90" s="4">
        <f>SUM(C79:C90)</f>
        <v>6356.1384133347192</v>
      </c>
    </row>
    <row r="91" spans="1:8" x14ac:dyDescent="0.25">
      <c r="A91" s="1">
        <v>85</v>
      </c>
      <c r="B91" s="3">
        <f t="shared" si="3"/>
        <v>1138.635479685121</v>
      </c>
      <c r="C91" s="4">
        <f t="shared" si="4"/>
        <v>501.50065619694789</v>
      </c>
      <c r="D91" s="3">
        <v>1336.092464256677</v>
      </c>
      <c r="E91" s="1">
        <v>0</v>
      </c>
      <c r="F91" s="4">
        <f t="shared" si="5"/>
        <v>149114.10439482768</v>
      </c>
    </row>
    <row r="92" spans="1:8" x14ac:dyDescent="0.25">
      <c r="A92" s="1">
        <v>86</v>
      </c>
      <c r="B92" s="3">
        <f t="shared" si="3"/>
        <v>1138.635479685121</v>
      </c>
      <c r="C92" s="4">
        <f t="shared" si="4"/>
        <v>497.04701464942565</v>
      </c>
      <c r="D92" s="3">
        <v>1343.8863369648416</v>
      </c>
      <c r="E92" s="1">
        <v>0</v>
      </c>
      <c r="F92" s="4">
        <f t="shared" si="5"/>
        <v>147770.21805786283</v>
      </c>
    </row>
    <row r="93" spans="1:8" x14ac:dyDescent="0.25">
      <c r="A93" s="1">
        <v>87</v>
      </c>
      <c r="B93" s="3">
        <f t="shared" si="3"/>
        <v>1138.635479685121</v>
      </c>
      <c r="C93" s="4">
        <f t="shared" si="4"/>
        <v>492.56739352620946</v>
      </c>
      <c r="D93" s="3">
        <v>1351.7256739304694</v>
      </c>
      <c r="E93" s="1">
        <v>0</v>
      </c>
      <c r="F93" s="4">
        <f t="shared" si="5"/>
        <v>146418.49238393237</v>
      </c>
    </row>
    <row r="94" spans="1:8" x14ac:dyDescent="0.25">
      <c r="A94" s="1">
        <v>88</v>
      </c>
      <c r="B94" s="3">
        <f t="shared" si="3"/>
        <v>1138.635479685121</v>
      </c>
      <c r="C94" s="4">
        <f t="shared" si="4"/>
        <v>488.06164127977462</v>
      </c>
      <c r="D94" s="3">
        <v>1359.6107403617307</v>
      </c>
      <c r="E94" s="1">
        <v>0</v>
      </c>
      <c r="F94" s="4">
        <f t="shared" si="5"/>
        <v>145058.88164357064</v>
      </c>
    </row>
    <row r="95" spans="1:8" x14ac:dyDescent="0.25">
      <c r="A95" s="1">
        <v>89</v>
      </c>
      <c r="B95" s="3">
        <f t="shared" si="3"/>
        <v>1138.635479685121</v>
      </c>
      <c r="C95" s="4">
        <f t="shared" si="4"/>
        <v>483.52960547856884</v>
      </c>
      <c r="D95" s="3">
        <v>1367.5418030138408</v>
      </c>
      <c r="E95" s="1">
        <v>0</v>
      </c>
      <c r="F95" s="4">
        <f t="shared" si="5"/>
        <v>143691.33984055679</v>
      </c>
    </row>
    <row r="96" spans="1:8" x14ac:dyDescent="0.25">
      <c r="A96" s="1">
        <v>90</v>
      </c>
      <c r="B96" s="3">
        <f t="shared" si="3"/>
        <v>1138.635479685121</v>
      </c>
      <c r="C96" s="4">
        <f t="shared" si="4"/>
        <v>478.97113280185596</v>
      </c>
      <c r="D96" s="3">
        <v>1375.5191301980885</v>
      </c>
      <c r="E96" s="1">
        <v>0</v>
      </c>
      <c r="F96" s="4">
        <f t="shared" si="5"/>
        <v>142315.8207103587</v>
      </c>
    </row>
    <row r="97" spans="1:8" x14ac:dyDescent="0.25">
      <c r="A97" s="1">
        <v>91</v>
      </c>
      <c r="B97" s="3">
        <f t="shared" si="3"/>
        <v>1138.635479685121</v>
      </c>
      <c r="C97" s="4">
        <f t="shared" si="4"/>
        <v>474.38606903452904</v>
      </c>
      <c r="D97" s="3">
        <v>1383.5429917909105</v>
      </c>
      <c r="E97" s="1">
        <v>0</v>
      </c>
      <c r="F97" s="4">
        <f t="shared" si="5"/>
        <v>140932.27771856778</v>
      </c>
    </row>
    <row r="98" spans="1:8" x14ac:dyDescent="0.25">
      <c r="A98" s="1">
        <v>92</v>
      </c>
      <c r="B98" s="3">
        <f t="shared" si="3"/>
        <v>1138.635479685121</v>
      </c>
      <c r="C98" s="4">
        <f t="shared" si="4"/>
        <v>469.77425906189262</v>
      </c>
      <c r="D98" s="3">
        <v>1391.6136592430239</v>
      </c>
      <c r="E98" s="1">
        <v>0</v>
      </c>
      <c r="F98" s="4">
        <f t="shared" si="5"/>
        <v>139540.66405932477</v>
      </c>
    </row>
    <row r="99" spans="1:8" x14ac:dyDescent="0.25">
      <c r="A99" s="1">
        <v>93</v>
      </c>
      <c r="B99" s="3">
        <f t="shared" si="3"/>
        <v>1138.635479685121</v>
      </c>
      <c r="C99" s="4">
        <f t="shared" si="4"/>
        <v>465.13554686441591</v>
      </c>
      <c r="D99" s="3">
        <v>1399.7314055886081</v>
      </c>
      <c r="E99" s="1">
        <v>0</v>
      </c>
      <c r="F99" s="4">
        <f t="shared" si="5"/>
        <v>138140.93265373618</v>
      </c>
    </row>
    <row r="100" spans="1:8" x14ac:dyDescent="0.25">
      <c r="A100" s="1">
        <v>94</v>
      </c>
      <c r="B100" s="3">
        <f t="shared" si="3"/>
        <v>1138.635479685121</v>
      </c>
      <c r="C100" s="4">
        <f t="shared" si="4"/>
        <v>460.46977551245396</v>
      </c>
      <c r="D100" s="3">
        <v>1407.8965054545415</v>
      </c>
      <c r="E100" s="1">
        <v>0</v>
      </c>
      <c r="F100" s="4">
        <f t="shared" si="5"/>
        <v>136733.03614828162</v>
      </c>
    </row>
    <row r="101" spans="1:8" x14ac:dyDescent="0.25">
      <c r="A101" s="1">
        <v>95</v>
      </c>
      <c r="B101" s="3">
        <f t="shared" si="3"/>
        <v>1138.635479685121</v>
      </c>
      <c r="C101" s="4">
        <f t="shared" si="4"/>
        <v>455.7767871609388</v>
      </c>
      <c r="D101" s="3">
        <v>1416.1092350696927</v>
      </c>
      <c r="E101" s="1">
        <v>0</v>
      </c>
      <c r="F101" s="4">
        <f t="shared" si="5"/>
        <v>135316.92691321194</v>
      </c>
    </row>
    <row r="102" spans="1:8" x14ac:dyDescent="0.25">
      <c r="A102" s="1">
        <v>96</v>
      </c>
      <c r="B102" s="3">
        <f t="shared" si="3"/>
        <v>1138.635479685121</v>
      </c>
      <c r="C102" s="4">
        <f t="shared" si="4"/>
        <v>451.05642304403983</v>
      </c>
      <c r="D102" s="3">
        <v>1424.3698722742656</v>
      </c>
      <c r="E102" s="1">
        <v>0</v>
      </c>
      <c r="F102" s="4">
        <f t="shared" si="5"/>
        <v>133892.55704093768</v>
      </c>
      <c r="G102" s="4">
        <f>F102</f>
        <v>133892.55704093768</v>
      </c>
      <c r="H102" s="4">
        <f>SUM(C91:C102)</f>
        <v>5718.2763046110531</v>
      </c>
    </row>
    <row r="103" spans="1:8" x14ac:dyDescent="0.25">
      <c r="A103" s="1">
        <v>97</v>
      </c>
      <c r="B103" s="3">
        <f t="shared" si="3"/>
        <v>1138.635479685121</v>
      </c>
      <c r="C103" s="4">
        <f t="shared" si="4"/>
        <v>446.30852346979231</v>
      </c>
      <c r="D103" s="3">
        <v>1432.6786965291994</v>
      </c>
      <c r="E103" s="1">
        <v>0</v>
      </c>
      <c r="F103" s="4">
        <f t="shared" si="5"/>
        <v>132459.87834440847</v>
      </c>
    </row>
    <row r="104" spans="1:8" x14ac:dyDescent="0.25">
      <c r="A104" s="1">
        <v>98</v>
      </c>
      <c r="B104" s="3">
        <f t="shared" si="3"/>
        <v>1138.635479685121</v>
      </c>
      <c r="C104" s="4">
        <f t="shared" si="4"/>
        <v>441.53292781469492</v>
      </c>
      <c r="D104" s="3">
        <v>1441.0359889256197</v>
      </c>
      <c r="E104" s="1">
        <v>0</v>
      </c>
      <c r="F104" s="4">
        <f t="shared" si="5"/>
        <v>131018.84235548285</v>
      </c>
    </row>
    <row r="105" spans="1:8" x14ac:dyDescent="0.25">
      <c r="A105" s="1">
        <v>99</v>
      </c>
      <c r="B105" s="3">
        <f t="shared" si="3"/>
        <v>1138.635479685121</v>
      </c>
      <c r="C105" s="4">
        <f t="shared" si="4"/>
        <v>436.72947451827616</v>
      </c>
      <c r="D105" s="3">
        <v>1449.4420321943526</v>
      </c>
      <c r="E105" s="1">
        <v>0</v>
      </c>
      <c r="F105" s="4">
        <f t="shared" si="5"/>
        <v>129569.4003232885</v>
      </c>
    </row>
    <row r="106" spans="1:8" x14ac:dyDescent="0.25">
      <c r="A106" s="1">
        <v>100</v>
      </c>
      <c r="B106" s="3">
        <f t="shared" si="3"/>
        <v>1138.635479685121</v>
      </c>
      <c r="C106" s="4">
        <f t="shared" si="4"/>
        <v>431.89800107762835</v>
      </c>
      <c r="D106" s="3">
        <v>1457.8971107154857</v>
      </c>
      <c r="E106" s="1">
        <v>0</v>
      </c>
      <c r="F106" s="4">
        <f t="shared" si="5"/>
        <v>128111.50321257302</v>
      </c>
    </row>
    <row r="107" spans="1:8" x14ac:dyDescent="0.25">
      <c r="A107" s="1">
        <v>101</v>
      </c>
      <c r="B107" s="3">
        <f t="shared" si="3"/>
        <v>1138.635479685121</v>
      </c>
      <c r="C107" s="4">
        <f t="shared" si="4"/>
        <v>427.03834404191008</v>
      </c>
      <c r="D107" s="3">
        <v>1466.4015105279932</v>
      </c>
      <c r="E107" s="1">
        <v>0</v>
      </c>
      <c r="F107" s="4">
        <f t="shared" si="5"/>
        <v>126645.10170204502</v>
      </c>
    </row>
    <row r="108" spans="1:8" x14ac:dyDescent="0.25">
      <c r="A108" s="1">
        <v>102</v>
      </c>
      <c r="B108" s="3">
        <f t="shared" si="3"/>
        <v>1138.635479685121</v>
      </c>
      <c r="C108" s="4">
        <f t="shared" si="4"/>
        <v>422.15033900681675</v>
      </c>
      <c r="D108" s="3">
        <v>1474.9555193394062</v>
      </c>
      <c r="E108" s="1">
        <v>0</v>
      </c>
      <c r="F108" s="4">
        <f t="shared" si="5"/>
        <v>125170.14618270562</v>
      </c>
    </row>
    <row r="109" spans="1:8" x14ac:dyDescent="0.25">
      <c r="A109" s="1">
        <v>103</v>
      </c>
      <c r="B109" s="3">
        <f t="shared" si="3"/>
        <v>1138.635479685121</v>
      </c>
      <c r="C109" s="4">
        <f t="shared" si="4"/>
        <v>417.23382060901878</v>
      </c>
      <c r="D109" s="3">
        <v>1483.559426535553</v>
      </c>
      <c r="E109" s="1">
        <v>0</v>
      </c>
      <c r="F109" s="4">
        <f t="shared" si="5"/>
        <v>123686.58675617007</v>
      </c>
    </row>
    <row r="110" spans="1:8" x14ac:dyDescent="0.25">
      <c r="A110" s="1">
        <v>104</v>
      </c>
      <c r="B110" s="3">
        <f t="shared" si="3"/>
        <v>1138.635479685121</v>
      </c>
      <c r="C110" s="4">
        <f t="shared" si="4"/>
        <v>412.28862252056695</v>
      </c>
      <c r="D110" s="3">
        <v>1492.213523190343</v>
      </c>
      <c r="E110" s="1">
        <v>0</v>
      </c>
      <c r="F110" s="4">
        <f t="shared" si="5"/>
        <v>122194.37323297973</v>
      </c>
    </row>
    <row r="111" spans="1:8" x14ac:dyDescent="0.25">
      <c r="A111" s="1">
        <v>105</v>
      </c>
      <c r="B111" s="3">
        <f t="shared" si="3"/>
        <v>1138.635479685121</v>
      </c>
      <c r="C111" s="4">
        <f t="shared" si="4"/>
        <v>407.31457744326582</v>
      </c>
      <c r="D111" s="3">
        <v>1500.9181020756205</v>
      </c>
      <c r="E111" s="1">
        <v>0</v>
      </c>
      <c r="F111" s="4">
        <f t="shared" si="5"/>
        <v>120693.45513090411</v>
      </c>
    </row>
    <row r="112" spans="1:8" x14ac:dyDescent="0.25">
      <c r="A112" s="1">
        <v>106</v>
      </c>
      <c r="B112" s="3">
        <f t="shared" si="3"/>
        <v>1138.635479685121</v>
      </c>
      <c r="C112" s="4">
        <f t="shared" si="4"/>
        <v>402.31151710301373</v>
      </c>
      <c r="D112" s="3">
        <v>1509.6734576710614</v>
      </c>
      <c r="E112" s="1">
        <v>0</v>
      </c>
      <c r="F112" s="4">
        <f t="shared" si="5"/>
        <v>119183.78167323305</v>
      </c>
    </row>
    <row r="113" spans="1:8" x14ac:dyDescent="0.25">
      <c r="A113" s="1">
        <v>107</v>
      </c>
      <c r="B113" s="3">
        <f t="shared" si="3"/>
        <v>1138.635479685121</v>
      </c>
      <c r="C113" s="4">
        <f t="shared" si="4"/>
        <v>397.27927224411019</v>
      </c>
      <c r="D113" s="3">
        <v>1518.4798861741419</v>
      </c>
      <c r="E113" s="1">
        <v>0</v>
      </c>
      <c r="F113" s="4">
        <f t="shared" si="5"/>
        <v>117665.30178705891</v>
      </c>
    </row>
    <row r="114" spans="1:8" x14ac:dyDescent="0.25">
      <c r="A114" s="1">
        <v>108</v>
      </c>
      <c r="B114" s="3">
        <f t="shared" si="3"/>
        <v>1138.635479685121</v>
      </c>
      <c r="C114" s="4">
        <f t="shared" si="4"/>
        <v>392.21767262352972</v>
      </c>
      <c r="D114" s="3">
        <v>1527.3376855101578</v>
      </c>
      <c r="E114" s="1">
        <v>0</v>
      </c>
      <c r="F114" s="4">
        <f t="shared" si="5"/>
        <v>116137.96410154876</v>
      </c>
      <c r="G114" s="4">
        <f>F114</f>
        <v>116137.96410154876</v>
      </c>
      <c r="H114" s="4">
        <f>SUM(C103:C114)</f>
        <v>5034.3030924726236</v>
      </c>
    </row>
    <row r="115" spans="1:8" x14ac:dyDescent="0.25">
      <c r="A115" s="1">
        <v>109</v>
      </c>
      <c r="B115" s="3">
        <f t="shared" si="3"/>
        <v>1138.635479685121</v>
      </c>
      <c r="C115" s="4">
        <f t="shared" si="4"/>
        <v>387.12654700516254</v>
      </c>
      <c r="D115" s="3">
        <v>1536.2471553423002</v>
      </c>
      <c r="E115" s="1">
        <v>0</v>
      </c>
      <c r="F115" s="4">
        <f t="shared" si="5"/>
        <v>114601.71694620646</v>
      </c>
    </row>
    <row r="116" spans="1:8" x14ac:dyDescent="0.25">
      <c r="A116" s="1">
        <v>110</v>
      </c>
      <c r="B116" s="3">
        <f t="shared" si="3"/>
        <v>1138.635479685121</v>
      </c>
      <c r="C116" s="4">
        <f t="shared" si="4"/>
        <v>382.00572315402155</v>
      </c>
      <c r="D116" s="3">
        <v>1545.2085970817971</v>
      </c>
      <c r="E116" s="1">
        <v>0</v>
      </c>
      <c r="F116" s="4">
        <f t="shared" si="5"/>
        <v>113056.50834912466</v>
      </c>
    </row>
    <row r="117" spans="1:8" x14ac:dyDescent="0.25">
      <c r="A117" s="1">
        <v>111</v>
      </c>
      <c r="B117" s="3">
        <f t="shared" si="3"/>
        <v>1138.635479685121</v>
      </c>
      <c r="C117" s="4">
        <f t="shared" si="4"/>
        <v>376.85502783041557</v>
      </c>
      <c r="D117" s="3">
        <v>1554.222313898108</v>
      </c>
      <c r="E117" s="1">
        <v>0</v>
      </c>
      <c r="F117" s="4">
        <f t="shared" si="5"/>
        <v>111502.28603522656</v>
      </c>
    </row>
    <row r="118" spans="1:8" x14ac:dyDescent="0.25">
      <c r="A118" s="1">
        <v>112</v>
      </c>
      <c r="B118" s="3">
        <f t="shared" si="3"/>
        <v>1138.635479685121</v>
      </c>
      <c r="C118" s="4">
        <f t="shared" si="4"/>
        <v>371.67428678408857</v>
      </c>
      <c r="D118" s="3">
        <v>1563.2886107291806</v>
      </c>
      <c r="E118" s="1">
        <v>0</v>
      </c>
      <c r="F118" s="4">
        <f t="shared" si="5"/>
        <v>109938.99742449737</v>
      </c>
    </row>
    <row r="119" spans="1:8" x14ac:dyDescent="0.25">
      <c r="A119" s="1">
        <v>113</v>
      </c>
      <c r="B119" s="3">
        <f t="shared" si="3"/>
        <v>1138.635479685121</v>
      </c>
      <c r="C119" s="4">
        <f t="shared" si="4"/>
        <v>366.46332474832457</v>
      </c>
      <c r="D119" s="3">
        <v>1572.4077942917665</v>
      </c>
      <c r="E119" s="1">
        <v>0</v>
      </c>
      <c r="F119" s="4">
        <f t="shared" si="5"/>
        <v>108366.58963020561</v>
      </c>
    </row>
    <row r="120" spans="1:8" x14ac:dyDescent="0.25">
      <c r="A120" s="1">
        <v>114</v>
      </c>
      <c r="B120" s="3">
        <f t="shared" si="3"/>
        <v>1138.635479685121</v>
      </c>
      <c r="C120" s="4">
        <f t="shared" si="4"/>
        <v>361.22196543401873</v>
      </c>
      <c r="D120" s="3">
        <v>1581.580173091802</v>
      </c>
      <c r="E120" s="1">
        <v>0</v>
      </c>
      <c r="F120" s="4">
        <f t="shared" si="5"/>
        <v>106785.0094571138</v>
      </c>
    </row>
    <row r="121" spans="1:8" x14ac:dyDescent="0.25">
      <c r="A121" s="1">
        <v>115</v>
      </c>
      <c r="B121" s="3">
        <f t="shared" si="3"/>
        <v>1138.635479685121</v>
      </c>
      <c r="C121" s="4">
        <f t="shared" si="4"/>
        <v>355.95003152371271</v>
      </c>
      <c r="D121" s="3">
        <v>1590.8060574348383</v>
      </c>
      <c r="E121" s="1">
        <v>0</v>
      </c>
      <c r="F121" s="4">
        <f t="shared" si="5"/>
        <v>105194.20339967897</v>
      </c>
    </row>
    <row r="122" spans="1:8" x14ac:dyDescent="0.25">
      <c r="A122" s="1">
        <v>116</v>
      </c>
      <c r="B122" s="3">
        <f t="shared" si="3"/>
        <v>1138.635479685121</v>
      </c>
      <c r="C122" s="4">
        <f t="shared" si="4"/>
        <v>350.64734466559656</v>
      </c>
      <c r="D122" s="3">
        <v>1600.0857594365416</v>
      </c>
      <c r="E122" s="1">
        <v>0</v>
      </c>
      <c r="F122" s="4">
        <f t="shared" si="5"/>
        <v>103594.11764024243</v>
      </c>
    </row>
    <row r="123" spans="1:8" x14ac:dyDescent="0.25">
      <c r="A123" s="1">
        <v>117</v>
      </c>
      <c r="B123" s="3">
        <f t="shared" si="3"/>
        <v>1138.635479685121</v>
      </c>
      <c r="C123" s="4">
        <f t="shared" si="4"/>
        <v>345.3137254674748</v>
      </c>
      <c r="D123" s="3">
        <v>1609.4195930332544</v>
      </c>
      <c r="E123" s="1">
        <v>0</v>
      </c>
      <c r="F123" s="4">
        <f t="shared" si="5"/>
        <v>101984.69804720918</v>
      </c>
    </row>
    <row r="124" spans="1:8" x14ac:dyDescent="0.25">
      <c r="A124" s="1">
        <v>118</v>
      </c>
      <c r="B124" s="3">
        <f t="shared" si="3"/>
        <v>1138.635479685121</v>
      </c>
      <c r="C124" s="4">
        <f t="shared" si="4"/>
        <v>339.94899349069732</v>
      </c>
      <c r="D124" s="3">
        <v>1618.8078739926159</v>
      </c>
      <c r="E124" s="1">
        <v>0</v>
      </c>
      <c r="F124" s="4">
        <f t="shared" si="5"/>
        <v>100365.89017321657</v>
      </c>
    </row>
    <row r="125" spans="1:8" x14ac:dyDescent="0.25">
      <c r="A125" s="1">
        <v>119</v>
      </c>
      <c r="B125" s="3">
        <f t="shared" si="3"/>
        <v>1138.635479685121</v>
      </c>
      <c r="C125" s="4">
        <f t="shared" si="4"/>
        <v>334.55296724405525</v>
      </c>
      <c r="D125" s="3">
        <v>1628.2509199242386</v>
      </c>
      <c r="E125" s="1">
        <v>0</v>
      </c>
      <c r="F125" s="4">
        <f t="shared" si="5"/>
        <v>98737.639253292335</v>
      </c>
    </row>
    <row r="126" spans="1:8" x14ac:dyDescent="0.25">
      <c r="A126" s="1">
        <v>120</v>
      </c>
      <c r="B126" s="3">
        <f t="shared" si="3"/>
        <v>1138.635479685121</v>
      </c>
      <c r="C126" s="4">
        <f t="shared" si="4"/>
        <v>329.12546417764116</v>
      </c>
      <c r="D126" s="3">
        <v>1637.7490502904639</v>
      </c>
      <c r="E126" s="1">
        <v>0</v>
      </c>
      <c r="F126" s="4">
        <f t="shared" si="5"/>
        <v>97099.890203001865</v>
      </c>
      <c r="G126" s="4">
        <f>F126</f>
        <v>97099.890203001865</v>
      </c>
      <c r="H126" s="4">
        <f>SUM(C115:C126)</f>
        <v>4300.8854015252091</v>
      </c>
    </row>
    <row r="127" spans="1:8" x14ac:dyDescent="0.25">
      <c r="A127" s="1">
        <v>121</v>
      </c>
      <c r="B127" s="3">
        <f t="shared" si="3"/>
        <v>1138.635479685121</v>
      </c>
      <c r="C127" s="4">
        <f t="shared" si="4"/>
        <v>323.6663006766729</v>
      </c>
      <c r="D127" s="3">
        <v>1647.3025864171577</v>
      </c>
      <c r="E127" s="1">
        <v>0</v>
      </c>
      <c r="F127" s="4">
        <f t="shared" si="5"/>
        <v>95452.5876165847</v>
      </c>
    </row>
    <row r="128" spans="1:8" x14ac:dyDescent="0.25">
      <c r="A128" s="1">
        <v>122</v>
      </c>
      <c r="B128" s="3">
        <f t="shared" si="3"/>
        <v>1138.635479685121</v>
      </c>
      <c r="C128" s="4">
        <f t="shared" si="4"/>
        <v>318.17529205528234</v>
      </c>
      <c r="D128" s="3">
        <v>1656.9118515045911</v>
      </c>
      <c r="E128" s="1">
        <v>0</v>
      </c>
      <c r="F128" s="4">
        <f t="shared" si="5"/>
        <v>93795.675765080116</v>
      </c>
    </row>
    <row r="129" spans="1:6" x14ac:dyDescent="0.25">
      <c r="A129" s="1">
        <v>123</v>
      </c>
      <c r="B129" s="3">
        <f t="shared" si="3"/>
        <v>1138.635479685121</v>
      </c>
      <c r="C129" s="4">
        <f t="shared" si="4"/>
        <v>312.65225255026706</v>
      </c>
      <c r="D129" s="3">
        <v>1666.5771706383684</v>
      </c>
      <c r="E129" s="1">
        <v>0</v>
      </c>
      <c r="F129" s="4">
        <f t="shared" si="5"/>
        <v>92129.098594441748</v>
      </c>
    </row>
    <row r="130" spans="1:6" x14ac:dyDescent="0.25">
      <c r="A130" s="1">
        <v>124</v>
      </c>
      <c r="B130" s="3">
        <f t="shared" si="3"/>
        <v>1138.635479685121</v>
      </c>
      <c r="C130" s="4">
        <f t="shared" si="4"/>
        <v>307.09699531480584</v>
      </c>
      <c r="D130" s="3">
        <v>1676.298870800425</v>
      </c>
      <c r="E130" s="1">
        <v>0</v>
      </c>
      <c r="F130" s="4">
        <f t="shared" si="5"/>
        <v>90452.799723641321</v>
      </c>
    </row>
    <row r="131" spans="1:6" x14ac:dyDescent="0.25">
      <c r="A131" s="1">
        <v>125</v>
      </c>
      <c r="B131" s="3">
        <f t="shared" si="3"/>
        <v>1138.635479685121</v>
      </c>
      <c r="C131" s="4">
        <f t="shared" si="4"/>
        <v>301.50933241213778</v>
      </c>
      <c r="D131" s="3">
        <v>1686.0772808800948</v>
      </c>
      <c r="E131" s="1">
        <v>0</v>
      </c>
      <c r="F131" s="4">
        <f t="shared" si="5"/>
        <v>88766.722442761224</v>
      </c>
    </row>
    <row r="132" spans="1:6" x14ac:dyDescent="0.25">
      <c r="A132" s="1">
        <v>126</v>
      </c>
      <c r="B132" s="3">
        <f t="shared" si="3"/>
        <v>1138.635479685121</v>
      </c>
      <c r="C132" s="4">
        <f t="shared" si="4"/>
        <v>295.88907480920409</v>
      </c>
      <c r="D132" s="3">
        <v>1695.9127316852282</v>
      </c>
      <c r="E132" s="1">
        <v>0</v>
      </c>
      <c r="F132" s="4">
        <f t="shared" si="5"/>
        <v>87070.809711075999</v>
      </c>
    </row>
    <row r="133" spans="1:6" x14ac:dyDescent="0.25">
      <c r="A133" s="1">
        <v>127</v>
      </c>
      <c r="B133" s="3">
        <f t="shared" si="3"/>
        <v>1138.635479685121</v>
      </c>
      <c r="C133" s="4">
        <f t="shared" si="4"/>
        <v>290.23603237025333</v>
      </c>
      <c r="D133" s="3">
        <v>1705.8055559533923</v>
      </c>
      <c r="E133" s="1">
        <v>0</v>
      </c>
      <c r="F133" s="4">
        <f t="shared" si="5"/>
        <v>85365.004155122602</v>
      </c>
    </row>
    <row r="134" spans="1:6" x14ac:dyDescent="0.25">
      <c r="A134" s="1">
        <v>128</v>
      </c>
      <c r="B134" s="3">
        <f t="shared" si="3"/>
        <v>1138.635479685121</v>
      </c>
      <c r="C134" s="4">
        <f t="shared" si="4"/>
        <v>284.55001385040867</v>
      </c>
      <c r="D134" s="3">
        <v>1715.7560883631204</v>
      </c>
      <c r="E134" s="1">
        <v>0</v>
      </c>
      <c r="F134" s="4">
        <f t="shared" si="5"/>
        <v>83649.248066759479</v>
      </c>
    </row>
    <row r="135" spans="1:6" x14ac:dyDescent="0.25">
      <c r="A135" s="1">
        <v>129</v>
      </c>
      <c r="B135" s="3">
        <f t="shared" si="3"/>
        <v>1138.635479685121</v>
      </c>
      <c r="C135" s="4">
        <f t="shared" si="4"/>
        <v>278.83082688919831</v>
      </c>
      <c r="D135" s="3">
        <v>1725.7646655452381</v>
      </c>
      <c r="E135" s="1">
        <v>0</v>
      </c>
      <c r="F135" s="4">
        <f t="shared" si="5"/>
        <v>81923.483401214238</v>
      </c>
    </row>
    <row r="136" spans="1:6" x14ac:dyDescent="0.25">
      <c r="A136" s="1">
        <v>130</v>
      </c>
      <c r="B136" s="3">
        <f t="shared" ref="B136:B199" si="6">PMT($C$2/12,$C$3,-$C$1)</f>
        <v>1138.635479685121</v>
      </c>
      <c r="C136" s="4">
        <f t="shared" ref="C136:C199" si="7">F135*($C$2/12)</f>
        <v>273.07827800404749</v>
      </c>
      <c r="D136" s="3">
        <v>1735.831626094252</v>
      </c>
      <c r="E136" s="1">
        <v>0</v>
      </c>
      <c r="F136" s="4">
        <f t="shared" ref="F136:F199" si="8">F135-D136</f>
        <v>80187.651775119986</v>
      </c>
    </row>
    <row r="137" spans="1:6" x14ac:dyDescent="0.25">
      <c r="A137" s="1">
        <v>131</v>
      </c>
      <c r="B137" s="3">
        <f t="shared" si="6"/>
        <v>1138.635479685121</v>
      </c>
      <c r="C137" s="4">
        <f t="shared" si="7"/>
        <v>267.2921725837333</v>
      </c>
      <c r="D137" s="3">
        <v>1745.9573105798017</v>
      </c>
      <c r="E137" s="1">
        <v>0</v>
      </c>
      <c r="F137" s="4">
        <f t="shared" si="8"/>
        <v>78441.694464540182</v>
      </c>
    </row>
    <row r="138" spans="1:6" x14ac:dyDescent="0.25">
      <c r="A138" s="1">
        <v>132</v>
      </c>
      <c r="B138" s="3">
        <f t="shared" si="6"/>
        <v>1138.635479685121</v>
      </c>
      <c r="C138" s="4">
        <f t="shared" si="7"/>
        <v>261.47231488180063</v>
      </c>
      <c r="D138" s="3">
        <v>1756.1420615581847</v>
      </c>
      <c r="E138" s="1">
        <v>0</v>
      </c>
      <c r="F138" s="4">
        <f t="shared" si="8"/>
        <v>76685.552402981994</v>
      </c>
    </row>
    <row r="139" spans="1:6" x14ac:dyDescent="0.25">
      <c r="A139" s="1">
        <v>133</v>
      </c>
      <c r="B139" s="3">
        <f t="shared" si="6"/>
        <v>1138.635479685121</v>
      </c>
      <c r="C139" s="4">
        <f t="shared" si="7"/>
        <v>255.61850800994</v>
      </c>
      <c r="D139" s="3">
        <v>1766.3862235839406</v>
      </c>
      <c r="E139" s="1">
        <v>0</v>
      </c>
      <c r="F139" s="4">
        <f t="shared" si="8"/>
        <v>74919.166179398046</v>
      </c>
    </row>
    <row r="140" spans="1:6" x14ac:dyDescent="0.25">
      <c r="A140" s="1">
        <v>134</v>
      </c>
      <c r="B140" s="3">
        <f t="shared" si="6"/>
        <v>1138.635479685121</v>
      </c>
      <c r="C140" s="4">
        <f t="shared" si="7"/>
        <v>249.73055393132682</v>
      </c>
      <c r="D140" s="3">
        <v>1776.6901432215136</v>
      </c>
      <c r="E140" s="1">
        <v>0</v>
      </c>
      <c r="F140" s="4">
        <f t="shared" si="8"/>
        <v>73142.476036176537</v>
      </c>
    </row>
    <row r="141" spans="1:6" x14ac:dyDescent="0.25">
      <c r="A141" s="1">
        <v>135</v>
      </c>
      <c r="B141" s="3">
        <f t="shared" si="6"/>
        <v>1138.635479685121</v>
      </c>
      <c r="C141" s="4">
        <f t="shared" si="7"/>
        <v>243.80825345392179</v>
      </c>
      <c r="D141" s="3">
        <v>1787.0541690569726</v>
      </c>
      <c r="E141" s="1">
        <v>0</v>
      </c>
      <c r="F141" s="4">
        <f t="shared" si="8"/>
        <v>71355.42186711957</v>
      </c>
    </row>
    <row r="142" spans="1:6" x14ac:dyDescent="0.25">
      <c r="A142" s="1">
        <v>136</v>
      </c>
      <c r="B142" s="3">
        <f t="shared" si="6"/>
        <v>1138.635479685121</v>
      </c>
      <c r="C142" s="4">
        <f t="shared" si="7"/>
        <v>237.85140622373191</v>
      </c>
      <c r="D142" s="3">
        <v>1797.4786517098046</v>
      </c>
      <c r="E142" s="1">
        <v>0</v>
      </c>
      <c r="F142" s="4">
        <f t="shared" si="8"/>
        <v>69557.943215409759</v>
      </c>
    </row>
    <row r="143" spans="1:6" x14ac:dyDescent="0.25">
      <c r="A143" s="1">
        <v>137</v>
      </c>
      <c r="B143" s="3">
        <f t="shared" si="6"/>
        <v>1138.635479685121</v>
      </c>
      <c r="C143" s="4">
        <f t="shared" si="7"/>
        <v>231.85981071803255</v>
      </c>
      <c r="D143" s="3">
        <v>1807.9639438447784</v>
      </c>
      <c r="E143" s="1">
        <v>0</v>
      </c>
      <c r="F143" s="4">
        <f t="shared" si="8"/>
        <v>67749.979271564982</v>
      </c>
    </row>
    <row r="144" spans="1:6" x14ac:dyDescent="0.25">
      <c r="A144" s="1">
        <v>138</v>
      </c>
      <c r="B144" s="3">
        <f t="shared" si="6"/>
        <v>1138.635479685121</v>
      </c>
      <c r="C144" s="4">
        <f t="shared" si="7"/>
        <v>225.83326423854996</v>
      </c>
      <c r="D144" s="3">
        <v>1818.5104001838736</v>
      </c>
      <c r="E144" s="1">
        <v>0</v>
      </c>
      <c r="F144" s="4">
        <f t="shared" si="8"/>
        <v>65931.468871381105</v>
      </c>
    </row>
    <row r="145" spans="1:6" x14ac:dyDescent="0.25">
      <c r="A145" s="1">
        <v>139</v>
      </c>
      <c r="B145" s="3">
        <f t="shared" si="6"/>
        <v>1138.635479685121</v>
      </c>
      <c r="C145" s="4">
        <f t="shared" si="7"/>
        <v>219.77156290460368</v>
      </c>
      <c r="D145" s="3">
        <v>1829.118377518279</v>
      </c>
      <c r="E145" s="1">
        <v>0</v>
      </c>
      <c r="F145" s="4">
        <f t="shared" si="8"/>
        <v>64102.350493862825</v>
      </c>
    </row>
    <row r="146" spans="1:6" x14ac:dyDescent="0.25">
      <c r="A146" s="1">
        <v>140</v>
      </c>
      <c r="B146" s="3">
        <f t="shared" si="6"/>
        <v>1138.635479685121</v>
      </c>
      <c r="C146" s="4">
        <f t="shared" si="7"/>
        <v>213.67450164620942</v>
      </c>
      <c r="D146" s="3">
        <v>1839.7882347204686</v>
      </c>
      <c r="E146" s="1">
        <v>0</v>
      </c>
      <c r="F146" s="4">
        <f t="shared" si="8"/>
        <v>62262.56225914236</v>
      </c>
    </row>
    <row r="147" spans="1:6" x14ac:dyDescent="0.25">
      <c r="A147" s="1">
        <v>141</v>
      </c>
      <c r="B147" s="3">
        <f t="shared" si="6"/>
        <v>1138.635479685121</v>
      </c>
      <c r="C147" s="4">
        <f t="shared" si="7"/>
        <v>207.54187419714123</v>
      </c>
      <c r="D147" s="3">
        <v>1850.5203327563386</v>
      </c>
      <c r="E147" s="1">
        <v>0</v>
      </c>
      <c r="F147" s="4">
        <f t="shared" si="8"/>
        <v>60412.041926386024</v>
      </c>
    </row>
    <row r="148" spans="1:6" x14ac:dyDescent="0.25">
      <c r="A148" s="1">
        <v>142</v>
      </c>
      <c r="B148" s="3">
        <f t="shared" si="6"/>
        <v>1138.635479685121</v>
      </c>
      <c r="C148" s="4">
        <f t="shared" si="7"/>
        <v>201.37347308795341</v>
      </c>
      <c r="D148" s="3">
        <v>1861.3150346974171</v>
      </c>
      <c r="E148" s="1">
        <v>0</v>
      </c>
      <c r="F148" s="4">
        <f t="shared" si="8"/>
        <v>58550.72689168861</v>
      </c>
    </row>
    <row r="149" spans="1:6" x14ac:dyDescent="0.25">
      <c r="A149" s="1">
        <v>143</v>
      </c>
      <c r="B149" s="3">
        <f t="shared" si="6"/>
        <v>1138.635479685121</v>
      </c>
      <c r="C149" s="4">
        <f t="shared" si="7"/>
        <v>195.16908963896205</v>
      </c>
      <c r="D149" s="3">
        <v>1872.1727057331518</v>
      </c>
      <c r="E149" s="1">
        <v>0</v>
      </c>
      <c r="F149" s="4">
        <f t="shared" si="8"/>
        <v>56678.554185955458</v>
      </c>
    </row>
    <row r="150" spans="1:6" x14ac:dyDescent="0.25">
      <c r="A150" s="1">
        <v>144</v>
      </c>
      <c r="B150" s="3">
        <f t="shared" si="6"/>
        <v>1138.635479685121</v>
      </c>
      <c r="C150" s="4">
        <f t="shared" si="7"/>
        <v>188.92851395318488</v>
      </c>
      <c r="D150" s="3">
        <v>1883.0937131832616</v>
      </c>
      <c r="E150" s="1">
        <v>0</v>
      </c>
      <c r="F150" s="4">
        <f t="shared" si="8"/>
        <v>54795.460472772196</v>
      </c>
    </row>
    <row r="151" spans="1:6" x14ac:dyDescent="0.25">
      <c r="A151" s="1">
        <v>145</v>
      </c>
      <c r="B151" s="3">
        <f t="shared" si="6"/>
        <v>1138.635479685121</v>
      </c>
      <c r="C151" s="4">
        <f t="shared" si="7"/>
        <v>182.65153490924067</v>
      </c>
      <c r="D151" s="3">
        <v>1894.0784265101647</v>
      </c>
      <c r="E151" s="1">
        <v>0</v>
      </c>
      <c r="F151" s="4">
        <f t="shared" si="8"/>
        <v>52901.382046262035</v>
      </c>
    </row>
    <row r="152" spans="1:6" x14ac:dyDescent="0.25">
      <c r="A152" s="1">
        <v>146</v>
      </c>
      <c r="B152" s="3">
        <f t="shared" si="6"/>
        <v>1138.635479685121</v>
      </c>
      <c r="C152" s="4">
        <f t="shared" si="7"/>
        <v>176.33794015420679</v>
      </c>
      <c r="D152" s="3">
        <v>1905.1272173314737</v>
      </c>
      <c r="E152" s="1">
        <v>0</v>
      </c>
      <c r="F152" s="4">
        <f t="shared" si="8"/>
        <v>50996.254828930563</v>
      </c>
    </row>
    <row r="153" spans="1:6" x14ac:dyDescent="0.25">
      <c r="A153" s="1">
        <v>147</v>
      </c>
      <c r="B153" s="3">
        <f t="shared" si="6"/>
        <v>1138.635479685121</v>
      </c>
      <c r="C153" s="4">
        <f t="shared" si="7"/>
        <v>169.98751609643523</v>
      </c>
      <c r="D153" s="3">
        <v>1916.2404594325735</v>
      </c>
      <c r="E153" s="1">
        <v>0</v>
      </c>
      <c r="F153" s="4">
        <f t="shared" si="8"/>
        <v>49080.014369497992</v>
      </c>
    </row>
    <row r="154" spans="1:6" x14ac:dyDescent="0.25">
      <c r="A154" s="1">
        <v>148</v>
      </c>
      <c r="B154" s="3">
        <f t="shared" si="6"/>
        <v>1138.635479685121</v>
      </c>
      <c r="C154" s="4">
        <f t="shared" si="7"/>
        <v>163.60004789832666</v>
      </c>
      <c r="D154" s="3">
        <v>1927.4185287792643</v>
      </c>
      <c r="E154" s="1">
        <v>0</v>
      </c>
      <c r="F154" s="4">
        <f t="shared" si="8"/>
        <v>47152.595840718728</v>
      </c>
    </row>
    <row r="155" spans="1:6" x14ac:dyDescent="0.25">
      <c r="A155" s="1">
        <v>149</v>
      </c>
      <c r="B155" s="3">
        <f t="shared" si="6"/>
        <v>1138.635479685121</v>
      </c>
      <c r="C155" s="4">
        <f t="shared" si="7"/>
        <v>157.17531946906243</v>
      </c>
      <c r="D155" s="3">
        <v>1938.6618035304764</v>
      </c>
      <c r="E155" s="1">
        <v>0</v>
      </c>
      <c r="F155" s="4">
        <f t="shared" si="8"/>
        <v>45213.93403718825</v>
      </c>
    </row>
    <row r="156" spans="1:6" x14ac:dyDescent="0.25">
      <c r="A156" s="1">
        <v>150</v>
      </c>
      <c r="B156" s="3">
        <f t="shared" si="6"/>
        <v>1138.635479685121</v>
      </c>
      <c r="C156" s="4">
        <f t="shared" si="7"/>
        <v>150.71311345729418</v>
      </c>
      <c r="D156" s="3">
        <v>1949.9706640510713</v>
      </c>
      <c r="E156" s="1">
        <v>0</v>
      </c>
      <c r="F156" s="4">
        <f t="shared" si="8"/>
        <v>43263.96337313718</v>
      </c>
    </row>
    <row r="157" spans="1:6" x14ac:dyDescent="0.25">
      <c r="A157" s="1">
        <v>151</v>
      </c>
      <c r="B157" s="3">
        <f t="shared" si="6"/>
        <v>1138.635479685121</v>
      </c>
      <c r="C157" s="4">
        <f t="shared" si="7"/>
        <v>144.2132112437906</v>
      </c>
      <c r="D157" s="3">
        <v>1961.3454929247027</v>
      </c>
      <c r="E157" s="1">
        <v>0</v>
      </c>
      <c r="F157" s="4">
        <f t="shared" si="8"/>
        <v>41302.617880212478</v>
      </c>
    </row>
    <row r="158" spans="1:6" x14ac:dyDescent="0.25">
      <c r="A158" s="1">
        <v>152</v>
      </c>
      <c r="B158" s="3">
        <f t="shared" si="6"/>
        <v>1138.635479685121</v>
      </c>
      <c r="C158" s="4">
        <f t="shared" si="7"/>
        <v>137.67539293404161</v>
      </c>
      <c r="D158" s="3">
        <v>1972.7866749667637</v>
      </c>
      <c r="E158" s="1">
        <v>0</v>
      </c>
      <c r="F158" s="4">
        <f t="shared" si="8"/>
        <v>39329.831205245711</v>
      </c>
    </row>
    <row r="159" spans="1:6" x14ac:dyDescent="0.25">
      <c r="A159" s="1">
        <v>153</v>
      </c>
      <c r="B159" s="3">
        <f t="shared" si="6"/>
        <v>1138.635479685121</v>
      </c>
      <c r="C159" s="4">
        <f t="shared" si="7"/>
        <v>131.09943735081904</v>
      </c>
      <c r="D159" s="3">
        <v>1984.2945972374037</v>
      </c>
      <c r="E159" s="1">
        <v>0</v>
      </c>
      <c r="F159" s="4">
        <f t="shared" si="8"/>
        <v>37345.536608008304</v>
      </c>
    </row>
    <row r="160" spans="1:6" x14ac:dyDescent="0.25">
      <c r="A160" s="1">
        <v>154</v>
      </c>
      <c r="B160" s="3">
        <f t="shared" si="6"/>
        <v>1138.635479685121</v>
      </c>
      <c r="C160" s="4">
        <f t="shared" si="7"/>
        <v>124.48512202669436</v>
      </c>
      <c r="D160" s="3">
        <v>1995.8696490546208</v>
      </c>
      <c r="E160" s="1">
        <v>0</v>
      </c>
      <c r="F160" s="4">
        <f t="shared" si="8"/>
        <v>35349.666958953683</v>
      </c>
    </row>
    <row r="161" spans="1:6" x14ac:dyDescent="0.25">
      <c r="A161" s="1">
        <v>155</v>
      </c>
      <c r="B161" s="3">
        <f t="shared" si="6"/>
        <v>1138.635479685121</v>
      </c>
      <c r="C161" s="4">
        <f t="shared" si="7"/>
        <v>117.83222319651229</v>
      </c>
      <c r="D161" s="3">
        <v>2007.51222200744</v>
      </c>
      <c r="E161" s="1">
        <v>0</v>
      </c>
      <c r="F161" s="4">
        <f t="shared" si="8"/>
        <v>33342.154736946242</v>
      </c>
    </row>
    <row r="162" spans="1:6" x14ac:dyDescent="0.25">
      <c r="A162" s="1">
        <v>156</v>
      </c>
      <c r="B162" s="3">
        <f t="shared" si="6"/>
        <v>1138.635479685121</v>
      </c>
      <c r="C162" s="4">
        <f t="shared" si="7"/>
        <v>111.14051578982081</v>
      </c>
      <c r="D162" s="3">
        <v>2019.222709969149</v>
      </c>
      <c r="E162" s="1">
        <v>0</v>
      </c>
      <c r="F162" s="4">
        <f t="shared" si="8"/>
        <v>31322.932026977094</v>
      </c>
    </row>
    <row r="163" spans="1:6" x14ac:dyDescent="0.25">
      <c r="A163" s="1">
        <v>157</v>
      </c>
      <c r="B163" s="3">
        <f t="shared" si="6"/>
        <v>1138.635479685121</v>
      </c>
      <c r="C163" s="4">
        <f t="shared" si="7"/>
        <v>104.40977342325699</v>
      </c>
      <c r="D163" s="3">
        <v>2031.0015091106361</v>
      </c>
      <c r="E163" s="1">
        <v>0</v>
      </c>
      <c r="F163" s="4">
        <f t="shared" si="8"/>
        <v>29291.930517866458</v>
      </c>
    </row>
    <row r="164" spans="1:6" x14ac:dyDescent="0.25">
      <c r="A164" s="1">
        <v>158</v>
      </c>
      <c r="B164" s="3">
        <f t="shared" si="6"/>
        <v>1138.635479685121</v>
      </c>
      <c r="C164" s="4">
        <f t="shared" si="7"/>
        <v>97.6397683928882</v>
      </c>
      <c r="D164" s="3">
        <v>2042.8490179137816</v>
      </c>
      <c r="E164" s="1">
        <v>0</v>
      </c>
      <c r="F164" s="4">
        <f t="shared" si="8"/>
        <v>27249.081499952677</v>
      </c>
    </row>
    <row r="165" spans="1:6" x14ac:dyDescent="0.25">
      <c r="A165" s="1">
        <v>159</v>
      </c>
      <c r="B165" s="3">
        <f t="shared" si="6"/>
        <v>1138.635479685121</v>
      </c>
      <c r="C165" s="4">
        <f t="shared" si="7"/>
        <v>90.830271666508935</v>
      </c>
      <c r="D165" s="3">
        <v>2054.7656371849453</v>
      </c>
      <c r="E165" s="1">
        <v>0</v>
      </c>
      <c r="F165" s="4">
        <f t="shared" si="8"/>
        <v>25194.315862767733</v>
      </c>
    </row>
    <row r="166" spans="1:6" x14ac:dyDescent="0.25">
      <c r="A166" s="1">
        <v>160</v>
      </c>
      <c r="B166" s="3">
        <f t="shared" si="6"/>
        <v>1138.635479685121</v>
      </c>
      <c r="C166" s="4">
        <f t="shared" si="7"/>
        <v>83.981052875892445</v>
      </c>
      <c r="D166" s="3">
        <v>2066.7517700685248</v>
      </c>
      <c r="E166" s="1">
        <v>0</v>
      </c>
      <c r="F166" s="4">
        <f t="shared" si="8"/>
        <v>23127.564092699209</v>
      </c>
    </row>
    <row r="167" spans="1:6" x14ac:dyDescent="0.25">
      <c r="A167" s="1">
        <v>161</v>
      </c>
      <c r="B167" s="3">
        <f t="shared" si="6"/>
        <v>1138.635479685121</v>
      </c>
      <c r="C167" s="4">
        <f t="shared" si="7"/>
        <v>77.091880308997375</v>
      </c>
      <c r="D167" s="3">
        <v>2078.8078220605912</v>
      </c>
      <c r="E167" s="1">
        <v>0</v>
      </c>
      <c r="F167" s="4">
        <f t="shared" si="8"/>
        <v>21048.756270638616</v>
      </c>
    </row>
    <row r="168" spans="1:6" x14ac:dyDescent="0.25">
      <c r="A168" s="1">
        <v>162</v>
      </c>
      <c r="B168" s="3">
        <f t="shared" si="6"/>
        <v>1138.635479685121</v>
      </c>
      <c r="C168" s="4">
        <f t="shared" si="7"/>
        <v>70.162520902128719</v>
      </c>
      <c r="D168" s="3">
        <v>2090.934201022611</v>
      </c>
      <c r="E168" s="1">
        <v>0</v>
      </c>
      <c r="F168" s="4">
        <f t="shared" si="8"/>
        <v>18957.822069616006</v>
      </c>
    </row>
    <row r="169" spans="1:6" x14ac:dyDescent="0.25">
      <c r="A169" s="1">
        <v>163</v>
      </c>
      <c r="B169" s="3">
        <f t="shared" si="6"/>
        <v>1138.635479685121</v>
      </c>
      <c r="C169" s="4">
        <f t="shared" si="7"/>
        <v>63.19274023205336</v>
      </c>
      <c r="D169" s="3">
        <v>2103.1313171952424</v>
      </c>
      <c r="E169" s="1">
        <v>0</v>
      </c>
      <c r="F169" s="4">
        <f t="shared" si="8"/>
        <v>16854.690752420764</v>
      </c>
    </row>
    <row r="170" spans="1:6" x14ac:dyDescent="0.25">
      <c r="A170" s="1">
        <v>164</v>
      </c>
      <c r="B170" s="3">
        <f t="shared" si="6"/>
        <v>1138.635479685121</v>
      </c>
      <c r="C170" s="4">
        <f t="shared" si="7"/>
        <v>56.182302508069213</v>
      </c>
      <c r="D170" s="3">
        <v>2115.3995832122155</v>
      </c>
      <c r="E170" s="1">
        <v>0</v>
      </c>
      <c r="F170" s="4">
        <f t="shared" si="8"/>
        <v>14739.291169208547</v>
      </c>
    </row>
    <row r="171" spans="1:6" x14ac:dyDescent="0.25">
      <c r="A171" s="1">
        <v>165</v>
      </c>
      <c r="B171" s="3">
        <f t="shared" si="6"/>
        <v>1138.635479685121</v>
      </c>
      <c r="C171" s="4">
        <f t="shared" si="7"/>
        <v>49.130970564028495</v>
      </c>
      <c r="D171" s="3">
        <v>2127.7394141142859</v>
      </c>
      <c r="E171" s="1">
        <v>0</v>
      </c>
      <c r="F171" s="4">
        <f t="shared" si="8"/>
        <v>12611.55175509426</v>
      </c>
    </row>
    <row r="172" spans="1:6" x14ac:dyDescent="0.25">
      <c r="A172" s="1">
        <v>166</v>
      </c>
      <c r="B172" s="3">
        <f t="shared" si="6"/>
        <v>1138.635479685121</v>
      </c>
      <c r="C172" s="4">
        <f t="shared" si="7"/>
        <v>42.038505850314202</v>
      </c>
      <c r="D172" s="3">
        <v>2140.1512273632861</v>
      </c>
      <c r="E172" s="1">
        <v>0</v>
      </c>
      <c r="F172" s="4">
        <f t="shared" si="8"/>
        <v>10471.400527730973</v>
      </c>
    </row>
    <row r="173" spans="1:6" x14ac:dyDescent="0.25">
      <c r="A173" s="1">
        <v>167</v>
      </c>
      <c r="B173" s="3">
        <f t="shared" si="6"/>
        <v>1138.635479685121</v>
      </c>
      <c r="C173" s="4">
        <f t="shared" si="7"/>
        <v>34.904668425769913</v>
      </c>
      <c r="D173" s="3">
        <v>2152.635442856239</v>
      </c>
      <c r="E173" s="1">
        <v>0</v>
      </c>
      <c r="F173" s="4">
        <f t="shared" si="8"/>
        <v>8318.7650848747344</v>
      </c>
    </row>
    <row r="174" spans="1:6" x14ac:dyDescent="0.25">
      <c r="A174" s="1">
        <v>168</v>
      </c>
      <c r="B174" s="3">
        <f t="shared" si="6"/>
        <v>1138.635479685121</v>
      </c>
      <c r="C174" s="4">
        <f t="shared" si="7"/>
        <v>27.729216949582451</v>
      </c>
      <c r="D174" s="3">
        <v>2165.1924829395666</v>
      </c>
      <c r="E174" s="1">
        <v>0</v>
      </c>
      <c r="F174" s="4">
        <f t="shared" si="8"/>
        <v>6153.5726019351678</v>
      </c>
    </row>
    <row r="175" spans="1:6" x14ac:dyDescent="0.25">
      <c r="A175" s="1">
        <v>169</v>
      </c>
      <c r="B175" s="3">
        <f t="shared" si="6"/>
        <v>1138.635479685121</v>
      </c>
      <c r="C175" s="4">
        <f t="shared" si="7"/>
        <v>20.511908673117226</v>
      </c>
      <c r="D175" s="3">
        <v>2177.8227724233811</v>
      </c>
      <c r="E175" s="1">
        <v>0</v>
      </c>
      <c r="F175" s="4">
        <f t="shared" si="8"/>
        <v>3975.7498295117866</v>
      </c>
    </row>
    <row r="176" spans="1:6" x14ac:dyDescent="0.25">
      <c r="A176" s="1">
        <v>170</v>
      </c>
      <c r="B176" s="3">
        <f t="shared" si="6"/>
        <v>1138.635479685121</v>
      </c>
      <c r="C176" s="4">
        <f t="shared" si="7"/>
        <v>13.252499431705957</v>
      </c>
      <c r="D176" s="3">
        <v>2190.5267385958505</v>
      </c>
      <c r="E176" s="1">
        <v>0</v>
      </c>
      <c r="F176" s="4">
        <f t="shared" si="8"/>
        <v>1785.2230909159362</v>
      </c>
    </row>
    <row r="177" spans="1:6" x14ac:dyDescent="0.25">
      <c r="A177" s="1">
        <v>171</v>
      </c>
      <c r="B177" s="3">
        <f t="shared" si="6"/>
        <v>1138.635479685121</v>
      </c>
      <c r="C177" s="4">
        <f t="shared" si="7"/>
        <v>5.9507436363864539</v>
      </c>
      <c r="D177" s="3">
        <v>2203.3048112376591</v>
      </c>
      <c r="E177" s="1">
        <v>0</v>
      </c>
      <c r="F177" s="4">
        <f t="shared" si="8"/>
        <v>-418.08172032172297</v>
      </c>
    </row>
    <row r="178" spans="1:6" x14ac:dyDescent="0.25">
      <c r="A178" s="1">
        <v>172</v>
      </c>
      <c r="B178" s="3">
        <f t="shared" si="6"/>
        <v>1138.635479685121</v>
      </c>
      <c r="C178" s="4">
        <f t="shared" si="7"/>
        <v>-1.3936057344057433</v>
      </c>
      <c r="D178" s="3">
        <v>2216.1574226365456</v>
      </c>
      <c r="E178" s="1">
        <v>0</v>
      </c>
      <c r="F178" s="4">
        <f t="shared" si="8"/>
        <v>-2634.2391429582685</v>
      </c>
    </row>
    <row r="179" spans="1:6" x14ac:dyDescent="0.25">
      <c r="A179" s="1">
        <v>173</v>
      </c>
      <c r="B179" s="3">
        <f t="shared" si="6"/>
        <v>1138.635479685121</v>
      </c>
      <c r="C179" s="4">
        <f t="shared" si="7"/>
        <v>-8.7807971431942295</v>
      </c>
      <c r="D179" s="3">
        <v>2229.0850076019251</v>
      </c>
      <c r="E179" s="1">
        <v>0</v>
      </c>
      <c r="F179" s="4">
        <f t="shared" si="8"/>
        <v>-4863.3241505601936</v>
      </c>
    </row>
    <row r="180" spans="1:6" x14ac:dyDescent="0.25">
      <c r="A180" s="1">
        <v>174</v>
      </c>
      <c r="B180" s="3">
        <f t="shared" si="6"/>
        <v>1138.635479685121</v>
      </c>
      <c r="C180" s="4">
        <f t="shared" si="7"/>
        <v>-16.211080501867315</v>
      </c>
      <c r="D180" s="3">
        <v>2242.0880034796028</v>
      </c>
      <c r="E180" s="1">
        <v>0</v>
      </c>
      <c r="F180" s="4">
        <f t="shared" si="8"/>
        <v>-7105.4121540397964</v>
      </c>
    </row>
    <row r="181" spans="1:6" x14ac:dyDescent="0.25">
      <c r="A181" s="1">
        <v>175</v>
      </c>
      <c r="B181" s="3">
        <f t="shared" si="6"/>
        <v>1138.635479685121</v>
      </c>
      <c r="C181" s="4">
        <f t="shared" si="7"/>
        <v>-23.684707180132655</v>
      </c>
      <c r="D181" s="3">
        <v>2255.1668501665672</v>
      </c>
      <c r="E181" s="1">
        <v>0</v>
      </c>
      <c r="F181" s="4">
        <f t="shared" si="8"/>
        <v>-9360.5790042063636</v>
      </c>
    </row>
    <row r="182" spans="1:6" x14ac:dyDescent="0.25">
      <c r="A182" s="1">
        <v>176</v>
      </c>
      <c r="B182" s="3">
        <f t="shared" si="6"/>
        <v>1138.635479685121</v>
      </c>
      <c r="C182" s="4">
        <f t="shared" si="7"/>
        <v>-31.201930014021215</v>
      </c>
      <c r="D182" s="3">
        <v>2268.3219901258717</v>
      </c>
      <c r="E182" s="1">
        <v>0</v>
      </c>
      <c r="F182" s="4">
        <f t="shared" si="8"/>
        <v>-11628.900994332234</v>
      </c>
    </row>
    <row r="183" spans="1:6" x14ac:dyDescent="0.25">
      <c r="A183" s="1">
        <v>177</v>
      </c>
      <c r="B183" s="3">
        <f t="shared" si="6"/>
        <v>1138.635479685121</v>
      </c>
      <c r="C183" s="4">
        <f t="shared" si="7"/>
        <v>-38.76300331444078</v>
      </c>
      <c r="D183" s="3">
        <v>2281.5538684016065</v>
      </c>
      <c r="E183" s="1">
        <v>0</v>
      </c>
      <c r="F183" s="4">
        <f t="shared" si="8"/>
        <v>-13910.454862733841</v>
      </c>
    </row>
    <row r="184" spans="1:6" x14ac:dyDescent="0.25">
      <c r="A184" s="1">
        <v>178</v>
      </c>
      <c r="B184" s="3">
        <f t="shared" si="6"/>
        <v>1138.635479685121</v>
      </c>
      <c r="C184" s="4">
        <f t="shared" si="7"/>
        <v>-46.368182875779475</v>
      </c>
      <c r="D184" s="3">
        <v>2294.8629326339487</v>
      </c>
      <c r="E184" s="1">
        <v>0</v>
      </c>
      <c r="F184" s="4">
        <f t="shared" si="8"/>
        <v>-16205.31779536779</v>
      </c>
    </row>
    <row r="185" spans="1:6" x14ac:dyDescent="0.25">
      <c r="A185" s="1">
        <v>179</v>
      </c>
      <c r="B185" s="3">
        <f t="shared" si="6"/>
        <v>1138.635479685121</v>
      </c>
      <c r="C185" s="4">
        <f t="shared" si="7"/>
        <v>-54.017725984559306</v>
      </c>
      <c r="D185" s="3">
        <v>2308.2496330743143</v>
      </c>
      <c r="E185" s="1">
        <v>0</v>
      </c>
      <c r="F185" s="4">
        <f t="shared" si="8"/>
        <v>-18513.567428442104</v>
      </c>
    </row>
    <row r="186" spans="1:6" x14ac:dyDescent="0.25">
      <c r="A186" s="1">
        <v>180</v>
      </c>
      <c r="B186" s="3">
        <f t="shared" si="6"/>
        <v>1138.635479685121</v>
      </c>
      <c r="C186" s="4">
        <f t="shared" si="7"/>
        <v>-61.711891428140348</v>
      </c>
      <c r="D186" s="3">
        <v>2321.7144226005803</v>
      </c>
      <c r="E186" s="1">
        <v>0</v>
      </c>
      <c r="F186" s="4">
        <f t="shared" si="8"/>
        <v>-20835.281851042684</v>
      </c>
    </row>
    <row r="187" spans="1:6" x14ac:dyDescent="0.25">
      <c r="A187" s="1">
        <v>181</v>
      </c>
      <c r="B187" s="3">
        <f t="shared" si="6"/>
        <v>1138.635479685121</v>
      </c>
      <c r="C187" s="4">
        <f t="shared" si="7"/>
        <v>-69.450939503475624</v>
      </c>
      <c r="D187" s="3">
        <v>2335.257756732417</v>
      </c>
      <c r="E187" s="1">
        <v>0</v>
      </c>
      <c r="F187" s="4">
        <f t="shared" si="8"/>
        <v>-23170.539607775099</v>
      </c>
    </row>
    <row r="188" spans="1:6" x14ac:dyDescent="0.25">
      <c r="A188" s="1">
        <v>182</v>
      </c>
      <c r="B188" s="3">
        <f t="shared" si="6"/>
        <v>1138.635479685121</v>
      </c>
      <c r="C188" s="4">
        <f t="shared" si="7"/>
        <v>-77.235132025916997</v>
      </c>
      <c r="D188" s="3">
        <v>2348.8800936466896</v>
      </c>
      <c r="E188" s="1">
        <v>0</v>
      </c>
      <c r="F188" s="4">
        <f t="shared" si="8"/>
        <v>-25519.41970142179</v>
      </c>
    </row>
    <row r="189" spans="1:6" x14ac:dyDescent="0.25">
      <c r="A189" s="1">
        <v>183</v>
      </c>
      <c r="B189" s="3">
        <f t="shared" si="6"/>
        <v>1138.635479685121</v>
      </c>
      <c r="C189" s="4">
        <f t="shared" si="7"/>
        <v>-85.064732338072645</v>
      </c>
      <c r="D189" s="3">
        <v>2362.581894192962</v>
      </c>
      <c r="E189" s="1">
        <v>0</v>
      </c>
      <c r="F189" s="4">
        <f t="shared" si="8"/>
        <v>-27882.001595614751</v>
      </c>
    </row>
    <row r="190" spans="1:6" x14ac:dyDescent="0.25">
      <c r="A190" s="1">
        <v>184</v>
      </c>
      <c r="B190" s="3">
        <f t="shared" si="6"/>
        <v>1138.635479685121</v>
      </c>
      <c r="C190" s="4">
        <f t="shared" si="7"/>
        <v>-92.940005318715848</v>
      </c>
      <c r="D190" s="3">
        <v>2376.3636219090877</v>
      </c>
      <c r="E190" s="1">
        <v>0</v>
      </c>
      <c r="F190" s="4">
        <f t="shared" si="8"/>
        <v>-30258.365217523839</v>
      </c>
    </row>
    <row r="191" spans="1:6" x14ac:dyDescent="0.25">
      <c r="A191" s="1">
        <v>185</v>
      </c>
      <c r="B191" s="3">
        <f t="shared" si="6"/>
        <v>1138.635479685121</v>
      </c>
      <c r="C191" s="4">
        <f t="shared" si="7"/>
        <v>-100.86121739174614</v>
      </c>
      <c r="D191" s="3">
        <v>2390.22574303689</v>
      </c>
      <c r="E191" s="1">
        <v>0</v>
      </c>
      <c r="F191" s="4">
        <f t="shared" si="8"/>
        <v>-32648.59096056073</v>
      </c>
    </row>
    <row r="192" spans="1:6" x14ac:dyDescent="0.25">
      <c r="A192" s="1">
        <v>186</v>
      </c>
      <c r="B192" s="3">
        <f t="shared" si="6"/>
        <v>1138.635479685121</v>
      </c>
      <c r="C192" s="4">
        <f t="shared" si="7"/>
        <v>-108.82863653520243</v>
      </c>
      <c r="D192" s="3">
        <v>2404.1687265379387</v>
      </c>
      <c r="E192" s="1">
        <v>0</v>
      </c>
      <c r="F192" s="4">
        <f t="shared" si="8"/>
        <v>-35052.759687098667</v>
      </c>
    </row>
    <row r="193" spans="1:6" x14ac:dyDescent="0.25">
      <c r="A193" s="1">
        <v>187</v>
      </c>
      <c r="B193" s="3">
        <f t="shared" si="6"/>
        <v>1138.635479685121</v>
      </c>
      <c r="C193" s="4">
        <f t="shared" si="7"/>
        <v>-116.8425322903289</v>
      </c>
      <c r="D193" s="3">
        <v>2418.19304410941</v>
      </c>
      <c r="E193" s="1">
        <v>0</v>
      </c>
      <c r="F193" s="4">
        <f t="shared" si="8"/>
        <v>-37470.952731208075</v>
      </c>
    </row>
    <row r="194" spans="1:6" x14ac:dyDescent="0.25">
      <c r="A194" s="1">
        <v>188</v>
      </c>
      <c r="B194" s="3">
        <f t="shared" si="6"/>
        <v>1138.635479685121</v>
      </c>
      <c r="C194" s="4">
        <f t="shared" si="7"/>
        <v>-124.90317577069359</v>
      </c>
      <c r="D194" s="3">
        <v>2432.2991702000481</v>
      </c>
      <c r="E194" s="1">
        <v>0</v>
      </c>
      <c r="F194" s="4">
        <f t="shared" si="8"/>
        <v>-39903.251901408126</v>
      </c>
    </row>
    <row r="195" spans="1:6" x14ac:dyDescent="0.25">
      <c r="A195" s="1">
        <v>189</v>
      </c>
      <c r="B195" s="3">
        <f t="shared" si="6"/>
        <v>1138.635479685121</v>
      </c>
      <c r="C195" s="4">
        <f t="shared" si="7"/>
        <v>-133.01083967136043</v>
      </c>
      <c r="D195" s="3">
        <v>2446.487582026215</v>
      </c>
      <c r="E195" s="1">
        <v>0</v>
      </c>
      <c r="F195" s="4">
        <f t="shared" si="8"/>
        <v>-42349.739483434343</v>
      </c>
    </row>
    <row r="196" spans="1:6" x14ac:dyDescent="0.25">
      <c r="A196" s="1">
        <v>190</v>
      </c>
      <c r="B196" s="3">
        <f t="shared" si="6"/>
        <v>1138.635479685121</v>
      </c>
      <c r="C196" s="4">
        <f t="shared" si="7"/>
        <v>-141.16579827811449</v>
      </c>
      <c r="D196" s="3">
        <v>2460.7587595880341</v>
      </c>
      <c r="E196" s="1">
        <v>0</v>
      </c>
      <c r="F196" s="4">
        <f t="shared" si="8"/>
        <v>-44810.498243022375</v>
      </c>
    </row>
    <row r="197" spans="1:6" x14ac:dyDescent="0.25">
      <c r="A197" s="1">
        <v>191</v>
      </c>
      <c r="B197" s="3">
        <f t="shared" si="6"/>
        <v>1138.635479685121</v>
      </c>
      <c r="C197" s="4">
        <f t="shared" si="7"/>
        <v>-149.36832747674126</v>
      </c>
      <c r="D197" s="3">
        <v>2475.1131856856309</v>
      </c>
      <c r="E197" s="1">
        <v>0</v>
      </c>
      <c r="F197" s="4">
        <f t="shared" si="8"/>
        <v>-47285.611428708005</v>
      </c>
    </row>
    <row r="198" spans="1:6" x14ac:dyDescent="0.25">
      <c r="A198" s="1">
        <v>192</v>
      </c>
      <c r="B198" s="3">
        <f t="shared" si="6"/>
        <v>1138.635479685121</v>
      </c>
      <c r="C198" s="4">
        <f t="shared" si="7"/>
        <v>-157.61870476236004</v>
      </c>
      <c r="D198" s="3">
        <v>2489.5513459354634</v>
      </c>
      <c r="E198" s="1">
        <v>0</v>
      </c>
      <c r="F198" s="4">
        <f t="shared" si="8"/>
        <v>-49775.162774643468</v>
      </c>
    </row>
    <row r="199" spans="1:6" x14ac:dyDescent="0.25">
      <c r="A199" s="1">
        <v>193</v>
      </c>
      <c r="B199" s="3">
        <f t="shared" si="6"/>
        <v>1138.635479685121</v>
      </c>
      <c r="C199" s="4">
        <f t="shared" si="7"/>
        <v>-165.91720924881156</v>
      </c>
      <c r="D199" s="3">
        <v>2504.0737287867532</v>
      </c>
      <c r="E199" s="1">
        <v>0</v>
      </c>
      <c r="F199" s="4">
        <f t="shared" si="8"/>
        <v>-52279.23650343022</v>
      </c>
    </row>
    <row r="200" spans="1:6" x14ac:dyDescent="0.25">
      <c r="A200" s="1">
        <v>194</v>
      </c>
      <c r="B200" s="3">
        <f t="shared" ref="B200:B263" si="9">PMT($C$2/12,$C$3,-$C$1)</f>
        <v>1138.635479685121</v>
      </c>
      <c r="C200" s="4">
        <f t="shared" ref="C200:C263" si="10">F199*($C$2/12)</f>
        <v>-174.26412167810074</v>
      </c>
      <c r="D200" s="3">
        <v>2518.6808255380101</v>
      </c>
      <c r="E200" s="1">
        <v>0</v>
      </c>
      <c r="F200" s="4">
        <f t="shared" ref="F200:F263" si="11">F199-D200</f>
        <v>-54797.917328968229</v>
      </c>
    </row>
    <row r="201" spans="1:6" x14ac:dyDescent="0.25">
      <c r="A201" s="1">
        <v>195</v>
      </c>
      <c r="B201" s="3">
        <f t="shared" si="9"/>
        <v>1138.635479685121</v>
      </c>
      <c r="C201" s="4">
        <f t="shared" si="10"/>
        <v>-182.65972442989411</v>
      </c>
      <c r="D201" s="3">
        <v>2533.3731303536479</v>
      </c>
      <c r="E201" s="1">
        <v>0</v>
      </c>
      <c r="F201" s="4">
        <f t="shared" si="11"/>
        <v>-57331.290459321877</v>
      </c>
    </row>
    <row r="202" spans="1:6" x14ac:dyDescent="0.25">
      <c r="A202" s="1">
        <v>196</v>
      </c>
      <c r="B202" s="3">
        <f t="shared" si="9"/>
        <v>1138.635479685121</v>
      </c>
      <c r="C202" s="4">
        <f t="shared" si="10"/>
        <v>-191.10430153107293</v>
      </c>
      <c r="D202" s="3">
        <v>2548.1511402807109</v>
      </c>
      <c r="E202" s="1">
        <v>0</v>
      </c>
      <c r="F202" s="4">
        <f t="shared" si="11"/>
        <v>-59879.441599602585</v>
      </c>
    </row>
    <row r="203" spans="1:6" x14ac:dyDescent="0.25">
      <c r="A203" s="1">
        <v>197</v>
      </c>
      <c r="B203" s="3">
        <f t="shared" si="9"/>
        <v>1138.635479685121</v>
      </c>
      <c r="C203" s="4">
        <f t="shared" si="10"/>
        <v>-199.59813866534196</v>
      </c>
      <c r="D203" s="3">
        <v>2563.015355265682</v>
      </c>
      <c r="E203" s="1">
        <v>0</v>
      </c>
      <c r="F203" s="4">
        <f t="shared" si="11"/>
        <v>-62442.45695486827</v>
      </c>
    </row>
    <row r="204" spans="1:6" x14ac:dyDescent="0.25">
      <c r="A204" s="1">
        <v>198</v>
      </c>
      <c r="B204" s="3">
        <f t="shared" si="9"/>
        <v>1138.635479685121</v>
      </c>
      <c r="C204" s="4">
        <f t="shared" si="10"/>
        <v>-208.14152318289425</v>
      </c>
      <c r="D204" s="3">
        <v>2577.9662781713987</v>
      </c>
      <c r="E204" s="1">
        <v>0</v>
      </c>
      <c r="F204" s="4">
        <f t="shared" si="11"/>
        <v>-65020.42323303967</v>
      </c>
    </row>
    <row r="205" spans="1:6" x14ac:dyDescent="0.25">
      <c r="A205" s="1">
        <v>199</v>
      </c>
      <c r="B205" s="3">
        <f t="shared" si="9"/>
        <v>1138.635479685121</v>
      </c>
      <c r="C205" s="4">
        <f t="shared" si="10"/>
        <v>-216.73474411013225</v>
      </c>
      <c r="D205" s="3">
        <v>2593.0044147940653</v>
      </c>
      <c r="E205" s="1">
        <v>0</v>
      </c>
      <c r="F205" s="4">
        <f t="shared" si="11"/>
        <v>-67613.427647833742</v>
      </c>
    </row>
    <row r="206" spans="1:6" x14ac:dyDescent="0.25">
      <c r="A206" s="1">
        <v>200</v>
      </c>
      <c r="B206" s="3">
        <f t="shared" si="9"/>
        <v>1138.635479685121</v>
      </c>
      <c r="C206" s="4">
        <f t="shared" si="10"/>
        <v>-225.37809215944583</v>
      </c>
      <c r="D206" s="3">
        <v>2608.1302738803638</v>
      </c>
      <c r="E206" s="1">
        <v>0</v>
      </c>
      <c r="F206" s="4">
        <f t="shared" si="11"/>
        <v>-70221.557921714106</v>
      </c>
    </row>
    <row r="207" spans="1:6" x14ac:dyDescent="0.25">
      <c r="A207" s="1">
        <v>201</v>
      </c>
      <c r="B207" s="3">
        <f t="shared" si="9"/>
        <v>1138.635479685121</v>
      </c>
      <c r="C207" s="4">
        <f t="shared" si="10"/>
        <v>-234.07185973904703</v>
      </c>
      <c r="D207" s="3">
        <v>2623.3443671446657</v>
      </c>
      <c r="E207" s="1">
        <v>0</v>
      </c>
      <c r="F207" s="4">
        <f t="shared" si="11"/>
        <v>-72844.902288858779</v>
      </c>
    </row>
    <row r="208" spans="1:6" x14ac:dyDescent="0.25">
      <c r="A208" s="1">
        <v>202</v>
      </c>
      <c r="B208" s="3">
        <f t="shared" si="9"/>
        <v>1138.635479685121</v>
      </c>
      <c r="C208" s="4">
        <f t="shared" si="10"/>
        <v>-242.81634096286263</v>
      </c>
      <c r="D208" s="3">
        <v>2638.6472092863428</v>
      </c>
      <c r="E208" s="1">
        <v>0</v>
      </c>
      <c r="F208" s="4">
        <f t="shared" si="11"/>
        <v>-75483.549498145119</v>
      </c>
    </row>
    <row r="209" spans="1:6" x14ac:dyDescent="0.25">
      <c r="A209" s="1">
        <v>203</v>
      </c>
      <c r="B209" s="3">
        <f t="shared" si="9"/>
        <v>1138.635479685121</v>
      </c>
      <c r="C209" s="4">
        <f t="shared" si="10"/>
        <v>-251.61183166048374</v>
      </c>
      <c r="D209" s="3">
        <v>2654.0393180071796</v>
      </c>
      <c r="E209" s="1">
        <v>0</v>
      </c>
      <c r="F209" s="4">
        <f t="shared" si="11"/>
        <v>-78137.588816152303</v>
      </c>
    </row>
    <row r="210" spans="1:6" x14ac:dyDescent="0.25">
      <c r="A210" s="1">
        <v>204</v>
      </c>
      <c r="B210" s="3">
        <f t="shared" si="9"/>
        <v>1138.635479685121</v>
      </c>
      <c r="C210" s="4">
        <f t="shared" si="10"/>
        <v>-260.45862938717437</v>
      </c>
      <c r="D210" s="3">
        <v>2669.5212140288882</v>
      </c>
      <c r="E210" s="1">
        <v>0</v>
      </c>
      <c r="F210" s="4">
        <f t="shared" si="11"/>
        <v>-80807.110030181197</v>
      </c>
    </row>
    <row r="211" spans="1:6" x14ac:dyDescent="0.25">
      <c r="A211" s="1">
        <v>205</v>
      </c>
      <c r="B211" s="3">
        <f t="shared" si="9"/>
        <v>1138.635479685121</v>
      </c>
      <c r="C211" s="4">
        <f t="shared" si="10"/>
        <v>-269.35703343393732</v>
      </c>
      <c r="D211" s="3">
        <v>2685.0934211107237</v>
      </c>
      <c r="E211" s="1">
        <v>0</v>
      </c>
      <c r="F211" s="4">
        <f t="shared" si="11"/>
        <v>-83492.20345129192</v>
      </c>
    </row>
    <row r="212" spans="1:6" x14ac:dyDescent="0.25">
      <c r="A212" s="1">
        <v>206</v>
      </c>
      <c r="B212" s="3">
        <f t="shared" si="9"/>
        <v>1138.635479685121</v>
      </c>
      <c r="C212" s="4">
        <f t="shared" si="10"/>
        <v>-278.30734483763973</v>
      </c>
      <c r="D212" s="3">
        <v>2700.7564660672033</v>
      </c>
      <c r="E212" s="1">
        <v>0</v>
      </c>
      <c r="F212" s="4">
        <f t="shared" si="11"/>
        <v>-86192.959917359127</v>
      </c>
    </row>
    <row r="213" spans="1:6" x14ac:dyDescent="0.25">
      <c r="A213" s="1">
        <v>207</v>
      </c>
      <c r="B213" s="3">
        <f t="shared" si="9"/>
        <v>1138.635479685121</v>
      </c>
      <c r="C213" s="4">
        <f t="shared" si="10"/>
        <v>-287.30986639119709</v>
      </c>
      <c r="D213" s="3">
        <v>2716.5108787859281</v>
      </c>
      <c r="E213" s="1">
        <v>0</v>
      </c>
      <c r="F213" s="4">
        <f t="shared" si="11"/>
        <v>-88909.470796145062</v>
      </c>
    </row>
    <row r="214" spans="1:6" x14ac:dyDescent="0.25">
      <c r="A214" s="1">
        <v>208</v>
      </c>
      <c r="B214" s="3">
        <f t="shared" si="9"/>
        <v>1138.635479685121</v>
      </c>
      <c r="C214" s="4">
        <f t="shared" si="10"/>
        <v>-296.3649026538169</v>
      </c>
      <c r="D214" s="3">
        <v>2732.357192245513</v>
      </c>
      <c r="E214" s="1">
        <v>0</v>
      </c>
      <c r="F214" s="4">
        <f t="shared" si="11"/>
        <v>-91641.827988390578</v>
      </c>
    </row>
    <row r="215" spans="1:6" x14ac:dyDescent="0.25">
      <c r="A215" s="1">
        <v>209</v>
      </c>
      <c r="B215" s="3">
        <f t="shared" si="9"/>
        <v>1138.635479685121</v>
      </c>
      <c r="C215" s="4">
        <f t="shared" si="10"/>
        <v>-305.47275996130196</v>
      </c>
      <c r="D215" s="3">
        <v>2748.2959425336121</v>
      </c>
      <c r="E215" s="1">
        <v>0</v>
      </c>
      <c r="F215" s="4">
        <f t="shared" si="11"/>
        <v>-94390.123930924194</v>
      </c>
    </row>
    <row r="216" spans="1:6" x14ac:dyDescent="0.25">
      <c r="A216" s="1">
        <v>210</v>
      </c>
      <c r="B216" s="3">
        <f t="shared" si="9"/>
        <v>1138.635479685121</v>
      </c>
      <c r="C216" s="4">
        <f t="shared" si="10"/>
        <v>-314.63374643641401</v>
      </c>
      <c r="D216" s="3">
        <v>2764.3276688650585</v>
      </c>
      <c r="E216" s="1">
        <v>0</v>
      </c>
      <c r="F216" s="4">
        <f t="shared" si="11"/>
        <v>-97154.451599789259</v>
      </c>
    </row>
    <row r="217" spans="1:6" x14ac:dyDescent="0.25">
      <c r="A217" s="1">
        <v>211</v>
      </c>
      <c r="B217" s="3">
        <f t="shared" si="9"/>
        <v>1138.635479685121</v>
      </c>
      <c r="C217" s="4">
        <f t="shared" si="10"/>
        <v>-323.84817199929756</v>
      </c>
      <c r="D217" s="3">
        <v>2780.4529136001047</v>
      </c>
      <c r="E217" s="1">
        <v>0</v>
      </c>
      <c r="F217" s="4">
        <f t="shared" si="11"/>
        <v>-99934.904513389367</v>
      </c>
    </row>
    <row r="218" spans="1:6" x14ac:dyDescent="0.25">
      <c r="A218" s="1">
        <v>212</v>
      </c>
      <c r="B218" s="3">
        <f t="shared" si="9"/>
        <v>1138.635479685121</v>
      </c>
      <c r="C218" s="4">
        <f t="shared" si="10"/>
        <v>-333.11634837796458</v>
      </c>
      <c r="D218" s="3">
        <v>2796.6722222627723</v>
      </c>
      <c r="E218" s="1">
        <v>0</v>
      </c>
      <c r="F218" s="4">
        <f t="shared" si="11"/>
        <v>-102731.57673565214</v>
      </c>
    </row>
    <row r="219" spans="1:6" x14ac:dyDescent="0.25">
      <c r="A219" s="1">
        <v>213</v>
      </c>
      <c r="B219" s="3">
        <f t="shared" si="9"/>
        <v>1138.635479685121</v>
      </c>
      <c r="C219" s="4">
        <f t="shared" si="10"/>
        <v>-342.43858911884047</v>
      </c>
      <c r="D219" s="3">
        <v>2812.9861435593048</v>
      </c>
      <c r="E219" s="1">
        <v>0</v>
      </c>
      <c r="F219" s="4">
        <f t="shared" si="11"/>
        <v>-105544.56287921144</v>
      </c>
    </row>
    <row r="220" spans="1:6" x14ac:dyDescent="0.25">
      <c r="A220" s="1">
        <v>214</v>
      </c>
      <c r="B220" s="3">
        <f t="shared" si="9"/>
        <v>1138.635479685121</v>
      </c>
      <c r="C220" s="4">
        <f t="shared" si="10"/>
        <v>-351.81520959737151</v>
      </c>
      <c r="D220" s="3">
        <v>2829.3952293967341</v>
      </c>
      <c r="E220" s="1">
        <v>0</v>
      </c>
      <c r="F220" s="4">
        <f t="shared" si="11"/>
        <v>-108373.95810860817</v>
      </c>
    </row>
    <row r="221" spans="1:6" x14ac:dyDescent="0.25">
      <c r="A221" s="1">
        <v>215</v>
      </c>
      <c r="B221" s="3">
        <f t="shared" si="9"/>
        <v>1138.635479685121</v>
      </c>
      <c r="C221" s="4">
        <f t="shared" si="10"/>
        <v>-361.24652702869395</v>
      </c>
      <c r="D221" s="3">
        <v>2845.9000349015487</v>
      </c>
      <c r="E221" s="1">
        <v>0</v>
      </c>
      <c r="F221" s="4">
        <f t="shared" si="11"/>
        <v>-111219.85814350973</v>
      </c>
    </row>
    <row r="222" spans="1:6" x14ac:dyDescent="0.25">
      <c r="A222" s="1">
        <v>216</v>
      </c>
      <c r="B222" s="3">
        <f t="shared" si="9"/>
        <v>1138.635479685121</v>
      </c>
      <c r="C222" s="4">
        <f t="shared" si="10"/>
        <v>-370.73286047836581</v>
      </c>
      <c r="D222" s="3">
        <v>2862.5011184384744</v>
      </c>
      <c r="E222" s="1">
        <v>0</v>
      </c>
      <c r="F222" s="4">
        <f t="shared" si="11"/>
        <v>-114082.35926194821</v>
      </c>
    </row>
    <row r="223" spans="1:6" x14ac:dyDescent="0.25">
      <c r="A223" s="1">
        <v>217</v>
      </c>
      <c r="B223" s="3">
        <f t="shared" si="9"/>
        <v>1138.635479685121</v>
      </c>
      <c r="C223" s="4">
        <f t="shared" si="10"/>
        <v>-380.2745308731607</v>
      </c>
      <c r="D223" s="3">
        <v>2879.1990416293652</v>
      </c>
      <c r="E223" s="1">
        <v>0</v>
      </c>
      <c r="F223" s="4">
        <f t="shared" si="11"/>
        <v>-116961.55830357758</v>
      </c>
    </row>
    <row r="224" spans="1:6" x14ac:dyDescent="0.25">
      <c r="A224" s="1">
        <v>218</v>
      </c>
      <c r="B224" s="3">
        <f t="shared" si="9"/>
        <v>1138.635479685121</v>
      </c>
      <c r="C224" s="4">
        <f t="shared" si="10"/>
        <v>-389.87186101192526</v>
      </c>
      <c r="D224" s="3">
        <v>2895.994369372203</v>
      </c>
      <c r="E224" s="1">
        <v>0</v>
      </c>
      <c r="F224" s="4">
        <f t="shared" si="11"/>
        <v>-119857.55267294978</v>
      </c>
    </row>
    <row r="225" spans="1:6" x14ac:dyDescent="0.25">
      <c r="A225" s="1">
        <v>219</v>
      </c>
      <c r="B225" s="3">
        <f t="shared" si="9"/>
        <v>1138.635479685121</v>
      </c>
      <c r="C225" s="4">
        <f t="shared" si="10"/>
        <v>-399.52517557649929</v>
      </c>
      <c r="D225" s="3">
        <v>2912.887669860208</v>
      </c>
      <c r="E225" s="1">
        <v>0</v>
      </c>
      <c r="F225" s="4">
        <f t="shared" si="11"/>
        <v>-122770.44034280999</v>
      </c>
    </row>
    <row r="226" spans="1:6" x14ac:dyDescent="0.25">
      <c r="A226" s="1">
        <v>220</v>
      </c>
      <c r="B226" s="3">
        <f t="shared" si="9"/>
        <v>1138.635479685121</v>
      </c>
      <c r="C226" s="4">
        <f t="shared" si="10"/>
        <v>-409.23480114270001</v>
      </c>
      <c r="D226" s="3">
        <v>2929.8795146010589</v>
      </c>
      <c r="E226" s="1">
        <v>0</v>
      </c>
      <c r="F226" s="4">
        <f t="shared" si="11"/>
        <v>-125700.31985741104</v>
      </c>
    </row>
    <row r="227" spans="1:6" x14ac:dyDescent="0.25">
      <c r="A227" s="1">
        <v>221</v>
      </c>
      <c r="B227" s="3">
        <f t="shared" si="9"/>
        <v>1138.635479685121</v>
      </c>
      <c r="C227" s="4">
        <f t="shared" si="10"/>
        <v>-419.00106619137017</v>
      </c>
      <c r="D227" s="3">
        <v>2946.9704784362316</v>
      </c>
      <c r="E227" s="1">
        <v>0</v>
      </c>
      <c r="F227" s="4">
        <f t="shared" si="11"/>
        <v>-128647.29033584727</v>
      </c>
    </row>
    <row r="228" spans="1:6" x14ac:dyDescent="0.25">
      <c r="A228" s="1">
        <v>222</v>
      </c>
      <c r="B228" s="3">
        <f t="shared" si="9"/>
        <v>1138.635479685121</v>
      </c>
      <c r="C228" s="4">
        <f t="shared" si="10"/>
        <v>-428.82430111949094</v>
      </c>
      <c r="D228" s="3">
        <v>2964.1611395604432</v>
      </c>
      <c r="E228" s="1">
        <v>0</v>
      </c>
      <c r="F228" s="4">
        <f t="shared" si="11"/>
        <v>-131611.45147540772</v>
      </c>
    </row>
    <row r="229" spans="1:6" x14ac:dyDescent="0.25">
      <c r="A229" s="1">
        <v>223</v>
      </c>
      <c r="B229" s="3">
        <f t="shared" si="9"/>
        <v>1138.635479685121</v>
      </c>
      <c r="C229" s="4">
        <f t="shared" si="10"/>
        <v>-438.70483825135909</v>
      </c>
      <c r="D229" s="3">
        <v>2981.4520795412118</v>
      </c>
      <c r="E229" s="1">
        <v>0</v>
      </c>
      <c r="F229" s="4">
        <f t="shared" si="11"/>
        <v>-134592.90355494895</v>
      </c>
    </row>
    <row r="230" spans="1:6" x14ac:dyDescent="0.25">
      <c r="A230" s="1">
        <v>224</v>
      </c>
      <c r="B230" s="3">
        <f t="shared" si="9"/>
        <v>1138.635479685121</v>
      </c>
      <c r="C230" s="4">
        <f t="shared" si="10"/>
        <v>-448.64301184982986</v>
      </c>
      <c r="D230" s="3">
        <v>2998.8438833385353</v>
      </c>
      <c r="E230" s="1">
        <v>0</v>
      </c>
      <c r="F230" s="4">
        <f t="shared" si="11"/>
        <v>-137591.74743828748</v>
      </c>
    </row>
    <row r="231" spans="1:6" x14ac:dyDescent="0.25">
      <c r="A231" s="1">
        <v>225</v>
      </c>
      <c r="B231" s="3">
        <f t="shared" si="9"/>
        <v>1138.635479685121</v>
      </c>
      <c r="C231" s="4">
        <f t="shared" si="10"/>
        <v>-458.63915812762497</v>
      </c>
      <c r="D231" s="3">
        <v>3016.3371393246766</v>
      </c>
      <c r="E231" s="1">
        <v>0</v>
      </c>
      <c r="F231" s="4">
        <f t="shared" si="11"/>
        <v>-140608.08457761214</v>
      </c>
    </row>
    <row r="232" spans="1:6" x14ac:dyDescent="0.25">
      <c r="A232" s="1">
        <v>226</v>
      </c>
      <c r="B232" s="3">
        <f t="shared" si="9"/>
        <v>1138.635479685121</v>
      </c>
      <c r="C232" s="4">
        <f t="shared" si="10"/>
        <v>-468.69361525870715</v>
      </c>
      <c r="D232" s="3">
        <v>3033.9324393040706</v>
      </c>
      <c r="E232" s="1">
        <v>0</v>
      </c>
      <c r="F232" s="4">
        <f t="shared" si="11"/>
        <v>-143642.01701691622</v>
      </c>
    </row>
    <row r="233" spans="1:6" x14ac:dyDescent="0.25">
      <c r="A233" s="1">
        <v>227</v>
      </c>
      <c r="B233" s="3">
        <f t="shared" si="9"/>
        <v>1138.635479685121</v>
      </c>
      <c r="C233" s="4">
        <f t="shared" si="10"/>
        <v>-478.80672338972073</v>
      </c>
      <c r="D233" s="3">
        <v>3051.6303785333444</v>
      </c>
      <c r="E233" s="1">
        <v>0</v>
      </c>
      <c r="F233" s="4">
        <f t="shared" si="11"/>
        <v>-146693.64739544957</v>
      </c>
    </row>
    <row r="234" spans="1:6" x14ac:dyDescent="0.25">
      <c r="A234" s="1">
        <v>228</v>
      </c>
      <c r="B234" s="3">
        <f t="shared" si="9"/>
        <v>1138.635479685121</v>
      </c>
      <c r="C234" s="4">
        <f t="shared" si="10"/>
        <v>-488.9788246514986</v>
      </c>
      <c r="D234" s="3">
        <v>3069.4315557414557</v>
      </c>
      <c r="E234" s="1">
        <v>0</v>
      </c>
      <c r="F234" s="4">
        <f t="shared" si="11"/>
        <v>-149763.07895119104</v>
      </c>
    </row>
    <row r="235" spans="1:6" x14ac:dyDescent="0.25">
      <c r="A235" s="1">
        <v>229</v>
      </c>
      <c r="B235" s="3">
        <f t="shared" si="9"/>
        <v>1138.635479685121</v>
      </c>
      <c r="C235" s="4">
        <f t="shared" si="10"/>
        <v>-499.21026317063684</v>
      </c>
      <c r="D235" s="3">
        <v>3087.3365731499475</v>
      </c>
      <c r="E235" s="1">
        <v>0</v>
      </c>
      <c r="F235" s="4">
        <f t="shared" si="11"/>
        <v>-152850.41552434099</v>
      </c>
    </row>
    <row r="236" spans="1:6" x14ac:dyDescent="0.25">
      <c r="A236" s="1">
        <v>230</v>
      </c>
      <c r="B236" s="3">
        <f t="shared" si="9"/>
        <v>1138.635479685121</v>
      </c>
      <c r="C236" s="4">
        <f t="shared" si="10"/>
        <v>-509.50138508113668</v>
      </c>
      <c r="D236" s="3">
        <v>3105.3460364933217</v>
      </c>
      <c r="E236" s="1">
        <v>0</v>
      </c>
      <c r="F236" s="4">
        <f t="shared" si="11"/>
        <v>-155955.7615608343</v>
      </c>
    </row>
    <row r="237" spans="1:6" x14ac:dyDescent="0.25">
      <c r="A237" s="1">
        <v>231</v>
      </c>
      <c r="B237" s="3">
        <f t="shared" si="9"/>
        <v>1138.635479685121</v>
      </c>
      <c r="C237" s="4">
        <f t="shared" si="10"/>
        <v>-519.85253853611437</v>
      </c>
      <c r="D237" s="3">
        <v>3123.4605550395327</v>
      </c>
      <c r="E237" s="1">
        <v>0</v>
      </c>
      <c r="F237" s="4">
        <f t="shared" si="11"/>
        <v>-159079.22211587382</v>
      </c>
    </row>
    <row r="238" spans="1:6" x14ac:dyDescent="0.25">
      <c r="A238" s="1">
        <v>232</v>
      </c>
      <c r="B238" s="3">
        <f t="shared" si="9"/>
        <v>1138.635479685121</v>
      </c>
      <c r="C238" s="4">
        <f t="shared" si="10"/>
        <v>-530.26407371957941</v>
      </c>
      <c r="D238" s="3">
        <v>3141.6807416105971</v>
      </c>
      <c r="E238" s="1">
        <v>0</v>
      </c>
      <c r="F238" s="4">
        <f t="shared" si="11"/>
        <v>-162220.90285748441</v>
      </c>
    </row>
    <row r="239" spans="1:6" x14ac:dyDescent="0.25">
      <c r="A239" s="1">
        <v>233</v>
      </c>
      <c r="B239" s="3">
        <f t="shared" si="9"/>
        <v>1138.635479685121</v>
      </c>
      <c r="C239" s="4">
        <f t="shared" si="10"/>
        <v>-540.73634285828143</v>
      </c>
      <c r="D239" s="3">
        <v>3160.0072126033256</v>
      </c>
      <c r="E239" s="1">
        <v>0</v>
      </c>
      <c r="F239" s="4">
        <f t="shared" si="11"/>
        <v>-165380.91007008773</v>
      </c>
    </row>
    <row r="240" spans="1:6" x14ac:dyDescent="0.25">
      <c r="A240" s="1">
        <v>234</v>
      </c>
      <c r="B240" s="3">
        <f t="shared" si="9"/>
        <v>1138.635479685121</v>
      </c>
      <c r="C240" s="4">
        <f t="shared" si="10"/>
        <v>-551.26970023362583</v>
      </c>
      <c r="D240" s="3">
        <v>3178.4405880101785</v>
      </c>
      <c r="E240" s="1">
        <v>0</v>
      </c>
      <c r="F240" s="4">
        <f t="shared" si="11"/>
        <v>-168559.35065809792</v>
      </c>
    </row>
    <row r="241" spans="1:6" x14ac:dyDescent="0.25">
      <c r="A241" s="1">
        <v>235</v>
      </c>
      <c r="B241" s="3">
        <f t="shared" si="9"/>
        <v>1138.635479685121</v>
      </c>
      <c r="C241" s="4">
        <f t="shared" si="10"/>
        <v>-561.86450219365975</v>
      </c>
      <c r="D241" s="3">
        <v>3196.9814914402373</v>
      </c>
      <c r="E241" s="1">
        <v>0</v>
      </c>
      <c r="F241" s="4">
        <f t="shared" si="11"/>
        <v>-171756.33214953815</v>
      </c>
    </row>
    <row r="242" spans="1:6" x14ac:dyDescent="0.25">
      <c r="A242" s="1">
        <v>236</v>
      </c>
      <c r="B242" s="3">
        <f t="shared" si="9"/>
        <v>1138.635479685121</v>
      </c>
      <c r="C242" s="4">
        <f t="shared" si="10"/>
        <v>-572.52110716512721</v>
      </c>
      <c r="D242" s="3">
        <v>3215.6305501403053</v>
      </c>
      <c r="E242" s="1">
        <v>0</v>
      </c>
      <c r="F242" s="4">
        <f t="shared" si="11"/>
        <v>-174971.96269967846</v>
      </c>
    </row>
    <row r="243" spans="1:6" x14ac:dyDescent="0.25">
      <c r="A243" s="1">
        <v>237</v>
      </c>
      <c r="B243" s="3">
        <f t="shared" si="9"/>
        <v>1138.635479685121</v>
      </c>
      <c r="C243" s="4">
        <f t="shared" si="10"/>
        <v>-583.23987566559492</v>
      </c>
      <c r="D243" s="3">
        <v>3234.3883950161235</v>
      </c>
      <c r="E243" s="1">
        <v>0</v>
      </c>
      <c r="F243" s="4">
        <f t="shared" si="11"/>
        <v>-178206.35109469458</v>
      </c>
    </row>
    <row r="244" spans="1:6" x14ac:dyDescent="0.25">
      <c r="A244" s="1">
        <v>238</v>
      </c>
      <c r="B244" s="3">
        <f t="shared" si="9"/>
        <v>1138.635479685121</v>
      </c>
      <c r="C244" s="4">
        <f t="shared" si="10"/>
        <v>-594.02117031564865</v>
      </c>
      <c r="D244" s="3">
        <v>3253.2556606537173</v>
      </c>
      <c r="E244" s="1">
        <v>0</v>
      </c>
      <c r="F244" s="4">
        <f t="shared" si="11"/>
        <v>-181459.6067553483</v>
      </c>
    </row>
    <row r="245" spans="1:6" x14ac:dyDescent="0.25">
      <c r="A245" s="1">
        <v>239</v>
      </c>
      <c r="B245" s="3">
        <f t="shared" si="9"/>
        <v>1138.635479685121</v>
      </c>
      <c r="C245" s="4">
        <f t="shared" si="10"/>
        <v>-604.8653558511611</v>
      </c>
      <c r="D245" s="3">
        <v>3272.2329853408642</v>
      </c>
      <c r="E245" s="1">
        <v>0</v>
      </c>
      <c r="F245" s="4">
        <f t="shared" si="11"/>
        <v>-184731.83974068917</v>
      </c>
    </row>
    <row r="246" spans="1:6" x14ac:dyDescent="0.25">
      <c r="A246" s="1">
        <v>240</v>
      </c>
      <c r="B246" s="3">
        <f t="shared" si="9"/>
        <v>1138.635479685121</v>
      </c>
      <c r="C246" s="4">
        <f t="shared" si="10"/>
        <v>-615.77279913563063</v>
      </c>
      <c r="D246" s="3">
        <v>3291.3210110886857</v>
      </c>
      <c r="E246" s="1">
        <v>0</v>
      </c>
      <c r="F246" s="4">
        <f t="shared" si="11"/>
        <v>-188023.16075177785</v>
      </c>
    </row>
    <row r="247" spans="1:6" x14ac:dyDescent="0.25">
      <c r="A247" s="1">
        <v>241</v>
      </c>
      <c r="B247" s="3">
        <f t="shared" si="9"/>
        <v>1138.635479685121</v>
      </c>
      <c r="C247" s="4">
        <f t="shared" si="10"/>
        <v>-626.74386917259289</v>
      </c>
      <c r="D247" s="3">
        <v>3310.5203836533697</v>
      </c>
      <c r="E247" s="1">
        <v>0</v>
      </c>
      <c r="F247" s="4">
        <f t="shared" si="11"/>
        <v>-191333.68113543122</v>
      </c>
    </row>
    <row r="248" spans="1:6" x14ac:dyDescent="0.25">
      <c r="A248" s="1">
        <v>242</v>
      </c>
      <c r="B248" s="3">
        <f t="shared" si="9"/>
        <v>1138.635479685121</v>
      </c>
      <c r="C248" s="4">
        <f t="shared" si="10"/>
        <v>-637.77893711810407</v>
      </c>
      <c r="D248" s="3">
        <v>3329.8317525580142</v>
      </c>
      <c r="E248" s="1">
        <v>0</v>
      </c>
      <c r="F248" s="4">
        <f t="shared" si="11"/>
        <v>-194663.51288798923</v>
      </c>
    </row>
    <row r="249" spans="1:6" x14ac:dyDescent="0.25">
      <c r="A249" s="1">
        <v>243</v>
      </c>
      <c r="B249" s="3">
        <f t="shared" si="9"/>
        <v>1138.635479685121</v>
      </c>
      <c r="C249" s="4">
        <f t="shared" si="10"/>
        <v>-648.87837629329749</v>
      </c>
      <c r="D249" s="3">
        <v>3349.2557711146023</v>
      </c>
      <c r="E249" s="1">
        <v>0</v>
      </c>
      <c r="F249" s="4">
        <f t="shared" si="11"/>
        <v>-198012.76865910384</v>
      </c>
    </row>
    <row r="250" spans="1:6" x14ac:dyDescent="0.25">
      <c r="A250" s="1">
        <v>244</v>
      </c>
      <c r="B250" s="3">
        <f t="shared" si="9"/>
        <v>1138.635479685121</v>
      </c>
      <c r="C250" s="4">
        <f t="shared" si="10"/>
        <v>-660.04256219701278</v>
      </c>
      <c r="D250" s="3">
        <v>3368.7930964461043</v>
      </c>
      <c r="E250" s="1">
        <v>0</v>
      </c>
      <c r="F250" s="4">
        <f t="shared" si="11"/>
        <v>-201381.56175554995</v>
      </c>
    </row>
    <row r="251" spans="1:6" x14ac:dyDescent="0.25">
      <c r="A251" s="1">
        <v>245</v>
      </c>
      <c r="B251" s="3">
        <f t="shared" si="9"/>
        <v>1138.635479685121</v>
      </c>
      <c r="C251" s="4">
        <f t="shared" si="10"/>
        <v>-671.27187251849989</v>
      </c>
      <c r="D251" s="3">
        <v>3388.4443895087065</v>
      </c>
      <c r="E251" s="1">
        <v>0</v>
      </c>
      <c r="F251" s="4">
        <f t="shared" si="11"/>
        <v>-204770.00614505867</v>
      </c>
    </row>
    <row r="252" spans="1:6" x14ac:dyDescent="0.25">
      <c r="A252" s="1">
        <v>246</v>
      </c>
      <c r="B252" s="3">
        <f t="shared" si="9"/>
        <v>1138.635479685121</v>
      </c>
      <c r="C252" s="4">
        <f t="shared" si="10"/>
        <v>-682.56668715019555</v>
      </c>
      <c r="D252" s="3">
        <v>3408.2103151141741</v>
      </c>
      <c r="E252" s="1">
        <v>0</v>
      </c>
      <c r="F252" s="4">
        <f t="shared" si="11"/>
        <v>-208178.21646017284</v>
      </c>
    </row>
    <row r="253" spans="1:6" x14ac:dyDescent="0.25">
      <c r="A253" s="1">
        <v>247</v>
      </c>
      <c r="B253" s="3">
        <f t="shared" si="9"/>
        <v>1138.635479685121</v>
      </c>
      <c r="C253" s="4">
        <f t="shared" si="10"/>
        <v>-693.92738820057616</v>
      </c>
      <c r="D253" s="3">
        <v>3428.0915419523394</v>
      </c>
      <c r="E253" s="1">
        <v>0</v>
      </c>
      <c r="F253" s="4">
        <f t="shared" si="11"/>
        <v>-211606.30800212518</v>
      </c>
    </row>
    <row r="254" spans="1:6" x14ac:dyDescent="0.25">
      <c r="A254" s="1">
        <v>248</v>
      </c>
      <c r="B254" s="3">
        <f t="shared" si="9"/>
        <v>1138.635479685121</v>
      </c>
      <c r="C254" s="4">
        <f t="shared" si="10"/>
        <v>-705.35436000708398</v>
      </c>
      <c r="D254" s="3">
        <v>3448.0887426137283</v>
      </c>
      <c r="E254" s="1">
        <v>0</v>
      </c>
      <c r="F254" s="4">
        <f t="shared" si="11"/>
        <v>-215054.39674473892</v>
      </c>
    </row>
    <row r="255" spans="1:6" x14ac:dyDescent="0.25">
      <c r="A255" s="1">
        <v>249</v>
      </c>
      <c r="B255" s="3">
        <f t="shared" si="9"/>
        <v>1138.635479685121</v>
      </c>
      <c r="C255" s="4">
        <f t="shared" si="10"/>
        <v>-716.84798914912972</v>
      </c>
      <c r="D255" s="3">
        <v>3468.2025936123082</v>
      </c>
      <c r="E255" s="1">
        <v>0</v>
      </c>
      <c r="F255" s="4">
        <f t="shared" si="11"/>
        <v>-218522.59933835123</v>
      </c>
    </row>
    <row r="256" spans="1:6" x14ac:dyDescent="0.25">
      <c r="A256" s="1">
        <v>250</v>
      </c>
      <c r="B256" s="3">
        <f t="shared" si="9"/>
        <v>1138.635479685121</v>
      </c>
      <c r="C256" s="4">
        <f t="shared" si="10"/>
        <v>-728.40866446117082</v>
      </c>
      <c r="D256" s="3">
        <v>3488.4337754083795</v>
      </c>
      <c r="E256" s="1">
        <v>0</v>
      </c>
      <c r="F256" s="4">
        <f t="shared" si="11"/>
        <v>-222011.03311375959</v>
      </c>
    </row>
    <row r="257" spans="1:6" x14ac:dyDescent="0.25">
      <c r="A257" s="1">
        <v>251</v>
      </c>
      <c r="B257" s="3">
        <f t="shared" si="9"/>
        <v>1138.635479685121</v>
      </c>
      <c r="C257" s="4">
        <f t="shared" si="10"/>
        <v>-740.03677704586539</v>
      </c>
      <c r="D257" s="3">
        <v>3508.7829724315952</v>
      </c>
      <c r="E257" s="1">
        <v>0</v>
      </c>
      <c r="F257" s="4">
        <f t="shared" si="11"/>
        <v>-225519.81608619119</v>
      </c>
    </row>
    <row r="258" spans="1:6" x14ac:dyDescent="0.25">
      <c r="A258" s="1">
        <v>252</v>
      </c>
      <c r="B258" s="3">
        <f t="shared" si="9"/>
        <v>1138.635479685121</v>
      </c>
      <c r="C258" s="4">
        <f t="shared" si="10"/>
        <v>-751.73272028730401</v>
      </c>
      <c r="D258" s="3">
        <v>3529.250873104113</v>
      </c>
      <c r="E258" s="1">
        <v>0</v>
      </c>
      <c r="F258" s="4">
        <f t="shared" si="11"/>
        <v>-229049.06695929531</v>
      </c>
    </row>
    <row r="259" spans="1:6" x14ac:dyDescent="0.25">
      <c r="A259" s="1">
        <v>253</v>
      </c>
      <c r="B259" s="3">
        <f t="shared" si="9"/>
        <v>1138.635479685121</v>
      </c>
      <c r="C259" s="4">
        <f t="shared" si="10"/>
        <v>-763.49688986431772</v>
      </c>
      <c r="D259" s="3">
        <v>3549.8381698638868</v>
      </c>
      <c r="E259" s="1">
        <v>0</v>
      </c>
      <c r="F259" s="4">
        <f t="shared" si="11"/>
        <v>-232598.90512915919</v>
      </c>
    </row>
    <row r="260" spans="1:6" x14ac:dyDescent="0.25">
      <c r="A260" s="1">
        <v>254</v>
      </c>
      <c r="B260" s="3">
        <f t="shared" si="9"/>
        <v>1138.635479685121</v>
      </c>
      <c r="C260" s="4">
        <f t="shared" si="10"/>
        <v>-775.32968376386407</v>
      </c>
      <c r="D260" s="3">
        <v>3570.5455591880932</v>
      </c>
      <c r="E260" s="1">
        <v>0</v>
      </c>
      <c r="F260" s="4">
        <f t="shared" si="11"/>
        <v>-236169.45068834728</v>
      </c>
    </row>
    <row r="261" spans="1:6" x14ac:dyDescent="0.25">
      <c r="A261" s="1">
        <v>255</v>
      </c>
      <c r="B261" s="3">
        <f t="shared" si="9"/>
        <v>1138.635479685121</v>
      </c>
      <c r="C261" s="4">
        <f t="shared" si="10"/>
        <v>-787.23150229449095</v>
      </c>
      <c r="D261" s="3">
        <v>3591.3737416166905</v>
      </c>
      <c r="E261" s="1">
        <v>0</v>
      </c>
      <c r="F261" s="4">
        <f t="shared" si="11"/>
        <v>-239760.82442996398</v>
      </c>
    </row>
    <row r="262" spans="1:6" x14ac:dyDescent="0.25">
      <c r="A262" s="1">
        <v>256</v>
      </c>
      <c r="B262" s="3">
        <f t="shared" si="9"/>
        <v>1138.635479685121</v>
      </c>
      <c r="C262" s="4">
        <f t="shared" si="10"/>
        <v>-799.20274809987995</v>
      </c>
      <c r="D262" s="3">
        <v>3612.323421776121</v>
      </c>
      <c r="E262" s="1">
        <v>0</v>
      </c>
      <c r="F262" s="4">
        <f t="shared" si="11"/>
        <v>-243373.1478517401</v>
      </c>
    </row>
    <row r="263" spans="1:6" x14ac:dyDescent="0.25">
      <c r="A263" s="1">
        <v>257</v>
      </c>
      <c r="B263" s="3">
        <f t="shared" si="9"/>
        <v>1138.635479685121</v>
      </c>
      <c r="C263" s="4">
        <f t="shared" si="10"/>
        <v>-811.24382617246704</v>
      </c>
      <c r="D263" s="3">
        <v>3633.3953084031486</v>
      </c>
      <c r="E263" s="1">
        <v>0</v>
      </c>
      <c r="F263" s="4">
        <f t="shared" si="11"/>
        <v>-247006.54316014325</v>
      </c>
    </row>
    <row r="264" spans="1:6" x14ac:dyDescent="0.25">
      <c r="A264" s="1">
        <v>258</v>
      </c>
      <c r="B264" s="3">
        <f t="shared" ref="B264:B327" si="12">PMT($C$2/12,$C$3,-$C$1)</f>
        <v>1138.635479685121</v>
      </c>
      <c r="C264" s="4">
        <f t="shared" ref="C264:C327" si="13">F263*($C$2/12)</f>
        <v>-823.35514386714419</v>
      </c>
      <c r="D264" s="3">
        <v>3654.5901143688334</v>
      </c>
      <c r="E264" s="1">
        <v>0</v>
      </c>
      <c r="F264" s="4">
        <f t="shared" ref="F264:F327" si="14">F263-D264</f>
        <v>-250661.13327451207</v>
      </c>
    </row>
    <row r="265" spans="1:6" x14ac:dyDescent="0.25">
      <c r="A265" s="1">
        <v>259</v>
      </c>
      <c r="B265" s="3">
        <f t="shared" si="12"/>
        <v>1138.635479685121</v>
      </c>
      <c r="C265" s="4">
        <f t="shared" si="13"/>
        <v>-835.53711091504033</v>
      </c>
      <c r="D265" s="3">
        <v>3675.9085567026514</v>
      </c>
      <c r="E265" s="1">
        <v>0</v>
      </c>
      <c r="F265" s="4">
        <f t="shared" si="14"/>
        <v>-254337.04183121474</v>
      </c>
    </row>
    <row r="266" spans="1:6" x14ac:dyDescent="0.25">
      <c r="A266" s="1">
        <v>260</v>
      </c>
      <c r="B266" s="3">
        <f t="shared" si="12"/>
        <v>1138.635479685121</v>
      </c>
      <c r="C266" s="4">
        <f t="shared" si="13"/>
        <v>-847.79013943738255</v>
      </c>
      <c r="D266" s="3">
        <v>3697.3513566167503</v>
      </c>
      <c r="E266" s="1">
        <v>0</v>
      </c>
      <c r="F266" s="4">
        <f t="shared" si="14"/>
        <v>-258034.39318783148</v>
      </c>
    </row>
    <row r="267" spans="1:6" x14ac:dyDescent="0.25">
      <c r="A267" s="1">
        <v>261</v>
      </c>
      <c r="B267" s="3">
        <f t="shared" si="12"/>
        <v>1138.635479685121</v>
      </c>
      <c r="C267" s="4">
        <f t="shared" si="13"/>
        <v>-860.11464395943835</v>
      </c>
      <c r="D267" s="3">
        <v>3718.919239530348</v>
      </c>
      <c r="E267" s="1">
        <v>0</v>
      </c>
      <c r="F267" s="4">
        <f t="shared" si="14"/>
        <v>-261753.31242736182</v>
      </c>
    </row>
    <row r="268" spans="1:6" x14ac:dyDescent="0.25">
      <c r="A268" s="1">
        <v>262</v>
      </c>
      <c r="B268" s="3">
        <f t="shared" si="12"/>
        <v>1138.635479685121</v>
      </c>
      <c r="C268" s="4">
        <f t="shared" si="13"/>
        <v>-872.51104142453948</v>
      </c>
      <c r="D268" s="3">
        <v>3740.6129350942751</v>
      </c>
      <c r="E268" s="1">
        <v>0</v>
      </c>
      <c r="F268" s="4">
        <f t="shared" si="14"/>
        <v>-265493.92536245607</v>
      </c>
    </row>
    <row r="269" spans="1:6" x14ac:dyDescent="0.25">
      <c r="A269" s="1">
        <v>263</v>
      </c>
      <c r="B269" s="3">
        <f t="shared" si="12"/>
        <v>1138.635479685121</v>
      </c>
      <c r="C269" s="4">
        <f t="shared" si="13"/>
        <v>-884.97975120818694</v>
      </c>
      <c r="D269" s="3">
        <v>3762.4331772156584</v>
      </c>
      <c r="E269" s="1">
        <v>0</v>
      </c>
      <c r="F269" s="4">
        <f t="shared" si="14"/>
        <v>-269256.35853967175</v>
      </c>
    </row>
    <row r="270" spans="1:6" x14ac:dyDescent="0.25">
      <c r="A270" s="1">
        <v>264</v>
      </c>
      <c r="B270" s="3">
        <f t="shared" si="12"/>
        <v>1138.635479685121</v>
      </c>
      <c r="C270" s="4">
        <f t="shared" si="13"/>
        <v>-897.5211951322392</v>
      </c>
      <c r="D270" s="3">
        <v>3784.3807040827496</v>
      </c>
      <c r="E270" s="1">
        <v>0</v>
      </c>
      <c r="F270" s="4">
        <f t="shared" si="14"/>
        <v>-273040.73924375448</v>
      </c>
    </row>
    <row r="271" spans="1:6" x14ac:dyDescent="0.25">
      <c r="A271" s="1">
        <v>265</v>
      </c>
      <c r="B271" s="3">
        <f t="shared" si="12"/>
        <v>1138.635479685121</v>
      </c>
      <c r="C271" s="4">
        <f t="shared" si="13"/>
        <v>-910.13579747918163</v>
      </c>
      <c r="D271" s="3">
        <v>3806.456258189899</v>
      </c>
      <c r="E271" s="1">
        <v>0</v>
      </c>
      <c r="F271" s="4">
        <f t="shared" si="14"/>
        <v>-276847.1955019444</v>
      </c>
    </row>
    <row r="272" spans="1:6" x14ac:dyDescent="0.25">
      <c r="A272" s="1">
        <v>266</v>
      </c>
      <c r="B272" s="3">
        <f t="shared" si="12"/>
        <v>1138.635479685121</v>
      </c>
      <c r="C272" s="4">
        <f t="shared" si="13"/>
        <v>-922.82398500648139</v>
      </c>
      <c r="D272" s="3">
        <v>3828.6605863626733</v>
      </c>
      <c r="E272" s="1">
        <v>0</v>
      </c>
      <c r="F272" s="4">
        <f t="shared" si="14"/>
        <v>-280675.85608830705</v>
      </c>
    </row>
    <row r="273" spans="1:6" x14ac:dyDescent="0.25">
      <c r="A273" s="1">
        <v>267</v>
      </c>
      <c r="B273" s="3">
        <f t="shared" si="12"/>
        <v>1138.635479685121</v>
      </c>
      <c r="C273" s="4">
        <f t="shared" si="13"/>
        <v>-935.5861869610236</v>
      </c>
      <c r="D273" s="3">
        <v>3850.9944397831223</v>
      </c>
      <c r="E273" s="1">
        <v>0</v>
      </c>
      <c r="F273" s="4">
        <f t="shared" si="14"/>
        <v>-284526.85052809014</v>
      </c>
    </row>
    <row r="274" spans="1:6" x14ac:dyDescent="0.25">
      <c r="A274" s="1">
        <v>268</v>
      </c>
      <c r="B274" s="3">
        <f t="shared" si="12"/>
        <v>1138.635479685121</v>
      </c>
      <c r="C274" s="4">
        <f t="shared" si="13"/>
        <v>-948.42283509363392</v>
      </c>
      <c r="D274" s="3">
        <v>3873.4585740151902</v>
      </c>
      <c r="E274" s="1">
        <v>0</v>
      </c>
      <c r="F274" s="4">
        <f t="shared" si="14"/>
        <v>-288400.30910210533</v>
      </c>
    </row>
    <row r="275" spans="1:6" x14ac:dyDescent="0.25">
      <c r="A275" s="1">
        <v>269</v>
      </c>
      <c r="B275" s="3">
        <f t="shared" si="12"/>
        <v>1138.635479685121</v>
      </c>
      <c r="C275" s="4">
        <f t="shared" si="13"/>
        <v>-961.33436367368449</v>
      </c>
      <c r="D275" s="3">
        <v>3896.0537490302786</v>
      </c>
      <c r="E275" s="1">
        <v>0</v>
      </c>
      <c r="F275" s="4">
        <f t="shared" si="14"/>
        <v>-292296.36285113561</v>
      </c>
    </row>
    <row r="276" spans="1:6" x14ac:dyDescent="0.25">
      <c r="A276" s="1">
        <v>270</v>
      </c>
      <c r="B276" s="3">
        <f t="shared" si="12"/>
        <v>1138.635479685121</v>
      </c>
      <c r="C276" s="4">
        <f t="shared" si="13"/>
        <v>-974.32120950378544</v>
      </c>
      <c r="D276" s="3">
        <v>3918.7807292329553</v>
      </c>
      <c r="E276" s="1">
        <v>0</v>
      </c>
      <c r="F276" s="4">
        <f t="shared" si="14"/>
        <v>-296215.14358036855</v>
      </c>
    </row>
    <row r="277" spans="1:6" x14ac:dyDescent="0.25">
      <c r="A277" s="1">
        <v>271</v>
      </c>
      <c r="B277" s="3">
        <f t="shared" si="12"/>
        <v>1138.635479685121</v>
      </c>
      <c r="C277" s="4">
        <f t="shared" si="13"/>
        <v>-987.38381193456189</v>
      </c>
      <c r="D277" s="3">
        <v>3941.640283486814</v>
      </c>
      <c r="E277" s="1">
        <v>0</v>
      </c>
      <c r="F277" s="4">
        <f t="shared" si="14"/>
        <v>-300156.78386385535</v>
      </c>
    </row>
    <row r="278" spans="1:6" x14ac:dyDescent="0.25">
      <c r="A278" s="1">
        <v>272</v>
      </c>
      <c r="B278" s="3">
        <f t="shared" si="12"/>
        <v>1138.635479685121</v>
      </c>
      <c r="C278" s="4">
        <f t="shared" si="13"/>
        <v>-1000.5226128795179</v>
      </c>
      <c r="D278" s="3">
        <v>3964.6331851404871</v>
      </c>
      <c r="E278" s="1">
        <v>0</v>
      </c>
      <c r="F278" s="4">
        <f t="shared" si="14"/>
        <v>-304121.41704899585</v>
      </c>
    </row>
    <row r="279" spans="1:6" x14ac:dyDescent="0.25">
      <c r="A279" s="1">
        <v>273</v>
      </c>
      <c r="B279" s="3">
        <f t="shared" si="12"/>
        <v>1138.635479685121</v>
      </c>
      <c r="C279" s="4">
        <f t="shared" si="13"/>
        <v>-1013.7380568299862</v>
      </c>
      <c r="D279" s="3">
        <v>3987.7602120538068</v>
      </c>
      <c r="E279" s="1">
        <v>0</v>
      </c>
      <c r="F279" s="4">
        <f t="shared" si="14"/>
        <v>-308109.17726104963</v>
      </c>
    </row>
    <row r="280" spans="1:6" x14ac:dyDescent="0.25">
      <c r="A280" s="1">
        <v>274</v>
      </c>
      <c r="B280" s="3">
        <f t="shared" si="12"/>
        <v>1138.635479685121</v>
      </c>
      <c r="C280" s="4">
        <f t="shared" si="13"/>
        <v>-1027.0305908701655</v>
      </c>
      <c r="D280" s="3">
        <v>4011.0221466241205</v>
      </c>
      <c r="E280" s="1">
        <v>0</v>
      </c>
      <c r="F280" s="4">
        <f t="shared" si="14"/>
        <v>-312120.19940767373</v>
      </c>
    </row>
    <row r="281" spans="1:6" x14ac:dyDescent="0.25">
      <c r="A281" s="1">
        <v>275</v>
      </c>
      <c r="B281" s="3">
        <f t="shared" si="12"/>
        <v>1138.635479685121</v>
      </c>
      <c r="C281" s="4">
        <f t="shared" si="13"/>
        <v>-1040.4006646922458</v>
      </c>
      <c r="D281" s="3">
        <v>4034.4197758127611</v>
      </c>
      <c r="E281" s="1">
        <v>0</v>
      </c>
      <c r="F281" s="4">
        <f t="shared" si="14"/>
        <v>-316154.6191834865</v>
      </c>
    </row>
    <row r="282" spans="1:6" x14ac:dyDescent="0.25">
      <c r="A282" s="1">
        <v>276</v>
      </c>
      <c r="B282" s="3">
        <f t="shared" si="12"/>
        <v>1138.635479685121</v>
      </c>
      <c r="C282" s="4">
        <f t="shared" si="13"/>
        <v>-1053.8487306116217</v>
      </c>
      <c r="D282" s="3">
        <v>4057.9538911716691</v>
      </c>
      <c r="E282" s="1">
        <v>0</v>
      </c>
      <c r="F282" s="4">
        <f t="shared" si="14"/>
        <v>-320212.57307465817</v>
      </c>
    </row>
    <row r="283" spans="1:6" x14ac:dyDescent="0.25">
      <c r="A283" s="1">
        <v>277</v>
      </c>
      <c r="B283" s="3">
        <f t="shared" si="12"/>
        <v>1138.635479685121</v>
      </c>
      <c r="C283" s="4">
        <f t="shared" si="13"/>
        <v>-1067.3752435821939</v>
      </c>
      <c r="D283" s="3">
        <v>4081.6252888701706</v>
      </c>
      <c r="E283" s="1">
        <v>0</v>
      </c>
      <c r="F283" s="4">
        <f t="shared" si="14"/>
        <v>-324294.19836352835</v>
      </c>
    </row>
    <row r="284" spans="1:6" x14ac:dyDescent="0.25">
      <c r="A284" s="1">
        <v>278</v>
      </c>
      <c r="B284" s="3">
        <f t="shared" si="12"/>
        <v>1138.635479685121</v>
      </c>
      <c r="C284" s="4">
        <f t="shared" si="13"/>
        <v>-1080.9806612117613</v>
      </c>
      <c r="D284" s="3">
        <v>4105.4347697219127</v>
      </c>
      <c r="E284" s="1">
        <v>0</v>
      </c>
      <c r="F284" s="4">
        <f t="shared" si="14"/>
        <v>-328399.63313325029</v>
      </c>
    </row>
    <row r="285" spans="1:6" x14ac:dyDescent="0.25">
      <c r="A285" s="1">
        <v>279</v>
      </c>
      <c r="B285" s="3">
        <f t="shared" si="12"/>
        <v>1138.635479685121</v>
      </c>
      <c r="C285" s="4">
        <f t="shared" si="13"/>
        <v>-1094.665443777501</v>
      </c>
      <c r="D285" s="3">
        <v>4129.3831392119573</v>
      </c>
      <c r="E285" s="1">
        <v>0</v>
      </c>
      <c r="F285" s="4">
        <f t="shared" si="14"/>
        <v>-332529.01627246226</v>
      </c>
    </row>
    <row r="286" spans="1:6" x14ac:dyDescent="0.25">
      <c r="A286" s="1">
        <v>280</v>
      </c>
      <c r="B286" s="3">
        <f t="shared" si="12"/>
        <v>1138.635479685121</v>
      </c>
      <c r="C286" s="4">
        <f t="shared" si="13"/>
        <v>-1108.430054241541</v>
      </c>
      <c r="D286" s="3">
        <v>4153.4712075240277</v>
      </c>
      <c r="E286" s="1">
        <v>0</v>
      </c>
      <c r="F286" s="4">
        <f t="shared" si="14"/>
        <v>-336682.48747998627</v>
      </c>
    </row>
    <row r="287" spans="1:6" x14ac:dyDescent="0.25">
      <c r="A287" s="1">
        <v>281</v>
      </c>
      <c r="B287" s="3">
        <f t="shared" si="12"/>
        <v>1138.635479685121</v>
      </c>
      <c r="C287" s="4">
        <f t="shared" si="13"/>
        <v>-1122.2749582666211</v>
      </c>
      <c r="D287" s="3">
        <v>4177.6997895679178</v>
      </c>
      <c r="E287" s="1">
        <v>0</v>
      </c>
      <c r="F287" s="4">
        <f t="shared" si="14"/>
        <v>-340860.18726955418</v>
      </c>
    </row>
    <row r="288" spans="1:6" x14ac:dyDescent="0.25">
      <c r="A288" s="1">
        <v>282</v>
      </c>
      <c r="B288" s="3">
        <f t="shared" si="12"/>
        <v>1138.635479685121</v>
      </c>
      <c r="C288" s="4">
        <f t="shared" si="13"/>
        <v>-1136.2006242318473</v>
      </c>
      <c r="D288" s="3">
        <v>4202.0697050070639</v>
      </c>
      <c r="E288" s="1">
        <v>0</v>
      </c>
      <c r="F288" s="4">
        <f t="shared" si="14"/>
        <v>-345062.25697456126</v>
      </c>
    </row>
    <row r="289" spans="1:6" x14ac:dyDescent="0.25">
      <c r="A289" s="1">
        <v>283</v>
      </c>
      <c r="B289" s="3">
        <f t="shared" si="12"/>
        <v>1138.635479685121</v>
      </c>
      <c r="C289" s="4">
        <f t="shared" si="13"/>
        <v>-1150.2075232485377</v>
      </c>
      <c r="D289" s="3">
        <v>4226.5817782862723</v>
      </c>
      <c r="E289" s="1">
        <v>0</v>
      </c>
      <c r="F289" s="4">
        <f t="shared" si="14"/>
        <v>-349288.83875284751</v>
      </c>
    </row>
    <row r="290" spans="1:6" x14ac:dyDescent="0.25">
      <c r="A290" s="1">
        <v>284</v>
      </c>
      <c r="B290" s="3">
        <f t="shared" si="12"/>
        <v>1138.635479685121</v>
      </c>
      <c r="C290" s="4">
        <f t="shared" si="13"/>
        <v>-1164.2961291761585</v>
      </c>
      <c r="D290" s="3">
        <v>4251.2368386596081</v>
      </c>
      <c r="E290" s="1">
        <v>0</v>
      </c>
      <c r="F290" s="4">
        <f t="shared" si="14"/>
        <v>-353540.07559150713</v>
      </c>
    </row>
    <row r="291" spans="1:6" x14ac:dyDescent="0.25">
      <c r="A291" s="1">
        <v>285</v>
      </c>
      <c r="B291" s="3">
        <f t="shared" si="12"/>
        <v>1138.635479685121</v>
      </c>
      <c r="C291" s="4">
        <f t="shared" si="13"/>
        <v>-1178.4669186383571</v>
      </c>
      <c r="D291" s="3">
        <v>4276.0357202184559</v>
      </c>
      <c r="E291" s="1">
        <v>0</v>
      </c>
      <c r="F291" s="4">
        <f t="shared" si="14"/>
        <v>-357816.11131172557</v>
      </c>
    </row>
    <row r="292" spans="1:6" x14ac:dyDescent="0.25">
      <c r="A292" s="1">
        <v>286</v>
      </c>
      <c r="B292" s="3">
        <f t="shared" si="12"/>
        <v>1138.635479685121</v>
      </c>
      <c r="C292" s="4">
        <f t="shared" si="13"/>
        <v>-1192.7203710390854</v>
      </c>
      <c r="D292" s="3">
        <v>4300.9792619197306</v>
      </c>
      <c r="E292" s="1">
        <v>0</v>
      </c>
      <c r="F292" s="4">
        <f t="shared" si="14"/>
        <v>-362117.09057364531</v>
      </c>
    </row>
    <row r="293" spans="1:6" x14ac:dyDescent="0.25">
      <c r="A293" s="1">
        <v>287</v>
      </c>
      <c r="B293" s="3">
        <f t="shared" si="12"/>
        <v>1138.635479685121</v>
      </c>
      <c r="C293" s="4">
        <f t="shared" si="13"/>
        <v>-1207.0569685788178</v>
      </c>
      <c r="D293" s="3">
        <v>4326.0683076142623</v>
      </c>
      <c r="E293" s="1">
        <v>0</v>
      </c>
      <c r="F293" s="4">
        <f t="shared" si="14"/>
        <v>-366443.15888125956</v>
      </c>
    </row>
    <row r="294" spans="1:6" x14ac:dyDescent="0.25">
      <c r="A294" s="1">
        <v>288</v>
      </c>
      <c r="B294" s="3">
        <f t="shared" si="12"/>
        <v>1138.635479685121</v>
      </c>
      <c r="C294" s="4">
        <f t="shared" si="13"/>
        <v>-1221.4771962708653</v>
      </c>
      <c r="D294" s="3">
        <v>4351.303706075345</v>
      </c>
      <c r="E294" s="1">
        <v>0</v>
      </c>
      <c r="F294" s="4">
        <f t="shared" si="14"/>
        <v>-370794.46258733491</v>
      </c>
    </row>
    <row r="295" spans="1:6" x14ac:dyDescent="0.25">
      <c r="A295" s="1">
        <v>289</v>
      </c>
      <c r="B295" s="3">
        <f t="shared" si="12"/>
        <v>1138.635479685121</v>
      </c>
      <c r="C295" s="4">
        <f t="shared" si="13"/>
        <v>-1235.9815419577831</v>
      </c>
      <c r="D295" s="3">
        <v>4376.6863110274517</v>
      </c>
      <c r="E295" s="1">
        <v>0</v>
      </c>
      <c r="F295" s="4">
        <f t="shared" si="14"/>
        <v>-375171.14889836236</v>
      </c>
    </row>
    <row r="296" spans="1:6" x14ac:dyDescent="0.25">
      <c r="A296" s="1">
        <v>290</v>
      </c>
      <c r="B296" s="3">
        <f t="shared" si="12"/>
        <v>1138.635479685121</v>
      </c>
      <c r="C296" s="4">
        <f t="shared" si="13"/>
        <v>-1250.5704963278747</v>
      </c>
      <c r="D296" s="3">
        <v>4402.2169811751119</v>
      </c>
      <c r="E296" s="1">
        <v>0</v>
      </c>
      <c r="F296" s="4">
        <f t="shared" si="14"/>
        <v>-379573.36587953748</v>
      </c>
    </row>
    <row r="297" spans="1:6" x14ac:dyDescent="0.25">
      <c r="A297" s="1">
        <v>291</v>
      </c>
      <c r="B297" s="3">
        <f t="shared" si="12"/>
        <v>1138.635479685121</v>
      </c>
      <c r="C297" s="4">
        <f t="shared" si="13"/>
        <v>-1265.2445529317918</v>
      </c>
      <c r="D297" s="3">
        <v>4427.8965802319663</v>
      </c>
      <c r="E297" s="1">
        <v>0</v>
      </c>
      <c r="F297" s="4">
        <f t="shared" si="14"/>
        <v>-384001.26245976944</v>
      </c>
    </row>
    <row r="298" spans="1:6" x14ac:dyDescent="0.25">
      <c r="A298" s="1">
        <v>292</v>
      </c>
      <c r="B298" s="3">
        <f t="shared" si="12"/>
        <v>1138.635479685121</v>
      </c>
      <c r="C298" s="4">
        <f t="shared" si="13"/>
        <v>-1280.0042081992315</v>
      </c>
      <c r="D298" s="3">
        <v>4453.725976949986</v>
      </c>
      <c r="E298" s="1">
        <v>0</v>
      </c>
      <c r="F298" s="4">
        <f t="shared" si="14"/>
        <v>-388454.9884367194</v>
      </c>
    </row>
    <row r="299" spans="1:6" x14ac:dyDescent="0.25">
      <c r="A299" s="1">
        <v>293</v>
      </c>
      <c r="B299" s="3">
        <f t="shared" si="12"/>
        <v>1138.635479685121</v>
      </c>
      <c r="C299" s="4">
        <f t="shared" si="13"/>
        <v>-1294.8499614557313</v>
      </c>
      <c r="D299" s="3">
        <v>4479.7060451488614</v>
      </c>
      <c r="E299" s="1">
        <v>0</v>
      </c>
      <c r="F299" s="4">
        <f t="shared" si="14"/>
        <v>-392934.69448186824</v>
      </c>
    </row>
    <row r="300" spans="1:6" x14ac:dyDescent="0.25">
      <c r="A300" s="1">
        <v>294</v>
      </c>
      <c r="B300" s="3">
        <f t="shared" si="12"/>
        <v>1138.635479685121</v>
      </c>
      <c r="C300" s="4">
        <f t="shared" si="13"/>
        <v>-1309.7823149395608</v>
      </c>
      <c r="D300" s="3">
        <v>4505.8376637455622</v>
      </c>
      <c r="E300" s="1">
        <v>0</v>
      </c>
      <c r="F300" s="4">
        <f t="shared" si="14"/>
        <v>-397440.5321456138</v>
      </c>
    </row>
    <row r="301" spans="1:6" x14ac:dyDescent="0.25">
      <c r="A301" s="1">
        <v>295</v>
      </c>
      <c r="B301" s="3">
        <f t="shared" si="12"/>
        <v>1138.635479685121</v>
      </c>
      <c r="C301" s="4">
        <f t="shared" si="13"/>
        <v>-1324.8017738187127</v>
      </c>
      <c r="D301" s="3">
        <v>4532.1217167840787</v>
      </c>
      <c r="E301" s="1">
        <v>0</v>
      </c>
      <c r="F301" s="4">
        <f t="shared" si="14"/>
        <v>-401972.65386239788</v>
      </c>
    </row>
    <row r="302" spans="1:6" x14ac:dyDescent="0.25">
      <c r="A302" s="1">
        <v>296</v>
      </c>
      <c r="B302" s="3">
        <f t="shared" si="12"/>
        <v>1138.635479685121</v>
      </c>
      <c r="C302" s="4">
        <f t="shared" si="13"/>
        <v>-1339.9088462079931</v>
      </c>
      <c r="D302" s="3">
        <v>4558.5590934653192</v>
      </c>
      <c r="E302" s="1">
        <v>0</v>
      </c>
      <c r="F302" s="4">
        <f t="shared" si="14"/>
        <v>-406531.21295586322</v>
      </c>
    </row>
    <row r="303" spans="1:6" x14ac:dyDescent="0.25">
      <c r="A303" s="1">
        <v>297</v>
      </c>
      <c r="B303" s="3">
        <f t="shared" si="12"/>
        <v>1138.635479685121</v>
      </c>
      <c r="C303" s="4">
        <f t="shared" si="13"/>
        <v>-1355.1040431862109</v>
      </c>
      <c r="D303" s="3">
        <v>4585.1506881772002</v>
      </c>
      <c r="E303" s="1">
        <v>0</v>
      </c>
      <c r="F303" s="4">
        <f t="shared" si="14"/>
        <v>-411116.36364404042</v>
      </c>
    </row>
    <row r="304" spans="1:6" x14ac:dyDescent="0.25">
      <c r="A304" s="1">
        <v>298</v>
      </c>
      <c r="B304" s="3">
        <f t="shared" si="12"/>
        <v>1138.635479685121</v>
      </c>
      <c r="C304" s="4">
        <f t="shared" si="13"/>
        <v>-1370.3878788134682</v>
      </c>
      <c r="D304" s="3">
        <v>4611.8974005249001</v>
      </c>
      <c r="E304" s="1">
        <v>0</v>
      </c>
      <c r="F304" s="4">
        <f t="shared" si="14"/>
        <v>-415728.2610445653</v>
      </c>
    </row>
    <row r="305" spans="1:6" x14ac:dyDescent="0.25">
      <c r="A305" s="1">
        <v>299</v>
      </c>
      <c r="B305" s="3">
        <f t="shared" si="12"/>
        <v>1138.635479685121</v>
      </c>
      <c r="C305" s="4">
        <f t="shared" si="13"/>
        <v>-1385.760870148551</v>
      </c>
      <c r="D305" s="3">
        <v>4638.8001353612954</v>
      </c>
      <c r="E305" s="1">
        <v>0</v>
      </c>
      <c r="F305" s="4">
        <f t="shared" si="14"/>
        <v>-420367.06117992662</v>
      </c>
    </row>
    <row r="306" spans="1:6" x14ac:dyDescent="0.25">
      <c r="A306" s="1">
        <v>300</v>
      </c>
      <c r="B306" s="3">
        <f t="shared" si="12"/>
        <v>1138.635479685121</v>
      </c>
      <c r="C306" s="4">
        <f t="shared" si="13"/>
        <v>-1401.2235372664222</v>
      </c>
      <c r="D306" s="3">
        <v>4665.8598028175693</v>
      </c>
      <c r="E306" s="1">
        <v>0</v>
      </c>
      <c r="F306" s="4">
        <f t="shared" si="14"/>
        <v>-425032.9209827442</v>
      </c>
    </row>
    <row r="307" spans="1:6" x14ac:dyDescent="0.25">
      <c r="A307" s="1">
        <v>301</v>
      </c>
      <c r="B307" s="3">
        <f t="shared" si="12"/>
        <v>1138.635479685121</v>
      </c>
      <c r="C307" s="4">
        <f t="shared" si="13"/>
        <v>-1416.7764032758141</v>
      </c>
      <c r="D307" s="3">
        <v>4693.0773183340061</v>
      </c>
      <c r="E307" s="1">
        <v>0</v>
      </c>
      <c r="F307" s="4">
        <f t="shared" si="14"/>
        <v>-429725.99830107822</v>
      </c>
    </row>
    <row r="308" spans="1:6" x14ac:dyDescent="0.25">
      <c r="A308" s="1">
        <v>302</v>
      </c>
      <c r="B308" s="3">
        <f t="shared" si="12"/>
        <v>1138.635479685121</v>
      </c>
      <c r="C308" s="4">
        <f t="shared" si="13"/>
        <v>-1432.4199943369274</v>
      </c>
      <c r="D308" s="3">
        <v>4720.4536026909536</v>
      </c>
      <c r="E308" s="1">
        <v>0</v>
      </c>
      <c r="F308" s="4">
        <f t="shared" si="14"/>
        <v>-434446.45190376916</v>
      </c>
    </row>
    <row r="309" spans="1:6" x14ac:dyDescent="0.25">
      <c r="A309" s="1">
        <v>303</v>
      </c>
      <c r="B309" s="3">
        <f t="shared" si="12"/>
        <v>1138.635479685121</v>
      </c>
      <c r="C309" s="4">
        <f t="shared" si="13"/>
        <v>-1448.1548396792307</v>
      </c>
      <c r="D309" s="3">
        <v>4747.9895820399843</v>
      </c>
      <c r="E309" s="1">
        <v>0</v>
      </c>
      <c r="F309" s="4">
        <f t="shared" si="14"/>
        <v>-439194.44148580916</v>
      </c>
    </row>
    <row r="310" spans="1:6" x14ac:dyDescent="0.25">
      <c r="A310" s="1">
        <v>304</v>
      </c>
      <c r="B310" s="3">
        <f t="shared" si="12"/>
        <v>1138.635479685121</v>
      </c>
      <c r="C310" s="4">
        <f t="shared" si="13"/>
        <v>-1463.9814716193639</v>
      </c>
      <c r="D310" s="3">
        <v>4775.6861879352182</v>
      </c>
      <c r="E310" s="1">
        <v>0</v>
      </c>
      <c r="F310" s="4">
        <f t="shared" si="14"/>
        <v>-443970.1276737444</v>
      </c>
    </row>
    <row r="311" spans="1:6" x14ac:dyDescent="0.25">
      <c r="A311" s="1">
        <v>305</v>
      </c>
      <c r="B311" s="3">
        <f t="shared" si="12"/>
        <v>1138.635479685121</v>
      </c>
      <c r="C311" s="4">
        <f t="shared" si="13"/>
        <v>-1479.9004255791481</v>
      </c>
      <c r="D311" s="3">
        <v>4803.5443573648399</v>
      </c>
      <c r="E311" s="1">
        <v>0</v>
      </c>
      <c r="F311" s="4">
        <f t="shared" si="14"/>
        <v>-448773.67203110922</v>
      </c>
    </row>
    <row r="312" spans="1:6" x14ac:dyDescent="0.25">
      <c r="A312" s="1">
        <v>306</v>
      </c>
      <c r="B312" s="3">
        <f t="shared" si="12"/>
        <v>1138.635479685121</v>
      </c>
      <c r="C312" s="4">
        <f t="shared" si="13"/>
        <v>-1495.9122401036975</v>
      </c>
      <c r="D312" s="3">
        <v>4831.5650327828016</v>
      </c>
      <c r="E312" s="1">
        <v>0</v>
      </c>
      <c r="F312" s="4">
        <f t="shared" si="14"/>
        <v>-453605.23706389201</v>
      </c>
    </row>
    <row r="313" spans="1:6" x14ac:dyDescent="0.25">
      <c r="A313" s="1">
        <v>307</v>
      </c>
      <c r="B313" s="3">
        <f t="shared" si="12"/>
        <v>1138.635479685121</v>
      </c>
      <c r="C313" s="4">
        <f t="shared" si="13"/>
        <v>-1512.0174568796401</v>
      </c>
      <c r="D313" s="3">
        <v>4859.7491621407007</v>
      </c>
      <c r="E313" s="1">
        <v>0</v>
      </c>
      <c r="F313" s="4">
        <f t="shared" si="14"/>
        <v>-458464.98622603272</v>
      </c>
    </row>
    <row r="314" spans="1:6" x14ac:dyDescent="0.25">
      <c r="A314" s="1">
        <v>308</v>
      </c>
      <c r="B314" s="3">
        <f t="shared" si="12"/>
        <v>1138.635479685121</v>
      </c>
      <c r="C314" s="4">
        <f t="shared" si="13"/>
        <v>-1528.2166207534426</v>
      </c>
      <c r="D314" s="3">
        <v>4888.0976989198552</v>
      </c>
      <c r="E314" s="1">
        <v>0</v>
      </c>
      <c r="F314" s="4">
        <f t="shared" si="14"/>
        <v>-463353.0839249526</v>
      </c>
    </row>
    <row r="315" spans="1:6" x14ac:dyDescent="0.25">
      <c r="A315" s="1">
        <v>309</v>
      </c>
      <c r="B315" s="3">
        <f t="shared" si="12"/>
        <v>1138.635479685121</v>
      </c>
      <c r="C315" s="4">
        <f t="shared" si="13"/>
        <v>-1544.5102797498421</v>
      </c>
      <c r="D315" s="3">
        <v>4916.6116021635544</v>
      </c>
      <c r="E315" s="1">
        <v>0</v>
      </c>
      <c r="F315" s="4">
        <f t="shared" si="14"/>
        <v>-468269.69552711619</v>
      </c>
    </row>
    <row r="316" spans="1:6" x14ac:dyDescent="0.25">
      <c r="A316" s="1">
        <v>310</v>
      </c>
      <c r="B316" s="3">
        <f t="shared" si="12"/>
        <v>1138.635479685121</v>
      </c>
      <c r="C316" s="4">
        <f t="shared" si="13"/>
        <v>-1560.8989850903874</v>
      </c>
      <c r="D316" s="3">
        <v>4945.2918365095084</v>
      </c>
      <c r="E316" s="1">
        <v>0</v>
      </c>
      <c r="F316" s="4">
        <f t="shared" si="14"/>
        <v>-473214.98736362567</v>
      </c>
    </row>
    <row r="317" spans="1:6" x14ac:dyDescent="0.25">
      <c r="A317" s="1">
        <v>311</v>
      </c>
      <c r="B317" s="3">
        <f t="shared" si="12"/>
        <v>1138.635479685121</v>
      </c>
      <c r="C317" s="4">
        <f t="shared" si="13"/>
        <v>-1577.3832912120856</v>
      </c>
      <c r="D317" s="3">
        <v>4974.1393722224811</v>
      </c>
      <c r="E317" s="1">
        <v>0</v>
      </c>
      <c r="F317" s="4">
        <f t="shared" si="14"/>
        <v>-478189.12673584814</v>
      </c>
    </row>
    <row r="318" spans="1:6" x14ac:dyDescent="0.25">
      <c r="A318" s="1">
        <v>312</v>
      </c>
      <c r="B318" s="3">
        <f t="shared" si="12"/>
        <v>1138.635479685121</v>
      </c>
      <c r="C318" s="4">
        <f t="shared" si="13"/>
        <v>-1593.9637557861606</v>
      </c>
      <c r="D318" s="3">
        <v>5003.1551852271123</v>
      </c>
      <c r="E318" s="1">
        <v>0</v>
      </c>
      <c r="F318" s="4">
        <f t="shared" si="14"/>
        <v>-483192.28192107525</v>
      </c>
    </row>
    <row r="319" spans="1:6" x14ac:dyDescent="0.25">
      <c r="A319" s="1">
        <v>313</v>
      </c>
      <c r="B319" s="3">
        <f t="shared" si="12"/>
        <v>1138.635479685121</v>
      </c>
      <c r="C319" s="4">
        <f t="shared" si="13"/>
        <v>-1610.6409397369175</v>
      </c>
      <c r="D319" s="3">
        <v>5032.340257140937</v>
      </c>
      <c r="E319" s="1">
        <v>0</v>
      </c>
      <c r="F319" s="4">
        <f t="shared" si="14"/>
        <v>-488224.62217821617</v>
      </c>
    </row>
    <row r="320" spans="1:6" x14ac:dyDescent="0.25">
      <c r="A320" s="1">
        <v>314</v>
      </c>
      <c r="B320" s="3">
        <f t="shared" si="12"/>
        <v>1138.635479685121</v>
      </c>
      <c r="C320" s="4">
        <f t="shared" si="13"/>
        <v>-1627.4154072607207</v>
      </c>
      <c r="D320" s="3">
        <v>5061.6955753075927</v>
      </c>
      <c r="E320" s="1">
        <v>0</v>
      </c>
      <c r="F320" s="4">
        <f t="shared" si="14"/>
        <v>-493286.31775352376</v>
      </c>
    </row>
    <row r="321" spans="1:6" x14ac:dyDescent="0.25">
      <c r="A321" s="1">
        <v>315</v>
      </c>
      <c r="B321" s="3">
        <f t="shared" si="12"/>
        <v>1138.635479685121</v>
      </c>
      <c r="C321" s="4">
        <f t="shared" si="13"/>
        <v>-1644.2877258450794</v>
      </c>
      <c r="D321" s="3">
        <v>5091.2221328302203</v>
      </c>
      <c r="E321" s="1">
        <v>0</v>
      </c>
      <c r="F321" s="4">
        <f t="shared" si="14"/>
        <v>-498377.539886354</v>
      </c>
    </row>
    <row r="322" spans="1:6" x14ac:dyDescent="0.25">
      <c r="A322" s="1">
        <v>316</v>
      </c>
      <c r="B322" s="3">
        <f t="shared" si="12"/>
        <v>1138.635479685121</v>
      </c>
      <c r="C322" s="4">
        <f t="shared" si="13"/>
        <v>-1661.2584662878469</v>
      </c>
      <c r="D322" s="3">
        <v>5120.9209286050627</v>
      </c>
      <c r="E322" s="1">
        <v>0</v>
      </c>
      <c r="F322" s="4">
        <f t="shared" si="14"/>
        <v>-503498.46081495908</v>
      </c>
    </row>
    <row r="323" spans="1:6" x14ac:dyDescent="0.25">
      <c r="A323" s="1">
        <v>317</v>
      </c>
      <c r="B323" s="3">
        <f t="shared" si="12"/>
        <v>1138.635479685121</v>
      </c>
      <c r="C323" s="4">
        <f t="shared" si="13"/>
        <v>-1678.3282027165303</v>
      </c>
      <c r="D323" s="3">
        <v>5150.792967355259</v>
      </c>
      <c r="E323" s="1">
        <v>0</v>
      </c>
      <c r="F323" s="4">
        <f t="shared" si="14"/>
        <v>-508649.25378231436</v>
      </c>
    </row>
    <row r="324" spans="1:6" x14ac:dyDescent="0.25">
      <c r="A324" s="1">
        <v>318</v>
      </c>
      <c r="B324" s="3">
        <f t="shared" si="12"/>
        <v>1138.635479685121</v>
      </c>
      <c r="C324" s="4">
        <f t="shared" si="13"/>
        <v>-1695.4975126077147</v>
      </c>
      <c r="D324" s="3">
        <v>5180.8392596648318</v>
      </c>
      <c r="E324" s="1">
        <v>0</v>
      </c>
      <c r="F324" s="4">
        <f t="shared" si="14"/>
        <v>-513830.09304197918</v>
      </c>
    </row>
    <row r="325" spans="1:6" x14ac:dyDescent="0.25">
      <c r="A325" s="1">
        <v>319</v>
      </c>
      <c r="B325" s="3">
        <f t="shared" si="12"/>
        <v>1138.635479685121</v>
      </c>
      <c r="C325" s="4">
        <f t="shared" si="13"/>
        <v>-1712.7669768065973</v>
      </c>
      <c r="D325" s="3">
        <v>5211.0608220128761</v>
      </c>
      <c r="E325" s="1">
        <v>0</v>
      </c>
      <c r="F325" s="4">
        <f t="shared" si="14"/>
        <v>-519041.15386399208</v>
      </c>
    </row>
    <row r="326" spans="1:6" x14ac:dyDescent="0.25">
      <c r="A326" s="1">
        <v>320</v>
      </c>
      <c r="B326" s="3">
        <f t="shared" si="12"/>
        <v>1138.635479685121</v>
      </c>
      <c r="C326" s="4">
        <f t="shared" si="13"/>
        <v>-1730.1371795466403</v>
      </c>
      <c r="D326" s="3">
        <v>5241.4586768079516</v>
      </c>
      <c r="E326" s="1">
        <v>0</v>
      </c>
      <c r="F326" s="4">
        <f t="shared" si="14"/>
        <v>-524282.61254080001</v>
      </c>
    </row>
    <row r="327" spans="1:6" x14ac:dyDescent="0.25">
      <c r="A327" s="1">
        <v>321</v>
      </c>
      <c r="B327" s="3">
        <f t="shared" si="12"/>
        <v>1138.635479685121</v>
      </c>
      <c r="C327" s="4">
        <f t="shared" si="13"/>
        <v>-1747.6087084693336</v>
      </c>
      <c r="D327" s="3">
        <v>5272.0338524226645</v>
      </c>
      <c r="E327" s="1">
        <v>0</v>
      </c>
      <c r="F327" s="4">
        <f t="shared" si="14"/>
        <v>-529554.64639322262</v>
      </c>
    </row>
    <row r="328" spans="1:6" x14ac:dyDescent="0.25">
      <c r="A328" s="1">
        <v>322</v>
      </c>
      <c r="B328" s="3">
        <f t="shared" ref="B328:B366" si="15">PMT($C$2/12,$C$3,-$C$1)</f>
        <v>1138.635479685121</v>
      </c>
      <c r="C328" s="4">
        <f t="shared" ref="C328:C366" si="16">F327*($C$2/12)</f>
        <v>-1765.1821546440756</v>
      </c>
      <c r="D328" s="3">
        <v>5302.7873832284631</v>
      </c>
      <c r="E328" s="1">
        <v>0</v>
      </c>
      <c r="F328" s="4">
        <f t="shared" ref="F328:F366" si="17">F327-D328</f>
        <v>-534857.43377645104</v>
      </c>
    </row>
    <row r="329" spans="1:6" x14ac:dyDescent="0.25">
      <c r="A329" s="1">
        <v>323</v>
      </c>
      <c r="B329" s="3">
        <f t="shared" si="15"/>
        <v>1138.635479685121</v>
      </c>
      <c r="C329" s="4">
        <f t="shared" si="16"/>
        <v>-1782.8581125881703</v>
      </c>
      <c r="D329" s="3">
        <v>5333.7203096306293</v>
      </c>
      <c r="E329" s="1">
        <v>0</v>
      </c>
      <c r="F329" s="4">
        <f t="shared" si="17"/>
        <v>-540191.15408608166</v>
      </c>
    </row>
    <row r="330" spans="1:6" x14ac:dyDescent="0.25">
      <c r="A330" s="1">
        <v>324</v>
      </c>
      <c r="B330" s="3">
        <f t="shared" si="15"/>
        <v>1138.635479685121</v>
      </c>
      <c r="C330" s="4">
        <f t="shared" si="16"/>
        <v>-1800.6371802869389</v>
      </c>
      <c r="D330" s="3">
        <v>5364.8336781034741</v>
      </c>
      <c r="E330" s="1">
        <v>0</v>
      </c>
      <c r="F330" s="4">
        <f t="shared" si="17"/>
        <v>-545555.98776418518</v>
      </c>
    </row>
    <row r="331" spans="1:6" x14ac:dyDescent="0.25">
      <c r="A331" s="1">
        <v>325</v>
      </c>
      <c r="B331" s="3">
        <f t="shared" si="15"/>
        <v>1138.635479685121</v>
      </c>
      <c r="C331" s="4">
        <f t="shared" si="16"/>
        <v>-1818.5199592139506</v>
      </c>
      <c r="D331" s="3">
        <v>5396.1285412257448</v>
      </c>
      <c r="E331" s="1">
        <v>0</v>
      </c>
      <c r="F331" s="4">
        <f t="shared" si="17"/>
        <v>-550952.11630541098</v>
      </c>
    </row>
    <row r="332" spans="1:6" x14ac:dyDescent="0.25">
      <c r="A332" s="1">
        <v>326</v>
      </c>
      <c r="B332" s="3">
        <f t="shared" si="15"/>
        <v>1138.635479685121</v>
      </c>
      <c r="C332" s="4">
        <f t="shared" si="16"/>
        <v>-1836.50705435137</v>
      </c>
      <c r="D332" s="3">
        <v>5427.6059577162287</v>
      </c>
      <c r="E332" s="1">
        <v>0</v>
      </c>
      <c r="F332" s="4">
        <f t="shared" si="17"/>
        <v>-556379.72226312722</v>
      </c>
    </row>
    <row r="333" spans="1:6" x14ac:dyDescent="0.25">
      <c r="A333" s="1">
        <v>327</v>
      </c>
      <c r="B333" s="3">
        <f t="shared" si="15"/>
        <v>1138.635479685121</v>
      </c>
      <c r="C333" s="4">
        <f t="shared" si="16"/>
        <v>-1854.5990742104241</v>
      </c>
      <c r="D333" s="3">
        <v>5459.2669924695729</v>
      </c>
      <c r="E333" s="1">
        <v>0</v>
      </c>
      <c r="F333" s="4">
        <f t="shared" si="17"/>
        <v>-561838.98925559677</v>
      </c>
    </row>
    <row r="334" spans="1:6" x14ac:dyDescent="0.25">
      <c r="A334" s="1">
        <v>328</v>
      </c>
      <c r="B334" s="3">
        <f t="shared" si="15"/>
        <v>1138.635479685121</v>
      </c>
      <c r="C334" s="4">
        <f t="shared" si="16"/>
        <v>-1872.7966308519894</v>
      </c>
      <c r="D334" s="3">
        <v>5491.1127165923117</v>
      </c>
      <c r="E334" s="1">
        <v>0</v>
      </c>
      <c r="F334" s="4">
        <f t="shared" si="17"/>
        <v>-567330.10197218903</v>
      </c>
    </row>
    <row r="335" spans="1:6" x14ac:dyDescent="0.25">
      <c r="A335" s="1">
        <v>329</v>
      </c>
      <c r="B335" s="3">
        <f t="shared" si="15"/>
        <v>1138.635479685121</v>
      </c>
      <c r="C335" s="4">
        <f t="shared" si="16"/>
        <v>-1891.100339907297</v>
      </c>
      <c r="D335" s="3">
        <v>5523.1442074391007</v>
      </c>
      <c r="E335" s="1">
        <v>0</v>
      </c>
      <c r="F335" s="4">
        <f t="shared" si="17"/>
        <v>-572853.24617962819</v>
      </c>
    </row>
    <row r="336" spans="1:6" x14ac:dyDescent="0.25">
      <c r="A336" s="1">
        <v>330</v>
      </c>
      <c r="B336" s="3">
        <f t="shared" si="15"/>
        <v>1138.635479685121</v>
      </c>
      <c r="C336" s="4">
        <f t="shared" si="16"/>
        <v>-1909.5108205987608</v>
      </c>
      <c r="D336" s="3">
        <v>5555.3625486491619</v>
      </c>
      <c r="E336" s="1">
        <v>0</v>
      </c>
      <c r="F336" s="4">
        <f t="shared" si="17"/>
        <v>-578408.60872827738</v>
      </c>
    </row>
    <row r="337" spans="1:6" x14ac:dyDescent="0.25">
      <c r="A337" s="1">
        <v>331</v>
      </c>
      <c r="B337" s="3">
        <f t="shared" si="15"/>
        <v>1138.635479685121</v>
      </c>
      <c r="C337" s="4">
        <f t="shared" si="16"/>
        <v>-1928.0286957609246</v>
      </c>
      <c r="D337" s="3">
        <v>5587.7688301829494</v>
      </c>
      <c r="E337" s="1">
        <v>0</v>
      </c>
      <c r="F337" s="4">
        <f t="shared" si="17"/>
        <v>-583996.37755846034</v>
      </c>
    </row>
    <row r="338" spans="1:6" x14ac:dyDescent="0.25">
      <c r="A338" s="1">
        <v>332</v>
      </c>
      <c r="B338" s="3">
        <f t="shared" si="15"/>
        <v>1138.635479685121</v>
      </c>
      <c r="C338" s="4">
        <f t="shared" si="16"/>
        <v>-1946.6545918615345</v>
      </c>
      <c r="D338" s="3">
        <v>5620.3641483590163</v>
      </c>
      <c r="E338" s="1">
        <v>0</v>
      </c>
      <c r="F338" s="4">
        <f t="shared" si="17"/>
        <v>-589616.74170681939</v>
      </c>
    </row>
    <row r="339" spans="1:6" x14ac:dyDescent="0.25">
      <c r="A339" s="1">
        <v>333</v>
      </c>
      <c r="B339" s="3">
        <f t="shared" si="15"/>
        <v>1138.635479685121</v>
      </c>
      <c r="C339" s="4">
        <f t="shared" si="16"/>
        <v>-1965.3891390227313</v>
      </c>
      <c r="D339" s="3">
        <v>5653.1496058911107</v>
      </c>
      <c r="E339" s="1">
        <v>0</v>
      </c>
      <c r="F339" s="4">
        <f t="shared" si="17"/>
        <v>-595269.89131271048</v>
      </c>
    </row>
    <row r="340" spans="1:6" x14ac:dyDescent="0.25">
      <c r="A340" s="1">
        <v>334</v>
      </c>
      <c r="B340" s="3">
        <f t="shared" si="15"/>
        <v>1138.635479685121</v>
      </c>
      <c r="C340" s="4">
        <f t="shared" si="16"/>
        <v>-1984.2329710423685</v>
      </c>
      <c r="D340" s="3">
        <v>5686.1263119254754</v>
      </c>
      <c r="E340" s="1">
        <v>0</v>
      </c>
      <c r="F340" s="4">
        <f t="shared" si="17"/>
        <v>-600956.01762463595</v>
      </c>
    </row>
    <row r="341" spans="1:6" x14ac:dyDescent="0.25">
      <c r="A341" s="1">
        <v>335</v>
      </c>
      <c r="B341" s="3">
        <f t="shared" si="15"/>
        <v>1138.635479685121</v>
      </c>
      <c r="C341" s="4">
        <f t="shared" si="16"/>
        <v>-2003.1867254154533</v>
      </c>
      <c r="D341" s="3">
        <v>5719.2953820783741</v>
      </c>
      <c r="E341" s="1">
        <v>0</v>
      </c>
      <c r="F341" s="4">
        <f t="shared" si="17"/>
        <v>-606675.31300671434</v>
      </c>
    </row>
    <row r="342" spans="1:6" x14ac:dyDescent="0.25">
      <c r="A342" s="1">
        <v>336</v>
      </c>
      <c r="B342" s="3">
        <f t="shared" si="15"/>
        <v>1138.635479685121</v>
      </c>
      <c r="C342" s="4">
        <f t="shared" si="16"/>
        <v>-2022.2510433557145</v>
      </c>
      <c r="D342" s="3">
        <v>5752.6579384738307</v>
      </c>
      <c r="E342" s="1">
        <v>0</v>
      </c>
      <c r="F342" s="4">
        <f t="shared" si="17"/>
        <v>-612427.97094518819</v>
      </c>
    </row>
    <row r="343" spans="1:6" x14ac:dyDescent="0.25">
      <c r="A343" s="1">
        <v>337</v>
      </c>
      <c r="B343" s="3">
        <f t="shared" si="15"/>
        <v>1138.635479685121</v>
      </c>
      <c r="C343" s="4">
        <f t="shared" si="16"/>
        <v>-2041.4265698172942</v>
      </c>
      <c r="D343" s="3">
        <v>5786.2151097815949</v>
      </c>
      <c r="E343" s="1">
        <v>0</v>
      </c>
      <c r="F343" s="4">
        <f t="shared" si="17"/>
        <v>-618214.18605496979</v>
      </c>
    </row>
    <row r="344" spans="1:6" x14ac:dyDescent="0.25">
      <c r="A344" s="1">
        <v>338</v>
      </c>
      <c r="B344" s="3">
        <f t="shared" si="15"/>
        <v>1138.635479685121</v>
      </c>
      <c r="C344" s="4">
        <f t="shared" si="16"/>
        <v>-2060.7139535165661</v>
      </c>
      <c r="D344" s="3">
        <v>5819.968031255321</v>
      </c>
      <c r="E344" s="1">
        <v>0</v>
      </c>
      <c r="F344" s="4">
        <f t="shared" si="17"/>
        <v>-624034.15408622508</v>
      </c>
    </row>
    <row r="345" spans="1:6" x14ac:dyDescent="0.25">
      <c r="A345" s="1">
        <v>339</v>
      </c>
      <c r="B345" s="3">
        <f t="shared" si="15"/>
        <v>1138.635479685121</v>
      </c>
      <c r="C345" s="4">
        <f t="shared" si="16"/>
        <v>-2080.1138469540838</v>
      </c>
      <c r="D345" s="3">
        <v>5853.9178447709774</v>
      </c>
      <c r="E345" s="1">
        <v>0</v>
      </c>
      <c r="F345" s="4">
        <f t="shared" si="17"/>
        <v>-629888.07193099603</v>
      </c>
    </row>
    <row r="346" spans="1:6" x14ac:dyDescent="0.25">
      <c r="A346" s="1">
        <v>340</v>
      </c>
      <c r="B346" s="3">
        <f t="shared" si="15"/>
        <v>1138.635479685121</v>
      </c>
      <c r="C346" s="4">
        <f t="shared" si="16"/>
        <v>-2099.6269064366534</v>
      </c>
      <c r="D346" s="3">
        <v>5888.0656988654746</v>
      </c>
      <c r="E346" s="1">
        <v>0</v>
      </c>
      <c r="F346" s="4">
        <f t="shared" si="17"/>
        <v>-635776.13762986148</v>
      </c>
    </row>
    <row r="347" spans="1:6" x14ac:dyDescent="0.25">
      <c r="A347" s="1">
        <v>341</v>
      </c>
      <c r="B347" s="3">
        <f t="shared" si="15"/>
        <v>1138.635479685121</v>
      </c>
      <c r="C347" s="4">
        <f t="shared" si="16"/>
        <v>-2119.2537920995383</v>
      </c>
      <c r="D347" s="3">
        <v>5922.4127487755231</v>
      </c>
      <c r="E347" s="1">
        <v>0</v>
      </c>
      <c r="F347" s="4">
        <f t="shared" si="17"/>
        <v>-641698.55037863704</v>
      </c>
    </row>
    <row r="348" spans="1:6" x14ac:dyDescent="0.25">
      <c r="A348" s="1">
        <v>342</v>
      </c>
      <c r="B348" s="3">
        <f t="shared" si="15"/>
        <v>1138.635479685121</v>
      </c>
      <c r="C348" s="4">
        <f t="shared" si="16"/>
        <v>-2138.9951679287901</v>
      </c>
      <c r="D348" s="3">
        <v>5956.9601564767136</v>
      </c>
      <c r="E348" s="1">
        <v>0</v>
      </c>
      <c r="F348" s="4">
        <f t="shared" si="17"/>
        <v>-647655.51053511375</v>
      </c>
    </row>
    <row r="349" spans="1:6" x14ac:dyDescent="0.25">
      <c r="A349" s="1">
        <v>343</v>
      </c>
      <c r="B349" s="3">
        <f t="shared" si="15"/>
        <v>1138.635479685121</v>
      </c>
      <c r="C349" s="4">
        <f t="shared" si="16"/>
        <v>-2158.8517017837125</v>
      </c>
      <c r="D349" s="3">
        <v>5991.7090907228276</v>
      </c>
      <c r="E349" s="1">
        <v>0</v>
      </c>
      <c r="F349" s="4">
        <f t="shared" si="17"/>
        <v>-653647.21962583659</v>
      </c>
    </row>
    <row r="350" spans="1:6" x14ac:dyDescent="0.25">
      <c r="A350" s="1">
        <v>344</v>
      </c>
      <c r="B350" s="3">
        <f t="shared" si="15"/>
        <v>1138.635479685121</v>
      </c>
      <c r="C350" s="4">
        <f t="shared" si="16"/>
        <v>-2178.8240654194556</v>
      </c>
      <c r="D350" s="3">
        <v>6026.6607270853774</v>
      </c>
      <c r="E350" s="1">
        <v>0</v>
      </c>
      <c r="F350" s="4">
        <f t="shared" si="17"/>
        <v>-659673.88035292202</v>
      </c>
    </row>
    <row r="351" spans="1:6" x14ac:dyDescent="0.25">
      <c r="A351" s="1">
        <v>345</v>
      </c>
      <c r="B351" s="3">
        <f t="shared" si="15"/>
        <v>1138.635479685121</v>
      </c>
      <c r="C351" s="4">
        <f t="shared" si="16"/>
        <v>-2198.9129345097404</v>
      </c>
      <c r="D351" s="3">
        <v>6061.8162479933753</v>
      </c>
      <c r="E351" s="1">
        <v>0</v>
      </c>
      <c r="F351" s="4">
        <f t="shared" si="17"/>
        <v>-665735.6966009154</v>
      </c>
    </row>
    <row r="352" spans="1:6" x14ac:dyDescent="0.25">
      <c r="A352" s="1">
        <v>346</v>
      </c>
      <c r="B352" s="3">
        <f t="shared" si="15"/>
        <v>1138.635479685121</v>
      </c>
      <c r="C352" s="4">
        <f t="shared" si="16"/>
        <v>-2219.118988669718</v>
      </c>
      <c r="D352" s="3">
        <v>6097.1768427733368</v>
      </c>
      <c r="E352" s="1">
        <v>0</v>
      </c>
      <c r="F352" s="4">
        <f t="shared" si="17"/>
        <v>-671832.87344368873</v>
      </c>
    </row>
    <row r="353" spans="1:6" x14ac:dyDescent="0.25">
      <c r="A353" s="1">
        <v>347</v>
      </c>
      <c r="B353" s="3">
        <f t="shared" si="15"/>
        <v>1138.635479685121</v>
      </c>
      <c r="C353" s="4">
        <f t="shared" si="16"/>
        <v>-2239.4429114789627</v>
      </c>
      <c r="D353" s="3">
        <v>6132.7437076895148</v>
      </c>
      <c r="E353" s="1">
        <v>0</v>
      </c>
      <c r="F353" s="4">
        <f t="shared" si="17"/>
        <v>-677965.61715137819</v>
      </c>
    </row>
    <row r="354" spans="1:6" x14ac:dyDescent="0.25">
      <c r="A354" s="1">
        <v>348</v>
      </c>
      <c r="B354" s="3">
        <f t="shared" si="15"/>
        <v>1138.635479685121</v>
      </c>
      <c r="C354" s="4">
        <f t="shared" si="16"/>
        <v>-2259.8853905045939</v>
      </c>
      <c r="D354" s="3">
        <v>6168.5180459843705</v>
      </c>
      <c r="E354" s="1">
        <v>0</v>
      </c>
      <c r="F354" s="4">
        <f t="shared" si="17"/>
        <v>-684134.13519736251</v>
      </c>
    </row>
    <row r="355" spans="1:6" x14ac:dyDescent="0.25">
      <c r="A355" s="1">
        <v>349</v>
      </c>
      <c r="B355" s="3">
        <f t="shared" si="15"/>
        <v>1138.635479685121</v>
      </c>
      <c r="C355" s="4">
        <f t="shared" si="16"/>
        <v>-2280.447117324542</v>
      </c>
      <c r="D355" s="3">
        <v>6204.5010679192792</v>
      </c>
      <c r="E355" s="1">
        <v>0</v>
      </c>
      <c r="F355" s="4">
        <f t="shared" si="17"/>
        <v>-690338.63626528182</v>
      </c>
    </row>
    <row r="356" spans="1:6" x14ac:dyDescent="0.25">
      <c r="A356" s="1">
        <v>350</v>
      </c>
      <c r="B356" s="3">
        <f t="shared" si="15"/>
        <v>1138.635479685121</v>
      </c>
      <c r="C356" s="4">
        <f t="shared" si="16"/>
        <v>-2301.1287875509397</v>
      </c>
      <c r="D356" s="3">
        <v>6240.6939908154745</v>
      </c>
      <c r="E356" s="1">
        <v>0</v>
      </c>
      <c r="F356" s="4">
        <f t="shared" si="17"/>
        <v>-696579.33025609725</v>
      </c>
    </row>
    <row r="357" spans="1:6" x14ac:dyDescent="0.25">
      <c r="A357" s="1">
        <v>351</v>
      </c>
      <c r="B357" s="3">
        <f t="shared" si="15"/>
        <v>1138.635479685121</v>
      </c>
      <c r="C357" s="4">
        <f t="shared" si="16"/>
        <v>-2321.9311008536579</v>
      </c>
      <c r="D357" s="3">
        <v>6277.0980390952318</v>
      </c>
      <c r="E357" s="1">
        <v>0</v>
      </c>
      <c r="F357" s="4">
        <f t="shared" si="17"/>
        <v>-702856.42829519254</v>
      </c>
    </row>
    <row r="358" spans="1:6" x14ac:dyDescent="0.25">
      <c r="A358" s="1">
        <v>352</v>
      </c>
      <c r="B358" s="3">
        <f t="shared" si="15"/>
        <v>1138.635479685121</v>
      </c>
      <c r="C358" s="4">
        <f t="shared" si="16"/>
        <v>-2342.8547609839752</v>
      </c>
      <c r="D358" s="3">
        <v>6313.7144443232874</v>
      </c>
      <c r="E358" s="1">
        <v>0</v>
      </c>
      <c r="F358" s="4">
        <f t="shared" si="17"/>
        <v>-709170.14273951587</v>
      </c>
    </row>
    <row r="359" spans="1:6" x14ac:dyDescent="0.25">
      <c r="A359" s="1">
        <v>353</v>
      </c>
      <c r="B359" s="3">
        <f t="shared" si="15"/>
        <v>1138.635479685121</v>
      </c>
      <c r="C359" s="4">
        <f t="shared" si="16"/>
        <v>-2363.9004757983862</v>
      </c>
      <c r="D359" s="3">
        <v>6350.5444452485062</v>
      </c>
      <c r="E359" s="1">
        <v>0</v>
      </c>
      <c r="F359" s="4">
        <f t="shared" si="17"/>
        <v>-715520.68718476442</v>
      </c>
    </row>
    <row r="360" spans="1:6" x14ac:dyDescent="0.25">
      <c r="A360" s="1">
        <v>354</v>
      </c>
      <c r="B360" s="3">
        <f t="shared" si="15"/>
        <v>1138.635479685121</v>
      </c>
      <c r="C360" s="4">
        <f t="shared" si="16"/>
        <v>-2385.0689572825481</v>
      </c>
      <c r="D360" s="3">
        <v>6387.5892878457898</v>
      </c>
      <c r="E360" s="1">
        <v>0</v>
      </c>
      <c r="F360" s="4">
        <f t="shared" si="17"/>
        <v>-721908.27647261019</v>
      </c>
    </row>
    <row r="361" spans="1:6" x14ac:dyDescent="0.25">
      <c r="A361" s="1">
        <v>355</v>
      </c>
      <c r="B361" s="3">
        <f t="shared" si="15"/>
        <v>1138.635479685121</v>
      </c>
      <c r="C361" s="4">
        <f t="shared" si="16"/>
        <v>-2406.3609215753672</v>
      </c>
      <c r="D361" s="3">
        <v>6424.8502253582228</v>
      </c>
      <c r="E361" s="1">
        <v>0</v>
      </c>
      <c r="F361" s="4">
        <f t="shared" si="17"/>
        <v>-728333.12669796846</v>
      </c>
    </row>
    <row r="362" spans="1:6" x14ac:dyDescent="0.25">
      <c r="A362" s="1">
        <v>356</v>
      </c>
      <c r="B362" s="3">
        <f t="shared" si="15"/>
        <v>1138.635479685121</v>
      </c>
      <c r="C362" s="4">
        <f t="shared" si="16"/>
        <v>-2427.7770889932285</v>
      </c>
      <c r="D362" s="3">
        <v>6462.3285183394792</v>
      </c>
      <c r="E362" s="1">
        <v>0</v>
      </c>
      <c r="F362" s="4">
        <f t="shared" si="17"/>
        <v>-734795.45521630789</v>
      </c>
    </row>
    <row r="363" spans="1:6" x14ac:dyDescent="0.25">
      <c r="A363" s="1">
        <v>357</v>
      </c>
      <c r="B363" s="3">
        <f t="shared" si="15"/>
        <v>1138.635479685121</v>
      </c>
      <c r="C363" s="4">
        <f t="shared" si="16"/>
        <v>-2449.3181840543598</v>
      </c>
      <c r="D363" s="3">
        <v>6500.0254346964603</v>
      </c>
      <c r="E363" s="1">
        <v>0</v>
      </c>
      <c r="F363" s="4">
        <f t="shared" si="17"/>
        <v>-741295.48065100436</v>
      </c>
    </row>
    <row r="364" spans="1:6" x14ac:dyDescent="0.25">
      <c r="A364" s="1">
        <v>358</v>
      </c>
      <c r="B364" s="3">
        <f t="shared" si="15"/>
        <v>1138.635479685121</v>
      </c>
      <c r="C364" s="4">
        <f t="shared" si="16"/>
        <v>-2470.984935503348</v>
      </c>
      <c r="D364" s="3">
        <v>6537.9422497321893</v>
      </c>
      <c r="E364" s="1">
        <v>0</v>
      </c>
      <c r="F364" s="4">
        <f t="shared" si="17"/>
        <v>-747833.42290073656</v>
      </c>
    </row>
    <row r="365" spans="1:6" x14ac:dyDescent="0.25">
      <c r="A365" s="1">
        <v>359</v>
      </c>
      <c r="B365" s="3">
        <f t="shared" si="15"/>
        <v>1138.635479685121</v>
      </c>
      <c r="C365" s="4">
        <f t="shared" si="16"/>
        <v>-2492.7780763357887</v>
      </c>
      <c r="D365" s="3">
        <v>6576.0802461889607</v>
      </c>
      <c r="E365" s="1">
        <v>0</v>
      </c>
      <c r="F365" s="4">
        <f t="shared" si="17"/>
        <v>-754409.50314692548</v>
      </c>
    </row>
    <row r="366" spans="1:6" x14ac:dyDescent="0.25">
      <c r="A366" s="1">
        <v>360</v>
      </c>
      <c r="B366" s="3">
        <f t="shared" si="15"/>
        <v>1138.635479685121</v>
      </c>
      <c r="C366" s="4">
        <f t="shared" si="16"/>
        <v>-2514.698343823085</v>
      </c>
      <c r="D366" s="3">
        <v>6614.4407142917289</v>
      </c>
      <c r="E366" s="1">
        <v>0</v>
      </c>
      <c r="F366" s="4">
        <f t="shared" si="17"/>
        <v>-761023.94386121724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sqref="A1:F19"/>
    </sheetView>
  </sheetViews>
  <sheetFormatPr defaultColWidth="8.85546875" defaultRowHeight="15" x14ac:dyDescent="0.25"/>
  <sheetData>
    <row r="1" spans="1:6" x14ac:dyDescent="0.25">
      <c r="A1" s="18" t="s">
        <v>55</v>
      </c>
      <c r="B1" s="19">
        <v>4</v>
      </c>
      <c r="C1" s="9"/>
      <c r="D1" s="64" t="s">
        <v>58</v>
      </c>
      <c r="E1" s="50"/>
      <c r="F1" s="9"/>
    </row>
    <row r="2" spans="1:6" x14ac:dyDescent="0.25">
      <c r="A2" s="18" t="s">
        <v>60</v>
      </c>
      <c r="B2" s="19">
        <v>2</v>
      </c>
      <c r="C2" s="9"/>
      <c r="D2" s="20" t="s">
        <v>59</v>
      </c>
      <c r="E2" s="36">
        <v>500000</v>
      </c>
      <c r="F2" s="9"/>
    </row>
    <row r="3" spans="1:6" x14ac:dyDescent="0.25">
      <c r="A3" s="9"/>
      <c r="B3" s="9"/>
      <c r="C3" s="9"/>
      <c r="D3" s="20" t="s">
        <v>60</v>
      </c>
      <c r="E3" s="36">
        <v>40</v>
      </c>
      <c r="F3" s="9"/>
    </row>
    <row r="4" spans="1:6" x14ac:dyDescent="0.25">
      <c r="A4" s="9"/>
      <c r="B4" s="9"/>
      <c r="C4" s="9"/>
      <c r="D4" s="20" t="s">
        <v>61</v>
      </c>
      <c r="E4" s="36">
        <f>E2/E3</f>
        <v>12500</v>
      </c>
      <c r="F4" s="9"/>
    </row>
    <row r="5" spans="1:6" x14ac:dyDescent="0.25">
      <c r="A5" s="9"/>
      <c r="B5" s="9"/>
      <c r="C5" s="9"/>
      <c r="D5" s="20" t="s">
        <v>62</v>
      </c>
      <c r="E5" s="22">
        <v>0.3</v>
      </c>
      <c r="F5" s="9"/>
    </row>
    <row r="6" spans="1:6" x14ac:dyDescent="0.25">
      <c r="A6" s="9"/>
      <c r="B6" s="9"/>
      <c r="C6" s="9"/>
      <c r="D6" s="27" t="s">
        <v>63</v>
      </c>
      <c r="E6" s="63">
        <f>E4+(E4*E5)</f>
        <v>16250</v>
      </c>
      <c r="F6" s="9"/>
    </row>
    <row r="7" spans="1:6" x14ac:dyDescent="0.25">
      <c r="A7" s="9"/>
      <c r="B7" s="9"/>
      <c r="C7" s="9"/>
      <c r="D7" s="9"/>
      <c r="E7" s="9"/>
      <c r="F7" s="9"/>
    </row>
    <row r="8" spans="1:6" x14ac:dyDescent="0.25">
      <c r="A8" s="9"/>
      <c r="B8" s="9"/>
      <c r="C8" s="9"/>
      <c r="D8" s="64" t="s">
        <v>64</v>
      </c>
      <c r="E8" s="50"/>
      <c r="F8" s="9"/>
    </row>
    <row r="9" spans="1:6" x14ac:dyDescent="0.25">
      <c r="A9" s="9"/>
      <c r="B9" s="9"/>
      <c r="C9" s="9"/>
      <c r="D9" s="20" t="s">
        <v>59</v>
      </c>
      <c r="E9" s="36">
        <v>85000</v>
      </c>
      <c r="F9" s="9"/>
    </row>
    <row r="10" spans="1:6" x14ac:dyDescent="0.25">
      <c r="A10" s="9"/>
      <c r="B10" s="9"/>
      <c r="C10" s="9"/>
      <c r="D10" s="20" t="s">
        <v>60</v>
      </c>
      <c r="E10" s="36">
        <v>0.64</v>
      </c>
      <c r="F10" s="9"/>
    </row>
    <row r="11" spans="1:6" x14ac:dyDescent="0.25">
      <c r="A11" s="9"/>
      <c r="B11" s="9"/>
      <c r="C11" s="9"/>
      <c r="D11" s="20" t="s">
        <v>65</v>
      </c>
      <c r="E11" s="36">
        <f>E9/E10</f>
        <v>132812.5</v>
      </c>
      <c r="F11" s="9"/>
    </row>
    <row r="12" spans="1:6" x14ac:dyDescent="0.25">
      <c r="A12" s="9"/>
      <c r="B12" s="9"/>
      <c r="C12" s="9"/>
      <c r="D12" s="27" t="s">
        <v>66</v>
      </c>
      <c r="E12" s="63">
        <f>E11*B2</f>
        <v>265625</v>
      </c>
      <c r="F12" s="9" t="s">
        <v>67</v>
      </c>
    </row>
    <row r="13" spans="1:6" x14ac:dyDescent="0.25">
      <c r="A13" s="9"/>
      <c r="B13" s="9"/>
      <c r="C13" s="9"/>
      <c r="D13" s="9"/>
      <c r="E13" s="9"/>
      <c r="F13" s="9"/>
    </row>
    <row r="14" spans="1:6" x14ac:dyDescent="0.25">
      <c r="A14" s="9"/>
      <c r="B14" s="9"/>
      <c r="C14" s="9"/>
      <c r="D14" s="64" t="s">
        <v>76</v>
      </c>
      <c r="E14" s="50"/>
      <c r="F14" s="9"/>
    </row>
    <row r="15" spans="1:6" x14ac:dyDescent="0.25">
      <c r="A15" s="9"/>
      <c r="B15" s="9"/>
      <c r="C15" s="9"/>
      <c r="D15" s="20" t="s">
        <v>77</v>
      </c>
      <c r="E15" s="36">
        <v>2.2999999999999998</v>
      </c>
      <c r="F15" s="9"/>
    </row>
    <row r="16" spans="1:6" x14ac:dyDescent="0.25">
      <c r="A16" s="9"/>
      <c r="B16" s="9"/>
      <c r="C16" s="9"/>
      <c r="D16" s="20" t="s">
        <v>78</v>
      </c>
      <c r="E16" s="36">
        <v>2000</v>
      </c>
      <c r="F16" s="9"/>
    </row>
    <row r="17" spans="1:6" x14ac:dyDescent="0.25">
      <c r="A17" s="9"/>
      <c r="B17" s="9"/>
      <c r="C17" s="9"/>
      <c r="D17" s="20" t="s">
        <v>79</v>
      </c>
      <c r="E17" s="36">
        <f>E16*E15</f>
        <v>4600</v>
      </c>
      <c r="F17" s="9"/>
    </row>
    <row r="18" spans="1:6" x14ac:dyDescent="0.25">
      <c r="A18" s="9"/>
      <c r="B18" s="9"/>
      <c r="C18" s="9"/>
      <c r="D18" s="20" t="s">
        <v>80</v>
      </c>
      <c r="E18" s="25">
        <v>0.25</v>
      </c>
      <c r="F18" s="9"/>
    </row>
    <row r="19" spans="1:6" x14ac:dyDescent="0.25">
      <c r="A19" s="9"/>
      <c r="B19" s="9"/>
      <c r="C19" s="9"/>
      <c r="D19" s="27" t="s">
        <v>81</v>
      </c>
      <c r="E19" s="63">
        <f>E18*E17</f>
        <v>1150</v>
      </c>
      <c r="F19" s="9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Financials</vt:lpstr>
      <vt:lpstr>Mortgage</vt:lpstr>
      <vt:lpstr>Sources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2013-12-05T20:49:34Z</dcterms:created>
  <dcterms:modified xsi:type="dcterms:W3CDTF">2013-12-05T20:49:49Z</dcterms:modified>
</cp:coreProperties>
</file>