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howInkAnnotation="0" autoCompressPictures="0"/>
  <bookViews>
    <workbookView xWindow="0" yWindow="0" windowWidth="15600" windowHeight="11760" tabRatio="500" activeTab="2"/>
  </bookViews>
  <sheets>
    <sheet name="Income" sheetId="1" r:id="rId1"/>
    <sheet name="Mortgage" sheetId="2" r:id="rId2"/>
    <sheet name="assumptions" sheetId="3" r:id="rId3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38" i="1" l="1"/>
  <c r="D79" i="1"/>
  <c r="B71" i="1"/>
  <c r="B79" i="1"/>
  <c r="B78" i="1"/>
  <c r="B72" i="1"/>
  <c r="B73" i="1"/>
  <c r="B70" i="1"/>
  <c r="E67" i="1"/>
  <c r="E73" i="1" s="1"/>
  <c r="E66" i="1"/>
  <c r="E72" i="1" s="1"/>
  <c r="D25" i="1"/>
  <c r="E25" i="1" s="1"/>
  <c r="F25" i="1" s="1"/>
  <c r="G25" i="1" s="1"/>
  <c r="H25" i="1" s="1"/>
  <c r="I25" i="1" s="1"/>
  <c r="J25" i="1" s="1"/>
  <c r="K25" i="1" s="1"/>
  <c r="L25" i="1" s="1"/>
  <c r="M25" i="1" s="1"/>
  <c r="E70" i="1" l="1"/>
  <c r="E75" i="1" s="1"/>
  <c r="E71" i="1"/>
  <c r="Q3" i="1" l="1"/>
  <c r="D5" i="1"/>
  <c r="E5" i="1" s="1"/>
  <c r="D17" i="1"/>
  <c r="D27" i="1" s="1"/>
  <c r="R3" i="1"/>
  <c r="D6" i="1"/>
  <c r="D18" i="1"/>
  <c r="D28" i="1" s="1"/>
  <c r="D19" i="1"/>
  <c r="D45" i="1" s="1"/>
  <c r="D125" i="1" s="1"/>
  <c r="Q32" i="1"/>
  <c r="D26" i="1" s="1"/>
  <c r="D78" i="1" s="1"/>
  <c r="E83" i="1" s="1"/>
  <c r="D115" i="1"/>
  <c r="E7" i="1"/>
  <c r="E6" i="1"/>
  <c r="F6" i="1" s="1"/>
  <c r="E8" i="1"/>
  <c r="E115" i="1"/>
  <c r="F7" i="1"/>
  <c r="G7" i="1" s="1"/>
  <c r="H7" i="1" s="1"/>
  <c r="I7" i="1" s="1"/>
  <c r="J7" i="1" s="1"/>
  <c r="K7" i="1" s="1"/>
  <c r="L7" i="1" s="1"/>
  <c r="M7" i="1" s="1"/>
  <c r="F8" i="1"/>
  <c r="F26" i="1"/>
  <c r="F115" i="1"/>
  <c r="G8" i="1"/>
  <c r="H8" i="1" s="1"/>
  <c r="I8" i="1" s="1"/>
  <c r="J8" i="1" s="1"/>
  <c r="K8" i="1" s="1"/>
  <c r="L8" i="1" s="1"/>
  <c r="M8" i="1" s="1"/>
  <c r="G115" i="1"/>
  <c r="H26" i="1"/>
  <c r="H115" i="1"/>
  <c r="I115" i="1"/>
  <c r="J26" i="1"/>
  <c r="J115" i="1"/>
  <c r="K115" i="1"/>
  <c r="L26" i="1"/>
  <c r="L115" i="1"/>
  <c r="M115" i="1"/>
  <c r="M55" i="1"/>
  <c r="F93" i="1" s="1"/>
  <c r="F97" i="1"/>
  <c r="M33" i="1"/>
  <c r="L33" i="1"/>
  <c r="K33" i="1"/>
  <c r="J33" i="1"/>
  <c r="I33" i="1"/>
  <c r="H33" i="1"/>
  <c r="G33" i="1"/>
  <c r="F33" i="1"/>
  <c r="E33" i="1"/>
  <c r="D33" i="1"/>
  <c r="C86" i="1"/>
  <c r="G55" i="1"/>
  <c r="B2" i="2"/>
  <c r="I2" i="2"/>
  <c r="I5" i="2"/>
  <c r="I9" i="2"/>
  <c r="E2" i="2"/>
  <c r="D2" i="2"/>
  <c r="C2" i="2"/>
  <c r="F2" i="2"/>
  <c r="B3" i="2"/>
  <c r="E3" i="2"/>
  <c r="D3" i="2"/>
  <c r="C3" i="2"/>
  <c r="F3" i="2"/>
  <c r="B4" i="2"/>
  <c r="E4" i="2"/>
  <c r="D4" i="2"/>
  <c r="C4" i="2"/>
  <c r="F4" i="2"/>
  <c r="B5" i="2"/>
  <c r="E5" i="2"/>
  <c r="D5" i="2"/>
  <c r="C5" i="2"/>
  <c r="F5" i="2"/>
  <c r="B6" i="2"/>
  <c r="E6" i="2"/>
  <c r="D6" i="2"/>
  <c r="C6" i="2"/>
  <c r="F6" i="2"/>
  <c r="B7" i="2"/>
  <c r="E7" i="2"/>
  <c r="D7" i="2"/>
  <c r="C7" i="2"/>
  <c r="F7" i="2"/>
  <c r="B8" i="2"/>
  <c r="E8" i="2"/>
  <c r="D8" i="2"/>
  <c r="C8" i="2"/>
  <c r="F8" i="2"/>
  <c r="B9" i="2"/>
  <c r="E9" i="2"/>
  <c r="D9" i="2"/>
  <c r="C9" i="2"/>
  <c r="F9" i="2"/>
  <c r="B10" i="2"/>
  <c r="E10" i="2"/>
  <c r="D10" i="2"/>
  <c r="C10" i="2"/>
  <c r="F10" i="2"/>
  <c r="B11" i="2"/>
  <c r="E11" i="2"/>
  <c r="D11" i="2"/>
  <c r="C11" i="2"/>
  <c r="F11" i="2"/>
  <c r="B12" i="2"/>
  <c r="E12" i="2"/>
  <c r="D12" i="2"/>
  <c r="C12" i="2"/>
  <c r="F12" i="2"/>
  <c r="B13" i="2"/>
  <c r="E13" i="2"/>
  <c r="D13" i="2"/>
  <c r="C13" i="2"/>
  <c r="F13" i="2"/>
  <c r="B16" i="2"/>
  <c r="E16" i="2"/>
  <c r="D16" i="2"/>
  <c r="C16" i="2"/>
  <c r="F16" i="2"/>
  <c r="B17" i="2"/>
  <c r="E17" i="2"/>
  <c r="D17" i="2"/>
  <c r="C17" i="2"/>
  <c r="F17" i="2"/>
  <c r="B18" i="2"/>
  <c r="E18" i="2"/>
  <c r="D18" i="2"/>
  <c r="C18" i="2"/>
  <c r="F18" i="2"/>
  <c r="B19" i="2"/>
  <c r="E19" i="2"/>
  <c r="D19" i="2"/>
  <c r="C19" i="2"/>
  <c r="F19" i="2"/>
  <c r="B20" i="2"/>
  <c r="E20" i="2"/>
  <c r="D20" i="2"/>
  <c r="C20" i="2"/>
  <c r="F20" i="2"/>
  <c r="B21" i="2"/>
  <c r="E21" i="2"/>
  <c r="D21" i="2"/>
  <c r="C21" i="2"/>
  <c r="F21" i="2"/>
  <c r="B22" i="2"/>
  <c r="E22" i="2"/>
  <c r="D22" i="2"/>
  <c r="C22" i="2"/>
  <c r="F22" i="2"/>
  <c r="B23" i="2"/>
  <c r="E23" i="2"/>
  <c r="D23" i="2"/>
  <c r="C23" i="2"/>
  <c r="F23" i="2"/>
  <c r="B24" i="2"/>
  <c r="E24" i="2"/>
  <c r="D24" i="2"/>
  <c r="C24" i="2"/>
  <c r="F24" i="2"/>
  <c r="B25" i="2"/>
  <c r="E25" i="2"/>
  <c r="D25" i="2"/>
  <c r="C25" i="2"/>
  <c r="F25" i="2"/>
  <c r="B26" i="2"/>
  <c r="E26" i="2"/>
  <c r="D26" i="2"/>
  <c r="C26" i="2"/>
  <c r="F26" i="2"/>
  <c r="B27" i="2"/>
  <c r="E27" i="2"/>
  <c r="D27" i="2"/>
  <c r="C27" i="2"/>
  <c r="F27" i="2"/>
  <c r="B30" i="2"/>
  <c r="E30" i="2"/>
  <c r="D30" i="2"/>
  <c r="C30" i="2"/>
  <c r="F30" i="2"/>
  <c r="B31" i="2"/>
  <c r="E31" i="2"/>
  <c r="D31" i="2"/>
  <c r="C31" i="2"/>
  <c r="F31" i="2"/>
  <c r="B32" i="2"/>
  <c r="E32" i="2"/>
  <c r="D32" i="2"/>
  <c r="C32" i="2"/>
  <c r="F32" i="2"/>
  <c r="B33" i="2"/>
  <c r="E33" i="2"/>
  <c r="D33" i="2"/>
  <c r="C33" i="2"/>
  <c r="F33" i="2"/>
  <c r="B34" i="2"/>
  <c r="E34" i="2"/>
  <c r="D34" i="2"/>
  <c r="C34" i="2"/>
  <c r="F34" i="2"/>
  <c r="B35" i="2"/>
  <c r="E35" i="2"/>
  <c r="D35" i="2"/>
  <c r="C35" i="2"/>
  <c r="F35" i="2"/>
  <c r="B36" i="2"/>
  <c r="E36" i="2"/>
  <c r="D36" i="2"/>
  <c r="C36" i="2"/>
  <c r="F36" i="2"/>
  <c r="B37" i="2"/>
  <c r="E37" i="2"/>
  <c r="D37" i="2"/>
  <c r="C37" i="2"/>
  <c r="F37" i="2"/>
  <c r="B38" i="2"/>
  <c r="E38" i="2"/>
  <c r="D38" i="2"/>
  <c r="C38" i="2"/>
  <c r="F38" i="2"/>
  <c r="B39" i="2"/>
  <c r="E39" i="2"/>
  <c r="D39" i="2"/>
  <c r="C39" i="2"/>
  <c r="F39" i="2"/>
  <c r="B40" i="2"/>
  <c r="E40" i="2"/>
  <c r="D40" i="2"/>
  <c r="C40" i="2"/>
  <c r="F40" i="2"/>
  <c r="B41" i="2"/>
  <c r="E41" i="2"/>
  <c r="D41" i="2"/>
  <c r="C41" i="2"/>
  <c r="F41" i="2"/>
  <c r="B44" i="2"/>
  <c r="E44" i="2"/>
  <c r="D44" i="2"/>
  <c r="C44" i="2"/>
  <c r="F44" i="2"/>
  <c r="B45" i="2"/>
  <c r="E45" i="2"/>
  <c r="D45" i="2"/>
  <c r="C45" i="2"/>
  <c r="F45" i="2"/>
  <c r="B46" i="2"/>
  <c r="E46" i="2"/>
  <c r="D46" i="2"/>
  <c r="C46" i="2"/>
  <c r="F46" i="2"/>
  <c r="B47" i="2"/>
  <c r="E47" i="2"/>
  <c r="D47" i="2"/>
  <c r="C47" i="2"/>
  <c r="F47" i="2"/>
  <c r="B48" i="2"/>
  <c r="E48" i="2"/>
  <c r="D48" i="2"/>
  <c r="C48" i="2"/>
  <c r="F48" i="2"/>
  <c r="B49" i="2"/>
  <c r="E49" i="2"/>
  <c r="D49" i="2"/>
  <c r="C49" i="2"/>
  <c r="F49" i="2"/>
  <c r="B50" i="2"/>
  <c r="E50" i="2"/>
  <c r="D50" i="2"/>
  <c r="C50" i="2"/>
  <c r="F50" i="2"/>
  <c r="B51" i="2"/>
  <c r="E51" i="2"/>
  <c r="D51" i="2"/>
  <c r="C51" i="2"/>
  <c r="F51" i="2"/>
  <c r="B52" i="2"/>
  <c r="E52" i="2"/>
  <c r="D52" i="2"/>
  <c r="C52" i="2"/>
  <c r="F52" i="2"/>
  <c r="B53" i="2"/>
  <c r="E53" i="2"/>
  <c r="D53" i="2"/>
  <c r="C53" i="2"/>
  <c r="F53" i="2"/>
  <c r="B54" i="2"/>
  <c r="E54" i="2"/>
  <c r="D54" i="2"/>
  <c r="C54" i="2"/>
  <c r="F54" i="2"/>
  <c r="B55" i="2"/>
  <c r="E55" i="2"/>
  <c r="D55" i="2"/>
  <c r="C55" i="2"/>
  <c r="F55" i="2"/>
  <c r="B58" i="2"/>
  <c r="E58" i="2"/>
  <c r="D58" i="2"/>
  <c r="C58" i="2"/>
  <c r="F58" i="2"/>
  <c r="B59" i="2"/>
  <c r="E59" i="2"/>
  <c r="D59" i="2"/>
  <c r="C59" i="2"/>
  <c r="F59" i="2"/>
  <c r="B60" i="2"/>
  <c r="E60" i="2"/>
  <c r="D60" i="2"/>
  <c r="C60" i="2"/>
  <c r="F60" i="2"/>
  <c r="B61" i="2"/>
  <c r="E61" i="2"/>
  <c r="D61" i="2"/>
  <c r="C61" i="2"/>
  <c r="F61" i="2"/>
  <c r="B62" i="2"/>
  <c r="E62" i="2"/>
  <c r="D62" i="2"/>
  <c r="C62" i="2"/>
  <c r="F62" i="2"/>
  <c r="B63" i="2"/>
  <c r="E63" i="2"/>
  <c r="D63" i="2"/>
  <c r="C63" i="2"/>
  <c r="F63" i="2"/>
  <c r="B64" i="2"/>
  <c r="E64" i="2"/>
  <c r="D64" i="2"/>
  <c r="C64" i="2"/>
  <c r="F64" i="2"/>
  <c r="B65" i="2"/>
  <c r="E65" i="2"/>
  <c r="D65" i="2"/>
  <c r="C65" i="2"/>
  <c r="F65" i="2"/>
  <c r="B66" i="2"/>
  <c r="E66" i="2"/>
  <c r="D66" i="2"/>
  <c r="C66" i="2"/>
  <c r="F66" i="2"/>
  <c r="B67" i="2"/>
  <c r="E67" i="2"/>
  <c r="D67" i="2"/>
  <c r="C67" i="2"/>
  <c r="F67" i="2"/>
  <c r="B68" i="2"/>
  <c r="E68" i="2"/>
  <c r="D68" i="2"/>
  <c r="C68" i="2"/>
  <c r="F68" i="2"/>
  <c r="B69" i="2"/>
  <c r="E69" i="2"/>
  <c r="D69" i="2"/>
  <c r="C69" i="2"/>
  <c r="F69" i="2"/>
  <c r="B72" i="2"/>
  <c r="E72" i="2"/>
  <c r="D72" i="2"/>
  <c r="C72" i="2"/>
  <c r="F72" i="2"/>
  <c r="B73" i="2"/>
  <c r="E73" i="2"/>
  <c r="D73" i="2"/>
  <c r="C73" i="2"/>
  <c r="F73" i="2"/>
  <c r="B74" i="2"/>
  <c r="E74" i="2"/>
  <c r="D74" i="2"/>
  <c r="C74" i="2"/>
  <c r="F74" i="2"/>
  <c r="B75" i="2"/>
  <c r="E75" i="2"/>
  <c r="D75" i="2"/>
  <c r="C75" i="2"/>
  <c r="F75" i="2"/>
  <c r="B76" i="2"/>
  <c r="E76" i="2"/>
  <c r="D76" i="2"/>
  <c r="C76" i="2"/>
  <c r="F76" i="2"/>
  <c r="B77" i="2"/>
  <c r="E77" i="2"/>
  <c r="D77" i="2"/>
  <c r="C77" i="2"/>
  <c r="F77" i="2"/>
  <c r="B78" i="2"/>
  <c r="E78" i="2"/>
  <c r="D78" i="2"/>
  <c r="C78" i="2"/>
  <c r="F78" i="2"/>
  <c r="B79" i="2"/>
  <c r="E79" i="2"/>
  <c r="D79" i="2"/>
  <c r="C79" i="2"/>
  <c r="F79" i="2"/>
  <c r="B80" i="2"/>
  <c r="E80" i="2"/>
  <c r="D80" i="2"/>
  <c r="C80" i="2"/>
  <c r="F80" i="2"/>
  <c r="B81" i="2"/>
  <c r="E81" i="2"/>
  <c r="D81" i="2"/>
  <c r="C81" i="2"/>
  <c r="F81" i="2"/>
  <c r="B82" i="2"/>
  <c r="E82" i="2"/>
  <c r="D82" i="2"/>
  <c r="C82" i="2"/>
  <c r="F82" i="2"/>
  <c r="B83" i="2"/>
  <c r="E83" i="2"/>
  <c r="D83" i="2"/>
  <c r="C83" i="2"/>
  <c r="F83" i="2"/>
  <c r="B86" i="2"/>
  <c r="E86" i="2"/>
  <c r="D86" i="2"/>
  <c r="C86" i="2"/>
  <c r="F86" i="2"/>
  <c r="B87" i="2"/>
  <c r="E87" i="2"/>
  <c r="D87" i="2"/>
  <c r="C87" i="2"/>
  <c r="F87" i="2"/>
  <c r="B88" i="2"/>
  <c r="E88" i="2"/>
  <c r="D88" i="2"/>
  <c r="C88" i="2"/>
  <c r="F88" i="2"/>
  <c r="B89" i="2"/>
  <c r="E89" i="2"/>
  <c r="D89" i="2"/>
  <c r="C89" i="2"/>
  <c r="F89" i="2"/>
  <c r="B90" i="2"/>
  <c r="E90" i="2"/>
  <c r="D90" i="2"/>
  <c r="C90" i="2"/>
  <c r="F90" i="2"/>
  <c r="B91" i="2"/>
  <c r="E91" i="2"/>
  <c r="D91" i="2"/>
  <c r="C91" i="2"/>
  <c r="F91" i="2"/>
  <c r="B92" i="2"/>
  <c r="E92" i="2"/>
  <c r="D92" i="2"/>
  <c r="C92" i="2"/>
  <c r="F92" i="2"/>
  <c r="B93" i="2"/>
  <c r="E93" i="2"/>
  <c r="D93" i="2"/>
  <c r="C93" i="2"/>
  <c r="F93" i="2"/>
  <c r="B94" i="2"/>
  <c r="E94" i="2"/>
  <c r="D94" i="2"/>
  <c r="C94" i="2"/>
  <c r="F94" i="2"/>
  <c r="B95" i="2"/>
  <c r="E95" i="2"/>
  <c r="D95" i="2"/>
  <c r="C95" i="2"/>
  <c r="F95" i="2"/>
  <c r="B96" i="2"/>
  <c r="E96" i="2"/>
  <c r="D96" i="2"/>
  <c r="C96" i="2"/>
  <c r="F96" i="2"/>
  <c r="B97" i="2"/>
  <c r="E97" i="2"/>
  <c r="D97" i="2"/>
  <c r="C97" i="2"/>
  <c r="F97" i="2"/>
  <c r="B100" i="2"/>
  <c r="E100" i="2"/>
  <c r="D100" i="2"/>
  <c r="C100" i="2"/>
  <c r="F100" i="2"/>
  <c r="B101" i="2"/>
  <c r="E101" i="2"/>
  <c r="D101" i="2"/>
  <c r="C101" i="2"/>
  <c r="F101" i="2"/>
  <c r="B102" i="2"/>
  <c r="E102" i="2"/>
  <c r="D102" i="2"/>
  <c r="C102" i="2"/>
  <c r="F102" i="2"/>
  <c r="B103" i="2"/>
  <c r="E103" i="2"/>
  <c r="D103" i="2"/>
  <c r="C103" i="2"/>
  <c r="F103" i="2"/>
  <c r="B104" i="2"/>
  <c r="E104" i="2"/>
  <c r="D104" i="2"/>
  <c r="C104" i="2"/>
  <c r="F104" i="2"/>
  <c r="B105" i="2"/>
  <c r="E105" i="2"/>
  <c r="D105" i="2"/>
  <c r="C105" i="2"/>
  <c r="F105" i="2"/>
  <c r="B106" i="2"/>
  <c r="E106" i="2"/>
  <c r="D106" i="2"/>
  <c r="C106" i="2"/>
  <c r="F106" i="2"/>
  <c r="B107" i="2"/>
  <c r="E107" i="2"/>
  <c r="D107" i="2"/>
  <c r="C107" i="2"/>
  <c r="F107" i="2"/>
  <c r="B108" i="2"/>
  <c r="E108" i="2"/>
  <c r="D108" i="2"/>
  <c r="C108" i="2"/>
  <c r="F108" i="2"/>
  <c r="B109" i="2"/>
  <c r="E109" i="2"/>
  <c r="D109" i="2"/>
  <c r="C109" i="2"/>
  <c r="F109" i="2"/>
  <c r="B110" i="2"/>
  <c r="E110" i="2"/>
  <c r="D110" i="2"/>
  <c r="C110" i="2"/>
  <c r="F110" i="2"/>
  <c r="B111" i="2"/>
  <c r="E111" i="2"/>
  <c r="D111" i="2"/>
  <c r="C111" i="2"/>
  <c r="F111" i="2"/>
  <c r="B114" i="2"/>
  <c r="E114" i="2"/>
  <c r="D114" i="2"/>
  <c r="C114" i="2"/>
  <c r="F114" i="2"/>
  <c r="B115" i="2"/>
  <c r="E115" i="2"/>
  <c r="D115" i="2"/>
  <c r="C115" i="2"/>
  <c r="F115" i="2"/>
  <c r="B116" i="2"/>
  <c r="E116" i="2"/>
  <c r="D116" i="2"/>
  <c r="C116" i="2"/>
  <c r="F116" i="2"/>
  <c r="B117" i="2"/>
  <c r="E117" i="2"/>
  <c r="D117" i="2"/>
  <c r="C117" i="2"/>
  <c r="F117" i="2"/>
  <c r="B118" i="2"/>
  <c r="E118" i="2"/>
  <c r="D118" i="2"/>
  <c r="C118" i="2"/>
  <c r="F118" i="2"/>
  <c r="B119" i="2"/>
  <c r="E119" i="2"/>
  <c r="D119" i="2"/>
  <c r="C119" i="2"/>
  <c r="F119" i="2"/>
  <c r="B120" i="2"/>
  <c r="E120" i="2"/>
  <c r="D120" i="2"/>
  <c r="C120" i="2"/>
  <c r="F120" i="2"/>
  <c r="B121" i="2"/>
  <c r="E121" i="2"/>
  <c r="D121" i="2"/>
  <c r="C121" i="2"/>
  <c r="F121" i="2"/>
  <c r="B122" i="2"/>
  <c r="E122" i="2"/>
  <c r="D122" i="2"/>
  <c r="C122" i="2"/>
  <c r="F122" i="2"/>
  <c r="B123" i="2"/>
  <c r="E123" i="2"/>
  <c r="D123" i="2"/>
  <c r="C123" i="2"/>
  <c r="F123" i="2"/>
  <c r="B124" i="2"/>
  <c r="E124" i="2"/>
  <c r="D124" i="2"/>
  <c r="C124" i="2"/>
  <c r="F124" i="2"/>
  <c r="B125" i="2"/>
  <c r="E125" i="2"/>
  <c r="D125" i="2"/>
  <c r="C125" i="2"/>
  <c r="F125" i="2"/>
  <c r="B128" i="2"/>
  <c r="E128" i="2"/>
  <c r="D128" i="2"/>
  <c r="C128" i="2"/>
  <c r="F128" i="2"/>
  <c r="B129" i="2"/>
  <c r="E129" i="2"/>
  <c r="D129" i="2"/>
  <c r="C129" i="2"/>
  <c r="F129" i="2"/>
  <c r="B130" i="2"/>
  <c r="E130" i="2"/>
  <c r="D130" i="2"/>
  <c r="C130" i="2"/>
  <c r="F130" i="2"/>
  <c r="B131" i="2"/>
  <c r="E131" i="2"/>
  <c r="D131" i="2"/>
  <c r="C131" i="2"/>
  <c r="F131" i="2"/>
  <c r="B132" i="2"/>
  <c r="E132" i="2"/>
  <c r="D132" i="2"/>
  <c r="C132" i="2"/>
  <c r="F132" i="2"/>
  <c r="B133" i="2"/>
  <c r="E133" i="2"/>
  <c r="D133" i="2"/>
  <c r="C133" i="2"/>
  <c r="F133" i="2"/>
  <c r="B134" i="2"/>
  <c r="E134" i="2"/>
  <c r="D134" i="2"/>
  <c r="C134" i="2"/>
  <c r="F134" i="2"/>
  <c r="B135" i="2"/>
  <c r="E135" i="2"/>
  <c r="D135" i="2"/>
  <c r="C135" i="2"/>
  <c r="F135" i="2"/>
  <c r="B136" i="2"/>
  <c r="E136" i="2"/>
  <c r="D136" i="2"/>
  <c r="C136" i="2"/>
  <c r="F136" i="2"/>
  <c r="B137" i="2"/>
  <c r="E137" i="2"/>
  <c r="D137" i="2"/>
  <c r="C137" i="2"/>
  <c r="F137" i="2"/>
  <c r="B138" i="2"/>
  <c r="E138" i="2"/>
  <c r="D138" i="2"/>
  <c r="C138" i="2"/>
  <c r="F138" i="2"/>
  <c r="B139" i="2"/>
  <c r="E139" i="2"/>
  <c r="D139" i="2"/>
  <c r="C139" i="2"/>
  <c r="F139" i="2"/>
  <c r="L55" i="1"/>
  <c r="K55" i="1"/>
  <c r="J55" i="1"/>
  <c r="I55" i="1"/>
  <c r="H55" i="1"/>
  <c r="D140" i="2"/>
  <c r="D126" i="2"/>
  <c r="D112" i="2"/>
  <c r="D98" i="2"/>
  <c r="D84" i="2"/>
  <c r="D70" i="2"/>
  <c r="B142" i="2"/>
  <c r="E142" i="2"/>
  <c r="D142" i="2"/>
  <c r="C142" i="2"/>
  <c r="F142" i="2"/>
  <c r="B143" i="2"/>
  <c r="E143" i="2"/>
  <c r="D143" i="2"/>
  <c r="C143" i="2"/>
  <c r="F143" i="2"/>
  <c r="B144" i="2"/>
  <c r="E144" i="2"/>
  <c r="D144" i="2"/>
  <c r="C144" i="2"/>
  <c r="F144" i="2"/>
  <c r="B145" i="2"/>
  <c r="E145" i="2"/>
  <c r="D145" i="2"/>
  <c r="C145" i="2"/>
  <c r="F145" i="2"/>
  <c r="B146" i="2"/>
  <c r="E146" i="2"/>
  <c r="D146" i="2"/>
  <c r="C146" i="2"/>
  <c r="F146" i="2"/>
  <c r="B147" i="2"/>
  <c r="E147" i="2"/>
  <c r="D147" i="2"/>
  <c r="C147" i="2"/>
  <c r="F147" i="2"/>
  <c r="B148" i="2"/>
  <c r="E148" i="2"/>
  <c r="D148" i="2"/>
  <c r="C148" i="2"/>
  <c r="F148" i="2"/>
  <c r="B149" i="2"/>
  <c r="E149" i="2"/>
  <c r="D149" i="2"/>
  <c r="C149" i="2"/>
  <c r="F149" i="2"/>
  <c r="B150" i="2"/>
  <c r="E150" i="2"/>
  <c r="D150" i="2"/>
  <c r="C150" i="2"/>
  <c r="F150" i="2"/>
  <c r="B151" i="2"/>
  <c r="E151" i="2"/>
  <c r="D151" i="2"/>
  <c r="C151" i="2"/>
  <c r="F151" i="2"/>
  <c r="B152" i="2"/>
  <c r="E152" i="2"/>
  <c r="D152" i="2"/>
  <c r="C152" i="2"/>
  <c r="F152" i="2"/>
  <c r="B153" i="2"/>
  <c r="E153" i="2"/>
  <c r="D153" i="2"/>
  <c r="C153" i="2"/>
  <c r="F153" i="2"/>
  <c r="B156" i="2"/>
  <c r="D156" i="2"/>
  <c r="E156" i="2"/>
  <c r="C156" i="2"/>
  <c r="F156" i="2"/>
  <c r="B157" i="2"/>
  <c r="D157" i="2"/>
  <c r="E157" i="2"/>
  <c r="C157" i="2"/>
  <c r="F157" i="2"/>
  <c r="B158" i="2"/>
  <c r="D158" i="2"/>
  <c r="E158" i="2"/>
  <c r="C158" i="2"/>
  <c r="F158" i="2"/>
  <c r="B159" i="2"/>
  <c r="D159" i="2"/>
  <c r="E159" i="2"/>
  <c r="C159" i="2"/>
  <c r="F159" i="2"/>
  <c r="B160" i="2"/>
  <c r="D160" i="2"/>
  <c r="E160" i="2"/>
  <c r="C160" i="2"/>
  <c r="F160" i="2"/>
  <c r="B161" i="2"/>
  <c r="D161" i="2"/>
  <c r="E161" i="2"/>
  <c r="C161" i="2"/>
  <c r="F161" i="2"/>
  <c r="B162" i="2"/>
  <c r="D162" i="2"/>
  <c r="E162" i="2"/>
  <c r="C162" i="2"/>
  <c r="F162" i="2"/>
  <c r="B163" i="2"/>
  <c r="D163" i="2"/>
  <c r="E163" i="2"/>
  <c r="C163" i="2"/>
  <c r="F163" i="2"/>
  <c r="B164" i="2"/>
  <c r="D164" i="2"/>
  <c r="E164" i="2"/>
  <c r="C164" i="2"/>
  <c r="F164" i="2"/>
  <c r="B165" i="2"/>
  <c r="D165" i="2"/>
  <c r="E165" i="2"/>
  <c r="C165" i="2"/>
  <c r="F165" i="2"/>
  <c r="B166" i="2"/>
  <c r="D166" i="2"/>
  <c r="E166" i="2"/>
  <c r="C166" i="2"/>
  <c r="F166" i="2"/>
  <c r="B167" i="2"/>
  <c r="D167" i="2"/>
  <c r="D168" i="2"/>
  <c r="E167" i="2"/>
  <c r="C167" i="2"/>
  <c r="C168" i="2"/>
  <c r="F167" i="2"/>
  <c r="D154" i="2"/>
  <c r="C154" i="2"/>
  <c r="C140" i="2"/>
  <c r="C126" i="2"/>
  <c r="C112" i="2"/>
  <c r="C98" i="2"/>
  <c r="C84" i="2"/>
  <c r="D14" i="2"/>
  <c r="M42" i="1"/>
  <c r="D56" i="2"/>
  <c r="D42" i="2"/>
  <c r="D28" i="2"/>
  <c r="H42" i="1"/>
  <c r="I42" i="1"/>
  <c r="J42" i="1"/>
  <c r="K42" i="1"/>
  <c r="L42" i="1"/>
  <c r="Q7" i="1"/>
  <c r="P13" i="1"/>
  <c r="T7" i="1"/>
  <c r="T8" i="1"/>
  <c r="R15" i="1"/>
  <c r="E42" i="1"/>
  <c r="E55" i="1"/>
  <c r="F42" i="1"/>
  <c r="F55" i="1"/>
  <c r="G42" i="1"/>
  <c r="D55" i="1"/>
  <c r="D42" i="1"/>
  <c r="Q26" i="1"/>
  <c r="R26" i="1"/>
  <c r="S26" i="1"/>
  <c r="P26" i="1"/>
  <c r="C70" i="2"/>
  <c r="C56" i="2"/>
  <c r="C42" i="2"/>
  <c r="C28" i="2"/>
  <c r="C14" i="2"/>
  <c r="D46" i="1" l="1"/>
  <c r="D48" i="1" s="1"/>
  <c r="T9" i="1"/>
  <c r="F18" i="1"/>
  <c r="G6" i="1"/>
  <c r="F5" i="1"/>
  <c r="E17" i="1"/>
  <c r="D52" i="1"/>
  <c r="D127" i="1" s="1"/>
  <c r="E26" i="1"/>
  <c r="D24" i="1"/>
  <c r="Q9" i="1" s="1"/>
  <c r="M26" i="1"/>
  <c r="K26" i="1"/>
  <c r="I26" i="1"/>
  <c r="G26" i="1"/>
  <c r="E18" i="1"/>
  <c r="D23" i="1"/>
  <c r="D44" i="1"/>
  <c r="D124" i="1" s="1"/>
  <c r="D20" i="1"/>
  <c r="F94" i="1"/>
  <c r="G93" i="1" s="1"/>
  <c r="Q8" i="1" l="1"/>
  <c r="Q10" i="1" s="1"/>
  <c r="Q11" i="1" s="1"/>
  <c r="S15" i="1" s="1"/>
  <c r="D29" i="1"/>
  <c r="D30" i="1" s="1"/>
  <c r="F17" i="1"/>
  <c r="G5" i="1"/>
  <c r="T11" i="1"/>
  <c r="P15" i="1" s="1"/>
  <c r="R14" i="1"/>
  <c r="R18" i="1" s="1"/>
  <c r="E28" i="1"/>
  <c r="E44" i="1"/>
  <c r="G18" i="1"/>
  <c r="H6" i="1"/>
  <c r="E27" i="1"/>
  <c r="E23" i="1"/>
  <c r="E29" i="1" s="1"/>
  <c r="E30" i="1" s="1"/>
  <c r="E111" i="1" s="1"/>
  <c r="E113" i="1" s="1"/>
  <c r="E114" i="1" s="1"/>
  <c r="E108" i="1" s="1"/>
  <c r="E24" i="1"/>
  <c r="E19" i="1"/>
  <c r="E20" i="1"/>
  <c r="F28" i="1"/>
  <c r="F44" i="1"/>
  <c r="G92" i="1"/>
  <c r="I94" i="1" s="1"/>
  <c r="C88" i="1" s="1"/>
  <c r="D111" i="1" l="1"/>
  <c r="D113" i="1" s="1"/>
  <c r="D36" i="1"/>
  <c r="F124" i="1"/>
  <c r="G28" i="1"/>
  <c r="E36" i="1"/>
  <c r="E37" i="1" s="1"/>
  <c r="E51" i="1" s="1"/>
  <c r="E124" i="1"/>
  <c r="E46" i="1"/>
  <c r="E48" i="1" s="1"/>
  <c r="G17" i="1"/>
  <c r="H5" i="1"/>
  <c r="E45" i="1"/>
  <c r="E125" i="1" s="1"/>
  <c r="E52" i="1"/>
  <c r="E127" i="1" s="1"/>
  <c r="H18" i="1"/>
  <c r="I6" i="1"/>
  <c r="F27" i="1"/>
  <c r="F20" i="1"/>
  <c r="F24" i="1"/>
  <c r="F19" i="1"/>
  <c r="F23" i="1"/>
  <c r="F29" i="1" s="1"/>
  <c r="E38" i="1"/>
  <c r="E116" i="1"/>
  <c r="D37" i="1" l="1"/>
  <c r="D51" i="1" s="1"/>
  <c r="F30" i="1"/>
  <c r="D114" i="1"/>
  <c r="D108" i="1" s="1"/>
  <c r="D116" i="1"/>
  <c r="F45" i="1"/>
  <c r="F52" i="1"/>
  <c r="F127" i="1" s="1"/>
  <c r="I18" i="1"/>
  <c r="J6" i="1"/>
  <c r="H17" i="1"/>
  <c r="I5" i="1"/>
  <c r="H28" i="1"/>
  <c r="H44" i="1"/>
  <c r="G27" i="1"/>
  <c r="G24" i="1"/>
  <c r="G20" i="1"/>
  <c r="G23" i="1"/>
  <c r="G19" i="1"/>
  <c r="G44" i="1"/>
  <c r="G52" i="1" l="1"/>
  <c r="G127" i="1" s="1"/>
  <c r="G45" i="1"/>
  <c r="G125" i="1" s="1"/>
  <c r="I17" i="1"/>
  <c r="J5" i="1"/>
  <c r="F111" i="1"/>
  <c r="F113" i="1" s="1"/>
  <c r="F114" i="1" s="1"/>
  <c r="F108" i="1" s="1"/>
  <c r="F126" i="1" s="1"/>
  <c r="F36" i="1"/>
  <c r="F37" i="1" s="1"/>
  <c r="F51" i="1" s="1"/>
  <c r="G29" i="1"/>
  <c r="G30" i="1" s="1"/>
  <c r="H124" i="1"/>
  <c r="H27" i="1"/>
  <c r="H19" i="1"/>
  <c r="H23" i="1"/>
  <c r="H24" i="1"/>
  <c r="F125" i="1"/>
  <c r="F46" i="1"/>
  <c r="F48" i="1" s="1"/>
  <c r="D38" i="1"/>
  <c r="D58" i="1" s="1"/>
  <c r="J18" i="1"/>
  <c r="K6" i="1"/>
  <c r="D135" i="1"/>
  <c r="G124" i="1"/>
  <c r="G46" i="1"/>
  <c r="G48" i="1" s="1"/>
  <c r="I28" i="1"/>
  <c r="I44" i="1"/>
  <c r="D126" i="1"/>
  <c r="E126" i="1"/>
  <c r="E135" i="1" s="1"/>
  <c r="F116" i="1"/>
  <c r="F135" i="1" s="1"/>
  <c r="H45" i="1" l="1"/>
  <c r="H52" i="1"/>
  <c r="H127" i="1" s="1"/>
  <c r="J17" i="1"/>
  <c r="K5" i="1"/>
  <c r="F38" i="1"/>
  <c r="K18" i="1"/>
  <c r="L6" i="1"/>
  <c r="H20" i="1"/>
  <c r="G111" i="1"/>
  <c r="G113" i="1" s="1"/>
  <c r="G36" i="1"/>
  <c r="G37" i="1" s="1"/>
  <c r="G51" i="1" s="1"/>
  <c r="I27" i="1"/>
  <c r="I24" i="1"/>
  <c r="I19" i="1"/>
  <c r="I20" i="1"/>
  <c r="I23" i="1"/>
  <c r="I124" i="1"/>
  <c r="N135" i="1"/>
  <c r="J28" i="1"/>
  <c r="J44" i="1"/>
  <c r="D60" i="1"/>
  <c r="D62" i="1" s="1"/>
  <c r="E58" i="1"/>
  <c r="E60" i="1" s="1"/>
  <c r="E62" i="1" s="1"/>
  <c r="H29" i="1"/>
  <c r="H30" i="1" s="1"/>
  <c r="G38" i="1"/>
  <c r="O135" i="1"/>
  <c r="H36" i="1" l="1"/>
  <c r="H37" i="1" s="1"/>
  <c r="H51" i="1" s="1"/>
  <c r="H111" i="1"/>
  <c r="H113" i="1" s="1"/>
  <c r="H114" i="1" s="1"/>
  <c r="H108" i="1" s="1"/>
  <c r="I29" i="1"/>
  <c r="I30" i="1" s="1"/>
  <c r="L18" i="1"/>
  <c r="M6" i="1"/>
  <c r="M18" i="1" s="1"/>
  <c r="J27" i="1"/>
  <c r="J20" i="1"/>
  <c r="J24" i="1"/>
  <c r="J23" i="1"/>
  <c r="J29" i="1" s="1"/>
  <c r="J19" i="1"/>
  <c r="K28" i="1"/>
  <c r="I45" i="1"/>
  <c r="I52" i="1"/>
  <c r="I127" i="1" s="1"/>
  <c r="G114" i="1"/>
  <c r="G108" i="1" s="1"/>
  <c r="G126" i="1" s="1"/>
  <c r="F58" i="1"/>
  <c r="F60" i="1" s="1"/>
  <c r="F62" i="1" s="1"/>
  <c r="H125" i="1"/>
  <c r="H46" i="1"/>
  <c r="H48" i="1" s="1"/>
  <c r="J124" i="1"/>
  <c r="K17" i="1"/>
  <c r="L5" i="1"/>
  <c r="H116" i="1"/>
  <c r="M5" i="1" l="1"/>
  <c r="M17" i="1" s="1"/>
  <c r="L17" i="1"/>
  <c r="I111" i="1"/>
  <c r="I113" i="1" s="1"/>
  <c r="I114" i="1" s="1"/>
  <c r="I108" i="1" s="1"/>
  <c r="I126" i="1" s="1"/>
  <c r="I36" i="1"/>
  <c r="I37" i="1" s="1"/>
  <c r="I51" i="1" s="1"/>
  <c r="K27" i="1"/>
  <c r="K24" i="1"/>
  <c r="K19" i="1"/>
  <c r="K23" i="1"/>
  <c r="J52" i="1"/>
  <c r="J127" i="1" s="1"/>
  <c r="J45" i="1"/>
  <c r="H126" i="1"/>
  <c r="H135" i="1" s="1"/>
  <c r="I125" i="1"/>
  <c r="I46" i="1"/>
  <c r="I48" i="1" s="1"/>
  <c r="J30" i="1"/>
  <c r="M28" i="1"/>
  <c r="H38" i="1"/>
  <c r="G116" i="1"/>
  <c r="G135" i="1" s="1"/>
  <c r="K44" i="1"/>
  <c r="L28" i="1"/>
  <c r="L44" i="1"/>
  <c r="G58" i="1"/>
  <c r="G60" i="1" s="1"/>
  <c r="G62" i="1" s="1"/>
  <c r="I116" i="1"/>
  <c r="I135" i="1" s="1"/>
  <c r="K124" i="1" l="1"/>
  <c r="K45" i="1"/>
  <c r="K125" i="1" s="1"/>
  <c r="K52" i="1"/>
  <c r="K127" i="1" s="1"/>
  <c r="M27" i="1"/>
  <c r="M24" i="1"/>
  <c r="M19" i="1"/>
  <c r="M20" i="1"/>
  <c r="M23" i="1"/>
  <c r="M29" i="1" s="1"/>
  <c r="M30" i="1" s="1"/>
  <c r="P135" i="1"/>
  <c r="J111" i="1"/>
  <c r="J113" i="1" s="1"/>
  <c r="J114" i="1" s="1"/>
  <c r="J108" i="1" s="1"/>
  <c r="J126" i="1" s="1"/>
  <c r="J36" i="1"/>
  <c r="J37" i="1" s="1"/>
  <c r="J51" i="1" s="1"/>
  <c r="J125" i="1"/>
  <c r="J46" i="1"/>
  <c r="J48" i="1" s="1"/>
  <c r="K20" i="1"/>
  <c r="Q135" i="1"/>
  <c r="L124" i="1"/>
  <c r="H58" i="1"/>
  <c r="H60" i="1" s="1"/>
  <c r="H62" i="1" s="1"/>
  <c r="I38" i="1"/>
  <c r="I58" i="1" s="1"/>
  <c r="I60" i="1" s="1"/>
  <c r="I62" i="1" s="1"/>
  <c r="M44" i="1"/>
  <c r="K29" i="1"/>
  <c r="L27" i="1"/>
  <c r="L20" i="1"/>
  <c r="L23" i="1"/>
  <c r="L24" i="1"/>
  <c r="L19" i="1"/>
  <c r="J38" i="1"/>
  <c r="J58" i="1" s="1"/>
  <c r="J60" i="1" s="1"/>
  <c r="J62" i="1" s="1"/>
  <c r="R135" i="1"/>
  <c r="L52" i="1" l="1"/>
  <c r="L127" i="1" s="1"/>
  <c r="L45" i="1"/>
  <c r="K30" i="1"/>
  <c r="M45" i="1"/>
  <c r="M52" i="1"/>
  <c r="J116" i="1"/>
  <c r="J135" i="1" s="1"/>
  <c r="L29" i="1"/>
  <c r="L30" i="1" s="1"/>
  <c r="M130" i="1"/>
  <c r="M124" i="1"/>
  <c r="K46" i="1"/>
  <c r="K48" i="1" s="1"/>
  <c r="M111" i="1"/>
  <c r="M113" i="1" s="1"/>
  <c r="M36" i="1"/>
  <c r="M133" i="1" l="1"/>
  <c r="M127" i="1"/>
  <c r="M131" i="1"/>
  <c r="M125" i="1"/>
  <c r="L111" i="1"/>
  <c r="L113" i="1" s="1"/>
  <c r="L114" i="1" s="1"/>
  <c r="L108" i="1" s="1"/>
  <c r="L36" i="1"/>
  <c r="K111" i="1"/>
  <c r="K113" i="1" s="1"/>
  <c r="K36" i="1"/>
  <c r="M46" i="1"/>
  <c r="M48" i="1" s="1"/>
  <c r="S135" i="1"/>
  <c r="L125" i="1"/>
  <c r="L46" i="1"/>
  <c r="L48" i="1" s="1"/>
  <c r="M37" i="1"/>
  <c r="M51" i="1" s="1"/>
  <c r="M114" i="1"/>
  <c r="M108" i="1" s="1"/>
  <c r="K37" i="1" l="1"/>
  <c r="K51" i="1" s="1"/>
  <c r="K114" i="1"/>
  <c r="K108" i="1" s="1"/>
  <c r="K126" i="1" s="1"/>
  <c r="K116" i="1"/>
  <c r="K135" i="1" s="1"/>
  <c r="L116" i="1"/>
  <c r="L135" i="1" s="1"/>
  <c r="L37" i="1"/>
  <c r="L51" i="1" s="1"/>
  <c r="L126" i="1"/>
  <c r="M132" i="1"/>
  <c r="M126" i="1"/>
  <c r="M116" i="1"/>
  <c r="M38" i="1"/>
  <c r="T135" i="1" l="1"/>
  <c r="C141" i="1"/>
  <c r="U135" i="1"/>
  <c r="L38" i="1"/>
  <c r="L58" i="1" s="1"/>
  <c r="L60" i="1" s="1"/>
  <c r="L62" i="1" s="1"/>
  <c r="K38" i="1"/>
  <c r="K58" i="1" s="1"/>
  <c r="K60" i="1" s="1"/>
  <c r="K62" i="1" s="1"/>
  <c r="M135" i="1"/>
  <c r="M58" i="1" l="1"/>
  <c r="V135" i="1"/>
  <c r="F98" i="1" l="1"/>
  <c r="F99" i="1" s="1"/>
  <c r="N55" i="1"/>
  <c r="M60" i="1"/>
  <c r="M62" i="1" s="1"/>
  <c r="F101" i="1" l="1"/>
  <c r="D94" i="1" s="1"/>
  <c r="C91" i="1" s="1"/>
  <c r="D99" i="1" l="1"/>
  <c r="C92" i="1" s="1"/>
  <c r="C94" i="1" s="1"/>
  <c r="C96" i="1" l="1"/>
  <c r="C97" i="1" s="1"/>
  <c r="C99" i="1" s="1"/>
  <c r="C101" i="1" s="1"/>
  <c r="C137" i="1"/>
  <c r="C139" i="1"/>
  <c r="M137" i="1" l="1"/>
  <c r="H137" i="1"/>
  <c r="G137" i="1"/>
  <c r="E137" i="1"/>
  <c r="L137" i="1"/>
  <c r="K137" i="1"/>
  <c r="J137" i="1"/>
  <c r="D137" i="1"/>
  <c r="F137" i="1"/>
  <c r="I137" i="1"/>
  <c r="C140" i="1" l="1"/>
</calcChain>
</file>

<file path=xl/sharedStrings.xml><?xml version="1.0" encoding="utf-8"?>
<sst xmlns="http://schemas.openxmlformats.org/spreadsheetml/2006/main" count="345" uniqueCount="181">
  <si>
    <t>SALES UNIT FORECASTS</t>
  </si>
  <si>
    <t>Forecasted Store Sales (units)</t>
  </si>
  <si>
    <t>Forecasted Internet Sales (units)</t>
  </si>
  <si>
    <t>Average Store Sales Price</t>
  </si>
  <si>
    <t>Average Internet Sales Price</t>
  </si>
  <si>
    <t>RATIOS USED IN FORECAST</t>
  </si>
  <si>
    <t>Average Collection Period - Internet Sales</t>
  </si>
  <si>
    <t>Inventory Turnover Ratio - All Sales</t>
  </si>
  <si>
    <t>Inventory Days - All Sales</t>
  </si>
  <si>
    <t>Average Payables Period - COGS</t>
  </si>
  <si>
    <t>INCOME STATEMENT</t>
  </si>
  <si>
    <t>Sales Revenue - Stores</t>
  </si>
  <si>
    <t>Sales Revenue - Internet</t>
  </si>
  <si>
    <t>Cost of Goods Sold</t>
  </si>
  <si>
    <t>Gross Profit</t>
  </si>
  <si>
    <t>Operating Expenses</t>
  </si>
  <si>
    <t>Marketing</t>
  </si>
  <si>
    <t>General and Administrative</t>
  </si>
  <si>
    <t>Total Operating Expenses</t>
  </si>
  <si>
    <t>Operating Profit</t>
  </si>
  <si>
    <t>Depreciation</t>
  </si>
  <si>
    <t>Bank Loan Interest Expense</t>
  </si>
  <si>
    <t>Profit Before Taxes</t>
  </si>
  <si>
    <t>Taxes</t>
  </si>
  <si>
    <t>Net Profit After Taxes</t>
  </si>
  <si>
    <t>BALANCE SHEET</t>
  </si>
  <si>
    <t>Assets</t>
  </si>
  <si>
    <t>Cash</t>
  </si>
  <si>
    <t>Accounts Receivable</t>
  </si>
  <si>
    <t>Inventory</t>
  </si>
  <si>
    <t>Total Current Assets</t>
  </si>
  <si>
    <t>Total Assets</t>
  </si>
  <si>
    <t>Liabilities and Equity</t>
  </si>
  <si>
    <t>Income Tax Payable</t>
  </si>
  <si>
    <t>Accounts Payable - COGS</t>
  </si>
  <si>
    <t>Bank Loans</t>
  </si>
  <si>
    <t>Shareholder Contributions</t>
  </si>
  <si>
    <t>Retained Earnings</t>
  </si>
  <si>
    <t>Total Liabilities and Equity</t>
  </si>
  <si>
    <t>DFN</t>
  </si>
  <si>
    <t>students</t>
  </si>
  <si>
    <t>down</t>
  </si>
  <si>
    <t>up</t>
  </si>
  <si>
    <t>STORE</t>
  </si>
  <si>
    <t>INTERNET</t>
  </si>
  <si>
    <t>Beg Balance</t>
  </si>
  <si>
    <t>Principal</t>
  </si>
  <si>
    <t xml:space="preserve">Interest </t>
  </si>
  <si>
    <t>Payment</t>
  </si>
  <si>
    <t>End Balance</t>
  </si>
  <si>
    <t>Rate</t>
  </si>
  <si>
    <t>Jan 2012</t>
  </si>
  <si>
    <t>Per Rate</t>
  </si>
  <si>
    <t>Feb</t>
  </si>
  <si>
    <t>FV</t>
  </si>
  <si>
    <t>Mar</t>
  </si>
  <si>
    <t>Years</t>
  </si>
  <si>
    <t>Apr</t>
  </si>
  <si>
    <t>Per</t>
  </si>
  <si>
    <t>May</t>
  </si>
  <si>
    <t>Type</t>
  </si>
  <si>
    <t>Jun</t>
  </si>
  <si>
    <t>PV</t>
  </si>
  <si>
    <t>Jul</t>
  </si>
  <si>
    <t>Aug</t>
  </si>
  <si>
    <t>Sep</t>
  </si>
  <si>
    <t>Oct</t>
  </si>
  <si>
    <t>Nov</t>
  </si>
  <si>
    <t>Dec</t>
  </si>
  <si>
    <t>TOTALS</t>
  </si>
  <si>
    <t>Jan 2013</t>
  </si>
  <si>
    <t>Jan 2014</t>
  </si>
  <si>
    <t>Jan 2015</t>
  </si>
  <si>
    <t>Jan 2016</t>
  </si>
  <si>
    <t>Store Building Rent Exp</t>
  </si>
  <si>
    <t>rent</t>
  </si>
  <si>
    <t>Utilities</t>
  </si>
  <si>
    <t xml:space="preserve">Minimum cash on hand </t>
  </si>
  <si>
    <t>Extra cash</t>
  </si>
  <si>
    <t>Variable cost</t>
  </si>
  <si>
    <t>COGS</t>
  </si>
  <si>
    <t>Genreal admin</t>
  </si>
  <si>
    <t>fixed</t>
  </si>
  <si>
    <t>store rent</t>
  </si>
  <si>
    <t>sgq ft for rent</t>
  </si>
  <si>
    <t>total</t>
  </si>
  <si>
    <t>units</t>
  </si>
  <si>
    <t>per unit BE</t>
  </si>
  <si>
    <t>BEQ</t>
  </si>
  <si>
    <t>BEQ for store sales</t>
  </si>
  <si>
    <t>List of assumptions</t>
  </si>
  <si>
    <t>We are assuming that there are 34,000 student enrolled at BYU-Provo and that we will be able to get 10% of them to come to our store front and 5% of them to purchase from our website.</t>
  </si>
  <si>
    <t>We are forecasting that our sales will go down by 4% in stores, but our online sales will increase by 6%. This is due to a trend where students are looking for better deals online.</t>
  </si>
  <si>
    <t>Our average sale price per book in the storefront is $45, going up by 5% each year after that. That is a national average for textbooks.</t>
  </si>
  <si>
    <t>Students looking for bargains generally go to the internet to see what deals they can get, so our online average book sale will be competitively priced at $35 our first year and going up by 2% each year after that.</t>
  </si>
  <si>
    <t>Where our books are not perishable and have a long shelf life, our days in inventory will be 180 days and will remain a constant 180 days every year. We are keeping in mind that some books go out of date after a year or so.</t>
  </si>
  <si>
    <t>Our average collection and payables period on internet sales and COGS  is 30 days.</t>
  </si>
  <si>
    <t>Cost of Goods Sold is 12% of total sales from the store as well as online sales.</t>
  </si>
  <si>
    <t>Our marketing expense is 7% of total sales.</t>
  </si>
  <si>
    <t>We assumed that general and administrative expense would be 10% of total sales.</t>
  </si>
  <si>
    <t xml:space="preserve">Utilities will be a fixed expense of $1,424.88 based on a Provo average of $118 in utilities a month for storefronts.  </t>
  </si>
  <si>
    <t>Our store building, and rent Expense is based off of a Provo average for cost per sq. foot for commercial properties. The cost per Sq. foot is $15 and we also included other maintenance cost in to the rent to get our total expense for a total of $14,475 each year.</t>
  </si>
  <si>
    <t>We are assuming zero depreciation because we are not buying the building we are renting just like the previous owners of Bucks 4 Books.</t>
  </si>
  <si>
    <t>The company fell in to a 25% tax bracket that we are forecasting will stay constant over the next several years.</t>
  </si>
  <si>
    <t>We were assuming that we could provide 15,000 of our own equity to buy the company but would need to take out a small business loan of  $40,000 for other expenses. The loan would be finance over 30 years with a 7% interest rate.</t>
  </si>
  <si>
    <t>The company needs to have a minimum cash balance of $5,000 to cover the register and other day to day business expenses.</t>
  </si>
  <si>
    <t>Total</t>
  </si>
  <si>
    <t>Per Unit</t>
  </si>
  <si>
    <t>Variable Costs</t>
  </si>
  <si>
    <t>Fixed Costs</t>
  </si>
  <si>
    <t>Cost of Equity using CAPM (%)</t>
  </si>
  <si>
    <t>Equity Beta</t>
  </si>
  <si>
    <t>Blended Cost of Debt (%)</t>
  </si>
  <si>
    <t>Tax Rate (%)</t>
  </si>
  <si>
    <t>Debt:</t>
  </si>
  <si>
    <t>Percent Debt Currently (%)</t>
  </si>
  <si>
    <t>Mortgage</t>
  </si>
  <si>
    <t>Percent Equity Currently (%)</t>
  </si>
  <si>
    <t>Equity:</t>
  </si>
  <si>
    <t xml:space="preserve">Unlevered Beta </t>
  </si>
  <si>
    <t>Cost of Equity with Relevered Beta using CAPM (%)</t>
  </si>
  <si>
    <t>WACC IN 2022</t>
  </si>
  <si>
    <t>(http://www.bestplaces.net/people/metro/utah/provo-orem)</t>
  </si>
  <si>
    <t>(http://www.statisticbrain.com/reading-statistics/)</t>
  </si>
  <si>
    <t>(http://usatoday30.usatoday.com/news/education/story/2012-02-12/college-costs-free-textbooks/53123522/1)</t>
  </si>
  <si>
    <t>(http://www.loopnet.com/Listing/15683928/2250-North-University-Parkway-Provo-UT/)</t>
  </si>
  <si>
    <t>(http://www.areavibes.com/provo-ut/cost-of-living/average-prices/#housing_utilities)</t>
  </si>
  <si>
    <t>https://personal.vanguard.com/us/funds/tools/benchmarkreturns</t>
  </si>
  <si>
    <t>Treasury.gov</t>
  </si>
  <si>
    <t>CAPM:</t>
  </si>
  <si>
    <t>Tbill</t>
  </si>
  <si>
    <t>S&amp;P500</t>
  </si>
  <si>
    <t>proportion</t>
  </si>
  <si>
    <t>rate</t>
  </si>
  <si>
    <t>Extra Bank Loan</t>
  </si>
  <si>
    <t>Current WACC in 2017 (%)</t>
  </si>
  <si>
    <t>TOTAL</t>
  </si>
  <si>
    <t>Relevered Beta at 60% Debt/40% Equity</t>
  </si>
  <si>
    <t>Common</t>
  </si>
  <si>
    <t>Ret Earnings</t>
  </si>
  <si>
    <t>TOTAL CAPITAL</t>
  </si>
  <si>
    <t>Beta source</t>
  </si>
  <si>
    <t>http://pages.stern.nyu.edu/~adamodar/New_Home_Page/datafile/Betas.html</t>
  </si>
  <si>
    <t>http://www.coinlaundry.org/resources-education/laundry-industry-overview/</t>
  </si>
  <si>
    <t>FCF, NPV, IRR</t>
  </si>
  <si>
    <t>Taxes Payable on OPERATIONS ONLY</t>
  </si>
  <si>
    <t>Cash from Operations</t>
  </si>
  <si>
    <t>Less: Depreciation</t>
  </si>
  <si>
    <t>Taxable Operating Income</t>
  </si>
  <si>
    <t>Tax Expense on Operations</t>
  </si>
  <si>
    <t>Add back: Depreciation</t>
  </si>
  <si>
    <t>CASH FROM OPERATIONS</t>
  </si>
  <si>
    <t>Cash in/out from Capital Expenditures</t>
  </si>
  <si>
    <t>refurbish</t>
  </si>
  <si>
    <t>Buy building</t>
  </si>
  <si>
    <t>Sell building</t>
  </si>
  <si>
    <t>Book Value</t>
  </si>
  <si>
    <t>Taxes on Sale of Building</t>
  </si>
  <si>
    <t>tax rate</t>
  </si>
  <si>
    <t>Cash in/out from changes in Working Capital</t>
  </si>
  <si>
    <t>-</t>
  </si>
  <si>
    <t>+</t>
  </si>
  <si>
    <t>Income Tax Payable ON OPERATIONS ONLY</t>
  </si>
  <si>
    <t>Cash in/out from Liquidation of Working Capital</t>
  </si>
  <si>
    <t>TOTAL FREE CASH FLOWS</t>
  </si>
  <si>
    <t>PV of Free Cash Flows</t>
  </si>
  <si>
    <t>WACC</t>
  </si>
  <si>
    <t>Net Present of Free Cash Flows</t>
  </si>
  <si>
    <t>IRR</t>
  </si>
  <si>
    <t>Value of Perpetuity</t>
  </si>
  <si>
    <t>WACC in 2022at 60% Debt/40% Equity</t>
  </si>
  <si>
    <t>Pro-Forma</t>
  </si>
  <si>
    <t>Merchant Account</t>
  </si>
  <si>
    <t>Internet Expense</t>
  </si>
  <si>
    <t>Monthly Utilities</t>
  </si>
  <si>
    <t>Breakeven in 2013</t>
  </si>
  <si>
    <t>Store Revenue</t>
  </si>
  <si>
    <t>Internet</t>
  </si>
  <si>
    <t>Contribution Margin</t>
  </si>
  <si>
    <t>Breakeven in Units</t>
  </si>
  <si>
    <t>A sale unit is comprised of 2 units, one in store, and one internet sale.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</si>
</sst>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\$* #,##0_);_(\$* \(#,##0\);_(\$* \-??_);_(@_)"/>
    <numFmt numFmtId="165" formatCode="&quot;$&quot;#,##0.00"/>
    <numFmt numFmtId="166" formatCode="[$$-409]#,##0.00;[Red]\-[$$-409]#,##0.00"/>
    <numFmt numFmtId="167" formatCode="0.0%"/>
    <numFmt numFmtId="168" formatCode="0.000%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2"/>
      <color theme="1"/>
      <name val="Cambria"/>
      <family val="1"/>
    </font>
    <font>
      <u/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8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77">
    <xf numFmtId="0" fontId="0" fillId="0" borderId="0" xfId="0"/>
    <xf numFmtId="0" fontId="4" fillId="0" borderId="0" xfId="3" applyFont="1"/>
    <xf numFmtId="0" fontId="3" fillId="0" borderId="0" xfId="3"/>
    <xf numFmtId="3" fontId="0" fillId="0" borderId="0" xfId="0" applyNumberFormat="1"/>
    <xf numFmtId="9" fontId="0" fillId="0" borderId="0" xfId="0" applyNumberFormat="1"/>
    <xf numFmtId="9" fontId="0" fillId="0" borderId="0" xfId="2" applyFont="1"/>
    <xf numFmtId="165" fontId="0" fillId="0" borderId="0" xfId="0" applyNumberFormat="1"/>
    <xf numFmtId="0" fontId="7" fillId="0" borderId="0" xfId="0" applyFont="1"/>
    <xf numFmtId="0" fontId="7" fillId="0" borderId="0" xfId="0" applyFont="1" applyFill="1"/>
    <xf numFmtId="10" fontId="7" fillId="2" borderId="0" xfId="0" applyNumberFormat="1" applyFont="1" applyFill="1"/>
    <xf numFmtId="17" fontId="7" fillId="0" borderId="0" xfId="0" quotePrefix="1" applyNumberFormat="1" applyFont="1" applyAlignment="1">
      <alignment wrapText="1"/>
    </xf>
    <xf numFmtId="44" fontId="8" fillId="0" borderId="0" xfId="1" applyFont="1"/>
    <xf numFmtId="10" fontId="7" fillId="0" borderId="0" xfId="0" applyNumberFormat="1" applyFont="1" applyFill="1"/>
    <xf numFmtId="0" fontId="7" fillId="0" borderId="0" xfId="0" applyFont="1" applyAlignment="1">
      <alignment wrapText="1"/>
    </xf>
    <xf numFmtId="166" fontId="7" fillId="0" borderId="0" xfId="0" applyNumberFormat="1" applyFont="1" applyFill="1"/>
    <xf numFmtId="166" fontId="7" fillId="2" borderId="0" xfId="0" applyNumberFormat="1" applyFont="1" applyFill="1"/>
    <xf numFmtId="44" fontId="9" fillId="0" borderId="0" xfId="1" applyFont="1"/>
    <xf numFmtId="0" fontId="10" fillId="0" borderId="0" xfId="0" applyFont="1" applyAlignment="1">
      <alignment wrapText="1"/>
    </xf>
    <xf numFmtId="0" fontId="7" fillId="0" borderId="0" xfId="0" quotePrefix="1" applyFont="1" applyAlignment="1">
      <alignment wrapText="1"/>
    </xf>
    <xf numFmtId="166" fontId="7" fillId="0" borderId="0" xfId="0" applyNumberFormat="1" applyFont="1" applyAlignment="1">
      <alignment wrapText="1"/>
    </xf>
    <xf numFmtId="43" fontId="0" fillId="0" borderId="0" xfId="10" applyFont="1"/>
    <xf numFmtId="165" fontId="0" fillId="0" borderId="0" xfId="10" applyNumberFormat="1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0" fontId="3" fillId="0" borderId="0" xfId="3" applyNumberFormat="1"/>
    <xf numFmtId="167" fontId="2" fillId="0" borderId="0" xfId="2" applyNumberFormat="1"/>
    <xf numFmtId="164" fontId="3" fillId="0" borderId="0" xfId="3" applyNumberFormat="1"/>
    <xf numFmtId="164" fontId="3" fillId="0" borderId="3" xfId="3" applyNumberFormat="1" applyBorder="1"/>
    <xf numFmtId="10" fontId="0" fillId="0" borderId="0" xfId="2" applyNumberFormat="1" applyFont="1"/>
    <xf numFmtId="0" fontId="5" fillId="0" borderId="0" xfId="13" applyAlignment="1">
      <alignment vertical="center"/>
    </xf>
    <xf numFmtId="0" fontId="4" fillId="0" borderId="0" xfId="3" applyFont="1" applyFill="1"/>
    <xf numFmtId="0" fontId="3" fillId="0" borderId="0" xfId="3" applyFill="1"/>
    <xf numFmtId="0" fontId="3" fillId="0" borderId="0" xfId="3" applyFill="1" applyBorder="1"/>
    <xf numFmtId="0" fontId="3" fillId="0" borderId="1" xfId="3" applyBorder="1"/>
    <xf numFmtId="10" fontId="3" fillId="0" borderId="1" xfId="3" applyNumberFormat="1" applyFill="1" applyBorder="1"/>
    <xf numFmtId="9" fontId="3" fillId="0" borderId="1" xfId="3" applyNumberFormat="1" applyBorder="1"/>
    <xf numFmtId="164" fontId="3" fillId="0" borderId="1" xfId="3" applyNumberFormat="1" applyBorder="1"/>
    <xf numFmtId="10" fontId="4" fillId="0" borderId="1" xfId="3" applyNumberFormat="1" applyFont="1" applyBorder="1"/>
    <xf numFmtId="165" fontId="3" fillId="0" borderId="1" xfId="3" applyNumberFormat="1" applyBorder="1"/>
    <xf numFmtId="0" fontId="13" fillId="0" borderId="0" xfId="3" applyFont="1" applyBorder="1"/>
    <xf numFmtId="0" fontId="3" fillId="0" borderId="0" xfId="3" applyBorder="1"/>
    <xf numFmtId="0" fontId="14" fillId="0" borderId="0" xfId="3" applyFont="1"/>
    <xf numFmtId="0" fontId="3" fillId="0" borderId="0" xfId="3" quotePrefix="1"/>
    <xf numFmtId="9" fontId="3" fillId="0" borderId="0" xfId="2" applyFont="1"/>
    <xf numFmtId="0" fontId="3" fillId="0" borderId="4" xfId="3" applyBorder="1"/>
    <xf numFmtId="0" fontId="4" fillId="0" borderId="4" xfId="3" applyFont="1" applyBorder="1"/>
    <xf numFmtId="6" fontId="3" fillId="0" borderId="0" xfId="3" applyNumberFormat="1"/>
    <xf numFmtId="2" fontId="16" fillId="0" borderId="0" xfId="0" applyNumberFormat="1" applyFont="1"/>
    <xf numFmtId="0" fontId="0" fillId="0" borderId="0" xfId="0" applyFill="1" applyBorder="1"/>
    <xf numFmtId="164" fontId="3" fillId="0" borderId="0" xfId="3" applyNumberFormat="1" applyFill="1" applyBorder="1"/>
    <xf numFmtId="0" fontId="4" fillId="0" borderId="0" xfId="3" applyFont="1" applyFill="1" applyBorder="1"/>
    <xf numFmtId="43" fontId="3" fillId="0" borderId="0" xfId="3" applyNumberFormat="1" applyFill="1" applyBorder="1"/>
    <xf numFmtId="167" fontId="2" fillId="0" borderId="0" xfId="2" applyNumberFormat="1" applyFill="1" applyBorder="1"/>
    <xf numFmtId="167" fontId="4" fillId="0" borderId="0" xfId="2" applyNumberFormat="1" applyFont="1" applyFill="1" applyBorder="1"/>
    <xf numFmtId="168" fontId="3" fillId="0" borderId="0" xfId="3" applyNumberFormat="1" applyFill="1" applyBorder="1"/>
    <xf numFmtId="9" fontId="2" fillId="0" borderId="0" xfId="2" applyFill="1" applyBorder="1"/>
    <xf numFmtId="0" fontId="12" fillId="0" borderId="0" xfId="3" applyFont="1" applyFill="1" applyBorder="1"/>
    <xf numFmtId="0" fontId="2" fillId="0" borderId="0" xfId="2" applyNumberFormat="1" applyFill="1" applyBorder="1"/>
    <xf numFmtId="10" fontId="2" fillId="0" borderId="0" xfId="2" applyNumberFormat="1" applyFill="1" applyBorder="1"/>
    <xf numFmtId="0" fontId="3" fillId="0" borderId="0" xfId="3" applyNumberFormat="1" applyFill="1" applyBorder="1"/>
    <xf numFmtId="168" fontId="4" fillId="0" borderId="0" xfId="3" applyNumberFormat="1" applyFont="1" applyFill="1" applyBorder="1"/>
    <xf numFmtId="2" fontId="3" fillId="0" borderId="0" xfId="3" applyNumberFormat="1" applyFill="1" applyBorder="1"/>
    <xf numFmtId="10" fontId="3" fillId="0" borderId="1" xfId="3" applyNumberFormat="1" applyBorder="1"/>
    <xf numFmtId="0" fontId="0" fillId="0" borderId="1" xfId="0" applyBorder="1"/>
    <xf numFmtId="2" fontId="0" fillId="0" borderId="1" xfId="0" applyNumberFormat="1" applyBorder="1"/>
    <xf numFmtId="165" fontId="0" fillId="0" borderId="1" xfId="0" applyNumberFormat="1" applyBorder="1"/>
    <xf numFmtId="165" fontId="0" fillId="0" borderId="15" xfId="0" applyNumberFormat="1" applyBorder="1"/>
    <xf numFmtId="165" fontId="0" fillId="0" borderId="16" xfId="0" applyNumberFormat="1" applyBorder="1"/>
    <xf numFmtId="165" fontId="0" fillId="0" borderId="17" xfId="0" applyNumberFormat="1" applyBorder="1"/>
    <xf numFmtId="0" fontId="0" fillId="0" borderId="19" xfId="0" applyBorder="1"/>
    <xf numFmtId="2" fontId="0" fillId="0" borderId="19" xfId="0" applyNumberFormat="1" applyBorder="1"/>
    <xf numFmtId="2" fontId="0" fillId="0" borderId="20" xfId="0" applyNumberFormat="1" applyBorder="1"/>
    <xf numFmtId="2" fontId="0" fillId="0" borderId="22" xfId="0" applyNumberFormat="1" applyBorder="1"/>
    <xf numFmtId="0" fontId="0" fillId="0" borderId="24" xfId="0" applyBorder="1"/>
    <xf numFmtId="2" fontId="0" fillId="0" borderId="24" xfId="0" applyNumberFormat="1" applyBorder="1"/>
    <xf numFmtId="2" fontId="0" fillId="0" borderId="25" xfId="0" applyNumberFormat="1" applyBorder="1"/>
    <xf numFmtId="0" fontId="0" fillId="0" borderId="20" xfId="0" applyBorder="1"/>
    <xf numFmtId="0" fontId="0" fillId="0" borderId="22" xfId="0" applyBorder="1"/>
    <xf numFmtId="0" fontId="0" fillId="0" borderId="25" xfId="0" applyBorder="1"/>
    <xf numFmtId="165" fontId="0" fillId="0" borderId="18" xfId="0" applyNumberFormat="1" applyBorder="1"/>
    <xf numFmtId="165" fontId="0" fillId="0" borderId="19" xfId="0" applyNumberFormat="1" applyBorder="1"/>
    <xf numFmtId="165" fontId="0" fillId="0" borderId="20" xfId="0" applyNumberFormat="1" applyBorder="1"/>
    <xf numFmtId="165" fontId="0" fillId="0" borderId="21" xfId="0" applyNumberFormat="1" applyBorder="1"/>
    <xf numFmtId="165" fontId="0" fillId="0" borderId="22" xfId="0" applyNumberFormat="1" applyBorder="1"/>
    <xf numFmtId="165" fontId="0" fillId="0" borderId="24" xfId="0" applyNumberFormat="1" applyBorder="1"/>
    <xf numFmtId="165" fontId="0" fillId="0" borderId="25" xfId="0" applyNumberFormat="1" applyBorder="1"/>
    <xf numFmtId="44" fontId="0" fillId="0" borderId="24" xfId="0" applyNumberFormat="1" applyBorder="1"/>
    <xf numFmtId="44" fontId="0" fillId="0" borderId="25" xfId="0" applyNumberFormat="1" applyBorder="1"/>
    <xf numFmtId="165" fontId="0" fillId="0" borderId="26" xfId="0" applyNumberFormat="1" applyBorder="1"/>
    <xf numFmtId="44" fontId="0" fillId="0" borderId="15" xfId="0" applyNumberFormat="1" applyBorder="1"/>
    <xf numFmtId="44" fontId="0" fillId="0" borderId="16" xfId="0" applyNumberFormat="1" applyBorder="1"/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4" fillId="0" borderId="4" xfId="3" applyFont="1" applyBorder="1" applyAlignment="1">
      <alignment horizontal="center"/>
    </xf>
    <xf numFmtId="0" fontId="4" fillId="0" borderId="0" xfId="3" applyFont="1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165" fontId="0" fillId="0" borderId="27" xfId="0" applyNumberFormat="1" applyBorder="1"/>
    <xf numFmtId="165" fontId="0" fillId="0" borderId="28" xfId="0" applyNumberFormat="1" applyBorder="1"/>
    <xf numFmtId="165" fontId="0" fillId="0" borderId="29" xfId="0" applyNumberFormat="1" applyBorder="1"/>
    <xf numFmtId="44" fontId="0" fillId="0" borderId="29" xfId="0" applyNumberFormat="1" applyBorder="1"/>
    <xf numFmtId="165" fontId="0" fillId="0" borderId="30" xfId="0" applyNumberFormat="1" applyBorder="1"/>
    <xf numFmtId="0" fontId="0" fillId="0" borderId="10" xfId="0" applyBorder="1"/>
    <xf numFmtId="2" fontId="0" fillId="0" borderId="28" xfId="0" applyNumberFormat="1" applyBorder="1"/>
    <xf numFmtId="44" fontId="0" fillId="0" borderId="31" xfId="0" applyNumberFormat="1" applyBorder="1"/>
    <xf numFmtId="165" fontId="0" fillId="0" borderId="31" xfId="0" applyNumberFormat="1" applyBorder="1"/>
    <xf numFmtId="0" fontId="0" fillId="0" borderId="32" xfId="0" applyBorder="1"/>
    <xf numFmtId="0" fontId="0" fillId="0" borderId="8" xfId="0" applyBorder="1"/>
    <xf numFmtId="0" fontId="0" fillId="0" borderId="9" xfId="0" applyBorder="1"/>
    <xf numFmtId="0" fontId="0" fillId="0" borderId="33" xfId="0" applyBorder="1"/>
    <xf numFmtId="0" fontId="0" fillId="0" borderId="12" xfId="0" applyBorder="1"/>
    <xf numFmtId="0" fontId="0" fillId="0" borderId="13" xfId="0" applyBorder="1"/>
    <xf numFmtId="0" fontId="17" fillId="0" borderId="0" xfId="3" applyFont="1"/>
    <xf numFmtId="0" fontId="3" fillId="0" borderId="18" xfId="3" applyBorder="1"/>
    <xf numFmtId="0" fontId="3" fillId="0" borderId="21" xfId="3" applyBorder="1"/>
    <xf numFmtId="0" fontId="3" fillId="0" borderId="22" xfId="3" applyBorder="1"/>
    <xf numFmtId="0" fontId="3" fillId="0" borderId="23" xfId="3" applyBorder="1"/>
    <xf numFmtId="0" fontId="4" fillId="0" borderId="0" xfId="3" applyFont="1" applyAlignment="1">
      <alignment horizontal="center"/>
    </xf>
    <xf numFmtId="43" fontId="4" fillId="0" borderId="1" xfId="1" applyNumberFormat="1" applyFont="1" applyBorder="1"/>
    <xf numFmtId="164" fontId="3" fillId="0" borderId="14" xfId="3" applyNumberFormat="1" applyBorder="1"/>
    <xf numFmtId="164" fontId="3" fillId="0" borderId="15" xfId="3" applyNumberFormat="1" applyBorder="1"/>
    <xf numFmtId="164" fontId="3" fillId="0" borderId="16" xfId="3" applyNumberFormat="1" applyBorder="1"/>
    <xf numFmtId="164" fontId="3" fillId="0" borderId="18" xfId="3" applyNumberFormat="1" applyBorder="1"/>
    <xf numFmtId="164" fontId="3" fillId="0" borderId="19" xfId="3" applyNumberFormat="1" applyBorder="1"/>
    <xf numFmtId="164" fontId="3" fillId="0" borderId="20" xfId="3" applyNumberFormat="1" applyBorder="1"/>
    <xf numFmtId="164" fontId="3" fillId="0" borderId="21" xfId="3" applyNumberFormat="1" applyBorder="1"/>
    <xf numFmtId="164" fontId="3" fillId="0" borderId="22" xfId="3" applyNumberFormat="1" applyBorder="1"/>
    <xf numFmtId="43" fontId="4" fillId="0" borderId="21" xfId="1" applyNumberFormat="1" applyFont="1" applyBorder="1"/>
    <xf numFmtId="43" fontId="4" fillId="0" borderId="22" xfId="1" applyNumberFormat="1" applyFont="1" applyBorder="1"/>
    <xf numFmtId="164" fontId="3" fillId="0" borderId="23" xfId="3" applyNumberFormat="1" applyBorder="1"/>
    <xf numFmtId="164" fontId="3" fillId="0" borderId="24" xfId="3" applyNumberFormat="1" applyBorder="1"/>
    <xf numFmtId="164" fontId="3" fillId="0" borderId="25" xfId="3" applyNumberFormat="1" applyBorder="1"/>
    <xf numFmtId="0" fontId="3" fillId="0" borderId="19" xfId="3" applyBorder="1"/>
    <xf numFmtId="0" fontId="3" fillId="0" borderId="24" xfId="3" applyBorder="1"/>
    <xf numFmtId="164" fontId="2" fillId="0" borderId="24" xfId="1" applyNumberFormat="1" applyBorder="1"/>
    <xf numFmtId="9" fontId="3" fillId="0" borderId="24" xfId="3" applyNumberFormat="1" applyBorder="1"/>
    <xf numFmtId="6" fontId="3" fillId="0" borderId="0" xfId="3" applyNumberFormat="1" applyBorder="1"/>
    <xf numFmtId="6" fontId="3" fillId="0" borderId="0" xfId="3" applyNumberFormat="1" applyAlignment="1">
      <alignment horizontal="center"/>
    </xf>
    <xf numFmtId="165" fontId="18" fillId="3" borderId="31" xfId="0" applyNumberFormat="1" applyFont="1" applyFill="1" applyBorder="1"/>
    <xf numFmtId="165" fontId="18" fillId="3" borderId="15" xfId="0" applyNumberFormat="1" applyFont="1" applyFill="1" applyBorder="1"/>
    <xf numFmtId="165" fontId="18" fillId="3" borderId="16" xfId="0" applyNumberFormat="1" applyFont="1" applyFill="1" applyBorder="1"/>
    <xf numFmtId="165" fontId="18" fillId="3" borderId="29" xfId="0" applyNumberFormat="1" applyFont="1" applyFill="1" applyBorder="1"/>
    <xf numFmtId="165" fontId="18" fillId="3" borderId="24" xfId="0" applyNumberFormat="1" applyFont="1" applyFill="1" applyBorder="1"/>
    <xf numFmtId="165" fontId="18" fillId="3" borderId="25" xfId="0" applyNumberFormat="1" applyFont="1" applyFill="1" applyBorder="1"/>
    <xf numFmtId="165" fontId="0" fillId="0" borderId="34" xfId="0" applyNumberFormat="1" applyBorder="1"/>
    <xf numFmtId="167" fontId="0" fillId="0" borderId="0" xfId="2" applyNumberFormat="1" applyFont="1"/>
    <xf numFmtId="10" fontId="3" fillId="0" borderId="2" xfId="3" applyNumberFormat="1" applyFill="1" applyBorder="1"/>
    <xf numFmtId="10" fontId="3" fillId="0" borderId="0" xfId="3" applyNumberFormat="1" applyFill="1" applyBorder="1"/>
    <xf numFmtId="0" fontId="5" fillId="0" borderId="0" xfId="13"/>
    <xf numFmtId="0" fontId="4" fillId="4" borderId="32" xfId="3" applyFont="1" applyFill="1" applyBorder="1"/>
    <xf numFmtId="0" fontId="3" fillId="4" borderId="9" xfId="3" applyFill="1" applyBorder="1"/>
    <xf numFmtId="0" fontId="3" fillId="4" borderId="10" xfId="3" applyFill="1" applyBorder="1"/>
    <xf numFmtId="0" fontId="3" fillId="4" borderId="11" xfId="3" applyFill="1" applyBorder="1"/>
    <xf numFmtId="0" fontId="4" fillId="4" borderId="10" xfId="3" applyFont="1" applyFill="1" applyBorder="1"/>
    <xf numFmtId="0" fontId="3" fillId="4" borderId="10" xfId="3" applyFont="1" applyFill="1" applyBorder="1"/>
    <xf numFmtId="0" fontId="0" fillId="4" borderId="10" xfId="0" applyFill="1" applyBorder="1"/>
    <xf numFmtId="0" fontId="4" fillId="4" borderId="33" xfId="3" applyFont="1" applyFill="1" applyBorder="1"/>
    <xf numFmtId="0" fontId="3" fillId="4" borderId="13" xfId="3" applyFill="1" applyBorder="1"/>
    <xf numFmtId="164" fontId="3" fillId="4" borderId="11" xfId="1" applyNumberFormat="1" applyFont="1" applyFill="1" applyBorder="1" applyAlignment="1" applyProtection="1"/>
    <xf numFmtId="0" fontId="3" fillId="4" borderId="32" xfId="3" applyFill="1" applyBorder="1"/>
    <xf numFmtId="0" fontId="3" fillId="4" borderId="33" xfId="3" applyFill="1" applyBorder="1"/>
    <xf numFmtId="165" fontId="3" fillId="0" borderId="22" xfId="3" applyNumberFormat="1" applyBorder="1"/>
    <xf numFmtId="10" fontId="3" fillId="0" borderId="0" xfId="3" applyNumberFormat="1" applyFill="1"/>
    <xf numFmtId="165" fontId="3" fillId="0" borderId="21" xfId="3" applyNumberFormat="1" applyBorder="1"/>
    <xf numFmtId="0" fontId="19" fillId="0" borderId="0" xfId="3" applyFont="1"/>
    <xf numFmtId="0" fontId="3" fillId="0" borderId="22" xfId="3" applyFill="1" applyBorder="1"/>
    <xf numFmtId="165" fontId="3" fillId="0" borderId="18" xfId="3" applyNumberFormat="1" applyBorder="1"/>
    <xf numFmtId="0" fontId="3" fillId="4" borderId="8" xfId="3" applyFill="1" applyBorder="1"/>
    <xf numFmtId="0" fontId="3" fillId="4" borderId="0" xfId="3" applyFill="1" applyBorder="1"/>
    <xf numFmtId="0" fontId="3" fillId="4" borderId="12" xfId="3" applyFill="1" applyBorder="1"/>
    <xf numFmtId="165" fontId="3" fillId="0" borderId="20" xfId="3" applyNumberFormat="1" applyBorder="1"/>
    <xf numFmtId="2" fontId="3" fillId="0" borderId="25" xfId="3" applyNumberFormat="1" applyBorder="1"/>
    <xf numFmtId="44" fontId="3" fillId="0" borderId="0" xfId="1" applyFont="1"/>
    <xf numFmtId="0" fontId="0" fillId="0" borderId="0" xfId="0" applyAlignment="1">
      <alignment horizontal="center"/>
    </xf>
  </cellXfs>
  <cellStyles count="14">
    <cellStyle name="Comma" xfId="10" builtinId="3"/>
    <cellStyle name="Currency" xfId="1" builtinId="4"/>
    <cellStyle name="Excel Built-in Normal" xfId="3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2" builtinId="9" hidden="1"/>
    <cellStyle name="Hyperlink" xfId="4" builtinId="8" hidden="1"/>
    <cellStyle name="Hyperlink" xfId="6" builtinId="8" hidden="1"/>
    <cellStyle name="Hyperlink" xfId="8" builtinId="8" hidden="1"/>
    <cellStyle name="Hyperlink" xfId="11" builtinId="8" hidden="1"/>
    <cellStyle name="Hyperlink" xfId="13" builtinId="8"/>
    <cellStyle name="Normal" xfId="0" builtinId="0"/>
    <cellStyle name="Percent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ages.stern.nyu.edu/~adamodar/New_Home_Page/datafile/Betas.html" TargetMode="External"/><Relationship Id="rId3" Type="http://schemas.openxmlformats.org/officeDocument/2006/relationships/hyperlink" Target="http://usatoday30.usatoday.com/news/education/story/2012-02-12/college-costs-free-textbooks/53123522/1" TargetMode="External"/><Relationship Id="rId7" Type="http://schemas.openxmlformats.org/officeDocument/2006/relationships/hyperlink" Target="https://personal.vanguard.com/us/funds/tools/benchmarkreturns" TargetMode="External"/><Relationship Id="rId2" Type="http://schemas.openxmlformats.org/officeDocument/2006/relationships/hyperlink" Target="http://www.statisticbrain.com/reading-statistics/" TargetMode="External"/><Relationship Id="rId1" Type="http://schemas.openxmlformats.org/officeDocument/2006/relationships/hyperlink" Target="http://www.bestplaces.net/people/metro/utah/provo-orem" TargetMode="External"/><Relationship Id="rId6" Type="http://schemas.openxmlformats.org/officeDocument/2006/relationships/hyperlink" Target="https://personal.vanguard.com/us/funds/tools/benchmarkreturns" TargetMode="External"/><Relationship Id="rId5" Type="http://schemas.openxmlformats.org/officeDocument/2006/relationships/hyperlink" Target="http://www.areavibes.com/provo-ut/cost-of-living/average-prices/" TargetMode="External"/><Relationship Id="rId4" Type="http://schemas.openxmlformats.org/officeDocument/2006/relationships/hyperlink" Target="http://www.loopnet.com/Listing/15683928/2250-North-University-Parkway-Provo-UT/" TargetMode="External"/><Relationship Id="rId9" Type="http://schemas.openxmlformats.org/officeDocument/2006/relationships/hyperlink" Target="http://www.coinlaundry.org/resources-education/laundry-industry-overvie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6"/>
  <sheetViews>
    <sheetView showGridLines="0" topLeftCell="A16" zoomScale="70" zoomScaleNormal="70" workbookViewId="0">
      <selection activeCell="F2" sqref="F2"/>
    </sheetView>
  </sheetViews>
  <sheetFormatPr defaultColWidth="11" defaultRowHeight="15.75" x14ac:dyDescent="0.25"/>
  <cols>
    <col min="1" max="1" width="6.625" customWidth="1"/>
    <col min="2" max="2" width="32.375" customWidth="1"/>
    <col min="3" max="3" width="23.75" bestFit="1" customWidth="1"/>
    <col min="4" max="4" width="13.75" bestFit="1" customWidth="1"/>
    <col min="5" max="5" width="15.125" bestFit="1" customWidth="1"/>
    <col min="6" max="9" width="13.75" bestFit="1" customWidth="1"/>
    <col min="10" max="13" width="14.5" bestFit="1" customWidth="1"/>
    <col min="16" max="16" width="20.875" bestFit="1" customWidth="1"/>
  </cols>
  <sheetData>
    <row r="1" spans="2:20" x14ac:dyDescent="0.25">
      <c r="Q1" t="s">
        <v>43</v>
      </c>
      <c r="R1" t="s">
        <v>44</v>
      </c>
    </row>
    <row r="2" spans="2:20" x14ac:dyDescent="0.25">
      <c r="B2" s="1"/>
      <c r="C2" s="2"/>
      <c r="P2" t="s">
        <v>40</v>
      </c>
      <c r="Q2" s="4">
        <v>0.08</v>
      </c>
      <c r="R2" s="5">
        <v>0.05</v>
      </c>
    </row>
    <row r="3" spans="2:20" ht="24" thickBot="1" x14ac:dyDescent="0.4">
      <c r="B3" s="115" t="s">
        <v>171</v>
      </c>
      <c r="C3" s="2"/>
      <c r="P3" s="3">
        <v>34000</v>
      </c>
      <c r="Q3">
        <f>P3*Q2</f>
        <v>2720</v>
      </c>
      <c r="R3">
        <f>P3*R2</f>
        <v>1700</v>
      </c>
    </row>
    <row r="4" spans="2:20" ht="16.5" thickBot="1" x14ac:dyDescent="0.3">
      <c r="B4" s="152" t="s">
        <v>0</v>
      </c>
      <c r="C4" s="153"/>
      <c r="D4" s="92">
        <v>2013</v>
      </c>
      <c r="E4" s="92">
        <v>2014</v>
      </c>
      <c r="F4" s="92">
        <v>2015</v>
      </c>
      <c r="G4" s="92">
        <v>2016</v>
      </c>
      <c r="H4" s="92">
        <v>2017</v>
      </c>
      <c r="I4" s="92">
        <v>2018</v>
      </c>
      <c r="J4" s="92">
        <v>2019</v>
      </c>
      <c r="K4" s="92">
        <v>2020</v>
      </c>
      <c r="L4" s="92">
        <v>2021</v>
      </c>
      <c r="M4" s="93">
        <v>2022</v>
      </c>
    </row>
    <row r="5" spans="2:20" x14ac:dyDescent="0.25">
      <c r="B5" s="154" t="s">
        <v>1</v>
      </c>
      <c r="C5" s="155"/>
      <c r="D5" s="97">
        <f>Q3</f>
        <v>2720</v>
      </c>
      <c r="E5" s="69">
        <f>D5-(D5*$N$5)</f>
        <v>2611.1999999999998</v>
      </c>
      <c r="F5" s="70">
        <f>E5-(E5*$N$5)</f>
        <v>2506.752</v>
      </c>
      <c r="G5" s="70">
        <f>F5-(F5*$N$5)</f>
        <v>2406.4819200000002</v>
      </c>
      <c r="H5" s="70">
        <f t="shared" ref="H5:L5" si="0">G5-(G5*$N$5)</f>
        <v>2310.2226432000002</v>
      </c>
      <c r="I5" s="70">
        <f t="shared" si="0"/>
        <v>2217.8137374720004</v>
      </c>
      <c r="J5" s="70">
        <f t="shared" si="0"/>
        <v>2129.1011879731204</v>
      </c>
      <c r="K5" s="70">
        <f t="shared" si="0"/>
        <v>2043.9371404541955</v>
      </c>
      <c r="L5" s="70">
        <f t="shared" si="0"/>
        <v>1962.1796548360278</v>
      </c>
      <c r="M5" s="71">
        <f>L5-(L5*$N$5)</f>
        <v>1883.6924686425866</v>
      </c>
      <c r="N5" s="4">
        <v>0.04</v>
      </c>
      <c r="O5" t="s">
        <v>41</v>
      </c>
    </row>
    <row r="6" spans="2:20" x14ac:dyDescent="0.25">
      <c r="B6" s="154" t="s">
        <v>2</v>
      </c>
      <c r="C6" s="155"/>
      <c r="D6" s="98">
        <f>R3</f>
        <v>1700</v>
      </c>
      <c r="E6" s="63">
        <f>D6+(D6*$N$6)</f>
        <v>1802</v>
      </c>
      <c r="F6" s="63">
        <f>E6+(E6*$N$6)</f>
        <v>1910.12</v>
      </c>
      <c r="G6" s="64">
        <f>F6+(F6*$N$6)</f>
        <v>2024.7271999999998</v>
      </c>
      <c r="H6" s="64">
        <f t="shared" ref="H6:L6" si="1">G6+(G6*$N$6)</f>
        <v>2146.2108319999998</v>
      </c>
      <c r="I6" s="64">
        <f t="shared" si="1"/>
        <v>2274.9834819199996</v>
      </c>
      <c r="J6" s="64">
        <f t="shared" si="1"/>
        <v>2411.4824908351993</v>
      </c>
      <c r="K6" s="64">
        <f t="shared" si="1"/>
        <v>2556.1714402853113</v>
      </c>
      <c r="L6" s="64">
        <f t="shared" si="1"/>
        <v>2709.54172670243</v>
      </c>
      <c r="M6" s="72">
        <f>L6+(L6*$N$6)</f>
        <v>2872.1142303045758</v>
      </c>
      <c r="N6" s="5">
        <v>0.06</v>
      </c>
      <c r="O6" t="s">
        <v>42</v>
      </c>
      <c r="Q6" t="s">
        <v>79</v>
      </c>
      <c r="T6" t="s">
        <v>82</v>
      </c>
    </row>
    <row r="7" spans="2:20" x14ac:dyDescent="0.25">
      <c r="B7" s="154" t="s">
        <v>3</v>
      </c>
      <c r="C7" s="155"/>
      <c r="D7" s="98">
        <v>45</v>
      </c>
      <c r="E7" s="63">
        <f>D7+(D7*$N$7)</f>
        <v>47.25</v>
      </c>
      <c r="F7" s="64">
        <f>E7+(E7*$N$7)</f>
        <v>49.612499999999997</v>
      </c>
      <c r="G7" s="64">
        <f>F7+(F7*$N$7)</f>
        <v>52.093125000000001</v>
      </c>
      <c r="H7" s="64">
        <f t="shared" ref="H7:L7" si="2">G7+(G7*$N$7)</f>
        <v>54.697781249999998</v>
      </c>
      <c r="I7" s="64">
        <f t="shared" si="2"/>
        <v>57.432670312500001</v>
      </c>
      <c r="J7" s="64">
        <f t="shared" si="2"/>
        <v>60.304303828125001</v>
      </c>
      <c r="K7" s="64">
        <f t="shared" si="2"/>
        <v>63.319519019531249</v>
      </c>
      <c r="L7" s="64">
        <f t="shared" si="2"/>
        <v>66.485494970507816</v>
      </c>
      <c r="M7" s="72">
        <f>L7+(L7*$N$7)</f>
        <v>69.809769719033213</v>
      </c>
      <c r="N7" s="5">
        <v>0.05</v>
      </c>
      <c r="O7" t="s">
        <v>42</v>
      </c>
      <c r="P7" t="s">
        <v>80</v>
      </c>
      <c r="Q7" s="6">
        <f>D19</f>
        <v>21828</v>
      </c>
      <c r="S7" t="s">
        <v>76</v>
      </c>
      <c r="T7" s="6">
        <f>D25</f>
        <v>1424.8799999999999</v>
      </c>
    </row>
    <row r="8" spans="2:20" ht="16.5" thickBot="1" x14ac:dyDescent="0.3">
      <c r="B8" s="154" t="s">
        <v>4</v>
      </c>
      <c r="C8" s="155"/>
      <c r="D8" s="99">
        <v>35</v>
      </c>
      <c r="E8" s="73">
        <f>D8+(D8*$N$8)</f>
        <v>35.700000000000003</v>
      </c>
      <c r="F8" s="74">
        <f>E8+(E8*$N$8)</f>
        <v>36.414000000000001</v>
      </c>
      <c r="G8" s="74">
        <f>F8+(F8*$N$8)</f>
        <v>37.14228</v>
      </c>
      <c r="H8" s="74">
        <f t="shared" ref="H8:L8" si="3">G8+(G8*$N$8)</f>
        <v>37.885125600000002</v>
      </c>
      <c r="I8" s="74">
        <f t="shared" si="3"/>
        <v>38.642828112000004</v>
      </c>
      <c r="J8" s="74">
        <f t="shared" si="3"/>
        <v>39.415684674240005</v>
      </c>
      <c r="K8" s="74">
        <f t="shared" si="3"/>
        <v>40.203998367724807</v>
      </c>
      <c r="L8" s="74">
        <f t="shared" si="3"/>
        <v>41.008078335079304</v>
      </c>
      <c r="M8" s="75">
        <f>L8+(L8*$N$8)</f>
        <v>41.82823990178089</v>
      </c>
      <c r="N8" s="5">
        <v>0.02</v>
      </c>
      <c r="O8" t="s">
        <v>42</v>
      </c>
      <c r="P8" t="s">
        <v>16</v>
      </c>
      <c r="Q8" s="6">
        <f>D23</f>
        <v>12733.000000000002</v>
      </c>
      <c r="S8" t="s">
        <v>83</v>
      </c>
      <c r="T8" s="6">
        <f>D26</f>
        <v>14475</v>
      </c>
    </row>
    <row r="9" spans="2:20" x14ac:dyDescent="0.25">
      <c r="B9" s="154"/>
      <c r="C9" s="155"/>
      <c r="P9" t="s">
        <v>81</v>
      </c>
      <c r="Q9" s="6">
        <f>D24</f>
        <v>18190</v>
      </c>
      <c r="S9" t="s">
        <v>85</v>
      </c>
      <c r="T9" s="6">
        <f>SUM(T7:T8)</f>
        <v>15899.88</v>
      </c>
    </row>
    <row r="10" spans="2:20" ht="16.5" thickBot="1" x14ac:dyDescent="0.3">
      <c r="B10" s="156" t="s">
        <v>5</v>
      </c>
      <c r="C10" s="155"/>
      <c r="P10" t="s">
        <v>85</v>
      </c>
      <c r="Q10" s="6">
        <f>SUM(Q7:Q9)</f>
        <v>52751</v>
      </c>
    </row>
    <row r="11" spans="2:20" x14ac:dyDescent="0.25">
      <c r="B11" s="154" t="s">
        <v>6</v>
      </c>
      <c r="C11" s="155"/>
      <c r="D11" s="97">
        <v>30</v>
      </c>
      <c r="E11" s="69">
        <v>30</v>
      </c>
      <c r="F11" s="69">
        <v>30</v>
      </c>
      <c r="G11" s="69">
        <v>30</v>
      </c>
      <c r="H11" s="69">
        <v>30</v>
      </c>
      <c r="I11" s="69">
        <v>30</v>
      </c>
      <c r="J11" s="69">
        <v>30</v>
      </c>
      <c r="K11" s="69">
        <v>30</v>
      </c>
      <c r="L11" s="69">
        <v>30</v>
      </c>
      <c r="M11" s="76">
        <v>30</v>
      </c>
      <c r="Q11" s="21">
        <f>Q10/P13</f>
        <v>11.934615384615384</v>
      </c>
      <c r="T11" s="6">
        <f>T9/P13</f>
        <v>3.5972579185520361</v>
      </c>
    </row>
    <row r="12" spans="2:20" x14ac:dyDescent="0.25">
      <c r="B12" s="154" t="s">
        <v>7</v>
      </c>
      <c r="C12" s="155"/>
      <c r="D12" s="98"/>
      <c r="E12" s="63"/>
      <c r="F12" s="63"/>
      <c r="G12" s="63"/>
      <c r="H12" s="63"/>
      <c r="I12" s="63"/>
      <c r="J12" s="63"/>
      <c r="K12" s="63"/>
      <c r="L12" s="63"/>
      <c r="M12" s="77"/>
      <c r="P12" t="s">
        <v>86</v>
      </c>
    </row>
    <row r="13" spans="2:20" x14ac:dyDescent="0.25">
      <c r="B13" s="154" t="s">
        <v>8</v>
      </c>
      <c r="C13" s="155"/>
      <c r="D13" s="98">
        <v>180</v>
      </c>
      <c r="E13" s="63">
        <v>180</v>
      </c>
      <c r="F13" s="63">
        <v>180</v>
      </c>
      <c r="G13" s="63">
        <v>180</v>
      </c>
      <c r="H13" s="63">
        <v>180</v>
      </c>
      <c r="I13" s="63">
        <v>180</v>
      </c>
      <c r="J13" s="63">
        <v>180</v>
      </c>
      <c r="K13" s="63">
        <v>180</v>
      </c>
      <c r="L13" s="63">
        <v>180</v>
      </c>
      <c r="M13" s="77">
        <v>180</v>
      </c>
      <c r="P13">
        <f>D5+D6</f>
        <v>4420</v>
      </c>
    </row>
    <row r="14" spans="2:20" ht="16.5" thickBot="1" x14ac:dyDescent="0.3">
      <c r="B14" s="154" t="s">
        <v>9</v>
      </c>
      <c r="C14" s="155"/>
      <c r="D14" s="99">
        <v>30</v>
      </c>
      <c r="E14" s="73">
        <v>30</v>
      </c>
      <c r="F14" s="73">
        <v>30</v>
      </c>
      <c r="G14" s="73">
        <v>30</v>
      </c>
      <c r="H14" s="73">
        <v>30</v>
      </c>
      <c r="I14" s="73">
        <v>30</v>
      </c>
      <c r="J14" s="73">
        <v>30</v>
      </c>
      <c r="K14" s="73">
        <v>30</v>
      </c>
      <c r="L14" s="73">
        <v>30</v>
      </c>
      <c r="M14" s="78">
        <v>30</v>
      </c>
      <c r="P14" t="s">
        <v>87</v>
      </c>
      <c r="R14" s="6">
        <f>T9</f>
        <v>15899.88</v>
      </c>
    </row>
    <row r="15" spans="2:20" x14ac:dyDescent="0.25">
      <c r="B15" s="154"/>
      <c r="C15" s="155"/>
      <c r="P15" s="6">
        <f>Q11+T11</f>
        <v>15.531873303167419</v>
      </c>
      <c r="R15">
        <f>D7</f>
        <v>45</v>
      </c>
      <c r="S15" s="6">
        <f>Q11</f>
        <v>11.934615384615384</v>
      </c>
    </row>
    <row r="16" spans="2:20" ht="16.5" thickBot="1" x14ac:dyDescent="0.3">
      <c r="B16" s="156" t="s">
        <v>10</v>
      </c>
      <c r="C16" s="155"/>
    </row>
    <row r="17" spans="2:19" x14ac:dyDescent="0.25">
      <c r="B17" s="157" t="s">
        <v>11</v>
      </c>
      <c r="C17" s="155"/>
      <c r="D17" s="100">
        <f>D5*D7</f>
        <v>122400</v>
      </c>
      <c r="E17" s="80">
        <f t="shared" ref="E17:G17" si="4">E5*E7</f>
        <v>123379.2</v>
      </c>
      <c r="F17" s="80">
        <f t="shared" si="4"/>
        <v>124366.23359999999</v>
      </c>
      <c r="G17" s="80">
        <f t="shared" si="4"/>
        <v>125361.1634688</v>
      </c>
      <c r="H17" s="80">
        <f t="shared" ref="H17:M17" si="5">H5*H7</f>
        <v>126364.05277655041</v>
      </c>
      <c r="I17" s="80">
        <f t="shared" si="5"/>
        <v>127374.96519876283</v>
      </c>
      <c r="J17" s="80">
        <f t="shared" si="5"/>
        <v>128393.96492035293</v>
      </c>
      <c r="K17" s="80">
        <f t="shared" si="5"/>
        <v>129421.11663971575</v>
      </c>
      <c r="L17" s="80">
        <f t="shared" si="5"/>
        <v>130456.48557283348</v>
      </c>
      <c r="M17" s="81">
        <f t="shared" si="5"/>
        <v>131500.13745741616</v>
      </c>
      <c r="Q17" s="176" t="s">
        <v>89</v>
      </c>
      <c r="R17" s="176"/>
    </row>
    <row r="18" spans="2:19" x14ac:dyDescent="0.25">
      <c r="B18" s="157" t="s">
        <v>12</v>
      </c>
      <c r="C18" s="155"/>
      <c r="D18" s="101">
        <f>D6*D8</f>
        <v>59500</v>
      </c>
      <c r="E18" s="65">
        <f t="shared" ref="E18:G18" si="6">E6*E8</f>
        <v>64331.400000000009</v>
      </c>
      <c r="F18" s="65">
        <f t="shared" si="6"/>
        <v>69555.109679999994</v>
      </c>
      <c r="G18" s="65">
        <f t="shared" si="6"/>
        <v>75202.984586015999</v>
      </c>
      <c r="H18" s="65">
        <f t="shared" ref="H18:M18" si="7">H6*H8</f>
        <v>81309.466934400494</v>
      </c>
      <c r="I18" s="65">
        <f t="shared" si="7"/>
        <v>87911.795649473817</v>
      </c>
      <c r="J18" s="65">
        <f t="shared" si="7"/>
        <v>95050.233456211077</v>
      </c>
      <c r="K18" s="65">
        <f t="shared" si="7"/>
        <v>102768.31241285542</v>
      </c>
      <c r="L18" s="65">
        <f t="shared" si="7"/>
        <v>111113.09938077928</v>
      </c>
      <c r="M18" s="83">
        <f t="shared" si="7"/>
        <v>120135.48305049857</v>
      </c>
      <c r="Q18" t="s">
        <v>88</v>
      </c>
      <c r="R18" s="20">
        <f>R14/(R15-S15)</f>
        <v>480.86178899616141</v>
      </c>
    </row>
    <row r="19" spans="2:19" x14ac:dyDescent="0.25">
      <c r="B19" s="154"/>
      <c r="C19" s="155" t="s">
        <v>13</v>
      </c>
      <c r="D19" s="101">
        <f>SUM(D17:D18)*N19</f>
        <v>21828</v>
      </c>
      <c r="E19" s="65">
        <f>SUM(E17:E18)*N19</f>
        <v>22525.272000000001</v>
      </c>
      <c r="F19" s="65">
        <f>SUM(F17:F18)*N19</f>
        <v>23270.561193599995</v>
      </c>
      <c r="G19" s="65">
        <f>SUM(G17:G18)*$N$19</f>
        <v>24067.69776657792</v>
      </c>
      <c r="H19" s="65">
        <f t="shared" ref="H19:M19" si="8">SUM(H17:H18)*$N$19</f>
        <v>24920.822365314107</v>
      </c>
      <c r="I19" s="65">
        <f t="shared" si="8"/>
        <v>25834.411301788397</v>
      </c>
      <c r="J19" s="65">
        <f t="shared" si="8"/>
        <v>26813.303805187683</v>
      </c>
      <c r="K19" s="65">
        <f t="shared" si="8"/>
        <v>27862.731486308541</v>
      </c>
      <c r="L19" s="65">
        <f t="shared" si="8"/>
        <v>28988.350194433529</v>
      </c>
      <c r="M19" s="83">
        <f t="shared" si="8"/>
        <v>30196.274460949768</v>
      </c>
      <c r="N19" s="5">
        <v>0.12</v>
      </c>
    </row>
    <row r="20" spans="2:19" ht="19.5" thickBot="1" x14ac:dyDescent="0.35">
      <c r="B20" s="157"/>
      <c r="C20" s="155" t="s">
        <v>14</v>
      </c>
      <c r="D20" s="144">
        <f>D17+D18-D19</f>
        <v>160072</v>
      </c>
      <c r="E20" s="145">
        <f t="shared" ref="E20:G20" si="9">E17+E18-E19</f>
        <v>165185.32800000001</v>
      </c>
      <c r="F20" s="145">
        <f t="shared" si="9"/>
        <v>170650.78208639997</v>
      </c>
      <c r="G20" s="145">
        <f t="shared" si="9"/>
        <v>176496.45028823809</v>
      </c>
      <c r="H20" s="145">
        <f t="shared" ref="H20:M20" si="10">H17+H18-H19</f>
        <v>182752.69734563679</v>
      </c>
      <c r="I20" s="145">
        <f t="shared" si="10"/>
        <v>189452.34954644824</v>
      </c>
      <c r="J20" s="145">
        <f t="shared" si="10"/>
        <v>196630.89457137632</v>
      </c>
      <c r="K20" s="145">
        <f t="shared" si="10"/>
        <v>204326.69756626265</v>
      </c>
      <c r="L20" s="145">
        <f t="shared" si="10"/>
        <v>212581.23475917923</v>
      </c>
      <c r="M20" s="146">
        <f t="shared" si="10"/>
        <v>221439.34604696499</v>
      </c>
    </row>
    <row r="21" spans="2:19" x14ac:dyDescent="0.25">
      <c r="B21" s="157"/>
      <c r="C21" s="155"/>
    </row>
    <row r="22" spans="2:19" ht="16.5" thickBot="1" x14ac:dyDescent="0.3">
      <c r="B22" s="154" t="s">
        <v>15</v>
      </c>
      <c r="C22" s="155"/>
    </row>
    <row r="23" spans="2:19" x14ac:dyDescent="0.25">
      <c r="B23" s="154"/>
      <c r="C23" s="155" t="s">
        <v>16</v>
      </c>
      <c r="D23" s="79">
        <f>(D17+D18)*$N$23</f>
        <v>12733.000000000002</v>
      </c>
      <c r="E23" s="80">
        <f>(E17+E18)*$N$23</f>
        <v>13139.742000000002</v>
      </c>
      <c r="F23" s="80">
        <f>(F17+F18)*$N$23</f>
        <v>13574.494029599999</v>
      </c>
      <c r="G23" s="80">
        <f>(G17+G18)*$N$23</f>
        <v>14039.490363837122</v>
      </c>
      <c r="H23" s="80">
        <f t="shared" ref="H23:L23" si="11">(H17+H18)*$N$23</f>
        <v>14537.146379766564</v>
      </c>
      <c r="I23" s="80">
        <f t="shared" si="11"/>
        <v>15070.073259376566</v>
      </c>
      <c r="J23" s="80">
        <f t="shared" si="11"/>
        <v>15641.093886359482</v>
      </c>
      <c r="K23" s="80">
        <f t="shared" si="11"/>
        <v>16253.260033679984</v>
      </c>
      <c r="L23" s="80">
        <f t="shared" si="11"/>
        <v>16909.870946752893</v>
      </c>
      <c r="M23" s="81">
        <f>(M17+M18)*$N$23</f>
        <v>17614.493435554035</v>
      </c>
      <c r="N23" s="148">
        <v>7.0000000000000007E-2</v>
      </c>
    </row>
    <row r="24" spans="2:19" x14ac:dyDescent="0.25">
      <c r="B24" s="154"/>
      <c r="C24" s="155" t="s">
        <v>17</v>
      </c>
      <c r="D24" s="82">
        <f>(D17+D18)*$N$24</f>
        <v>18190</v>
      </c>
      <c r="E24" s="65">
        <f>(E17+E18)*$N$24</f>
        <v>18771.060000000001</v>
      </c>
      <c r="F24" s="65">
        <f>(F17+F18)*$N$24</f>
        <v>19392.134327999996</v>
      </c>
      <c r="G24" s="65">
        <f>(G17+G18)*$N$24</f>
        <v>20056.414805481603</v>
      </c>
      <c r="H24" s="65">
        <f t="shared" ref="H24:L24" si="12">(H17+H18)*$N$24</f>
        <v>20767.351971095093</v>
      </c>
      <c r="I24" s="65">
        <f t="shared" si="12"/>
        <v>21528.676084823666</v>
      </c>
      <c r="J24" s="65">
        <f t="shared" si="12"/>
        <v>22344.419837656402</v>
      </c>
      <c r="K24" s="65">
        <f t="shared" si="12"/>
        <v>23218.942905257121</v>
      </c>
      <c r="L24" s="65">
        <f t="shared" si="12"/>
        <v>24156.958495361279</v>
      </c>
      <c r="M24" s="83">
        <f>(M17+M18)*$N$24</f>
        <v>25163.562050791475</v>
      </c>
      <c r="N24" s="148">
        <v>0.1</v>
      </c>
      <c r="P24" t="s">
        <v>75</v>
      </c>
      <c r="Q24" t="s">
        <v>75</v>
      </c>
      <c r="R24" t="s">
        <v>75</v>
      </c>
      <c r="S24" t="s">
        <v>75</v>
      </c>
    </row>
    <row r="25" spans="2:19" x14ac:dyDescent="0.25">
      <c r="B25" s="154"/>
      <c r="C25" s="155" t="s">
        <v>76</v>
      </c>
      <c r="D25" s="82">
        <f>$P$29*12</f>
        <v>1424.8799999999999</v>
      </c>
      <c r="E25" s="65">
        <f>D25*(1+$N$25)</f>
        <v>1467.6263999999999</v>
      </c>
      <c r="F25" s="65">
        <f t="shared" ref="F25:M25" si="13">E25*(1+$N$25)</f>
        <v>1511.6551919999999</v>
      </c>
      <c r="G25" s="65">
        <f t="shared" si="13"/>
        <v>1557.0048477600001</v>
      </c>
      <c r="H25" s="65">
        <f t="shared" si="13"/>
        <v>1603.7149931928002</v>
      </c>
      <c r="I25" s="65">
        <f t="shared" si="13"/>
        <v>1651.8264429885842</v>
      </c>
      <c r="J25" s="65">
        <f t="shared" si="13"/>
        <v>1701.3812362782417</v>
      </c>
      <c r="K25" s="65">
        <f t="shared" si="13"/>
        <v>1752.4226733665889</v>
      </c>
      <c r="L25" s="65">
        <f t="shared" si="13"/>
        <v>1804.9953535675866</v>
      </c>
      <c r="M25" s="83">
        <f t="shared" si="13"/>
        <v>1859.1452141746142</v>
      </c>
      <c r="N25" s="148">
        <v>0.03</v>
      </c>
    </row>
    <row r="26" spans="2:19" x14ac:dyDescent="0.25">
      <c r="B26" s="154"/>
      <c r="C26" s="155" t="s">
        <v>74</v>
      </c>
      <c r="D26" s="82">
        <f>$Q$32</f>
        <v>14475</v>
      </c>
      <c r="E26" s="65">
        <f t="shared" ref="E26:M26" si="14">$Q$32</f>
        <v>14475</v>
      </c>
      <c r="F26" s="65">
        <f t="shared" si="14"/>
        <v>14475</v>
      </c>
      <c r="G26" s="65">
        <f t="shared" si="14"/>
        <v>14475</v>
      </c>
      <c r="H26" s="65">
        <f t="shared" si="14"/>
        <v>14475</v>
      </c>
      <c r="I26" s="65">
        <f t="shared" si="14"/>
        <v>14475</v>
      </c>
      <c r="J26" s="65">
        <f t="shared" si="14"/>
        <v>14475</v>
      </c>
      <c r="K26" s="65">
        <f t="shared" si="14"/>
        <v>14475</v>
      </c>
      <c r="L26" s="65">
        <f t="shared" si="14"/>
        <v>14475</v>
      </c>
      <c r="M26" s="83">
        <f t="shared" si="14"/>
        <v>14475</v>
      </c>
      <c r="N26" s="148">
        <v>0.05</v>
      </c>
      <c r="P26">
        <f>965*15</f>
        <v>14475</v>
      </c>
      <c r="Q26">
        <f t="shared" ref="Q26:S26" si="15">965*15</f>
        <v>14475</v>
      </c>
      <c r="R26">
        <f t="shared" si="15"/>
        <v>14475</v>
      </c>
      <c r="S26">
        <f t="shared" si="15"/>
        <v>14475</v>
      </c>
    </row>
    <row r="27" spans="2:19" x14ac:dyDescent="0.25">
      <c r="B27" s="154"/>
      <c r="C27" s="155" t="s">
        <v>172</v>
      </c>
      <c r="D27" s="82">
        <f>$N$27*SUM(D17:D18)</f>
        <v>3092.3</v>
      </c>
      <c r="E27" s="101">
        <f t="shared" ref="E27:M27" si="16">$N$27*SUM(E17:E18)</f>
        <v>3191.0802000000003</v>
      </c>
      <c r="F27" s="101">
        <f t="shared" si="16"/>
        <v>3296.6628357599998</v>
      </c>
      <c r="G27" s="101">
        <f t="shared" si="16"/>
        <v>3409.5905169318721</v>
      </c>
      <c r="H27" s="101">
        <f t="shared" si="16"/>
        <v>3530.4498350861654</v>
      </c>
      <c r="I27" s="101">
        <f t="shared" si="16"/>
        <v>3659.8749344200232</v>
      </c>
      <c r="J27" s="101">
        <f t="shared" si="16"/>
        <v>3798.5513724015887</v>
      </c>
      <c r="K27" s="101">
        <f t="shared" si="16"/>
        <v>3947.2202938937103</v>
      </c>
      <c r="L27" s="101">
        <f t="shared" si="16"/>
        <v>4106.6829442114176</v>
      </c>
      <c r="M27" s="147">
        <f t="shared" si="16"/>
        <v>4277.8055486345511</v>
      </c>
      <c r="N27" s="148">
        <v>1.7000000000000001E-2</v>
      </c>
    </row>
    <row r="28" spans="2:19" x14ac:dyDescent="0.25">
      <c r="B28" s="154"/>
      <c r="C28" s="155" t="s">
        <v>173</v>
      </c>
      <c r="D28" s="82">
        <f>$N$28*D18</f>
        <v>892.5</v>
      </c>
      <c r="E28" s="101">
        <f t="shared" ref="E28:L28" si="17">$N$28*E18</f>
        <v>964.97100000000012</v>
      </c>
      <c r="F28" s="101">
        <f t="shared" si="17"/>
        <v>1043.3266451999998</v>
      </c>
      <c r="G28" s="101">
        <f t="shared" si="17"/>
        <v>1128.0447687902399</v>
      </c>
      <c r="H28" s="101">
        <f t="shared" si="17"/>
        <v>1219.6420040160074</v>
      </c>
      <c r="I28" s="101">
        <f t="shared" si="17"/>
        <v>1318.6769347421073</v>
      </c>
      <c r="J28" s="101">
        <f t="shared" si="17"/>
        <v>1425.7535018431661</v>
      </c>
      <c r="K28" s="101">
        <f t="shared" si="17"/>
        <v>1541.5246861928313</v>
      </c>
      <c r="L28" s="101">
        <f t="shared" si="17"/>
        <v>1666.6964907116892</v>
      </c>
      <c r="M28" s="147">
        <f>$N$28*M18</f>
        <v>1802.0322457574784</v>
      </c>
      <c r="N28" s="148">
        <v>1.4999999999999999E-2</v>
      </c>
      <c r="P28" t="s">
        <v>174</v>
      </c>
    </row>
    <row r="29" spans="2:19" ht="19.5" thickBot="1" x14ac:dyDescent="0.35">
      <c r="B29" s="154"/>
      <c r="C29" s="155" t="s">
        <v>18</v>
      </c>
      <c r="D29" s="144">
        <f>SUM(D23:D26)</f>
        <v>46822.880000000005</v>
      </c>
      <c r="E29" s="145">
        <f t="shared" ref="E29:G29" si="18">SUM(E23:E26)</f>
        <v>47853.428400000004</v>
      </c>
      <c r="F29" s="145">
        <f t="shared" si="18"/>
        <v>48953.283549599997</v>
      </c>
      <c r="G29" s="145">
        <f t="shared" si="18"/>
        <v>50127.910017078721</v>
      </c>
      <c r="H29" s="145">
        <f t="shared" ref="H29:M29" si="19">SUM(H23:H26)</f>
        <v>51383.213344054457</v>
      </c>
      <c r="I29" s="145">
        <f t="shared" si="19"/>
        <v>52725.575787188813</v>
      </c>
      <c r="J29" s="145">
        <f t="shared" si="19"/>
        <v>54161.894960294121</v>
      </c>
      <c r="K29" s="145">
        <f t="shared" si="19"/>
        <v>55699.625612303687</v>
      </c>
      <c r="L29" s="145">
        <f t="shared" si="19"/>
        <v>57346.824795681765</v>
      </c>
      <c r="M29" s="146">
        <f t="shared" si="19"/>
        <v>59112.200700520123</v>
      </c>
      <c r="N29" s="5"/>
      <c r="P29">
        <v>118.74</v>
      </c>
      <c r="Q29">
        <v>118.74</v>
      </c>
      <c r="R29">
        <v>118.74</v>
      </c>
      <c r="S29">
        <v>118.74</v>
      </c>
    </row>
    <row r="30" spans="2:19" ht="19.5" thickBot="1" x14ac:dyDescent="0.35">
      <c r="B30" s="154" t="s">
        <v>19</v>
      </c>
      <c r="C30" s="155"/>
      <c r="D30" s="144">
        <f>D20-SUM(D23:D29)</f>
        <v>62441.439999999988</v>
      </c>
      <c r="E30" s="145">
        <f t="shared" ref="E30:G30" si="20">E20-SUM(E23:E29)</f>
        <v>65322.420000000013</v>
      </c>
      <c r="F30" s="145">
        <f t="shared" si="20"/>
        <v>68404.225506239978</v>
      </c>
      <c r="G30" s="145">
        <f t="shared" si="20"/>
        <v>71702.994968358544</v>
      </c>
      <c r="H30" s="145">
        <f t="shared" ref="H30:L30" si="21">H20-SUM(H23:H29)</f>
        <v>75236.178818425687</v>
      </c>
      <c r="I30" s="145">
        <f t="shared" si="21"/>
        <v>79022.646102908475</v>
      </c>
      <c r="J30" s="145">
        <f t="shared" si="21"/>
        <v>83082.799776543325</v>
      </c>
      <c r="K30" s="145">
        <f t="shared" si="21"/>
        <v>87438.701361568732</v>
      </c>
      <c r="L30" s="145">
        <f t="shared" si="21"/>
        <v>92114.205732892588</v>
      </c>
      <c r="M30" s="146">
        <f>M20-SUM(M23:M29)</f>
        <v>97135.106851532706</v>
      </c>
      <c r="N30" s="5"/>
    </row>
    <row r="31" spans="2:19" ht="16.5" thickBot="1" x14ac:dyDescent="0.3">
      <c r="B31" s="154"/>
      <c r="C31" s="155"/>
      <c r="N31" s="5"/>
      <c r="Q31" t="s">
        <v>84</v>
      </c>
    </row>
    <row r="32" spans="2:19" x14ac:dyDescent="0.25">
      <c r="B32" s="154" t="s">
        <v>20</v>
      </c>
      <c r="C32" s="155"/>
      <c r="D32" s="97">
        <v>0</v>
      </c>
      <c r="E32" s="69">
        <v>0</v>
      </c>
      <c r="F32" s="69">
        <v>0</v>
      </c>
      <c r="G32" s="69">
        <v>0</v>
      </c>
      <c r="H32" s="69">
        <v>1</v>
      </c>
      <c r="I32" s="69">
        <v>2</v>
      </c>
      <c r="J32" s="69">
        <v>3</v>
      </c>
      <c r="K32" s="69">
        <v>4</v>
      </c>
      <c r="L32" s="69">
        <v>5</v>
      </c>
      <c r="M32" s="76">
        <v>6</v>
      </c>
      <c r="Q32" s="20">
        <f>15*965</f>
        <v>14475</v>
      </c>
    </row>
    <row r="33" spans="2:16" ht="16.5" thickBot="1" x14ac:dyDescent="0.3">
      <c r="B33" s="154" t="s">
        <v>21</v>
      </c>
      <c r="C33" s="155"/>
      <c r="D33" s="103">
        <f>Mortgage!D14</f>
        <v>2787.1280451420662</v>
      </c>
      <c r="E33" s="86">
        <f>Mortgage!D28</f>
        <v>2757.7548552643475</v>
      </c>
      <c r="F33" s="86">
        <f>Mortgage!D42</f>
        <v>2726.2582751153632</v>
      </c>
      <c r="G33" s="86">
        <f>Mortgage!D56</f>
        <v>2692.4848046407137</v>
      </c>
      <c r="H33" s="86">
        <f>Mortgage!D70</f>
        <v>2656.2698472546563</v>
      </c>
      <c r="I33" s="86">
        <f>Mortgage!D84</f>
        <v>2617.4369076709554</v>
      </c>
      <c r="J33" s="86">
        <f>Mortgage!D98</f>
        <v>2575.7967317448638</v>
      </c>
      <c r="K33" s="86">
        <f>Mortgage!D112</f>
        <v>2531.146384134207</v>
      </c>
      <c r="L33" s="86">
        <f>Mortgage!D126</f>
        <v>2483.2682592845163</v>
      </c>
      <c r="M33" s="87">
        <f>Mortgage!D140</f>
        <v>2431.9290209181972</v>
      </c>
    </row>
    <row r="34" spans="2:16" x14ac:dyDescent="0.25">
      <c r="B34" s="158"/>
      <c r="C34" s="155"/>
    </row>
    <row r="35" spans="2:16" ht="16.5" thickBot="1" x14ac:dyDescent="0.3">
      <c r="B35" s="154"/>
      <c r="C35" s="155"/>
    </row>
    <row r="36" spans="2:16" x14ac:dyDescent="0.25">
      <c r="B36" s="154" t="s">
        <v>22</v>
      </c>
      <c r="C36" s="155"/>
      <c r="D36" s="100">
        <f>D30-D32-D33-D34</f>
        <v>59654.31195485792</v>
      </c>
      <c r="E36" s="80">
        <f t="shared" ref="E36:G36" si="22">E30-E32-E33-E34</f>
        <v>62564.665144735663</v>
      </c>
      <c r="F36" s="80">
        <f t="shared" si="22"/>
        <v>65677.96723112461</v>
      </c>
      <c r="G36" s="80">
        <f t="shared" si="22"/>
        <v>69010.51016371783</v>
      </c>
      <c r="H36" s="80">
        <f t="shared" ref="H36:M36" si="23">H30-H32-H33-H34</f>
        <v>72578.908971171026</v>
      </c>
      <c r="I36" s="80">
        <f t="shared" si="23"/>
        <v>76403.209195237519</v>
      </c>
      <c r="J36" s="80">
        <f t="shared" si="23"/>
        <v>80504.003044798461</v>
      </c>
      <c r="K36" s="80">
        <f t="shared" si="23"/>
        <v>84903.554977434527</v>
      </c>
      <c r="L36" s="80">
        <f t="shared" si="23"/>
        <v>89625.937473608064</v>
      </c>
      <c r="M36" s="81">
        <f t="shared" si="23"/>
        <v>94697.177830614513</v>
      </c>
    </row>
    <row r="37" spans="2:16" ht="16.5" thickBot="1" x14ac:dyDescent="0.3">
      <c r="B37" s="154" t="s">
        <v>23</v>
      </c>
      <c r="C37" s="155"/>
      <c r="D37" s="104">
        <f>D36*$N$37</f>
        <v>14913.57798871448</v>
      </c>
      <c r="E37" s="68">
        <f t="shared" ref="E37:G37" si="24">E36*$N$37</f>
        <v>15641.166286183916</v>
      </c>
      <c r="F37" s="68">
        <f t="shared" si="24"/>
        <v>16419.491807781153</v>
      </c>
      <c r="G37" s="68">
        <f t="shared" si="24"/>
        <v>17252.627540929458</v>
      </c>
      <c r="H37" s="68">
        <f t="shared" ref="H37:M37" si="25">H36*$N$37</f>
        <v>18144.727242792756</v>
      </c>
      <c r="I37" s="68">
        <f t="shared" si="25"/>
        <v>19100.80229880938</v>
      </c>
      <c r="J37" s="68">
        <f t="shared" si="25"/>
        <v>20126.000761199615</v>
      </c>
      <c r="K37" s="68">
        <f t="shared" si="25"/>
        <v>21225.888744358632</v>
      </c>
      <c r="L37" s="68">
        <f t="shared" si="25"/>
        <v>22406.484368402016</v>
      </c>
      <c r="M37" s="88">
        <f t="shared" si="25"/>
        <v>23674.294457653628</v>
      </c>
      <c r="N37" s="5">
        <v>0.25</v>
      </c>
    </row>
    <row r="38" spans="2:16" ht="19.5" thickBot="1" x14ac:dyDescent="0.35">
      <c r="B38" s="159" t="s">
        <v>24</v>
      </c>
      <c r="C38" s="160"/>
      <c r="D38" s="141">
        <f>D36-D37</f>
        <v>44740.733966143438</v>
      </c>
      <c r="E38" s="142">
        <f t="shared" ref="E38:G38" si="26">E36-E37</f>
        <v>46923.498858551749</v>
      </c>
      <c r="F38" s="142">
        <f t="shared" si="26"/>
        <v>49258.475423343458</v>
      </c>
      <c r="G38" s="142">
        <f t="shared" si="26"/>
        <v>51757.882622788369</v>
      </c>
      <c r="H38" s="142">
        <f t="shared" ref="H38:M38" si="27">H36-H37</f>
        <v>54434.181728378273</v>
      </c>
      <c r="I38" s="142">
        <f t="shared" si="27"/>
        <v>57302.40689642814</v>
      </c>
      <c r="J38" s="142">
        <f t="shared" si="27"/>
        <v>60378.002283598849</v>
      </c>
      <c r="K38" s="142">
        <f t="shared" si="27"/>
        <v>63677.666233075899</v>
      </c>
      <c r="L38" s="142">
        <f t="shared" si="27"/>
        <v>67219.453105206048</v>
      </c>
      <c r="M38" s="143">
        <f t="shared" si="27"/>
        <v>71022.883372960889</v>
      </c>
    </row>
    <row r="39" spans="2:16" ht="16.5" thickBot="1" x14ac:dyDescent="0.3">
      <c r="B39" s="2"/>
      <c r="C39" s="2"/>
    </row>
    <row r="40" spans="2:16" x14ac:dyDescent="0.25">
      <c r="B40" s="152" t="s">
        <v>25</v>
      </c>
      <c r="C40" s="153"/>
      <c r="D40" s="109"/>
      <c r="E40" s="110"/>
      <c r="F40" s="110"/>
      <c r="G40" s="110"/>
      <c r="H40" s="110"/>
      <c r="I40" s="110"/>
      <c r="J40" s="110"/>
      <c r="K40" s="110"/>
      <c r="L40" s="110"/>
      <c r="M40" s="111"/>
    </row>
    <row r="41" spans="2:16" ht="16.5" thickBot="1" x14ac:dyDescent="0.3">
      <c r="B41" s="156" t="s">
        <v>26</v>
      </c>
      <c r="C41" s="155"/>
      <c r="D41" s="112"/>
      <c r="E41" s="113"/>
      <c r="F41" s="113"/>
      <c r="G41" s="113"/>
      <c r="H41" s="113"/>
      <c r="I41" s="113"/>
      <c r="J41" s="113"/>
      <c r="K41" s="113"/>
      <c r="L41" s="113"/>
      <c r="M41" s="114"/>
    </row>
    <row r="42" spans="2:16" x14ac:dyDescent="0.25">
      <c r="B42" s="154" t="s">
        <v>27</v>
      </c>
      <c r="C42" s="155"/>
      <c r="D42" s="100">
        <f>$P$43</f>
        <v>5000</v>
      </c>
      <c r="E42" s="80">
        <f t="shared" ref="E42:M42" si="28">$P$43</f>
        <v>5000</v>
      </c>
      <c r="F42" s="80">
        <f t="shared" si="28"/>
        <v>5000</v>
      </c>
      <c r="G42" s="80">
        <f t="shared" si="28"/>
        <v>5000</v>
      </c>
      <c r="H42" s="80">
        <f t="shared" si="28"/>
        <v>5000</v>
      </c>
      <c r="I42" s="80">
        <f t="shared" si="28"/>
        <v>5000</v>
      </c>
      <c r="J42" s="80">
        <f t="shared" si="28"/>
        <v>5000</v>
      </c>
      <c r="K42" s="80">
        <f t="shared" si="28"/>
        <v>5000</v>
      </c>
      <c r="L42" s="80">
        <f t="shared" si="28"/>
        <v>5000</v>
      </c>
      <c r="M42" s="81">
        <f t="shared" si="28"/>
        <v>5000</v>
      </c>
      <c r="P42" t="s">
        <v>77</v>
      </c>
    </row>
    <row r="43" spans="2:16" x14ac:dyDescent="0.25">
      <c r="B43" s="154" t="s">
        <v>78</v>
      </c>
      <c r="C43" s="155"/>
      <c r="D43" s="101">
        <v>101811.58</v>
      </c>
      <c r="E43" s="65">
        <v>164001.18</v>
      </c>
      <c r="F43" s="65">
        <v>228800.13</v>
      </c>
      <c r="G43" s="65">
        <v>296383.78999999998</v>
      </c>
      <c r="H43" s="65">
        <v>296384.78999999998</v>
      </c>
      <c r="I43" s="65">
        <v>296385.78999999998</v>
      </c>
      <c r="J43" s="65">
        <v>296386.78999999998</v>
      </c>
      <c r="K43" s="65">
        <v>296387.78999999998</v>
      </c>
      <c r="L43" s="65">
        <v>296388.78999999998</v>
      </c>
      <c r="M43" s="83">
        <v>296389.78999999998</v>
      </c>
      <c r="P43">
        <v>5000</v>
      </c>
    </row>
    <row r="44" spans="2:16" x14ac:dyDescent="0.25">
      <c r="B44" s="154" t="s">
        <v>28</v>
      </c>
      <c r="C44" s="155"/>
      <c r="D44" s="106">
        <f>((D18+D17)/365)*D11</f>
        <v>14950.684931506848</v>
      </c>
      <c r="E44" s="64">
        <f t="shared" ref="E44:G44" si="29">((E18+E17)/365)*E11</f>
        <v>15428.268493150686</v>
      </c>
      <c r="F44" s="64">
        <f t="shared" si="29"/>
        <v>15938.740543561642</v>
      </c>
      <c r="G44" s="64">
        <f t="shared" si="29"/>
        <v>16484.724497656109</v>
      </c>
      <c r="H44" s="64">
        <f t="shared" ref="H44:M44" si="30">((H18+H17)/365)*H11</f>
        <v>17069.056414598705</v>
      </c>
      <c r="I44" s="64">
        <f t="shared" si="30"/>
        <v>17694.802261498902</v>
      </c>
      <c r="J44" s="64">
        <f t="shared" si="30"/>
        <v>18365.276578895675</v>
      </c>
      <c r="K44" s="64">
        <f t="shared" si="30"/>
        <v>19084.062661855165</v>
      </c>
      <c r="L44" s="64">
        <f t="shared" si="30"/>
        <v>19855.034379748991</v>
      </c>
      <c r="M44" s="72">
        <f t="shared" si="30"/>
        <v>20682.379767773815</v>
      </c>
    </row>
    <row r="45" spans="2:16" x14ac:dyDescent="0.25">
      <c r="B45" s="154" t="s">
        <v>29</v>
      </c>
      <c r="C45" s="155"/>
      <c r="D45" s="106">
        <f>(D19/365)*D13</f>
        <v>10764.493150684932</v>
      </c>
      <c r="E45" s="64">
        <f>(E19/365)*E13</f>
        <v>11108.353315068494</v>
      </c>
      <c r="F45" s="64">
        <f>(F19/365)*F13</f>
        <v>11475.893191364381</v>
      </c>
      <c r="G45" s="64">
        <f t="shared" ref="G45:M45" si="31">(G19/365)*G13</f>
        <v>11869.001638312398</v>
      </c>
      <c r="H45" s="64">
        <f t="shared" si="31"/>
        <v>12289.720618511064</v>
      </c>
      <c r="I45" s="64">
        <f t="shared" si="31"/>
        <v>12740.257628279211</v>
      </c>
      <c r="J45" s="64">
        <f t="shared" si="31"/>
        <v>13222.999136804885</v>
      </c>
      <c r="K45" s="64">
        <f t="shared" si="31"/>
        <v>13740.525116535719</v>
      </c>
      <c r="L45" s="64">
        <f t="shared" si="31"/>
        <v>14295.624753419275</v>
      </c>
      <c r="M45" s="72">
        <f t="shared" si="31"/>
        <v>14891.313432797146</v>
      </c>
      <c r="N45" s="47"/>
    </row>
    <row r="46" spans="2:16" ht="16.5" thickBot="1" x14ac:dyDescent="0.3">
      <c r="B46" s="154" t="s">
        <v>30</v>
      </c>
      <c r="C46" s="155"/>
      <c r="D46" s="102">
        <f>SUM(D42:D45)</f>
        <v>132526.75808219178</v>
      </c>
      <c r="E46" s="84">
        <f t="shared" ref="E46:G46" si="32">SUM(E42:E45)</f>
        <v>195537.80180821917</v>
      </c>
      <c r="F46" s="84">
        <f t="shared" si="32"/>
        <v>261214.76373492603</v>
      </c>
      <c r="G46" s="84">
        <f t="shared" si="32"/>
        <v>329737.5161359685</v>
      </c>
      <c r="H46" s="84">
        <f t="shared" ref="H46:M46" si="33">SUM(H42:H45)</f>
        <v>330743.56703310978</v>
      </c>
      <c r="I46" s="84">
        <f t="shared" si="33"/>
        <v>331820.84988977812</v>
      </c>
      <c r="J46" s="84">
        <f t="shared" si="33"/>
        <v>332975.06571570056</v>
      </c>
      <c r="K46" s="84">
        <f t="shared" si="33"/>
        <v>334212.37777839089</v>
      </c>
      <c r="L46" s="84">
        <f t="shared" si="33"/>
        <v>335539.44913316821</v>
      </c>
      <c r="M46" s="85">
        <f t="shared" si="33"/>
        <v>336963.48320057092</v>
      </c>
    </row>
    <row r="47" spans="2:16" ht="16.5" thickBot="1" x14ac:dyDescent="0.3">
      <c r="B47" s="154"/>
      <c r="C47" s="155"/>
    </row>
    <row r="48" spans="2:16" ht="19.5" thickBot="1" x14ac:dyDescent="0.35">
      <c r="B48" s="156" t="s">
        <v>31</v>
      </c>
      <c r="C48" s="155"/>
      <c r="D48" s="141">
        <f>D46</f>
        <v>132526.75808219178</v>
      </c>
      <c r="E48" s="142">
        <f t="shared" ref="E48:G48" si="34">E46</f>
        <v>195537.80180821917</v>
      </c>
      <c r="F48" s="142">
        <f t="shared" si="34"/>
        <v>261214.76373492603</v>
      </c>
      <c r="G48" s="142">
        <f t="shared" si="34"/>
        <v>329737.5161359685</v>
      </c>
      <c r="H48" s="142">
        <f t="shared" ref="H48:M48" si="35">H46</f>
        <v>330743.56703310978</v>
      </c>
      <c r="I48" s="142">
        <f t="shared" si="35"/>
        <v>331820.84988977812</v>
      </c>
      <c r="J48" s="142">
        <f t="shared" si="35"/>
        <v>332975.06571570056</v>
      </c>
      <c r="K48" s="142">
        <f t="shared" si="35"/>
        <v>334212.37777839089</v>
      </c>
      <c r="L48" s="142">
        <f t="shared" si="35"/>
        <v>335539.44913316821</v>
      </c>
      <c r="M48" s="143">
        <f t="shared" si="35"/>
        <v>336963.48320057092</v>
      </c>
    </row>
    <row r="49" spans="2:14" x14ac:dyDescent="0.25">
      <c r="B49" s="154"/>
      <c r="C49" s="155"/>
    </row>
    <row r="50" spans="2:14" ht="16.5" thickBot="1" x14ac:dyDescent="0.3">
      <c r="B50" s="156" t="s">
        <v>32</v>
      </c>
      <c r="C50" s="155"/>
    </row>
    <row r="51" spans="2:14" x14ac:dyDescent="0.25">
      <c r="B51" s="154" t="s">
        <v>33</v>
      </c>
      <c r="C51" s="155"/>
      <c r="D51" s="100">
        <f>D37</f>
        <v>14913.57798871448</v>
      </c>
      <c r="E51" s="80">
        <f t="shared" ref="E51:G51" si="36">E37</f>
        <v>15641.166286183916</v>
      </c>
      <c r="F51" s="80">
        <f t="shared" si="36"/>
        <v>16419.491807781153</v>
      </c>
      <c r="G51" s="80">
        <f t="shared" si="36"/>
        <v>17252.627540929458</v>
      </c>
      <c r="H51" s="80">
        <f t="shared" ref="H51:M51" si="37">H37</f>
        <v>18144.727242792756</v>
      </c>
      <c r="I51" s="80">
        <f t="shared" si="37"/>
        <v>19100.80229880938</v>
      </c>
      <c r="J51" s="80">
        <f t="shared" si="37"/>
        <v>20126.000761199615</v>
      </c>
      <c r="K51" s="80">
        <f t="shared" si="37"/>
        <v>21225.888744358632</v>
      </c>
      <c r="L51" s="80">
        <f t="shared" si="37"/>
        <v>22406.484368402016</v>
      </c>
      <c r="M51" s="81">
        <f t="shared" si="37"/>
        <v>23674.294457653628</v>
      </c>
    </row>
    <row r="52" spans="2:14" ht="16.5" thickBot="1" x14ac:dyDescent="0.3">
      <c r="B52" s="154" t="s">
        <v>34</v>
      </c>
      <c r="C52" s="155"/>
      <c r="D52" s="102">
        <f>(D19/365)*D14</f>
        <v>1794.0821917808219</v>
      </c>
      <c r="E52" s="84">
        <f t="shared" ref="E52:G52" si="38">(E19/365)*E14</f>
        <v>1851.3922191780823</v>
      </c>
      <c r="F52" s="84">
        <f t="shared" si="38"/>
        <v>1912.648865227397</v>
      </c>
      <c r="G52" s="84">
        <f t="shared" si="38"/>
        <v>1978.1669397187331</v>
      </c>
      <c r="H52" s="84">
        <f t="shared" ref="H52:M52" si="39">(H19/365)*H14</f>
        <v>2048.2867697518441</v>
      </c>
      <c r="I52" s="84">
        <f t="shared" si="39"/>
        <v>2123.3762713798683</v>
      </c>
      <c r="J52" s="84">
        <f t="shared" si="39"/>
        <v>2203.8331894674811</v>
      </c>
      <c r="K52" s="84">
        <f t="shared" si="39"/>
        <v>2290.0875194226196</v>
      </c>
      <c r="L52" s="84">
        <f t="shared" si="39"/>
        <v>2382.6041255698792</v>
      </c>
      <c r="M52" s="85">
        <f t="shared" si="39"/>
        <v>2481.8855721328578</v>
      </c>
    </row>
    <row r="53" spans="2:14" x14ac:dyDescent="0.25">
      <c r="B53" s="154"/>
      <c r="C53" s="155"/>
    </row>
    <row r="54" spans="2:14" ht="16.5" thickBot="1" x14ac:dyDescent="0.3">
      <c r="B54" s="154"/>
      <c r="C54" s="155"/>
    </row>
    <row r="55" spans="2:14" ht="16.5" thickBot="1" x14ac:dyDescent="0.3">
      <c r="B55" s="154" t="s">
        <v>35</v>
      </c>
      <c r="C55" s="155"/>
      <c r="D55" s="107">
        <f>Mortgage!F13</f>
        <v>39593.67606828198</v>
      </c>
      <c r="E55" s="89">
        <f>Mortgage!F27</f>
        <v>39157.978946686257</v>
      </c>
      <c r="F55" s="89">
        <f>Mortgage!F41</f>
        <v>38690.785244941537</v>
      </c>
      <c r="G55" s="89">
        <f>Mortgage!F55</f>
        <v>38189.818072722177</v>
      </c>
      <c r="H55" s="89">
        <f>Mortgage!F69</f>
        <v>37652.635943116751</v>
      </c>
      <c r="I55" s="89">
        <f>Mortgage!F83</f>
        <v>37076.620873927634</v>
      </c>
      <c r="J55" s="89">
        <f>Mortgage!F97</f>
        <v>36458.965628812432</v>
      </c>
      <c r="K55" s="89">
        <f>Mortgage!F111</f>
        <v>35796.660036086549</v>
      </c>
      <c r="L55" s="89">
        <f>Mortgage!F125</f>
        <v>35086.476318510984</v>
      </c>
      <c r="M55" s="90">
        <f>Mortgage!F139</f>
        <v>34324.953362569111</v>
      </c>
      <c r="N55" s="28">
        <f>M55/SUM(M55:M58)</f>
        <v>5.5718153647052363E-2</v>
      </c>
    </row>
    <row r="56" spans="2:14" ht="16.5" thickBot="1" x14ac:dyDescent="0.3">
      <c r="B56" s="154"/>
      <c r="C56" s="155"/>
    </row>
    <row r="57" spans="2:14" x14ac:dyDescent="0.25">
      <c r="B57" s="154" t="s">
        <v>36</v>
      </c>
      <c r="C57" s="155"/>
      <c r="D57" s="100">
        <v>15000</v>
      </c>
      <c r="E57" s="80">
        <v>15000</v>
      </c>
      <c r="F57" s="80">
        <v>15000</v>
      </c>
      <c r="G57" s="80">
        <v>15000</v>
      </c>
      <c r="H57" s="80">
        <v>15001</v>
      </c>
      <c r="I57" s="80">
        <v>15002</v>
      </c>
      <c r="J57" s="80">
        <v>15003</v>
      </c>
      <c r="K57" s="80">
        <v>15004</v>
      </c>
      <c r="L57" s="80">
        <v>15005</v>
      </c>
      <c r="M57" s="81">
        <v>15006</v>
      </c>
    </row>
    <row r="58" spans="2:14" ht="16.5" thickBot="1" x14ac:dyDescent="0.3">
      <c r="B58" s="154" t="s">
        <v>37</v>
      </c>
      <c r="C58" s="161"/>
      <c r="D58" s="102">
        <f>D38</f>
        <v>44740.733966143438</v>
      </c>
      <c r="E58" s="84">
        <f>E38+D58</f>
        <v>91664.23282469518</v>
      </c>
      <c r="F58" s="84">
        <f t="shared" ref="F58:G58" si="40">F38+E58</f>
        <v>140922.70824803863</v>
      </c>
      <c r="G58" s="84">
        <f t="shared" si="40"/>
        <v>192680.590870827</v>
      </c>
      <c r="H58" s="84">
        <f t="shared" ref="H58" si="41">H38+G58</f>
        <v>247114.77259920526</v>
      </c>
      <c r="I58" s="84">
        <f t="shared" ref="I58" si="42">I38+H58</f>
        <v>304417.17949563341</v>
      </c>
      <c r="J58" s="84">
        <f t="shared" ref="J58" si="43">J38+I58</f>
        <v>364795.18177923223</v>
      </c>
      <c r="K58" s="84">
        <f t="shared" ref="K58" si="44">K38+J58</f>
        <v>428472.84801230812</v>
      </c>
      <c r="L58" s="84">
        <f t="shared" ref="L58:M58" si="45">L38+K58</f>
        <v>495692.30111751414</v>
      </c>
      <c r="M58" s="85">
        <f t="shared" si="45"/>
        <v>566715.18449047499</v>
      </c>
    </row>
    <row r="59" spans="2:14" ht="16.5" thickBot="1" x14ac:dyDescent="0.3">
      <c r="B59" s="154"/>
      <c r="C59" s="155"/>
    </row>
    <row r="60" spans="2:14" ht="16.5" thickBot="1" x14ac:dyDescent="0.3">
      <c r="B60" s="156" t="s">
        <v>38</v>
      </c>
      <c r="C60" s="155"/>
      <c r="D60" s="108">
        <f>SUM(D51:D59)</f>
        <v>116042.07021492072</v>
      </c>
      <c r="E60" s="66">
        <f t="shared" ref="E60:G60" si="46">SUM(E51:E59)</f>
        <v>163314.77027674345</v>
      </c>
      <c r="F60" s="66">
        <f t="shared" si="46"/>
        <v>212945.63416598871</v>
      </c>
      <c r="G60" s="66">
        <f t="shared" si="46"/>
        <v>265101.20342419739</v>
      </c>
      <c r="H60" s="66">
        <f t="shared" ref="H60:M60" si="47">SUM(H51:H59)</f>
        <v>319961.42255486664</v>
      </c>
      <c r="I60" s="66">
        <f t="shared" si="47"/>
        <v>377719.97893975029</v>
      </c>
      <c r="J60" s="66">
        <f t="shared" si="47"/>
        <v>438586.98135871172</v>
      </c>
      <c r="K60" s="66">
        <f t="shared" si="47"/>
        <v>502789.48431217589</v>
      </c>
      <c r="L60" s="66">
        <f t="shared" si="47"/>
        <v>570572.86592999706</v>
      </c>
      <c r="M60" s="67">
        <f t="shared" si="47"/>
        <v>642202.31788283063</v>
      </c>
    </row>
    <row r="61" spans="2:14" ht="16.5" thickBot="1" x14ac:dyDescent="0.3">
      <c r="B61" s="154"/>
      <c r="C61" s="155"/>
    </row>
    <row r="62" spans="2:14" ht="19.5" thickBot="1" x14ac:dyDescent="0.35">
      <c r="B62" s="159" t="s">
        <v>39</v>
      </c>
      <c r="C62" s="160"/>
      <c r="D62" s="141">
        <f>D48-D60</f>
        <v>16484.687867271059</v>
      </c>
      <c r="E62" s="142">
        <f t="shared" ref="E62:G62" si="48">E48-E60</f>
        <v>32223.031531475717</v>
      </c>
      <c r="F62" s="142">
        <f t="shared" si="48"/>
        <v>48269.129568937322</v>
      </c>
      <c r="G62" s="142">
        <f t="shared" si="48"/>
        <v>64636.312711771112</v>
      </c>
      <c r="H62" s="142">
        <f t="shared" ref="H62:M62" si="49">H48-H60</f>
        <v>10782.144478243135</v>
      </c>
      <c r="I62" s="142">
        <f t="shared" si="49"/>
        <v>-45899.129049972165</v>
      </c>
      <c r="J62" s="142">
        <f t="shared" si="49"/>
        <v>-105611.91564301116</v>
      </c>
      <c r="K62" s="142">
        <f t="shared" si="49"/>
        <v>-168577.106533785</v>
      </c>
      <c r="L62" s="142">
        <f t="shared" si="49"/>
        <v>-235033.41679682885</v>
      </c>
      <c r="M62" s="143">
        <f t="shared" si="49"/>
        <v>-305238.83468225971</v>
      </c>
    </row>
    <row r="64" spans="2:14" x14ac:dyDescent="0.2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2:14" ht="16.5" thickBot="1" x14ac:dyDescent="0.3">
      <c r="B65" s="1" t="s">
        <v>175</v>
      </c>
      <c r="C65" s="2"/>
      <c r="D65" s="120" t="s">
        <v>106</v>
      </c>
      <c r="E65" s="120" t="s">
        <v>107</v>
      </c>
      <c r="F65" s="2"/>
      <c r="G65" s="2"/>
      <c r="H65" s="2"/>
      <c r="I65" s="2"/>
      <c r="J65" s="2"/>
      <c r="K65" s="2"/>
      <c r="L65" s="2"/>
      <c r="M65" s="2"/>
      <c r="N65" s="2"/>
    </row>
    <row r="66" spans="2:14" x14ac:dyDescent="0.25">
      <c r="B66" s="162" t="s">
        <v>176</v>
      </c>
      <c r="C66" s="170"/>
      <c r="D66" s="169"/>
      <c r="E66" s="173">
        <f>D7</f>
        <v>45</v>
      </c>
      <c r="F66" s="2" t="s">
        <v>180</v>
      </c>
      <c r="G66" s="2"/>
      <c r="H66" s="2"/>
      <c r="I66" s="2"/>
      <c r="J66" s="2"/>
      <c r="K66" s="2"/>
      <c r="L66" s="2"/>
      <c r="M66" s="2"/>
      <c r="N66" s="2"/>
    </row>
    <row r="67" spans="2:14" x14ac:dyDescent="0.25">
      <c r="B67" s="154" t="s">
        <v>177</v>
      </c>
      <c r="C67" s="171"/>
      <c r="D67" s="166"/>
      <c r="E67" s="164">
        <f>D8</f>
        <v>35</v>
      </c>
      <c r="F67" s="2"/>
      <c r="G67" s="2"/>
      <c r="H67" s="2"/>
      <c r="I67" s="2"/>
      <c r="J67" s="2"/>
      <c r="K67" s="2"/>
      <c r="L67" s="2"/>
      <c r="M67" s="2"/>
      <c r="N67" s="2"/>
    </row>
    <row r="68" spans="2:14" x14ac:dyDescent="0.25">
      <c r="B68" s="154"/>
      <c r="C68" s="171"/>
      <c r="D68" s="117"/>
      <c r="E68" s="118"/>
      <c r="F68" s="2"/>
      <c r="G68" s="2"/>
      <c r="H68" s="2"/>
      <c r="I68" s="2"/>
      <c r="J68" s="2"/>
      <c r="K68" s="2"/>
      <c r="L68" s="2"/>
      <c r="M68" s="2"/>
      <c r="N68" s="2"/>
    </row>
    <row r="69" spans="2:14" x14ac:dyDescent="0.25">
      <c r="B69" s="156" t="s">
        <v>108</v>
      </c>
      <c r="C69" s="171"/>
      <c r="D69" s="117"/>
      <c r="E69" s="118"/>
      <c r="F69" s="2"/>
      <c r="G69" s="167"/>
      <c r="I69" s="2"/>
      <c r="J69" s="2"/>
      <c r="K69" s="2"/>
      <c r="L69" s="2"/>
      <c r="M69" s="2"/>
      <c r="N69" s="2"/>
    </row>
    <row r="70" spans="2:14" x14ac:dyDescent="0.25">
      <c r="B70" s="154" t="str">
        <f>C23</f>
        <v>Marketing</v>
      </c>
      <c r="C70" s="171"/>
      <c r="D70" s="117"/>
      <c r="E70" s="164">
        <f>F70*SUM(E66:E67)</f>
        <v>5.6000000000000005</v>
      </c>
      <c r="F70" s="24">
        <v>7.0000000000000007E-2</v>
      </c>
      <c r="G70" s="2"/>
      <c r="H70" s="2"/>
      <c r="I70" s="2"/>
      <c r="J70" s="2"/>
      <c r="K70" s="2"/>
      <c r="L70" s="2"/>
      <c r="M70" s="2"/>
      <c r="N70" s="2"/>
    </row>
    <row r="71" spans="2:14" x14ac:dyDescent="0.25">
      <c r="B71" s="154" t="str">
        <f t="shared" ref="B71" si="50">C24</f>
        <v>General and Administrative</v>
      </c>
      <c r="C71" s="171"/>
      <c r="D71" s="117"/>
      <c r="E71" s="164">
        <f>F71*SUM(E66:E67)</f>
        <v>8</v>
      </c>
      <c r="F71" s="24">
        <v>0.1</v>
      </c>
      <c r="G71" s="2"/>
      <c r="H71" s="2"/>
      <c r="I71" s="2"/>
      <c r="J71" s="2"/>
      <c r="K71" s="2"/>
      <c r="L71" s="2"/>
      <c r="M71" s="2"/>
      <c r="N71" s="2"/>
    </row>
    <row r="72" spans="2:14" x14ac:dyDescent="0.25">
      <c r="B72" s="154" t="str">
        <f>C27</f>
        <v>Merchant Account</v>
      </c>
      <c r="C72" s="171"/>
      <c r="D72" s="117"/>
      <c r="E72" s="164">
        <f>F72*SUM(E66:E67)</f>
        <v>1.36</v>
      </c>
      <c r="F72" s="24">
        <v>1.7000000000000001E-2</v>
      </c>
      <c r="G72" s="2"/>
      <c r="H72" s="2"/>
      <c r="I72" s="2"/>
      <c r="J72" s="2"/>
      <c r="K72" s="2"/>
      <c r="L72" s="2"/>
      <c r="M72" s="2"/>
      <c r="N72" s="2"/>
    </row>
    <row r="73" spans="2:14" x14ac:dyDescent="0.25">
      <c r="B73" s="154" t="str">
        <f>C28</f>
        <v>Internet Expense</v>
      </c>
      <c r="C73" s="171"/>
      <c r="D73" s="117"/>
      <c r="E73" s="164">
        <f>E67*F73</f>
        <v>0.52500000000000002</v>
      </c>
      <c r="F73" s="24">
        <v>1.4999999999999999E-2</v>
      </c>
      <c r="G73" s="2"/>
      <c r="H73" s="2"/>
      <c r="I73" s="2"/>
      <c r="J73" s="2"/>
      <c r="K73" s="2"/>
      <c r="L73" s="2"/>
      <c r="M73" s="2"/>
      <c r="N73" s="2"/>
    </row>
    <row r="74" spans="2:14" x14ac:dyDescent="0.25">
      <c r="B74" s="154"/>
      <c r="C74" s="171"/>
      <c r="D74" s="117"/>
      <c r="E74" s="118"/>
      <c r="F74" s="24"/>
      <c r="G74" s="2"/>
      <c r="H74" s="2"/>
      <c r="I74" s="2"/>
      <c r="J74" s="2"/>
      <c r="K74" s="2"/>
      <c r="L74" s="2"/>
      <c r="M74" s="2"/>
      <c r="N74" s="2"/>
    </row>
    <row r="75" spans="2:14" x14ac:dyDescent="0.25">
      <c r="B75" s="156" t="s">
        <v>178</v>
      </c>
      <c r="C75" s="171"/>
      <c r="D75" s="117"/>
      <c r="E75" s="164">
        <f>SUM(E66:E67)-SUM(E70:E73)</f>
        <v>64.515000000000001</v>
      </c>
      <c r="F75" s="24"/>
      <c r="G75" s="2"/>
      <c r="H75" s="2"/>
      <c r="I75" s="2"/>
      <c r="J75" s="2"/>
      <c r="K75" s="2"/>
      <c r="L75" s="2"/>
      <c r="M75" s="2"/>
      <c r="N75" s="2"/>
    </row>
    <row r="76" spans="2:14" x14ac:dyDescent="0.25">
      <c r="B76" s="154"/>
      <c r="C76" s="171"/>
      <c r="D76" s="166"/>
      <c r="E76" s="168"/>
      <c r="F76" s="165"/>
      <c r="G76" s="2"/>
      <c r="H76" s="2"/>
      <c r="I76" s="2"/>
      <c r="J76" s="2"/>
      <c r="K76" s="2"/>
      <c r="L76" s="2"/>
      <c r="M76" s="2"/>
      <c r="N76" s="2"/>
    </row>
    <row r="77" spans="2:14" x14ac:dyDescent="0.25">
      <c r="B77" s="156" t="s">
        <v>109</v>
      </c>
      <c r="C77" s="171"/>
      <c r="D77" s="117"/>
      <c r="E77" s="118"/>
      <c r="F77" s="24"/>
      <c r="G77" s="2"/>
      <c r="H77" s="2"/>
      <c r="I77" s="2"/>
      <c r="J77" s="2"/>
      <c r="K77" s="2"/>
      <c r="L77" s="2"/>
      <c r="M77" s="2"/>
      <c r="N77" s="2"/>
    </row>
    <row r="78" spans="2:14" x14ac:dyDescent="0.25">
      <c r="B78" s="154" t="str">
        <f>C26</f>
        <v>Store Building Rent Exp</v>
      </c>
      <c r="C78" s="171"/>
      <c r="D78" s="166">
        <f>D26</f>
        <v>14475</v>
      </c>
      <c r="E78" s="118"/>
      <c r="F78" s="24"/>
      <c r="G78" s="2"/>
      <c r="H78" s="2"/>
      <c r="I78" s="2"/>
      <c r="J78" s="2"/>
      <c r="K78" s="2"/>
      <c r="L78" s="2"/>
      <c r="M78" s="2"/>
      <c r="N78" s="2"/>
    </row>
    <row r="79" spans="2:14" x14ac:dyDescent="0.25">
      <c r="B79" s="154" t="str">
        <f>C25</f>
        <v>Utilities</v>
      </c>
      <c r="C79" s="171"/>
      <c r="D79" s="166">
        <f>D25</f>
        <v>1424.8799999999999</v>
      </c>
      <c r="E79" s="118"/>
      <c r="F79" s="24"/>
      <c r="G79" s="2"/>
      <c r="H79" s="2"/>
      <c r="I79" s="2"/>
      <c r="J79" s="2"/>
      <c r="K79" s="2"/>
      <c r="L79" s="2"/>
      <c r="M79" s="2"/>
      <c r="N79" s="2"/>
    </row>
    <row r="80" spans="2:14" x14ac:dyDescent="0.25">
      <c r="B80" s="154"/>
      <c r="C80" s="171"/>
      <c r="D80" s="105"/>
      <c r="E80" s="118"/>
      <c r="F80" s="24"/>
      <c r="G80" s="2"/>
      <c r="H80" s="2"/>
      <c r="I80" s="2"/>
      <c r="J80" s="2"/>
      <c r="K80" s="2"/>
      <c r="L80" s="2"/>
      <c r="M80" s="2"/>
      <c r="N80" s="2"/>
    </row>
    <row r="81" spans="1:14" x14ac:dyDescent="0.25">
      <c r="B81" s="154"/>
      <c r="C81" s="171"/>
      <c r="D81" s="117"/>
      <c r="E81" s="118"/>
      <c r="F81" s="24"/>
      <c r="G81" s="2"/>
      <c r="H81" s="2"/>
      <c r="I81" s="2"/>
      <c r="J81" s="2"/>
      <c r="K81" s="2"/>
      <c r="L81" s="2"/>
      <c r="M81" s="2"/>
      <c r="N81" s="2"/>
    </row>
    <row r="82" spans="1:14" x14ac:dyDescent="0.25">
      <c r="B82" s="154"/>
      <c r="C82" s="171"/>
      <c r="D82" s="117"/>
      <c r="E82" s="118"/>
      <c r="F82" s="24"/>
      <c r="G82" s="2"/>
      <c r="H82" s="2"/>
      <c r="I82" s="2"/>
      <c r="J82" s="2"/>
      <c r="K82" s="2"/>
      <c r="L82" s="2"/>
      <c r="M82" s="2"/>
      <c r="N82" s="2"/>
    </row>
    <row r="83" spans="1:14" ht="16.5" thickBot="1" x14ac:dyDescent="0.3">
      <c r="B83" s="163" t="s">
        <v>179</v>
      </c>
      <c r="C83" s="172"/>
      <c r="D83" s="119"/>
      <c r="E83" s="174">
        <f>SUM(D78:D79)/E75</f>
        <v>246.45245291792605</v>
      </c>
      <c r="F83" s="175"/>
      <c r="G83" s="2"/>
      <c r="H83" s="2"/>
      <c r="I83" s="2"/>
      <c r="J83" s="2"/>
      <c r="K83" s="2"/>
      <c r="L83" s="2"/>
      <c r="M83" s="2"/>
      <c r="N83" s="2"/>
    </row>
    <row r="84" spans="1:14" x14ac:dyDescent="0.25">
      <c r="A84" s="30" t="s">
        <v>121</v>
      </c>
      <c r="B84" s="31"/>
      <c r="C84" s="32"/>
      <c r="D84" s="2"/>
      <c r="E84" s="2"/>
      <c r="F84" s="2"/>
      <c r="G84" s="2"/>
      <c r="H84" s="2"/>
      <c r="I84" s="2"/>
    </row>
    <row r="85" spans="1:14" x14ac:dyDescent="0.25">
      <c r="A85" s="31"/>
      <c r="B85" s="31"/>
      <c r="C85" s="32"/>
      <c r="D85" s="2"/>
      <c r="E85" s="2"/>
      <c r="F85" s="2"/>
      <c r="G85" s="2"/>
      <c r="H85" s="2"/>
      <c r="I85" s="2"/>
    </row>
    <row r="86" spans="1:14" x14ac:dyDescent="0.25">
      <c r="A86" s="31" t="s">
        <v>110</v>
      </c>
      <c r="B86" s="31"/>
      <c r="C86" s="34">
        <f>F88+F87*(F89-F88)</f>
        <v>7.6693999999999998E-2</v>
      </c>
      <c r="D86" s="2"/>
      <c r="E86" s="2" t="s">
        <v>129</v>
      </c>
      <c r="F86" s="2"/>
      <c r="G86" s="2"/>
      <c r="H86" s="2"/>
      <c r="I86" s="2"/>
    </row>
    <row r="87" spans="1:14" x14ac:dyDescent="0.25">
      <c r="A87" s="31"/>
      <c r="B87" s="31"/>
      <c r="C87" s="150"/>
      <c r="D87" s="2"/>
      <c r="E87" s="33" t="s">
        <v>111</v>
      </c>
      <c r="F87" s="33">
        <v>0.91</v>
      </c>
      <c r="G87" s="2"/>
      <c r="H87" s="2"/>
      <c r="I87" s="2"/>
    </row>
    <row r="88" spans="1:14" x14ac:dyDescent="0.25">
      <c r="A88" s="31" t="s">
        <v>112</v>
      </c>
      <c r="B88" s="31"/>
      <c r="C88" s="34">
        <f>I94</f>
        <v>0.12</v>
      </c>
      <c r="D88" s="2"/>
      <c r="E88" s="33" t="s">
        <v>130</v>
      </c>
      <c r="F88" s="62">
        <v>1.9E-2</v>
      </c>
      <c r="G88" s="2"/>
      <c r="H88" s="2"/>
      <c r="I88" s="2"/>
    </row>
    <row r="89" spans="1:14" x14ac:dyDescent="0.25">
      <c r="A89" s="31" t="s">
        <v>113</v>
      </c>
      <c r="B89" s="31"/>
      <c r="C89" s="149">
        <v>0.25</v>
      </c>
      <c r="D89" s="2"/>
      <c r="E89" s="33" t="s">
        <v>131</v>
      </c>
      <c r="F89" s="62">
        <v>8.2400000000000001E-2</v>
      </c>
      <c r="G89" s="2"/>
      <c r="H89" s="2"/>
      <c r="I89" s="2"/>
    </row>
    <row r="90" spans="1:14" x14ac:dyDescent="0.25">
      <c r="A90" s="31"/>
      <c r="B90" s="31"/>
      <c r="C90" s="150"/>
      <c r="D90" s="2"/>
      <c r="E90" s="2"/>
      <c r="F90" s="2"/>
      <c r="G90" s="2"/>
      <c r="H90" s="2"/>
      <c r="I90" s="2"/>
    </row>
    <row r="91" spans="1:14" x14ac:dyDescent="0.25">
      <c r="A91" s="31" t="s">
        <v>115</v>
      </c>
      <c r="B91" s="31"/>
      <c r="C91" s="34">
        <f>D94</f>
        <v>5.5718153647052363E-2</v>
      </c>
      <c r="D91" s="2"/>
      <c r="E91" s="2" t="s">
        <v>114</v>
      </c>
      <c r="F91" s="2"/>
      <c r="G91" s="2" t="s">
        <v>132</v>
      </c>
      <c r="H91" s="2"/>
      <c r="I91" s="2" t="s">
        <v>133</v>
      </c>
    </row>
    <row r="92" spans="1:14" x14ac:dyDescent="0.25">
      <c r="A92" s="31" t="s">
        <v>117</v>
      </c>
      <c r="B92" s="31"/>
      <c r="C92" s="149">
        <f>D99</f>
        <v>0.94428184635294765</v>
      </c>
      <c r="D92" s="2"/>
      <c r="E92" s="33" t="s">
        <v>116</v>
      </c>
      <c r="F92" s="36"/>
      <c r="G92" s="35">
        <f>F92/F94</f>
        <v>0</v>
      </c>
      <c r="H92" s="33"/>
      <c r="I92" s="35">
        <v>7.0000000000000007E-2</v>
      </c>
    </row>
    <row r="93" spans="1:14" x14ac:dyDescent="0.25">
      <c r="A93" s="31"/>
      <c r="B93" s="31"/>
      <c r="C93" s="150"/>
      <c r="D93" s="2"/>
      <c r="E93" s="33" t="s">
        <v>134</v>
      </c>
      <c r="F93" s="36">
        <f>M55</f>
        <v>34324.953362569111</v>
      </c>
      <c r="G93" s="35">
        <f>F93/F94</f>
        <v>1</v>
      </c>
      <c r="H93" s="33"/>
      <c r="I93" s="35">
        <v>0.12</v>
      </c>
    </row>
    <row r="94" spans="1:14" x14ac:dyDescent="0.25">
      <c r="A94" s="31" t="s">
        <v>135</v>
      </c>
      <c r="B94" s="31"/>
      <c r="C94" s="34">
        <f>C91*C88*(1-C89)+C92*C86</f>
        <v>7.7435385752427671E-2</v>
      </c>
      <c r="D94" s="25">
        <f>F94/F101</f>
        <v>5.5718153647052363E-2</v>
      </c>
      <c r="E94" s="33" t="s">
        <v>136</v>
      </c>
      <c r="F94" s="36">
        <f>SUM(F92:F93)</f>
        <v>34324.953362569111</v>
      </c>
      <c r="G94" s="35"/>
      <c r="H94" s="33"/>
      <c r="I94" s="37">
        <f>I92*G92+I93*G93</f>
        <v>0.12</v>
      </c>
    </row>
    <row r="95" spans="1:14" x14ac:dyDescent="0.25">
      <c r="A95" s="31"/>
      <c r="B95" s="31"/>
      <c r="C95" s="150"/>
      <c r="D95" s="2"/>
      <c r="E95" s="2"/>
      <c r="F95" s="2"/>
      <c r="G95" s="2"/>
      <c r="H95" s="2"/>
      <c r="I95" s="2"/>
    </row>
    <row r="96" spans="1:14" x14ac:dyDescent="0.25">
      <c r="A96" s="31" t="s">
        <v>119</v>
      </c>
      <c r="B96" s="31"/>
      <c r="C96" s="34">
        <f>F87/(1+(1-C89)*(C91/C92))</f>
        <v>0.87143516985301128</v>
      </c>
      <c r="D96" s="2"/>
      <c r="E96" s="33" t="s">
        <v>118</v>
      </c>
      <c r="F96" s="38"/>
      <c r="G96" s="2"/>
      <c r="H96" s="2"/>
      <c r="I96" s="2"/>
    </row>
    <row r="97" spans="1:13" x14ac:dyDescent="0.25">
      <c r="A97" s="31" t="s">
        <v>137</v>
      </c>
      <c r="B97" s="31"/>
      <c r="C97" s="34">
        <f>C96*(1+(1-C89)*(0.6/0.4))</f>
        <v>1.851799735937649</v>
      </c>
      <c r="D97" s="2"/>
      <c r="E97" s="33" t="s">
        <v>138</v>
      </c>
      <c r="F97" s="36">
        <f>M57</f>
        <v>15006</v>
      </c>
      <c r="G97" s="2"/>
      <c r="H97" s="2"/>
      <c r="I97" s="2"/>
    </row>
    <row r="98" spans="1:13" x14ac:dyDescent="0.25">
      <c r="A98" s="31"/>
      <c r="B98" s="31"/>
      <c r="C98" s="150"/>
      <c r="D98" s="2"/>
      <c r="E98" s="33" t="s">
        <v>139</v>
      </c>
      <c r="F98" s="36">
        <f>M58</f>
        <v>566715.18449047499</v>
      </c>
      <c r="G98" s="2"/>
      <c r="H98" s="2"/>
      <c r="I98" s="2"/>
    </row>
    <row r="99" spans="1:13" x14ac:dyDescent="0.25">
      <c r="A99" s="31" t="s">
        <v>120</v>
      </c>
      <c r="B99" s="31"/>
      <c r="C99" s="34">
        <f>F88+C97*(F89-F88)</f>
        <v>0.13640410325844693</v>
      </c>
      <c r="D99" s="25">
        <f>F99/F101</f>
        <v>0.94428184635294765</v>
      </c>
      <c r="E99" s="33" t="s">
        <v>136</v>
      </c>
      <c r="F99" s="36">
        <f>SUM(F97:F98)</f>
        <v>581721.18449047499</v>
      </c>
      <c r="G99" s="2"/>
      <c r="H99" s="2"/>
      <c r="I99" s="2"/>
    </row>
    <row r="100" spans="1:13" x14ac:dyDescent="0.25">
      <c r="A100" s="31"/>
      <c r="B100" s="31"/>
      <c r="C100" s="150"/>
      <c r="D100" s="2"/>
      <c r="E100" s="2"/>
      <c r="F100" s="2"/>
      <c r="G100" s="2"/>
      <c r="H100" s="2"/>
      <c r="I100" s="2"/>
    </row>
    <row r="101" spans="1:13" x14ac:dyDescent="0.25">
      <c r="A101" s="31" t="s">
        <v>170</v>
      </c>
      <c r="B101" s="31"/>
      <c r="C101" s="34">
        <f>(0.6)*C88*(1-C89)+(0.4)*C99</f>
        <v>0.10856164130337877</v>
      </c>
      <c r="D101" s="2"/>
      <c r="E101" s="33" t="s">
        <v>140</v>
      </c>
      <c r="F101" s="36">
        <f>F94+F99</f>
        <v>616046.13785304409</v>
      </c>
      <c r="G101" s="2"/>
      <c r="H101" s="2"/>
      <c r="I101" s="2"/>
    </row>
    <row r="102" spans="1:13" x14ac:dyDescent="0.25">
      <c r="A102" s="31" t="s">
        <v>141</v>
      </c>
    </row>
    <row r="104" spans="1:13" ht="16.5" thickBot="1" x14ac:dyDescent="0.3"/>
    <row r="105" spans="1:13" ht="16.5" thickBot="1" x14ac:dyDescent="0.3">
      <c r="D105" s="91">
        <v>2013</v>
      </c>
      <c r="E105" s="92">
        <v>2014</v>
      </c>
      <c r="F105" s="92">
        <v>2015</v>
      </c>
      <c r="G105" s="92">
        <v>2016</v>
      </c>
      <c r="H105" s="92">
        <v>2017</v>
      </c>
      <c r="I105" s="92">
        <v>2018</v>
      </c>
      <c r="J105" s="92">
        <v>2019</v>
      </c>
      <c r="K105" s="92">
        <v>2020</v>
      </c>
      <c r="L105" s="92">
        <v>2021</v>
      </c>
      <c r="M105" s="93">
        <v>2022</v>
      </c>
    </row>
    <row r="106" spans="1:13" x14ac:dyDescent="0.25">
      <c r="A106" s="2" t="s">
        <v>144</v>
      </c>
      <c r="B106" s="40"/>
      <c r="C106" s="40"/>
      <c r="D106" s="40"/>
      <c r="E106" s="40"/>
      <c r="F106" s="40"/>
      <c r="G106" s="40"/>
      <c r="H106" s="40"/>
      <c r="I106" s="40"/>
      <c r="J106" s="40"/>
    </row>
    <row r="107" spans="1:13" ht="16.5" thickBot="1" x14ac:dyDescent="0.3">
      <c r="A107" s="39"/>
      <c r="B107" s="40"/>
      <c r="C107" s="40"/>
      <c r="D107" s="40"/>
      <c r="E107" s="40"/>
      <c r="F107" s="40"/>
      <c r="G107" s="40"/>
      <c r="H107" s="40"/>
      <c r="I107" s="40"/>
      <c r="J107" s="40"/>
    </row>
    <row r="108" spans="1:13" ht="16.5" thickBot="1" x14ac:dyDescent="0.3">
      <c r="A108" s="2" t="s">
        <v>145</v>
      </c>
      <c r="B108" s="40"/>
      <c r="C108" s="40"/>
      <c r="D108" s="122">
        <f>D114</f>
        <v>15610.359999999997</v>
      </c>
      <c r="E108" s="123">
        <f>E114</f>
        <v>16330.605000000003</v>
      </c>
      <c r="F108" s="123">
        <f>F114</f>
        <v>17101.056376559995</v>
      </c>
      <c r="G108" s="123">
        <f>G114</f>
        <v>17925.748742089636</v>
      </c>
      <c r="H108" s="123">
        <f t="shared" ref="H108:M108" si="51">H114</f>
        <v>18809.044704606422</v>
      </c>
      <c r="I108" s="123">
        <f t="shared" si="51"/>
        <v>19755.661525727119</v>
      </c>
      <c r="J108" s="123">
        <f t="shared" si="51"/>
        <v>20770.699944135831</v>
      </c>
      <c r="K108" s="123">
        <f t="shared" si="51"/>
        <v>21859.675340392183</v>
      </c>
      <c r="L108" s="123">
        <f t="shared" si="51"/>
        <v>23028.551433223147</v>
      </c>
      <c r="M108" s="124">
        <f t="shared" si="51"/>
        <v>24283.776712883177</v>
      </c>
    </row>
    <row r="109" spans="1:13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3" ht="16.5" thickBot="1" x14ac:dyDescent="0.3">
      <c r="A110" s="1" t="s">
        <v>146</v>
      </c>
      <c r="B110" s="2"/>
      <c r="C110" s="2"/>
      <c r="D110" s="2"/>
      <c r="E110" s="2"/>
      <c r="F110" s="2"/>
      <c r="G110" s="2"/>
      <c r="H110" s="2"/>
      <c r="I110" s="2"/>
      <c r="J110" s="2"/>
    </row>
    <row r="111" spans="1:13" x14ac:dyDescent="0.25">
      <c r="A111" s="41"/>
      <c r="B111" s="2" t="s">
        <v>19</v>
      </c>
      <c r="C111" s="2"/>
      <c r="D111" s="125">
        <f>D30</f>
        <v>62441.439999999988</v>
      </c>
      <c r="E111" s="126">
        <f>E30</f>
        <v>65322.420000000013</v>
      </c>
      <c r="F111" s="126">
        <f>F30</f>
        <v>68404.225506239978</v>
      </c>
      <c r="G111" s="126">
        <f>G30</f>
        <v>71702.994968358544</v>
      </c>
      <c r="H111" s="126">
        <f t="shared" ref="H111:M111" si="52">H30</f>
        <v>75236.178818425687</v>
      </c>
      <c r="I111" s="126">
        <f t="shared" si="52"/>
        <v>79022.646102908475</v>
      </c>
      <c r="J111" s="126">
        <f t="shared" si="52"/>
        <v>83082.799776543325</v>
      </c>
      <c r="K111" s="126">
        <f t="shared" si="52"/>
        <v>87438.701361568732</v>
      </c>
      <c r="L111" s="126">
        <f t="shared" si="52"/>
        <v>92114.205732892588</v>
      </c>
      <c r="M111" s="127">
        <f t="shared" si="52"/>
        <v>97135.106851532706</v>
      </c>
    </row>
    <row r="112" spans="1:13" x14ac:dyDescent="0.25">
      <c r="A112" s="41"/>
      <c r="B112" s="2" t="s">
        <v>147</v>
      </c>
      <c r="C112" s="2"/>
      <c r="D112" s="128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129">
        <v>0</v>
      </c>
    </row>
    <row r="113" spans="1:14" x14ac:dyDescent="0.25">
      <c r="A113" s="2"/>
      <c r="B113" s="2" t="s">
        <v>148</v>
      </c>
      <c r="C113" s="2"/>
      <c r="D113" s="128">
        <f>D111-D112</f>
        <v>62441.439999999988</v>
      </c>
      <c r="E113" s="36">
        <f>E111-E112</f>
        <v>65322.420000000013</v>
      </c>
      <c r="F113" s="36">
        <f>F111-F112</f>
        <v>68404.225506239978</v>
      </c>
      <c r="G113" s="36">
        <f>G111-G112</f>
        <v>71702.994968358544</v>
      </c>
      <c r="H113" s="36">
        <f t="shared" ref="H113:M113" si="53">H111-H112</f>
        <v>75236.178818425687</v>
      </c>
      <c r="I113" s="36">
        <f t="shared" si="53"/>
        <v>79022.646102908475</v>
      </c>
      <c r="J113" s="36">
        <f t="shared" si="53"/>
        <v>83082.799776543325</v>
      </c>
      <c r="K113" s="36">
        <f t="shared" si="53"/>
        <v>87438.701361568732</v>
      </c>
      <c r="L113" s="36">
        <f t="shared" si="53"/>
        <v>92114.205732892588</v>
      </c>
      <c r="M113" s="129">
        <f t="shared" si="53"/>
        <v>97135.106851532706</v>
      </c>
    </row>
    <row r="114" spans="1:14" x14ac:dyDescent="0.25">
      <c r="A114" s="41"/>
      <c r="B114" s="2" t="s">
        <v>149</v>
      </c>
      <c r="C114" s="2"/>
      <c r="D114" s="130">
        <f>D113*$N$114</f>
        <v>15610.359999999997</v>
      </c>
      <c r="E114" s="121">
        <f t="shared" ref="E114:M114" si="54">E113*$N$114</f>
        <v>16330.605000000003</v>
      </c>
      <c r="F114" s="121">
        <f t="shared" si="54"/>
        <v>17101.056376559995</v>
      </c>
      <c r="G114" s="121">
        <f t="shared" si="54"/>
        <v>17925.748742089636</v>
      </c>
      <c r="H114" s="121">
        <f t="shared" si="54"/>
        <v>18809.044704606422</v>
      </c>
      <c r="I114" s="121">
        <f t="shared" si="54"/>
        <v>19755.661525727119</v>
      </c>
      <c r="J114" s="121">
        <f t="shared" si="54"/>
        <v>20770.699944135831</v>
      </c>
      <c r="K114" s="121">
        <f t="shared" si="54"/>
        <v>21859.675340392183</v>
      </c>
      <c r="L114" s="121">
        <f t="shared" si="54"/>
        <v>23028.551433223147</v>
      </c>
      <c r="M114" s="131">
        <f t="shared" si="54"/>
        <v>24283.776712883177</v>
      </c>
      <c r="N114" s="4">
        <v>0.25</v>
      </c>
    </row>
    <row r="115" spans="1:14" x14ac:dyDescent="0.25">
      <c r="A115" s="41"/>
      <c r="B115" s="2" t="s">
        <v>150</v>
      </c>
      <c r="C115" s="2"/>
      <c r="D115" s="128">
        <f>D112</f>
        <v>0</v>
      </c>
      <c r="E115" s="36">
        <f>E112</f>
        <v>0</v>
      </c>
      <c r="F115" s="36">
        <f>F112</f>
        <v>0</v>
      </c>
      <c r="G115" s="36">
        <f>G112</f>
        <v>0</v>
      </c>
      <c r="H115" s="36">
        <f t="shared" ref="H115:M115" si="55">H112</f>
        <v>0</v>
      </c>
      <c r="I115" s="36">
        <f t="shared" si="55"/>
        <v>0</v>
      </c>
      <c r="J115" s="36">
        <f t="shared" si="55"/>
        <v>0</v>
      </c>
      <c r="K115" s="36">
        <f t="shared" si="55"/>
        <v>0</v>
      </c>
      <c r="L115" s="36">
        <f t="shared" si="55"/>
        <v>0</v>
      </c>
      <c r="M115" s="129">
        <f t="shared" si="55"/>
        <v>0</v>
      </c>
    </row>
    <row r="116" spans="1:14" ht="16.5" thickBot="1" x14ac:dyDescent="0.3">
      <c r="A116" s="2"/>
      <c r="B116" s="2" t="s">
        <v>151</v>
      </c>
      <c r="C116" s="2"/>
      <c r="D116" s="132">
        <f>D113-D114+D115</f>
        <v>46831.079999999987</v>
      </c>
      <c r="E116" s="133">
        <f t="shared" ref="E116:M116" si="56">E113-E114+E115</f>
        <v>48991.81500000001</v>
      </c>
      <c r="F116" s="133">
        <f t="shared" si="56"/>
        <v>51303.169129679984</v>
      </c>
      <c r="G116" s="133">
        <f t="shared" si="56"/>
        <v>53777.246226268908</v>
      </c>
      <c r="H116" s="133">
        <f t="shared" si="56"/>
        <v>56427.134113819266</v>
      </c>
      <c r="I116" s="133">
        <f t="shared" si="56"/>
        <v>59266.984577181356</v>
      </c>
      <c r="J116" s="133">
        <f t="shared" si="56"/>
        <v>62312.09983240749</v>
      </c>
      <c r="K116" s="133">
        <f t="shared" si="56"/>
        <v>65579.026021176542</v>
      </c>
      <c r="L116" s="133">
        <f t="shared" si="56"/>
        <v>69085.654299669433</v>
      </c>
      <c r="M116" s="134">
        <f t="shared" si="56"/>
        <v>72851.33013864953</v>
      </c>
    </row>
    <row r="117" spans="1:14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4" ht="16.5" thickBot="1" x14ac:dyDescent="0.3">
      <c r="A118" s="1" t="s">
        <v>152</v>
      </c>
      <c r="B118" s="2"/>
      <c r="C118" s="2"/>
      <c r="D118" s="2"/>
      <c r="E118" s="2" t="s">
        <v>153</v>
      </c>
      <c r="F118" s="2"/>
      <c r="G118" s="2"/>
      <c r="H118" s="2"/>
      <c r="I118" s="2"/>
      <c r="J118" s="2"/>
    </row>
    <row r="119" spans="1:14" x14ac:dyDescent="0.25">
      <c r="A119" s="2"/>
      <c r="B119" s="2" t="s">
        <v>154</v>
      </c>
      <c r="C119" s="26"/>
      <c r="D119" s="116"/>
      <c r="E119" s="135">
        <v>50000</v>
      </c>
      <c r="F119" s="135"/>
      <c r="G119" s="135"/>
      <c r="H119" s="135"/>
      <c r="I119" s="135"/>
      <c r="J119" s="135"/>
      <c r="K119" s="69"/>
      <c r="L119" s="69"/>
      <c r="M119" s="76"/>
    </row>
    <row r="120" spans="1:14" x14ac:dyDescent="0.25">
      <c r="A120" s="2"/>
      <c r="B120" s="2" t="s">
        <v>155</v>
      </c>
      <c r="C120" s="2"/>
      <c r="D120" s="117"/>
      <c r="E120" s="33"/>
      <c r="F120" s="33"/>
      <c r="G120" s="36"/>
      <c r="H120" s="33"/>
      <c r="I120" s="33" t="s">
        <v>156</v>
      </c>
      <c r="J120" s="36"/>
      <c r="K120" s="63"/>
      <c r="L120" s="63"/>
      <c r="M120" s="77"/>
    </row>
    <row r="121" spans="1:14" ht="16.5" thickBot="1" x14ac:dyDescent="0.3">
      <c r="A121" s="2"/>
      <c r="B121" s="2" t="s">
        <v>157</v>
      </c>
      <c r="C121" s="2"/>
      <c r="D121" s="119"/>
      <c r="E121" s="136"/>
      <c r="F121" s="136"/>
      <c r="G121" s="137"/>
      <c r="H121" s="136"/>
      <c r="I121" s="138">
        <v>0.25</v>
      </c>
      <c r="J121" s="136" t="s">
        <v>158</v>
      </c>
      <c r="K121" s="73"/>
      <c r="L121" s="73"/>
      <c r="M121" s="78"/>
    </row>
    <row r="122" spans="1:14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4" ht="16.5" thickBot="1" x14ac:dyDescent="0.3">
      <c r="A123" s="1" t="s">
        <v>159</v>
      </c>
      <c r="B123" s="2"/>
      <c r="C123" s="2"/>
      <c r="D123" s="2"/>
      <c r="E123" s="2"/>
      <c r="F123" s="2"/>
      <c r="G123" s="2"/>
      <c r="H123" s="2"/>
      <c r="I123" s="2"/>
      <c r="J123" s="2"/>
    </row>
    <row r="124" spans="1:14" x14ac:dyDescent="0.25">
      <c r="A124" s="42" t="s">
        <v>160</v>
      </c>
      <c r="B124" s="2" t="s">
        <v>28</v>
      </c>
      <c r="C124" s="2"/>
      <c r="D124" s="125">
        <f t="shared" ref="D124:G125" si="57">-(D44-C44)</f>
        <v>-14950.684931506848</v>
      </c>
      <c r="E124" s="126">
        <f t="shared" si="57"/>
        <v>-477.58356164383804</v>
      </c>
      <c r="F124" s="126">
        <f t="shared" si="57"/>
        <v>-510.47205041095549</v>
      </c>
      <c r="G124" s="126">
        <f t="shared" si="57"/>
        <v>-545.98395409446675</v>
      </c>
      <c r="H124" s="126">
        <f t="shared" ref="H124:L124" si="58">-(H44-G44)</f>
        <v>-584.33191694259585</v>
      </c>
      <c r="I124" s="126">
        <f t="shared" si="58"/>
        <v>-625.74584690019765</v>
      </c>
      <c r="J124" s="126">
        <f t="shared" si="58"/>
        <v>-670.47431739677268</v>
      </c>
      <c r="K124" s="126">
        <f t="shared" si="58"/>
        <v>-718.78608295949016</v>
      </c>
      <c r="L124" s="126">
        <f t="shared" si="58"/>
        <v>-770.97171789382628</v>
      </c>
      <c r="M124" s="127">
        <f>-(M44-L44)</f>
        <v>-827.34538802482348</v>
      </c>
    </row>
    <row r="125" spans="1:14" x14ac:dyDescent="0.25">
      <c r="A125" s="42" t="s">
        <v>160</v>
      </c>
      <c r="B125" s="2" t="s">
        <v>29</v>
      </c>
      <c r="C125" s="2"/>
      <c r="D125" s="128">
        <f t="shared" si="57"/>
        <v>-10764.493150684932</v>
      </c>
      <c r="E125" s="36">
        <f t="shared" si="57"/>
        <v>-343.86016438356273</v>
      </c>
      <c r="F125" s="36">
        <f t="shared" si="57"/>
        <v>-367.53987629588664</v>
      </c>
      <c r="G125" s="36">
        <f t="shared" si="57"/>
        <v>-393.10844694801744</v>
      </c>
      <c r="H125" s="36">
        <f>-(H45-G45)</f>
        <v>-420.71898019866603</v>
      </c>
      <c r="I125" s="36">
        <f t="shared" ref="I125:M125" si="59">-(I45-H45)</f>
        <v>-450.53700976814616</v>
      </c>
      <c r="J125" s="36">
        <f t="shared" si="59"/>
        <v>-482.74150852567436</v>
      </c>
      <c r="K125" s="36">
        <f t="shared" si="59"/>
        <v>-517.52597973083357</v>
      </c>
      <c r="L125" s="36">
        <f t="shared" si="59"/>
        <v>-555.09963688355674</v>
      </c>
      <c r="M125" s="129">
        <f t="shared" si="59"/>
        <v>-595.68867937787036</v>
      </c>
    </row>
    <row r="126" spans="1:14" x14ac:dyDescent="0.25">
      <c r="A126" s="42" t="s">
        <v>161</v>
      </c>
      <c r="B126" s="2" t="s">
        <v>162</v>
      </c>
      <c r="C126" s="2"/>
      <c r="D126" s="128">
        <f>D108-C108</f>
        <v>15610.359999999997</v>
      </c>
      <c r="E126" s="36">
        <f t="shared" ref="E126:G126" si="60">E108-D108</f>
        <v>720.24500000000626</v>
      </c>
      <c r="F126" s="36">
        <f t="shared" si="60"/>
        <v>770.45137655999133</v>
      </c>
      <c r="G126" s="36">
        <f t="shared" si="60"/>
        <v>824.69236552964139</v>
      </c>
      <c r="H126" s="36">
        <f>H108-G108</f>
        <v>883.29596251678595</v>
      </c>
      <c r="I126" s="36">
        <f t="shared" ref="I126" si="61">I108-H108</f>
        <v>946.61682112069684</v>
      </c>
      <c r="J126" s="36">
        <f t="shared" ref="J126" si="62">J108-I108</f>
        <v>1015.0384184087125</v>
      </c>
      <c r="K126" s="36">
        <f t="shared" ref="K126:L126" si="63">K108-J108</f>
        <v>1088.9753962563518</v>
      </c>
      <c r="L126" s="36">
        <f t="shared" si="63"/>
        <v>1168.8760928309639</v>
      </c>
      <c r="M126" s="129">
        <f t="shared" ref="M126" si="64">M108-L108</f>
        <v>1255.2252796600296</v>
      </c>
    </row>
    <row r="127" spans="1:14" ht="16.5" thickBot="1" x14ac:dyDescent="0.3">
      <c r="A127" s="42" t="s">
        <v>161</v>
      </c>
      <c r="B127" s="2" t="s">
        <v>34</v>
      </c>
      <c r="C127" s="2"/>
      <c r="D127" s="132">
        <f>D52-C52</f>
        <v>1794.0821917808219</v>
      </c>
      <c r="E127" s="133">
        <f>E52-D52</f>
        <v>57.310027397260455</v>
      </c>
      <c r="F127" s="133">
        <f>F52-E52</f>
        <v>61.256646049314668</v>
      </c>
      <c r="G127" s="133">
        <f>G52-F52</f>
        <v>65.518074491336165</v>
      </c>
      <c r="H127" s="133">
        <f t="shared" ref="H127:M127" si="65">H52-G52</f>
        <v>70.119830033110929</v>
      </c>
      <c r="I127" s="133">
        <f t="shared" si="65"/>
        <v>75.089501628024209</v>
      </c>
      <c r="J127" s="133">
        <f t="shared" si="65"/>
        <v>80.456918087612848</v>
      </c>
      <c r="K127" s="133">
        <f t="shared" si="65"/>
        <v>86.254329955138473</v>
      </c>
      <c r="L127" s="133">
        <f t="shared" si="65"/>
        <v>92.516606147259608</v>
      </c>
      <c r="M127" s="134">
        <f t="shared" si="65"/>
        <v>99.281446562978545</v>
      </c>
    </row>
    <row r="128" spans="1:14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22" ht="16.5" thickBot="1" x14ac:dyDescent="0.3">
      <c r="A129" s="1" t="s">
        <v>163</v>
      </c>
      <c r="B129" s="2"/>
      <c r="C129" s="2"/>
      <c r="D129" s="2"/>
      <c r="E129" s="2"/>
      <c r="F129" s="2"/>
      <c r="G129" s="2"/>
      <c r="H129" s="2"/>
      <c r="I129" s="2"/>
      <c r="J129" s="2"/>
    </row>
    <row r="130" spans="1:22" x14ac:dyDescent="0.25">
      <c r="A130" s="42" t="s">
        <v>161</v>
      </c>
      <c r="B130" s="2" t="s">
        <v>28</v>
      </c>
      <c r="C130" s="2"/>
      <c r="D130" s="116"/>
      <c r="E130" s="135"/>
      <c r="F130" s="135"/>
      <c r="G130" s="69"/>
      <c r="H130" s="135"/>
      <c r="I130" s="135"/>
      <c r="J130" s="135"/>
      <c r="K130" s="69"/>
      <c r="L130" s="69"/>
      <c r="M130" s="127">
        <f>M44</f>
        <v>20682.379767773815</v>
      </c>
    </row>
    <row r="131" spans="1:22" x14ac:dyDescent="0.25">
      <c r="A131" s="42" t="s">
        <v>161</v>
      </c>
      <c r="B131" s="2" t="s">
        <v>29</v>
      </c>
      <c r="C131" s="2"/>
      <c r="D131" s="117"/>
      <c r="E131" s="33"/>
      <c r="F131" s="33"/>
      <c r="G131" s="63"/>
      <c r="H131" s="33"/>
      <c r="I131" s="33"/>
      <c r="J131" s="33"/>
      <c r="K131" s="63"/>
      <c r="L131" s="63"/>
      <c r="M131" s="129">
        <f>M45</f>
        <v>14891.313432797146</v>
      </c>
    </row>
    <row r="132" spans="1:22" x14ac:dyDescent="0.25">
      <c r="A132" s="42" t="s">
        <v>160</v>
      </c>
      <c r="B132" s="2" t="s">
        <v>162</v>
      </c>
      <c r="C132" s="2"/>
      <c r="D132" s="117"/>
      <c r="E132" s="33"/>
      <c r="F132" s="33"/>
      <c r="G132" s="63"/>
      <c r="H132" s="33"/>
      <c r="I132" s="33"/>
      <c r="J132" s="33"/>
      <c r="K132" s="63"/>
      <c r="L132" s="63"/>
      <c r="M132" s="129">
        <f>-M108</f>
        <v>-24283.776712883177</v>
      </c>
    </row>
    <row r="133" spans="1:22" ht="16.5" thickBot="1" x14ac:dyDescent="0.3">
      <c r="A133" s="42" t="s">
        <v>160</v>
      </c>
      <c r="B133" s="2" t="s">
        <v>34</v>
      </c>
      <c r="C133" s="2"/>
      <c r="D133" s="119"/>
      <c r="E133" s="136"/>
      <c r="F133" s="136"/>
      <c r="G133" s="73"/>
      <c r="H133" s="136"/>
      <c r="I133" s="136"/>
      <c r="J133" s="136"/>
      <c r="K133" s="73"/>
      <c r="L133" s="73"/>
      <c r="M133" s="134">
        <f>-M52</f>
        <v>-2481.8855721328578</v>
      </c>
    </row>
    <row r="134" spans="1:2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22" x14ac:dyDescent="0.25">
      <c r="A135" s="1" t="s">
        <v>164</v>
      </c>
      <c r="B135" s="2"/>
      <c r="C135" s="26">
        <v>-54000</v>
      </c>
      <c r="D135" s="26">
        <f>SUM(D116:D133)</f>
        <v>38520.34410958903</v>
      </c>
      <c r="E135" s="26">
        <f t="shared" ref="E135:K135" si="66">SUM(E116:E133)</f>
        <v>98947.92630136988</v>
      </c>
      <c r="F135" s="27">
        <f t="shared" si="66"/>
        <v>51256.865225582449</v>
      </c>
      <c r="G135" s="27">
        <f t="shared" si="66"/>
        <v>53728.364265247401</v>
      </c>
      <c r="H135" s="27">
        <f t="shared" si="66"/>
        <v>56375.499009227897</v>
      </c>
      <c r="I135" s="27">
        <f t="shared" si="66"/>
        <v>59212.658043261734</v>
      </c>
      <c r="J135" s="27">
        <f t="shared" si="66"/>
        <v>62254.379342981367</v>
      </c>
      <c r="K135" s="27">
        <f t="shared" si="66"/>
        <v>65517.943684697711</v>
      </c>
      <c r="L135" s="27">
        <f>SUM(L116:L133)</f>
        <v>69020.975643870261</v>
      </c>
      <c r="M135" s="27">
        <f>SUM(M116:M133)</f>
        <v>81590.833713024782</v>
      </c>
      <c r="N135" s="43">
        <f>1-(D135/E135)</f>
        <v>0.61070084488414655</v>
      </c>
      <c r="O135" s="43">
        <f t="shared" ref="O135:T135" si="67">1-(E135/F135)</f>
        <v>-0.93043265259976704</v>
      </c>
      <c r="P135" s="43">
        <f t="shared" si="67"/>
        <v>4.5999893603006381E-2</v>
      </c>
      <c r="Q135" s="43">
        <f t="shared" si="67"/>
        <v>4.6955411313471362E-2</v>
      </c>
      <c r="R135" s="43">
        <f t="shared" si="67"/>
        <v>4.7914738635123633E-2</v>
      </c>
      <c r="S135" s="43">
        <f t="shared" si="67"/>
        <v>4.8859555453307446E-2</v>
      </c>
      <c r="T135" s="43">
        <f t="shared" si="67"/>
        <v>4.9811763895126315E-2</v>
      </c>
      <c r="U135" s="43">
        <f t="shared" ref="U135" si="68">1-(K135/L135)</f>
        <v>5.0753150422666482E-2</v>
      </c>
      <c r="V135" s="43">
        <f>1-(L135/M135)</f>
        <v>0.15405968412292281</v>
      </c>
    </row>
    <row r="136" spans="1:22" x14ac:dyDescent="0.25">
      <c r="A136" s="44"/>
      <c r="B136" s="45"/>
      <c r="C136" s="95">
        <v>0</v>
      </c>
      <c r="D136" s="95">
        <v>1</v>
      </c>
      <c r="E136" s="95">
        <v>2</v>
      </c>
      <c r="F136" s="96">
        <v>3</v>
      </c>
      <c r="G136" s="96">
        <v>4</v>
      </c>
      <c r="H136" s="96">
        <v>5</v>
      </c>
      <c r="I136" s="96">
        <v>6</v>
      </c>
      <c r="J136" s="96">
        <v>7</v>
      </c>
      <c r="K136" s="96">
        <v>8</v>
      </c>
      <c r="L136" s="96">
        <v>9</v>
      </c>
      <c r="M136" s="96">
        <v>10</v>
      </c>
    </row>
    <row r="137" spans="1:22" x14ac:dyDescent="0.25">
      <c r="A137" s="2" t="s">
        <v>165</v>
      </c>
      <c r="B137" s="2"/>
      <c r="C137" s="46">
        <f>-PV($C$94,C136,,C135)</f>
        <v>-54000</v>
      </c>
      <c r="D137" s="46">
        <f t="shared" ref="D137:M137" si="69">-PV($C$139,D136,,D135)</f>
        <v>35751.883239558098</v>
      </c>
      <c r="E137" s="46">
        <f t="shared" si="69"/>
        <v>85236.228964058915</v>
      </c>
      <c r="F137" s="46">
        <f t="shared" si="69"/>
        <v>40980.602358048629</v>
      </c>
      <c r="G137" s="46">
        <f t="shared" si="69"/>
        <v>39869.306338499111</v>
      </c>
      <c r="H137" s="46">
        <f t="shared" si="69"/>
        <v>38827.034811814185</v>
      </c>
      <c r="I137" s="46">
        <f t="shared" si="69"/>
        <v>37850.110188225677</v>
      </c>
      <c r="J137" s="46">
        <f t="shared" si="69"/>
        <v>36934.418357028488</v>
      </c>
      <c r="K137" s="46">
        <f t="shared" si="69"/>
        <v>36076.996980400647</v>
      </c>
      <c r="L137" s="46">
        <f t="shared" si="69"/>
        <v>35274.428059056285</v>
      </c>
      <c r="M137" s="46">
        <f t="shared" si="69"/>
        <v>38701.609175215926</v>
      </c>
    </row>
    <row r="138" spans="1:22" x14ac:dyDescent="0.25">
      <c r="A138" s="31" t="s">
        <v>169</v>
      </c>
      <c r="M138" s="46">
        <f>M38*(101.5%)/(C139-1.5%)</f>
        <v>1154605.2892089691</v>
      </c>
    </row>
    <row r="139" spans="1:22" x14ac:dyDescent="0.25">
      <c r="A139" s="2" t="s">
        <v>166</v>
      </c>
      <c r="B139" s="2"/>
      <c r="C139" s="24">
        <f>C94</f>
        <v>7.7435385752427671E-2</v>
      </c>
    </row>
    <row r="140" spans="1:22" x14ac:dyDescent="0.25">
      <c r="A140" s="40" t="s">
        <v>167</v>
      </c>
      <c r="B140" s="40"/>
      <c r="C140" s="139">
        <f>SUM(C137:M137)</f>
        <v>371502.618471906</v>
      </c>
      <c r="D140" s="2"/>
      <c r="E140" s="2"/>
      <c r="F140" s="2"/>
      <c r="G140" s="2"/>
      <c r="H140" s="2"/>
      <c r="I140" s="2"/>
      <c r="J140" s="2"/>
    </row>
    <row r="141" spans="1:22" x14ac:dyDescent="0.25">
      <c r="A141" s="40" t="s">
        <v>168</v>
      </c>
      <c r="B141" s="40"/>
      <c r="C141" s="24">
        <f>IRR(C135:M135)</f>
        <v>1.0585031724809566</v>
      </c>
      <c r="D141" s="40"/>
      <c r="E141" s="40"/>
      <c r="F141" s="40"/>
      <c r="G141" s="2"/>
      <c r="H141" s="2"/>
      <c r="I141" s="2"/>
      <c r="J141" s="2"/>
    </row>
    <row r="142" spans="1:22" x14ac:dyDescent="0.25">
      <c r="A142" s="2" t="s">
        <v>169</v>
      </c>
      <c r="B142" s="2"/>
      <c r="D142" s="40"/>
      <c r="E142" s="40"/>
      <c r="F142" s="40"/>
      <c r="G142" s="2"/>
      <c r="H142" s="2"/>
      <c r="I142" s="2"/>
      <c r="J142" s="2"/>
    </row>
    <row r="143" spans="1:22" x14ac:dyDescent="0.25">
      <c r="B143" s="2"/>
    </row>
    <row r="145" spans="2:14" x14ac:dyDescent="0.25">
      <c r="D145" s="94"/>
      <c r="E145" s="94"/>
      <c r="F145" s="94"/>
      <c r="G145" s="94"/>
    </row>
    <row r="146" spans="2:14" x14ac:dyDescent="0.25">
      <c r="B146" s="29" t="s">
        <v>122</v>
      </c>
      <c r="D146" s="140"/>
      <c r="E146" s="140"/>
      <c r="F146" s="140"/>
      <c r="G146" s="140"/>
    </row>
    <row r="147" spans="2:14" x14ac:dyDescent="0.25">
      <c r="B147" s="29" t="s">
        <v>123</v>
      </c>
    </row>
    <row r="148" spans="2:14" x14ac:dyDescent="0.25">
      <c r="B148" s="29" t="s">
        <v>124</v>
      </c>
    </row>
    <row r="149" spans="2:14" x14ac:dyDescent="0.25">
      <c r="B149" s="29" t="s">
        <v>125</v>
      </c>
    </row>
    <row r="150" spans="2:14" x14ac:dyDescent="0.25">
      <c r="B150" s="29" t="s">
        <v>126</v>
      </c>
    </row>
    <row r="151" spans="2:14" x14ac:dyDescent="0.25">
      <c r="B151" s="29" t="s">
        <v>127</v>
      </c>
    </row>
    <row r="152" spans="2:14" x14ac:dyDescent="0.25">
      <c r="B152" s="29" t="s">
        <v>128</v>
      </c>
      <c r="C152" s="2"/>
    </row>
    <row r="153" spans="2:14" x14ac:dyDescent="0.25">
      <c r="B153" s="151" t="s">
        <v>142</v>
      </c>
      <c r="C153" s="2"/>
    </row>
    <row r="154" spans="2:14" x14ac:dyDescent="0.25">
      <c r="B154" s="151" t="s">
        <v>143</v>
      </c>
      <c r="C154" s="2"/>
    </row>
    <row r="159" spans="2:14" s="48" customFormat="1" x14ac:dyDescent="0.25"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</row>
    <row r="160" spans="2:14" s="48" customFormat="1" x14ac:dyDescent="0.25"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</row>
    <row r="161" spans="2:14" s="48" customFormat="1" x14ac:dyDescent="0.25">
      <c r="B161" s="32"/>
      <c r="C161" s="32"/>
      <c r="D161" s="49"/>
      <c r="E161" s="32"/>
      <c r="F161" s="32"/>
      <c r="G161" s="32"/>
      <c r="H161" s="32"/>
      <c r="I161" s="32"/>
      <c r="J161" s="32"/>
      <c r="K161" s="32"/>
      <c r="L161" s="32"/>
      <c r="M161" s="32"/>
      <c r="N161" s="32"/>
    </row>
    <row r="162" spans="2:14" s="48" customFormat="1" x14ac:dyDescent="0.25">
      <c r="B162" s="32"/>
      <c r="C162" s="32"/>
      <c r="D162" s="49"/>
      <c r="E162" s="32"/>
      <c r="F162" s="32"/>
      <c r="G162" s="32"/>
      <c r="H162" s="32"/>
      <c r="I162" s="32"/>
      <c r="J162" s="32"/>
      <c r="K162" s="32"/>
      <c r="L162" s="32"/>
      <c r="M162" s="32"/>
      <c r="N162" s="32"/>
    </row>
    <row r="163" spans="2:14" s="48" customFormat="1" x14ac:dyDescent="0.25">
      <c r="B163" s="32"/>
      <c r="C163" s="32"/>
      <c r="D163" s="49"/>
      <c r="E163" s="32"/>
      <c r="F163" s="32"/>
      <c r="G163" s="32"/>
      <c r="H163" s="32"/>
      <c r="I163" s="32"/>
      <c r="J163" s="32"/>
      <c r="K163" s="32"/>
      <c r="L163" s="32"/>
      <c r="M163" s="32"/>
      <c r="N163" s="32"/>
    </row>
    <row r="164" spans="2:14" s="48" customFormat="1" x14ac:dyDescent="0.25">
      <c r="B164" s="32"/>
      <c r="C164" s="32"/>
      <c r="D164" s="49"/>
      <c r="E164" s="32"/>
      <c r="F164" s="32"/>
      <c r="G164" s="32"/>
      <c r="H164" s="32"/>
      <c r="I164" s="32"/>
      <c r="J164" s="32"/>
      <c r="K164" s="32"/>
      <c r="L164" s="32"/>
      <c r="M164" s="32"/>
      <c r="N164" s="32"/>
    </row>
    <row r="165" spans="2:14" s="48" customFormat="1" x14ac:dyDescent="0.25">
      <c r="B165" s="50"/>
      <c r="C165" s="32"/>
      <c r="D165" s="32"/>
      <c r="E165" s="51"/>
      <c r="F165" s="32"/>
      <c r="G165" s="32"/>
      <c r="H165" s="32"/>
      <c r="I165" s="32"/>
      <c r="J165" s="32"/>
      <c r="K165" s="32"/>
      <c r="L165" s="32"/>
      <c r="M165" s="32"/>
      <c r="N165" s="32"/>
    </row>
    <row r="166" spans="2:14" s="48" customFormat="1" x14ac:dyDescent="0.25"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</row>
    <row r="167" spans="2:14" s="48" customFormat="1" x14ac:dyDescent="0.25">
      <c r="B167" s="50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</row>
    <row r="168" spans="2:14" s="48" customFormat="1" x14ac:dyDescent="0.25">
      <c r="B168" s="32"/>
      <c r="C168" s="32"/>
      <c r="D168" s="32"/>
      <c r="E168" s="32"/>
      <c r="F168" s="32"/>
      <c r="G168" s="52"/>
      <c r="H168" s="32"/>
      <c r="I168" s="32"/>
      <c r="J168" s="32"/>
      <c r="K168" s="32"/>
      <c r="L168" s="32"/>
      <c r="M168" s="32"/>
      <c r="N168" s="32"/>
    </row>
    <row r="169" spans="2:14" s="48" customFormat="1" x14ac:dyDescent="0.25">
      <c r="B169" s="32"/>
      <c r="C169" s="32"/>
      <c r="D169" s="53"/>
      <c r="E169" s="32"/>
      <c r="F169" s="32"/>
      <c r="G169" s="52"/>
      <c r="H169" s="32"/>
      <c r="I169" s="32"/>
      <c r="J169" s="32"/>
      <c r="K169" s="32"/>
      <c r="L169" s="32"/>
      <c r="M169" s="32"/>
      <c r="N169" s="32"/>
    </row>
    <row r="170" spans="2:14" s="48" customFormat="1" x14ac:dyDescent="0.25"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</row>
    <row r="171" spans="2:14" s="48" customFormat="1" x14ac:dyDescent="0.25">
      <c r="B171" s="32"/>
      <c r="C171" s="32"/>
      <c r="D171" s="54"/>
      <c r="E171" s="32"/>
      <c r="F171" s="32"/>
      <c r="G171" s="32"/>
      <c r="H171" s="32"/>
      <c r="I171" s="32"/>
      <c r="J171" s="32"/>
      <c r="K171" s="32"/>
      <c r="L171" s="32"/>
      <c r="M171" s="32"/>
      <c r="N171" s="32"/>
    </row>
    <row r="172" spans="2:14" s="48" customFormat="1" x14ac:dyDescent="0.25">
      <c r="B172" s="32"/>
      <c r="C172" s="32"/>
      <c r="D172" s="55"/>
      <c r="E172" s="32"/>
      <c r="F172" s="32"/>
      <c r="G172" s="32"/>
      <c r="H172" s="32"/>
      <c r="I172" s="32"/>
      <c r="J172" s="32"/>
      <c r="K172" s="32"/>
      <c r="L172" s="32"/>
      <c r="M172" s="32"/>
      <c r="N172" s="32"/>
    </row>
    <row r="173" spans="2:14" s="48" customFormat="1" x14ac:dyDescent="0.25">
      <c r="B173" s="32"/>
      <c r="C173" s="32"/>
      <c r="D173" s="32"/>
      <c r="E173" s="32"/>
      <c r="F173" s="32"/>
      <c r="G173" s="56"/>
      <c r="H173" s="56"/>
      <c r="I173" s="32"/>
      <c r="J173" s="56"/>
      <c r="K173" s="56"/>
      <c r="L173" s="32"/>
      <c r="M173" s="32"/>
      <c r="N173" s="32"/>
    </row>
    <row r="174" spans="2:14" s="48" customFormat="1" x14ac:dyDescent="0.25">
      <c r="B174" s="32"/>
      <c r="C174" s="32"/>
      <c r="D174" s="32"/>
      <c r="E174" s="32"/>
      <c r="F174" s="32"/>
      <c r="G174" s="49"/>
      <c r="H174" s="57"/>
      <c r="I174" s="32"/>
      <c r="J174" s="58"/>
      <c r="K174" s="54"/>
      <c r="L174" s="32"/>
      <c r="M174" s="32"/>
      <c r="N174" s="32"/>
    </row>
    <row r="175" spans="2:14" s="48" customFormat="1" x14ac:dyDescent="0.25">
      <c r="B175" s="32"/>
      <c r="C175" s="32"/>
      <c r="D175" s="32"/>
      <c r="E175" s="32"/>
      <c r="F175" s="32"/>
      <c r="G175" s="49"/>
      <c r="H175" s="52"/>
      <c r="I175" s="32"/>
      <c r="J175" s="58"/>
      <c r="K175" s="59"/>
      <c r="L175" s="32"/>
      <c r="M175" s="32"/>
      <c r="N175" s="32"/>
    </row>
    <row r="176" spans="2:14" s="48" customFormat="1" x14ac:dyDescent="0.25">
      <c r="B176" s="32"/>
      <c r="C176" s="32"/>
      <c r="D176" s="32"/>
      <c r="E176" s="32"/>
      <c r="F176" s="32"/>
      <c r="G176" s="49"/>
      <c r="H176" s="32"/>
      <c r="I176" s="32"/>
      <c r="J176" s="32"/>
      <c r="K176" s="60"/>
      <c r="L176" s="32"/>
      <c r="M176" s="32"/>
      <c r="N176" s="32"/>
    </row>
    <row r="177" spans="2:14" s="48" customFormat="1" x14ac:dyDescent="0.25">
      <c r="B177" s="32"/>
      <c r="C177" s="32"/>
      <c r="D177" s="58"/>
      <c r="E177" s="32"/>
      <c r="F177" s="32"/>
      <c r="G177" s="32"/>
      <c r="H177" s="32"/>
      <c r="I177" s="32"/>
      <c r="J177" s="32"/>
      <c r="K177" s="32"/>
      <c r="L177" s="32"/>
      <c r="M177" s="32"/>
      <c r="N177" s="32"/>
    </row>
    <row r="178" spans="2:14" s="48" customFormat="1" x14ac:dyDescent="0.25">
      <c r="B178" s="32"/>
      <c r="C178" s="32"/>
      <c r="D178" s="32"/>
      <c r="E178" s="32"/>
      <c r="F178" s="32"/>
      <c r="G178" s="32"/>
      <c r="H178" s="32"/>
      <c r="I178" s="32"/>
      <c r="J178" s="32"/>
      <c r="K178" s="52"/>
      <c r="L178" s="32"/>
      <c r="M178" s="32"/>
      <c r="N178" s="32"/>
    </row>
    <row r="179" spans="2:14" s="48" customFormat="1" x14ac:dyDescent="0.25">
      <c r="B179" s="32"/>
      <c r="C179" s="32"/>
      <c r="D179" s="61"/>
      <c r="E179" s="32"/>
      <c r="F179" s="32"/>
      <c r="G179" s="49"/>
      <c r="H179" s="32"/>
      <c r="I179" s="32"/>
      <c r="J179" s="32"/>
      <c r="K179" s="32"/>
      <c r="L179" s="32"/>
      <c r="M179" s="32"/>
      <c r="N179" s="32"/>
    </row>
    <row r="180" spans="2:14" s="48" customFormat="1" x14ac:dyDescent="0.25">
      <c r="B180" s="32"/>
      <c r="C180" s="32"/>
      <c r="D180" s="61"/>
      <c r="E180" s="32"/>
      <c r="F180" s="32"/>
      <c r="G180" s="49"/>
      <c r="H180" s="32"/>
      <c r="I180" s="32"/>
      <c r="J180" s="32"/>
      <c r="K180" s="32"/>
      <c r="L180" s="32"/>
      <c r="M180" s="32"/>
      <c r="N180" s="32"/>
    </row>
    <row r="181" spans="2:14" s="48" customFormat="1" x14ac:dyDescent="0.25">
      <c r="B181" s="32"/>
      <c r="C181" s="32"/>
      <c r="D181" s="32"/>
      <c r="E181" s="32"/>
      <c r="F181" s="32"/>
      <c r="G181" s="49"/>
      <c r="H181" s="32"/>
      <c r="I181" s="32"/>
      <c r="J181" s="32"/>
      <c r="K181" s="32"/>
      <c r="L181" s="32"/>
      <c r="M181" s="32"/>
      <c r="N181" s="32"/>
    </row>
    <row r="182" spans="2:14" s="48" customFormat="1" x14ac:dyDescent="0.25">
      <c r="B182" s="32"/>
      <c r="C182" s="32"/>
      <c r="D182" s="52"/>
      <c r="E182" s="32"/>
      <c r="F182" s="32"/>
      <c r="G182" s="32"/>
      <c r="H182" s="32"/>
      <c r="I182" s="32"/>
      <c r="J182" s="32"/>
      <c r="K182" s="32"/>
      <c r="L182" s="32"/>
      <c r="M182" s="32"/>
      <c r="N182" s="32"/>
    </row>
    <row r="183" spans="2:14" s="48" customFormat="1" x14ac:dyDescent="0.25">
      <c r="B183" s="32"/>
      <c r="C183" s="32"/>
      <c r="D183" s="32"/>
      <c r="E183" s="32"/>
      <c r="F183" s="32"/>
      <c r="G183" s="49"/>
      <c r="H183" s="32"/>
      <c r="I183" s="32"/>
      <c r="J183" s="32"/>
      <c r="K183" s="32"/>
      <c r="L183" s="32"/>
      <c r="M183" s="32"/>
      <c r="N183" s="32"/>
    </row>
    <row r="184" spans="2:14" s="48" customFormat="1" x14ac:dyDescent="0.25">
      <c r="B184" s="32"/>
      <c r="C184" s="32"/>
      <c r="D184" s="58"/>
      <c r="E184" s="32"/>
      <c r="F184" s="32"/>
      <c r="G184" s="32"/>
      <c r="H184" s="32"/>
      <c r="I184" s="32"/>
      <c r="J184" s="32"/>
      <c r="K184" s="32"/>
      <c r="L184" s="32"/>
      <c r="M184" s="32"/>
      <c r="N184" s="32"/>
    </row>
    <row r="185" spans="2:14" s="48" customFormat="1" x14ac:dyDescent="0.25">
      <c r="B185" s="32"/>
      <c r="C185" s="32"/>
      <c r="D185" s="32"/>
      <c r="E185" s="32"/>
      <c r="F185" s="32"/>
      <c r="G185" s="52"/>
      <c r="H185" s="32"/>
      <c r="I185" s="32"/>
      <c r="J185" s="32"/>
      <c r="K185" s="32"/>
      <c r="L185" s="32"/>
      <c r="M185" s="32"/>
      <c r="N185" s="32"/>
    </row>
    <row r="186" spans="2:14" s="48" customFormat="1" x14ac:dyDescent="0.25">
      <c r="B186" s="32"/>
      <c r="C186" s="32"/>
      <c r="D186" s="32"/>
      <c r="E186" s="32"/>
      <c r="F186" s="32"/>
      <c r="G186" s="52"/>
      <c r="H186" s="32"/>
      <c r="I186" s="32"/>
      <c r="J186" s="32"/>
      <c r="K186" s="32"/>
      <c r="L186" s="32"/>
      <c r="M186" s="32"/>
      <c r="N186" s="32"/>
    </row>
    <row r="187" spans="2:14" s="48" customFormat="1" x14ac:dyDescent="0.25">
      <c r="B187" s="32"/>
      <c r="C187" s="32"/>
      <c r="D187" s="32"/>
      <c r="E187" s="32"/>
      <c r="F187" s="32"/>
      <c r="G187" s="52"/>
      <c r="H187" s="32"/>
      <c r="I187" s="32"/>
      <c r="J187" s="32"/>
      <c r="K187" s="32"/>
      <c r="L187" s="32"/>
      <c r="M187" s="32"/>
      <c r="N187" s="32"/>
    </row>
    <row r="188" spans="2:14" x14ac:dyDescent="0.25">
      <c r="B188" s="2"/>
      <c r="C188" s="2"/>
      <c r="D188" s="2"/>
      <c r="E188" s="2"/>
      <c r="F188" s="2"/>
      <c r="G188" s="25"/>
      <c r="H188" s="2"/>
      <c r="I188" s="2"/>
      <c r="J188" s="2"/>
      <c r="K188" s="2"/>
      <c r="L188" s="2"/>
      <c r="M188" s="2"/>
      <c r="N188" s="2"/>
    </row>
    <row r="189" spans="2:14" x14ac:dyDescent="0.25">
      <c r="B189" s="2"/>
      <c r="C189" s="2"/>
      <c r="D189" s="2"/>
      <c r="E189" s="2"/>
      <c r="F189" s="2"/>
      <c r="G189" s="25"/>
      <c r="H189" s="2"/>
      <c r="I189" s="2"/>
      <c r="J189" s="2"/>
      <c r="K189" s="2"/>
      <c r="L189" s="2"/>
      <c r="M189" s="2"/>
      <c r="N189" s="2"/>
    </row>
    <row r="190" spans="2:14" x14ac:dyDescent="0.25">
      <c r="B190" s="29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2:14" x14ac:dyDescent="0.25">
      <c r="B191" s="29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2:14" x14ac:dyDescent="0.25">
      <c r="B192" s="29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2:2" x14ac:dyDescent="0.25">
      <c r="B193" s="29"/>
    </row>
    <row r="194" spans="2:2" x14ac:dyDescent="0.25">
      <c r="B194" s="29"/>
    </row>
    <row r="195" spans="2:2" x14ac:dyDescent="0.25">
      <c r="B195" s="29"/>
    </row>
    <row r="196" spans="2:2" x14ac:dyDescent="0.25">
      <c r="B196" s="29"/>
    </row>
  </sheetData>
  <mergeCells count="1">
    <mergeCell ref="Q17:R17"/>
  </mergeCells>
  <hyperlinks>
    <hyperlink ref="B146" r:id="rId1" display="http://www.bestplaces.net/people/metro/utah/provo-orem"/>
    <hyperlink ref="B147" r:id="rId2" display="http://www.statisticbrain.com/reading-statistics/"/>
    <hyperlink ref="B148" r:id="rId3" display="http://usatoday30.usatoday.com/news/education/story/2012-02-12/college-costs-free-textbooks/53123522/1"/>
    <hyperlink ref="B149" r:id="rId4" display="http://www.loopnet.com/Listing/15683928/2250-North-University-Parkway-Provo-UT/"/>
    <hyperlink ref="B150" r:id="rId5" location="housing_utilities" display="http://www.areavibes.com/provo-ut/cost-of-living/average-prices/ - housing_utilities"/>
    <hyperlink ref="B151" r:id="rId6"/>
    <hyperlink ref="B152" r:id="rId7" display="https://personal.vanguard.com/us/funds/tools/benchmarkreturns"/>
    <hyperlink ref="B153" r:id="rId8"/>
    <hyperlink ref="B154" r:id="rId9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topLeftCell="A135" workbookViewId="0">
      <selection activeCell="A156" sqref="A156:F168"/>
    </sheetView>
  </sheetViews>
  <sheetFormatPr defaultColWidth="11" defaultRowHeight="15.75" x14ac:dyDescent="0.25"/>
  <cols>
    <col min="1" max="1" width="8.875" bestFit="1" customWidth="1"/>
    <col min="2" max="2" width="15.875" customWidth="1"/>
    <col min="3" max="4" width="11.625" bestFit="1" customWidth="1"/>
    <col min="5" max="5" width="10.625" bestFit="1" customWidth="1"/>
    <col min="6" max="6" width="12.625" bestFit="1" customWidth="1"/>
    <col min="8" max="8" width="9.625" bestFit="1" customWidth="1"/>
    <col min="9" max="9" width="13" bestFit="1" customWidth="1"/>
  </cols>
  <sheetData>
    <row r="1" spans="1:9" x14ac:dyDescent="0.25">
      <c r="A1" s="7"/>
      <c r="B1" s="7" t="s">
        <v>45</v>
      </c>
      <c r="C1" s="7" t="s">
        <v>46</v>
      </c>
      <c r="D1" s="7" t="s">
        <v>47</v>
      </c>
      <c r="E1" s="7" t="s">
        <v>48</v>
      </c>
      <c r="F1" s="7" t="s">
        <v>49</v>
      </c>
      <c r="G1" s="7"/>
      <c r="H1" s="8" t="s">
        <v>50</v>
      </c>
      <c r="I1" s="9">
        <v>7.0000000000000007E-2</v>
      </c>
    </row>
    <row r="2" spans="1:9" x14ac:dyDescent="0.25">
      <c r="A2" s="10" t="s">
        <v>51</v>
      </c>
      <c r="B2" s="11">
        <f>+I7</f>
        <v>40000</v>
      </c>
      <c r="C2" s="11">
        <f t="shared" ref="C2:C13" si="0">+E2-D2</f>
        <v>32.787664738339942</v>
      </c>
      <c r="D2" s="11">
        <f t="shared" ref="D2:D13" si="1">B2*$I$2</f>
        <v>233.33333333333334</v>
      </c>
      <c r="E2" s="11">
        <f t="shared" ref="E2:E13" si="2">-$I$9</f>
        <v>266.12099807167328</v>
      </c>
      <c r="F2" s="11">
        <f t="shared" ref="F2:F13" si="3">+B2-C2</f>
        <v>39967.212335261662</v>
      </c>
      <c r="G2" s="7"/>
      <c r="H2" s="8" t="s">
        <v>52</v>
      </c>
      <c r="I2" s="12">
        <f>+I1/12</f>
        <v>5.8333333333333336E-3</v>
      </c>
    </row>
    <row r="3" spans="1:9" x14ac:dyDescent="0.25">
      <c r="A3" s="13" t="s">
        <v>53</v>
      </c>
      <c r="B3" s="11">
        <f t="shared" ref="B3:B13" si="4">+F2</f>
        <v>39967.212335261662</v>
      </c>
      <c r="C3" s="11">
        <f t="shared" si="0"/>
        <v>32.978926115980244</v>
      </c>
      <c r="D3" s="11">
        <f t="shared" si="1"/>
        <v>233.14207195569304</v>
      </c>
      <c r="E3" s="11">
        <f t="shared" si="2"/>
        <v>266.12099807167328</v>
      </c>
      <c r="F3" s="11">
        <f t="shared" si="3"/>
        <v>39934.23340914568</v>
      </c>
      <c r="G3" s="7"/>
      <c r="H3" s="8" t="s">
        <v>54</v>
      </c>
      <c r="I3" s="14">
        <v>0</v>
      </c>
    </row>
    <row r="4" spans="1:9" x14ac:dyDescent="0.25">
      <c r="A4" s="13" t="s">
        <v>55</v>
      </c>
      <c r="B4" s="11">
        <f t="shared" si="4"/>
        <v>39934.23340914568</v>
      </c>
      <c r="C4" s="11">
        <f t="shared" si="0"/>
        <v>33.171303184990137</v>
      </c>
      <c r="D4" s="11">
        <f t="shared" si="1"/>
        <v>232.94969488668315</v>
      </c>
      <c r="E4" s="11">
        <f t="shared" si="2"/>
        <v>266.12099807167328</v>
      </c>
      <c r="F4" s="11">
        <f t="shared" si="3"/>
        <v>39901.062105960693</v>
      </c>
      <c r="G4" s="7"/>
      <c r="H4" s="8" t="s">
        <v>56</v>
      </c>
      <c r="I4" s="8">
        <v>30</v>
      </c>
    </row>
    <row r="5" spans="1:9" x14ac:dyDescent="0.25">
      <c r="A5" s="13" t="s">
        <v>57</v>
      </c>
      <c r="B5" s="11">
        <f t="shared" si="4"/>
        <v>39901.062105960693</v>
      </c>
      <c r="C5" s="11">
        <f t="shared" si="0"/>
        <v>33.36480245356924</v>
      </c>
      <c r="D5" s="11">
        <f t="shared" si="1"/>
        <v>232.75619561810404</v>
      </c>
      <c r="E5" s="11">
        <f t="shared" si="2"/>
        <v>266.12099807167328</v>
      </c>
      <c r="F5" s="11">
        <f t="shared" si="3"/>
        <v>39867.697303507121</v>
      </c>
      <c r="G5" s="7"/>
      <c r="H5" s="8" t="s">
        <v>58</v>
      </c>
      <c r="I5" s="8">
        <f>I4*12</f>
        <v>360</v>
      </c>
    </row>
    <row r="6" spans="1:9" x14ac:dyDescent="0.25">
      <c r="A6" s="13" t="s">
        <v>59</v>
      </c>
      <c r="B6" s="11">
        <f t="shared" si="4"/>
        <v>39867.697303507121</v>
      </c>
      <c r="C6" s="11">
        <f t="shared" si="0"/>
        <v>33.559430467881725</v>
      </c>
      <c r="D6" s="11">
        <f t="shared" si="1"/>
        <v>232.56156760379156</v>
      </c>
      <c r="E6" s="11">
        <f t="shared" si="2"/>
        <v>266.12099807167328</v>
      </c>
      <c r="F6" s="11">
        <f t="shared" si="3"/>
        <v>39834.137873039239</v>
      </c>
      <c r="G6" s="7"/>
      <c r="H6" s="8" t="s">
        <v>60</v>
      </c>
      <c r="I6" s="8">
        <v>0</v>
      </c>
    </row>
    <row r="7" spans="1:9" x14ac:dyDescent="0.25">
      <c r="A7" s="13" t="s">
        <v>61</v>
      </c>
      <c r="B7" s="11">
        <f t="shared" si="4"/>
        <v>39834.137873039239</v>
      </c>
      <c r="C7" s="11">
        <f t="shared" si="0"/>
        <v>33.755193812277724</v>
      </c>
      <c r="D7" s="11">
        <f t="shared" si="1"/>
        <v>232.36580425939556</v>
      </c>
      <c r="E7" s="11">
        <f t="shared" si="2"/>
        <v>266.12099807167328</v>
      </c>
      <c r="F7" s="11">
        <f t="shared" si="3"/>
        <v>39800.382679226961</v>
      </c>
      <c r="G7" s="7"/>
      <c r="H7" s="8" t="s">
        <v>62</v>
      </c>
      <c r="I7" s="15">
        <v>40000</v>
      </c>
    </row>
    <row r="8" spans="1:9" x14ac:dyDescent="0.25">
      <c r="A8" s="13" t="s">
        <v>63</v>
      </c>
      <c r="B8" s="11">
        <f t="shared" si="4"/>
        <v>39800.382679226961</v>
      </c>
      <c r="C8" s="11">
        <f t="shared" si="0"/>
        <v>33.952099109516013</v>
      </c>
      <c r="D8" s="11">
        <f t="shared" si="1"/>
        <v>232.16889896215727</v>
      </c>
      <c r="E8" s="11">
        <f t="shared" si="2"/>
        <v>266.12099807167328</v>
      </c>
      <c r="F8" s="11">
        <f t="shared" si="3"/>
        <v>39766.430580117441</v>
      </c>
      <c r="G8" s="7"/>
      <c r="H8" s="8"/>
      <c r="I8" s="8"/>
    </row>
    <row r="9" spans="1:9" x14ac:dyDescent="0.25">
      <c r="A9" s="13" t="s">
        <v>64</v>
      </c>
      <c r="B9" s="11">
        <f t="shared" si="4"/>
        <v>39766.430580117441</v>
      </c>
      <c r="C9" s="11">
        <f t="shared" si="0"/>
        <v>34.150153020988199</v>
      </c>
      <c r="D9" s="11">
        <f t="shared" si="1"/>
        <v>231.97084505068509</v>
      </c>
      <c r="E9" s="11">
        <f t="shared" si="2"/>
        <v>266.12099807167328</v>
      </c>
      <c r="F9" s="11">
        <f t="shared" si="3"/>
        <v>39732.280427096455</v>
      </c>
      <c r="G9" s="7"/>
      <c r="H9" s="8" t="s">
        <v>48</v>
      </c>
      <c r="I9" s="11">
        <f>PMT(I2,I5,I7,I3,I6)</f>
        <v>-266.12099807167328</v>
      </c>
    </row>
    <row r="10" spans="1:9" x14ac:dyDescent="0.25">
      <c r="A10" s="13" t="s">
        <v>65</v>
      </c>
      <c r="B10" s="11">
        <f t="shared" si="4"/>
        <v>39732.280427096455</v>
      </c>
      <c r="C10" s="11">
        <f t="shared" si="0"/>
        <v>34.34936224694394</v>
      </c>
      <c r="D10" s="11">
        <f t="shared" si="1"/>
        <v>231.77163582472934</v>
      </c>
      <c r="E10" s="11">
        <f t="shared" si="2"/>
        <v>266.12099807167328</v>
      </c>
      <c r="F10" s="11">
        <f t="shared" si="3"/>
        <v>39697.931064849508</v>
      </c>
      <c r="G10" s="7"/>
      <c r="H10" s="7"/>
      <c r="I10" s="7"/>
    </row>
    <row r="11" spans="1:9" x14ac:dyDescent="0.25">
      <c r="A11" s="13" t="s">
        <v>66</v>
      </c>
      <c r="B11" s="11">
        <f t="shared" si="4"/>
        <v>39697.931064849508</v>
      </c>
      <c r="C11" s="11">
        <f t="shared" si="0"/>
        <v>34.549733526717802</v>
      </c>
      <c r="D11" s="11">
        <f t="shared" si="1"/>
        <v>231.57126454495548</v>
      </c>
      <c r="E11" s="11">
        <f t="shared" si="2"/>
        <v>266.12099807167328</v>
      </c>
      <c r="F11" s="11">
        <f t="shared" si="3"/>
        <v>39663.381331322787</v>
      </c>
      <c r="G11" s="7"/>
      <c r="H11" s="7"/>
      <c r="I11" s="7"/>
    </row>
    <row r="12" spans="1:9" x14ac:dyDescent="0.25">
      <c r="A12" s="13" t="s">
        <v>67</v>
      </c>
      <c r="B12" s="11">
        <f t="shared" si="4"/>
        <v>39663.381331322787</v>
      </c>
      <c r="C12" s="11">
        <f t="shared" si="0"/>
        <v>34.751273638957002</v>
      </c>
      <c r="D12" s="11">
        <f t="shared" si="1"/>
        <v>231.36972443271628</v>
      </c>
      <c r="E12" s="11">
        <f t="shared" si="2"/>
        <v>266.12099807167328</v>
      </c>
      <c r="F12" s="11">
        <f t="shared" si="3"/>
        <v>39628.630057683833</v>
      </c>
      <c r="G12" s="7"/>
      <c r="H12" s="7"/>
      <c r="I12" s="7"/>
    </row>
    <row r="13" spans="1:9" x14ac:dyDescent="0.25">
      <c r="A13" s="13" t="s">
        <v>68</v>
      </c>
      <c r="B13" s="11">
        <f t="shared" si="4"/>
        <v>39628.630057683833</v>
      </c>
      <c r="C13" s="11">
        <f t="shared" si="0"/>
        <v>34.953989401850919</v>
      </c>
      <c r="D13" s="11">
        <f t="shared" si="1"/>
        <v>231.16700866982237</v>
      </c>
      <c r="E13" s="11">
        <f t="shared" si="2"/>
        <v>266.12099807167328</v>
      </c>
      <c r="F13" s="16">
        <f t="shared" si="3"/>
        <v>39593.67606828198</v>
      </c>
      <c r="G13" s="7"/>
      <c r="H13" s="7"/>
      <c r="I13" s="7"/>
    </row>
    <row r="14" spans="1:9" x14ac:dyDescent="0.25">
      <c r="A14" s="17" t="s">
        <v>69</v>
      </c>
      <c r="B14" s="11"/>
      <c r="C14" s="16">
        <f>SUM(C2:C13)</f>
        <v>406.32393171801289</v>
      </c>
      <c r="D14" s="16">
        <f>SUM(D2:D13)</f>
        <v>2787.1280451420662</v>
      </c>
      <c r="E14" s="11"/>
      <c r="F14" s="11"/>
      <c r="G14" s="7"/>
      <c r="H14" s="7"/>
      <c r="I14" s="7"/>
    </row>
    <row r="15" spans="1:9" x14ac:dyDescent="0.25">
      <c r="A15" s="13"/>
      <c r="B15" s="11"/>
      <c r="C15" s="11"/>
      <c r="D15" s="11"/>
      <c r="E15" s="11"/>
      <c r="F15" s="11"/>
      <c r="G15" s="7"/>
      <c r="H15" s="7"/>
      <c r="I15" s="7"/>
    </row>
    <row r="16" spans="1:9" x14ac:dyDescent="0.25">
      <c r="A16" s="18" t="s">
        <v>70</v>
      </c>
      <c r="B16" s="11">
        <f>+F13</f>
        <v>39593.67606828198</v>
      </c>
      <c r="C16" s="11">
        <f t="shared" ref="C16:C27" si="5">+E16-D16</f>
        <v>35.157887673361728</v>
      </c>
      <c r="D16" s="11">
        <f t="shared" ref="D16:D27" si="6">B16*$I$2</f>
        <v>230.96311039831156</v>
      </c>
      <c r="E16" s="11">
        <f t="shared" ref="E16:E27" si="7">-$I$9</f>
        <v>266.12099807167328</v>
      </c>
      <c r="F16" s="11">
        <f t="shared" ref="F16:F27" si="8">+B16-C16</f>
        <v>39558.518180608618</v>
      </c>
      <c r="G16" s="7"/>
      <c r="H16" s="7"/>
      <c r="I16" s="7"/>
    </row>
    <row r="17" spans="1:9" x14ac:dyDescent="0.25">
      <c r="A17" s="13" t="s">
        <v>53</v>
      </c>
      <c r="B17" s="11">
        <f t="shared" ref="B17:B27" si="9">+F16</f>
        <v>39558.518180608618</v>
      </c>
      <c r="C17" s="11">
        <f t="shared" si="5"/>
        <v>35.362975351456328</v>
      </c>
      <c r="D17" s="11">
        <f t="shared" si="6"/>
        <v>230.75802272021696</v>
      </c>
      <c r="E17" s="11">
        <f t="shared" si="7"/>
        <v>266.12099807167328</v>
      </c>
      <c r="F17" s="11">
        <f t="shared" si="8"/>
        <v>39523.155205257164</v>
      </c>
      <c r="G17" s="7"/>
      <c r="H17" s="7"/>
      <c r="I17" s="7"/>
    </row>
    <row r="18" spans="1:9" x14ac:dyDescent="0.25">
      <c r="A18" s="13" t="s">
        <v>55</v>
      </c>
      <c r="B18" s="11">
        <f t="shared" si="9"/>
        <v>39523.155205257164</v>
      </c>
      <c r="C18" s="11">
        <f t="shared" si="5"/>
        <v>35.569259374339822</v>
      </c>
      <c r="D18" s="11">
        <f t="shared" si="6"/>
        <v>230.55173869733346</v>
      </c>
      <c r="E18" s="11">
        <f t="shared" si="7"/>
        <v>266.12099807167328</v>
      </c>
      <c r="F18" s="11">
        <f t="shared" si="8"/>
        <v>39487.585945882827</v>
      </c>
      <c r="G18" s="7"/>
      <c r="H18" s="7"/>
      <c r="I18" s="7"/>
    </row>
    <row r="19" spans="1:9" x14ac:dyDescent="0.25">
      <c r="A19" s="13" t="s">
        <v>57</v>
      </c>
      <c r="B19" s="11">
        <f t="shared" si="9"/>
        <v>39487.585945882827</v>
      </c>
      <c r="C19" s="11">
        <f t="shared" si="5"/>
        <v>35.776746720690113</v>
      </c>
      <c r="D19" s="11">
        <f t="shared" si="6"/>
        <v>230.34425135098317</v>
      </c>
      <c r="E19" s="11">
        <f t="shared" si="7"/>
        <v>266.12099807167328</v>
      </c>
      <c r="F19" s="11">
        <f t="shared" si="8"/>
        <v>39451.80919916214</v>
      </c>
      <c r="G19" s="7"/>
      <c r="H19" s="7"/>
      <c r="I19" s="7"/>
    </row>
    <row r="20" spans="1:9" x14ac:dyDescent="0.25">
      <c r="A20" s="13" t="s">
        <v>59</v>
      </c>
      <c r="B20" s="11">
        <f t="shared" si="9"/>
        <v>39451.80919916214</v>
      </c>
      <c r="C20" s="11">
        <f t="shared" si="5"/>
        <v>35.985444409894114</v>
      </c>
      <c r="D20" s="11">
        <f t="shared" si="6"/>
        <v>230.13555366177917</v>
      </c>
      <c r="E20" s="11">
        <f t="shared" si="7"/>
        <v>266.12099807167328</v>
      </c>
      <c r="F20" s="11">
        <f t="shared" si="8"/>
        <v>39415.823754752244</v>
      </c>
      <c r="G20" s="7"/>
      <c r="H20" s="7"/>
      <c r="I20" s="7"/>
    </row>
    <row r="21" spans="1:9" x14ac:dyDescent="0.25">
      <c r="A21" s="13" t="s">
        <v>61</v>
      </c>
      <c r="B21" s="11">
        <f t="shared" si="9"/>
        <v>39415.823754752244</v>
      </c>
      <c r="C21" s="11">
        <f t="shared" si="5"/>
        <v>36.195359502285186</v>
      </c>
      <c r="D21" s="11">
        <f t="shared" si="6"/>
        <v>229.9256385693881</v>
      </c>
      <c r="E21" s="11">
        <f t="shared" si="7"/>
        <v>266.12099807167328</v>
      </c>
      <c r="F21" s="11">
        <f t="shared" si="8"/>
        <v>39379.628395249958</v>
      </c>
      <c r="G21" s="7"/>
      <c r="H21" s="7"/>
      <c r="I21" s="7"/>
    </row>
    <row r="22" spans="1:9" x14ac:dyDescent="0.25">
      <c r="A22" s="13" t="s">
        <v>63</v>
      </c>
      <c r="B22" s="11">
        <f t="shared" si="9"/>
        <v>39379.628395249958</v>
      </c>
      <c r="C22" s="11">
        <f t="shared" si="5"/>
        <v>36.406499099381847</v>
      </c>
      <c r="D22" s="11">
        <f t="shared" si="6"/>
        <v>229.71449897229144</v>
      </c>
      <c r="E22" s="11">
        <f t="shared" si="7"/>
        <v>266.12099807167328</v>
      </c>
      <c r="F22" s="11">
        <f t="shared" si="8"/>
        <v>39343.221896150579</v>
      </c>
      <c r="G22" s="7"/>
      <c r="H22" s="7"/>
      <c r="I22" s="7"/>
    </row>
    <row r="23" spans="1:9" x14ac:dyDescent="0.25">
      <c r="A23" s="13" t="s">
        <v>64</v>
      </c>
      <c r="B23" s="11">
        <f t="shared" si="9"/>
        <v>39343.221896150579</v>
      </c>
      <c r="C23" s="11">
        <f t="shared" si="5"/>
        <v>36.618870344128226</v>
      </c>
      <c r="D23" s="11">
        <f t="shared" si="6"/>
        <v>229.50212772754506</v>
      </c>
      <c r="E23" s="11">
        <f t="shared" si="7"/>
        <v>266.12099807167328</v>
      </c>
      <c r="F23" s="11">
        <f t="shared" si="8"/>
        <v>39306.603025806449</v>
      </c>
      <c r="G23" s="7"/>
      <c r="H23" s="7"/>
      <c r="I23" s="7">
        <v>7</v>
      </c>
    </row>
    <row r="24" spans="1:9" x14ac:dyDescent="0.25">
      <c r="A24" s="13" t="s">
        <v>65</v>
      </c>
      <c r="B24" s="11">
        <f t="shared" si="9"/>
        <v>39306.603025806449</v>
      </c>
      <c r="C24" s="11">
        <f t="shared" si="5"/>
        <v>36.832480421135642</v>
      </c>
      <c r="D24" s="11">
        <f t="shared" si="6"/>
        <v>229.28851765053764</v>
      </c>
      <c r="E24" s="11">
        <f t="shared" si="7"/>
        <v>266.12099807167328</v>
      </c>
      <c r="F24" s="11">
        <f t="shared" si="8"/>
        <v>39269.770545385312</v>
      </c>
      <c r="G24" s="7"/>
      <c r="H24" s="7"/>
      <c r="I24" s="7"/>
    </row>
    <row r="25" spans="1:9" x14ac:dyDescent="0.25">
      <c r="A25" s="13" t="s">
        <v>66</v>
      </c>
      <c r="B25" s="11">
        <f t="shared" si="9"/>
        <v>39269.770545385312</v>
      </c>
      <c r="C25" s="11">
        <f t="shared" si="5"/>
        <v>37.047336556925615</v>
      </c>
      <c r="D25" s="11">
        <f t="shared" si="6"/>
        <v>229.07366151474767</v>
      </c>
      <c r="E25" s="11">
        <f t="shared" si="7"/>
        <v>266.12099807167328</v>
      </c>
      <c r="F25" s="11">
        <f t="shared" si="8"/>
        <v>39232.723208828385</v>
      </c>
      <c r="G25" s="7"/>
      <c r="H25" s="7"/>
      <c r="I25" s="7"/>
    </row>
    <row r="26" spans="1:9" x14ac:dyDescent="0.25">
      <c r="A26" s="13" t="s">
        <v>67</v>
      </c>
      <c r="B26" s="11">
        <f t="shared" si="9"/>
        <v>39232.723208828385</v>
      </c>
      <c r="C26" s="11">
        <f t="shared" si="5"/>
        <v>37.263446020174371</v>
      </c>
      <c r="D26" s="11">
        <f t="shared" si="6"/>
        <v>228.85755205149891</v>
      </c>
      <c r="E26" s="11">
        <f t="shared" si="7"/>
        <v>266.12099807167328</v>
      </c>
      <c r="F26" s="11">
        <f t="shared" si="8"/>
        <v>39195.459762808212</v>
      </c>
      <c r="G26" s="7"/>
      <c r="H26" s="7"/>
      <c r="I26" s="7"/>
    </row>
    <row r="27" spans="1:9" x14ac:dyDescent="0.25">
      <c r="A27" s="13" t="s">
        <v>68</v>
      </c>
      <c r="B27" s="11">
        <f t="shared" si="9"/>
        <v>39195.459762808212</v>
      </c>
      <c r="C27" s="11">
        <f t="shared" si="5"/>
        <v>37.480816121958696</v>
      </c>
      <c r="D27" s="11">
        <f t="shared" si="6"/>
        <v>228.64018194971459</v>
      </c>
      <c r="E27" s="11">
        <f t="shared" si="7"/>
        <v>266.12099807167328</v>
      </c>
      <c r="F27" s="16">
        <f t="shared" si="8"/>
        <v>39157.978946686257</v>
      </c>
      <c r="G27" s="7"/>
      <c r="H27" s="7"/>
      <c r="I27" s="7"/>
    </row>
    <row r="28" spans="1:9" x14ac:dyDescent="0.25">
      <c r="A28" s="17" t="s">
        <v>69</v>
      </c>
      <c r="B28" s="11"/>
      <c r="C28" s="16">
        <f>SUM(C16:C27)</f>
        <v>435.69712159573169</v>
      </c>
      <c r="D28" s="16">
        <f>SUM(D16:D27)</f>
        <v>2757.7548552643475</v>
      </c>
      <c r="E28" s="11"/>
      <c r="F28" s="11"/>
      <c r="G28" s="7"/>
      <c r="H28" s="7"/>
      <c r="I28" s="7"/>
    </row>
    <row r="29" spans="1:9" x14ac:dyDescent="0.25">
      <c r="A29" s="13"/>
      <c r="B29" s="11"/>
      <c r="C29" s="11"/>
      <c r="D29" s="11"/>
      <c r="E29" s="11"/>
      <c r="F29" s="11"/>
      <c r="G29" s="7"/>
      <c r="H29" s="7"/>
      <c r="I29" s="7"/>
    </row>
    <row r="30" spans="1:9" x14ac:dyDescent="0.25">
      <c r="A30" s="18" t="s">
        <v>71</v>
      </c>
      <c r="B30" s="11">
        <f>+F27</f>
        <v>39157.978946686257</v>
      </c>
      <c r="C30" s="11">
        <f t="shared" ref="C30:C41" si="10">+E30-D30</f>
        <v>37.699454216003431</v>
      </c>
      <c r="D30" s="11">
        <f t="shared" ref="D30:D41" si="11">B30*$I$2</f>
        <v>228.42154385566985</v>
      </c>
      <c r="E30" s="11">
        <f t="shared" ref="E30:E41" si="12">-$I$9</f>
        <v>266.12099807167328</v>
      </c>
      <c r="F30" s="11">
        <f t="shared" ref="F30:F41" si="13">+B30-C30</f>
        <v>39120.279492470254</v>
      </c>
      <c r="G30" s="7"/>
      <c r="H30" s="7"/>
      <c r="I30" s="7"/>
    </row>
    <row r="31" spans="1:9" x14ac:dyDescent="0.25">
      <c r="A31" s="13" t="s">
        <v>53</v>
      </c>
      <c r="B31" s="11">
        <f t="shared" ref="B31:B41" si="14">+F30</f>
        <v>39120.279492470254</v>
      </c>
      <c r="C31" s="11">
        <f t="shared" si="10"/>
        <v>37.919367698930131</v>
      </c>
      <c r="D31" s="11">
        <f t="shared" si="11"/>
        <v>228.20163037274315</v>
      </c>
      <c r="E31" s="11">
        <f t="shared" si="12"/>
        <v>266.12099807167328</v>
      </c>
      <c r="F31" s="11">
        <f t="shared" si="13"/>
        <v>39082.360124771323</v>
      </c>
      <c r="G31" s="7"/>
      <c r="H31" s="7"/>
      <c r="I31" s="7"/>
    </row>
    <row r="32" spans="1:9" x14ac:dyDescent="0.25">
      <c r="A32" s="13" t="s">
        <v>55</v>
      </c>
      <c r="B32" s="11">
        <f t="shared" si="14"/>
        <v>39082.360124771323</v>
      </c>
      <c r="C32" s="11">
        <f t="shared" si="10"/>
        <v>38.140564010507234</v>
      </c>
      <c r="D32" s="11">
        <f t="shared" si="11"/>
        <v>227.98043406116605</v>
      </c>
      <c r="E32" s="11">
        <f t="shared" si="12"/>
        <v>266.12099807167328</v>
      </c>
      <c r="F32" s="11">
        <f t="shared" si="13"/>
        <v>39044.219560760816</v>
      </c>
      <c r="G32" s="7"/>
      <c r="H32" s="7"/>
      <c r="I32" s="7"/>
    </row>
    <row r="33" spans="1:9" x14ac:dyDescent="0.25">
      <c r="A33" s="13" t="s">
        <v>57</v>
      </c>
      <c r="B33" s="11">
        <f t="shared" si="14"/>
        <v>39044.219560760816</v>
      </c>
      <c r="C33" s="11">
        <f t="shared" si="10"/>
        <v>38.36305063390185</v>
      </c>
      <c r="D33" s="11">
        <f t="shared" si="11"/>
        <v>227.75794743777143</v>
      </c>
      <c r="E33" s="11">
        <f t="shared" si="12"/>
        <v>266.12099807167328</v>
      </c>
      <c r="F33" s="11">
        <f t="shared" si="13"/>
        <v>39005.856510126912</v>
      </c>
      <c r="G33" s="7"/>
      <c r="H33" s="7"/>
      <c r="I33" s="7"/>
    </row>
    <row r="34" spans="1:9" x14ac:dyDescent="0.25">
      <c r="A34" s="13" t="s">
        <v>59</v>
      </c>
      <c r="B34" s="11">
        <f t="shared" si="14"/>
        <v>39005.856510126912</v>
      </c>
      <c r="C34" s="11">
        <f t="shared" si="10"/>
        <v>38.58683509593294</v>
      </c>
      <c r="D34" s="11">
        <f t="shared" si="11"/>
        <v>227.53416297574034</v>
      </c>
      <c r="E34" s="11">
        <f t="shared" si="12"/>
        <v>266.12099807167328</v>
      </c>
      <c r="F34" s="11">
        <f t="shared" si="13"/>
        <v>38967.269675030977</v>
      </c>
      <c r="G34" s="7"/>
      <c r="H34" s="7"/>
      <c r="I34" s="7"/>
    </row>
    <row r="35" spans="1:9" x14ac:dyDescent="0.25">
      <c r="A35" s="13" t="s">
        <v>61</v>
      </c>
      <c r="B35" s="11">
        <f t="shared" si="14"/>
        <v>38967.269675030977</v>
      </c>
      <c r="C35" s="11">
        <f t="shared" si="10"/>
        <v>38.811924967325922</v>
      </c>
      <c r="D35" s="11">
        <f t="shared" si="11"/>
        <v>227.30907310434736</v>
      </c>
      <c r="E35" s="11">
        <f t="shared" si="12"/>
        <v>266.12099807167328</v>
      </c>
      <c r="F35" s="11">
        <f t="shared" si="13"/>
        <v>38928.457750063651</v>
      </c>
      <c r="G35" s="7"/>
      <c r="H35" s="7"/>
      <c r="I35" s="7"/>
    </row>
    <row r="36" spans="1:9" x14ac:dyDescent="0.25">
      <c r="A36" s="13" t="s">
        <v>63</v>
      </c>
      <c r="B36" s="11">
        <f t="shared" si="14"/>
        <v>38928.457750063651</v>
      </c>
      <c r="C36" s="11">
        <f t="shared" si="10"/>
        <v>39.038327862968629</v>
      </c>
      <c r="D36" s="11">
        <f t="shared" si="11"/>
        <v>227.08267020870466</v>
      </c>
      <c r="E36" s="11">
        <f t="shared" si="12"/>
        <v>266.12099807167328</v>
      </c>
      <c r="F36" s="11">
        <f t="shared" si="13"/>
        <v>38889.419422200684</v>
      </c>
      <c r="G36" s="7"/>
      <c r="H36" s="7"/>
      <c r="I36" s="7"/>
    </row>
    <row r="37" spans="1:9" x14ac:dyDescent="0.25">
      <c r="A37" s="13" t="s">
        <v>64</v>
      </c>
      <c r="B37" s="11">
        <f t="shared" si="14"/>
        <v>38889.419422200684</v>
      </c>
      <c r="C37" s="11">
        <f t="shared" si="10"/>
        <v>39.266051442169271</v>
      </c>
      <c r="D37" s="11">
        <f t="shared" si="11"/>
        <v>226.85494662950401</v>
      </c>
      <c r="E37" s="11">
        <f t="shared" si="12"/>
        <v>266.12099807167328</v>
      </c>
      <c r="F37" s="11">
        <f t="shared" si="13"/>
        <v>38850.153370758519</v>
      </c>
      <c r="G37" s="7"/>
      <c r="H37" s="7"/>
      <c r="I37" s="7"/>
    </row>
    <row r="38" spans="1:9" x14ac:dyDescent="0.25">
      <c r="A38" s="13" t="s">
        <v>65</v>
      </c>
      <c r="B38" s="11">
        <f t="shared" si="14"/>
        <v>38850.153370758519</v>
      </c>
      <c r="C38" s="11">
        <f t="shared" si="10"/>
        <v>39.495103408915242</v>
      </c>
      <c r="D38" s="11">
        <f t="shared" si="11"/>
        <v>226.62589466275804</v>
      </c>
      <c r="E38" s="11">
        <f t="shared" si="12"/>
        <v>266.12099807167328</v>
      </c>
      <c r="F38" s="11">
        <f t="shared" si="13"/>
        <v>38810.658267349601</v>
      </c>
      <c r="G38" s="7"/>
      <c r="H38" s="7"/>
      <c r="I38" s="7"/>
    </row>
    <row r="39" spans="1:9" x14ac:dyDescent="0.25">
      <c r="A39" s="13" t="s">
        <v>66</v>
      </c>
      <c r="B39" s="11">
        <f t="shared" si="14"/>
        <v>38810.658267349601</v>
      </c>
      <c r="C39" s="11">
        <f t="shared" si="10"/>
        <v>39.725491512133942</v>
      </c>
      <c r="D39" s="11">
        <f t="shared" si="11"/>
        <v>226.39550655953934</v>
      </c>
      <c r="E39" s="11">
        <f t="shared" si="12"/>
        <v>266.12099807167328</v>
      </c>
      <c r="F39" s="11">
        <f t="shared" si="13"/>
        <v>38770.932775837464</v>
      </c>
      <c r="G39" s="7"/>
      <c r="H39" s="7"/>
      <c r="I39" s="7"/>
    </row>
    <row r="40" spans="1:9" x14ac:dyDescent="0.25">
      <c r="A40" s="13" t="s">
        <v>67</v>
      </c>
      <c r="B40" s="11">
        <f t="shared" si="14"/>
        <v>38770.932775837464</v>
      </c>
      <c r="C40" s="11">
        <f t="shared" si="10"/>
        <v>39.957223545954747</v>
      </c>
      <c r="D40" s="11">
        <f t="shared" si="11"/>
        <v>226.16377452571854</v>
      </c>
      <c r="E40" s="11">
        <f t="shared" si="12"/>
        <v>266.12099807167328</v>
      </c>
      <c r="F40" s="11">
        <f t="shared" si="13"/>
        <v>38730.975552291507</v>
      </c>
      <c r="G40" s="7"/>
      <c r="H40" s="7"/>
      <c r="I40" s="7"/>
    </row>
    <row r="41" spans="1:9" x14ac:dyDescent="0.25">
      <c r="A41" s="13" t="s">
        <v>68</v>
      </c>
      <c r="B41" s="11">
        <f t="shared" si="14"/>
        <v>38730.975552291507</v>
      </c>
      <c r="C41" s="11">
        <f t="shared" si="10"/>
        <v>40.190307349972812</v>
      </c>
      <c r="D41" s="11">
        <f t="shared" si="11"/>
        <v>225.93069072170047</v>
      </c>
      <c r="E41" s="11">
        <f t="shared" si="12"/>
        <v>266.12099807167328</v>
      </c>
      <c r="F41" s="16">
        <f t="shared" si="13"/>
        <v>38690.785244941537</v>
      </c>
      <c r="G41" s="7"/>
      <c r="H41" s="7"/>
      <c r="I41" s="7"/>
    </row>
    <row r="42" spans="1:9" x14ac:dyDescent="0.25">
      <c r="A42" s="17" t="s">
        <v>69</v>
      </c>
      <c r="B42" s="11"/>
      <c r="C42" s="16">
        <f>SUM(C30:C41)</f>
        <v>467.19370174471612</v>
      </c>
      <c r="D42" s="16">
        <f>SUM(D30:D41)</f>
        <v>2726.2582751153632</v>
      </c>
      <c r="E42" s="11"/>
      <c r="F42" s="11"/>
      <c r="G42" s="7"/>
      <c r="H42" s="7"/>
      <c r="I42" s="7"/>
    </row>
    <row r="43" spans="1:9" x14ac:dyDescent="0.25">
      <c r="A43" s="13"/>
      <c r="B43" s="11"/>
      <c r="C43" s="11"/>
      <c r="D43" s="11"/>
      <c r="E43" s="11"/>
      <c r="F43" s="11"/>
      <c r="G43" s="7"/>
      <c r="H43" s="7"/>
      <c r="I43" s="7"/>
    </row>
    <row r="44" spans="1:9" x14ac:dyDescent="0.25">
      <c r="A44" s="18" t="s">
        <v>72</v>
      </c>
      <c r="B44" s="11">
        <f>+F41</f>
        <v>38690.785244941537</v>
      </c>
      <c r="C44" s="11">
        <f>+E44-D44</f>
        <v>40.424750809514308</v>
      </c>
      <c r="D44" s="11">
        <f>B44*$I$2</f>
        <v>225.69624726215898</v>
      </c>
      <c r="E44" s="11">
        <f t="shared" ref="E44:E55" si="15">-$I$9</f>
        <v>266.12099807167328</v>
      </c>
      <c r="F44" s="11">
        <f>+B44-C44</f>
        <v>38650.360494132023</v>
      </c>
      <c r="G44" s="7"/>
      <c r="H44" s="7"/>
      <c r="I44" s="7"/>
    </row>
    <row r="45" spans="1:9" x14ac:dyDescent="0.25">
      <c r="A45" s="13" t="s">
        <v>53</v>
      </c>
      <c r="B45" s="11">
        <f>+F44</f>
        <v>38650.360494132023</v>
      </c>
      <c r="C45" s="11">
        <f>+E45-D45</f>
        <v>40.660561855903154</v>
      </c>
      <c r="D45" s="11">
        <f>B45*$I$2</f>
        <v>225.46043621577013</v>
      </c>
      <c r="E45" s="11">
        <f t="shared" si="15"/>
        <v>266.12099807167328</v>
      </c>
      <c r="F45" s="11">
        <f>+B45-C45</f>
        <v>38609.699932276118</v>
      </c>
      <c r="G45" s="7"/>
      <c r="H45" s="7"/>
      <c r="I45" s="7"/>
    </row>
    <row r="46" spans="1:9" x14ac:dyDescent="0.25">
      <c r="A46" s="13" t="s">
        <v>55</v>
      </c>
      <c r="B46" s="11">
        <f>+F45</f>
        <v>38609.699932276118</v>
      </c>
      <c r="C46" s="11">
        <f>+E46-D46</f>
        <v>40.89774846672924</v>
      </c>
      <c r="D46" s="11">
        <f>B46*$I$2</f>
        <v>225.22324960494404</v>
      </c>
      <c r="E46" s="11">
        <f t="shared" si="15"/>
        <v>266.12099807167328</v>
      </c>
      <c r="F46" s="11">
        <f>+B46-C46</f>
        <v>38568.802183809392</v>
      </c>
      <c r="G46" s="7"/>
      <c r="H46" s="7"/>
      <c r="I46" s="7"/>
    </row>
    <row r="47" spans="1:9" x14ac:dyDescent="0.25">
      <c r="A47" s="13" t="s">
        <v>57</v>
      </c>
      <c r="B47" s="11">
        <f>+F46</f>
        <v>38568.802183809392</v>
      </c>
      <c r="C47" s="11">
        <f>+E47-D47</f>
        <v>41.136318666118484</v>
      </c>
      <c r="D47" s="11">
        <f>B47*$I$2</f>
        <v>224.9846794055548</v>
      </c>
      <c r="E47" s="11">
        <f t="shared" si="15"/>
        <v>266.12099807167328</v>
      </c>
      <c r="F47" s="11">
        <f>+B47-C47</f>
        <v>38527.665865143274</v>
      </c>
      <c r="G47" s="7"/>
      <c r="H47" s="7"/>
      <c r="I47" s="7"/>
    </row>
    <row r="48" spans="1:9" x14ac:dyDescent="0.25">
      <c r="A48" s="13" t="s">
        <v>59</v>
      </c>
      <c r="B48" s="11">
        <f t="shared" ref="B48:B55" si="16">+F47</f>
        <v>38527.665865143274</v>
      </c>
      <c r="C48" s="11">
        <f t="shared" ref="C48:C55" si="17">+E48-D48</f>
        <v>41.376280525004177</v>
      </c>
      <c r="D48" s="11">
        <f t="shared" ref="D48:D55" si="18">B48*$I$2</f>
        <v>224.74471754666911</v>
      </c>
      <c r="E48" s="11">
        <f t="shared" si="15"/>
        <v>266.12099807167328</v>
      </c>
      <c r="F48" s="11">
        <f t="shared" ref="F48:F55" si="19">+B48-C48</f>
        <v>38486.289584618273</v>
      </c>
      <c r="G48" s="7"/>
      <c r="H48" s="7"/>
      <c r="I48" s="7"/>
    </row>
    <row r="49" spans="1:9" x14ac:dyDescent="0.25">
      <c r="A49" s="13" t="s">
        <v>61</v>
      </c>
      <c r="B49" s="11">
        <f t="shared" si="16"/>
        <v>38486.289584618273</v>
      </c>
      <c r="C49" s="11">
        <f t="shared" si="17"/>
        <v>41.617642161400028</v>
      </c>
      <c r="D49" s="11">
        <f t="shared" si="18"/>
        <v>224.50335591027326</v>
      </c>
      <c r="E49" s="11">
        <f t="shared" si="15"/>
        <v>266.12099807167328</v>
      </c>
      <c r="F49" s="11">
        <f t="shared" si="19"/>
        <v>38444.671942456873</v>
      </c>
      <c r="G49" s="7"/>
      <c r="H49" s="7"/>
      <c r="I49" s="7"/>
    </row>
    <row r="50" spans="1:9" x14ac:dyDescent="0.25">
      <c r="A50" s="13" t="s">
        <v>63</v>
      </c>
      <c r="B50" s="11">
        <f t="shared" si="16"/>
        <v>38444.671942456873</v>
      </c>
      <c r="C50" s="11">
        <f t="shared" si="17"/>
        <v>41.860411740674863</v>
      </c>
      <c r="D50" s="11">
        <f t="shared" si="18"/>
        <v>224.26058633099842</v>
      </c>
      <c r="E50" s="11">
        <f t="shared" si="15"/>
        <v>266.12099807167328</v>
      </c>
      <c r="F50" s="11">
        <f t="shared" si="19"/>
        <v>38402.811530716201</v>
      </c>
      <c r="G50" s="7"/>
      <c r="H50" s="7"/>
      <c r="I50" s="7"/>
    </row>
    <row r="51" spans="1:9" x14ac:dyDescent="0.25">
      <c r="A51" s="13" t="s">
        <v>64</v>
      </c>
      <c r="B51" s="11">
        <f t="shared" si="16"/>
        <v>38402.811530716201</v>
      </c>
      <c r="C51" s="11">
        <f t="shared" si="17"/>
        <v>42.104597475828768</v>
      </c>
      <c r="D51" s="11">
        <f t="shared" si="18"/>
        <v>224.01640059584452</v>
      </c>
      <c r="E51" s="11">
        <f t="shared" si="15"/>
        <v>266.12099807167328</v>
      </c>
      <c r="F51" s="11">
        <f t="shared" si="19"/>
        <v>38360.70693324037</v>
      </c>
      <c r="G51" s="7"/>
      <c r="H51" s="7"/>
      <c r="I51" s="7"/>
    </row>
    <row r="52" spans="1:9" x14ac:dyDescent="0.25">
      <c r="A52" s="13" t="s">
        <v>65</v>
      </c>
      <c r="B52" s="11">
        <f t="shared" si="16"/>
        <v>38360.70693324037</v>
      </c>
      <c r="C52" s="11">
        <f t="shared" si="17"/>
        <v>42.350207627771113</v>
      </c>
      <c r="D52" s="11">
        <f t="shared" si="18"/>
        <v>223.77079044390217</v>
      </c>
      <c r="E52" s="11">
        <f t="shared" si="15"/>
        <v>266.12099807167328</v>
      </c>
      <c r="F52" s="11">
        <f t="shared" si="19"/>
        <v>38318.356725612597</v>
      </c>
      <c r="G52" s="7"/>
      <c r="H52" s="7"/>
      <c r="I52" s="7"/>
    </row>
    <row r="53" spans="1:9" x14ac:dyDescent="0.25">
      <c r="A53" s="13" t="s">
        <v>66</v>
      </c>
      <c r="B53" s="11">
        <f t="shared" si="16"/>
        <v>38318.356725612597</v>
      </c>
      <c r="C53" s="11">
        <f t="shared" si="17"/>
        <v>42.597250505599789</v>
      </c>
      <c r="D53" s="11">
        <f t="shared" si="18"/>
        <v>223.5237475660735</v>
      </c>
      <c r="E53" s="11">
        <f t="shared" si="15"/>
        <v>266.12099807167328</v>
      </c>
      <c r="F53" s="11">
        <f t="shared" si="19"/>
        <v>38275.759475106999</v>
      </c>
      <c r="G53" s="7"/>
      <c r="H53" s="7"/>
      <c r="I53" s="7"/>
    </row>
    <row r="54" spans="1:9" x14ac:dyDescent="0.25">
      <c r="A54" s="13" t="s">
        <v>67</v>
      </c>
      <c r="B54" s="11">
        <f t="shared" si="16"/>
        <v>38275.759475106999</v>
      </c>
      <c r="C54" s="11">
        <f t="shared" si="17"/>
        <v>42.845734466882448</v>
      </c>
      <c r="D54" s="11">
        <f t="shared" si="18"/>
        <v>223.27526360479084</v>
      </c>
      <c r="E54" s="11">
        <f t="shared" si="15"/>
        <v>266.12099807167328</v>
      </c>
      <c r="F54" s="11">
        <f t="shared" si="19"/>
        <v>38232.913740640113</v>
      </c>
      <c r="G54" s="7"/>
      <c r="H54" s="7"/>
      <c r="I54" s="7"/>
    </row>
    <row r="55" spans="1:9" x14ac:dyDescent="0.25">
      <c r="A55" s="13" t="s">
        <v>68</v>
      </c>
      <c r="B55" s="11">
        <f t="shared" si="16"/>
        <v>38232.913740640113</v>
      </c>
      <c r="C55" s="11">
        <f t="shared" si="17"/>
        <v>43.095667917939267</v>
      </c>
      <c r="D55" s="11">
        <f t="shared" si="18"/>
        <v>223.02533015373402</v>
      </c>
      <c r="E55" s="11">
        <f t="shared" si="15"/>
        <v>266.12099807167328</v>
      </c>
      <c r="F55" s="16">
        <f t="shared" si="19"/>
        <v>38189.818072722177</v>
      </c>
      <c r="G55" s="19"/>
      <c r="H55" s="7"/>
      <c r="I55" s="7"/>
    </row>
    <row r="56" spans="1:9" x14ac:dyDescent="0.25">
      <c r="A56" s="17" t="s">
        <v>69</v>
      </c>
      <c r="B56" s="11"/>
      <c r="C56" s="16">
        <f>SUM(C44:C55)</f>
        <v>500.96717221936558</v>
      </c>
      <c r="D56" s="16">
        <f>SUM(D44:D55)</f>
        <v>2692.4848046407137</v>
      </c>
      <c r="E56" s="11"/>
      <c r="F56" s="11"/>
      <c r="G56" s="7"/>
      <c r="H56" s="7"/>
      <c r="I56" s="7"/>
    </row>
    <row r="57" spans="1:9" x14ac:dyDescent="0.25">
      <c r="A57" s="7"/>
      <c r="B57" s="11"/>
      <c r="C57" s="11"/>
      <c r="D57" s="11"/>
      <c r="E57" s="11"/>
      <c r="F57" s="11"/>
      <c r="G57" s="7"/>
      <c r="H57" s="7"/>
      <c r="I57" s="7"/>
    </row>
    <row r="58" spans="1:9" x14ac:dyDescent="0.25">
      <c r="A58" s="10" t="s">
        <v>73</v>
      </c>
      <c r="B58" s="11">
        <f>+F55</f>
        <v>38189.818072722177</v>
      </c>
      <c r="C58" s="11">
        <f>+E58-D58</f>
        <v>43.34705931412725</v>
      </c>
      <c r="D58" s="11">
        <f>B58*$I$2</f>
        <v>222.77393875754603</v>
      </c>
      <c r="E58" s="11">
        <f t="shared" ref="E58:E69" si="20">-$I$9</f>
        <v>266.12099807167328</v>
      </c>
      <c r="F58" s="11">
        <f>+B58-C58</f>
        <v>38146.471013408052</v>
      </c>
      <c r="G58" s="7"/>
      <c r="H58" s="7"/>
      <c r="I58" s="7"/>
    </row>
    <row r="59" spans="1:9" x14ac:dyDescent="0.25">
      <c r="A59" s="13" t="s">
        <v>53</v>
      </c>
      <c r="B59" s="11">
        <f>+F58</f>
        <v>38146.471013408052</v>
      </c>
      <c r="C59" s="11">
        <f>+E59-D59</f>
        <v>43.599917160126296</v>
      </c>
      <c r="D59" s="11">
        <f>B59*$I$2</f>
        <v>222.52108091154699</v>
      </c>
      <c r="E59" s="11">
        <f t="shared" si="20"/>
        <v>266.12099807167328</v>
      </c>
      <c r="F59" s="11">
        <f>+B59-C59</f>
        <v>38102.871096247924</v>
      </c>
      <c r="G59" s="7"/>
      <c r="H59" s="7"/>
      <c r="I59" s="7"/>
    </row>
    <row r="60" spans="1:9" x14ac:dyDescent="0.25">
      <c r="A60" s="13" t="s">
        <v>55</v>
      </c>
      <c r="B60" s="11">
        <f>+F59</f>
        <v>38102.871096247924</v>
      </c>
      <c r="C60" s="11">
        <f>+E60-D60</f>
        <v>43.854250010227048</v>
      </c>
      <c r="D60" s="11">
        <f>B60*$I$2</f>
        <v>222.26674806144624</v>
      </c>
      <c r="E60" s="11">
        <f t="shared" si="20"/>
        <v>266.12099807167328</v>
      </c>
      <c r="F60" s="11">
        <f>+B60-C60</f>
        <v>38059.016846237697</v>
      </c>
      <c r="G60" s="7"/>
      <c r="H60" s="7"/>
      <c r="I60" s="7"/>
    </row>
    <row r="61" spans="1:9" x14ac:dyDescent="0.25">
      <c r="A61" s="13" t="s">
        <v>57</v>
      </c>
      <c r="B61" s="11">
        <f>+F60</f>
        <v>38059.016846237697</v>
      </c>
      <c r="C61" s="11">
        <f>+E61-D61</f>
        <v>44.110066468620033</v>
      </c>
      <c r="D61" s="11">
        <f>B61*$I$2</f>
        <v>222.01093160305325</v>
      </c>
      <c r="E61" s="11">
        <f t="shared" si="20"/>
        <v>266.12099807167328</v>
      </c>
      <c r="F61" s="11">
        <f>+B61-C61</f>
        <v>38014.90677976908</v>
      </c>
      <c r="G61" s="7"/>
      <c r="H61" s="7"/>
      <c r="I61" s="7"/>
    </row>
    <row r="62" spans="1:9" x14ac:dyDescent="0.25">
      <c r="A62" s="13" t="s">
        <v>59</v>
      </c>
      <c r="B62" s="11">
        <f t="shared" ref="B62:B69" si="21">+F61</f>
        <v>38014.90677976908</v>
      </c>
      <c r="C62" s="11">
        <f t="shared" ref="C62:C69" si="22">+E62-D62</f>
        <v>44.367375189686982</v>
      </c>
      <c r="D62" s="11">
        <f t="shared" ref="D62:D69" si="23">B62*$I$2</f>
        <v>221.7536228819863</v>
      </c>
      <c r="E62" s="11">
        <f t="shared" si="20"/>
        <v>266.12099807167328</v>
      </c>
      <c r="F62" s="11">
        <f t="shared" ref="F62:F69" si="24">+B62-C62</f>
        <v>37970.539404579395</v>
      </c>
      <c r="G62" s="7"/>
      <c r="H62" s="7"/>
      <c r="I62" s="7"/>
    </row>
    <row r="63" spans="1:9" x14ac:dyDescent="0.25">
      <c r="A63" s="13" t="s">
        <v>61</v>
      </c>
      <c r="B63" s="11">
        <f t="shared" si="21"/>
        <v>37970.539404579395</v>
      </c>
      <c r="C63" s="11">
        <f t="shared" si="22"/>
        <v>44.626184878293486</v>
      </c>
      <c r="D63" s="11">
        <f t="shared" si="23"/>
        <v>221.4948131933798</v>
      </c>
      <c r="E63" s="11">
        <f t="shared" si="20"/>
        <v>266.12099807167328</v>
      </c>
      <c r="F63" s="11">
        <f t="shared" si="24"/>
        <v>37925.913219701099</v>
      </c>
      <c r="G63" s="7"/>
      <c r="H63" s="7"/>
      <c r="I63" s="7"/>
    </row>
    <row r="64" spans="1:9" x14ac:dyDescent="0.25">
      <c r="A64" s="13" t="s">
        <v>63</v>
      </c>
      <c r="B64" s="11">
        <f t="shared" si="21"/>
        <v>37925.913219701099</v>
      </c>
      <c r="C64" s="11">
        <f t="shared" si="22"/>
        <v>44.886504290083536</v>
      </c>
      <c r="D64" s="11">
        <f t="shared" si="23"/>
        <v>221.23449378158975</v>
      </c>
      <c r="E64" s="11">
        <f t="shared" si="20"/>
        <v>266.12099807167328</v>
      </c>
      <c r="F64" s="11">
        <f t="shared" si="24"/>
        <v>37881.026715411012</v>
      </c>
      <c r="G64" s="7"/>
      <c r="H64" s="7"/>
      <c r="I64" s="7"/>
    </row>
    <row r="65" spans="1:9" x14ac:dyDescent="0.25">
      <c r="A65" s="13" t="s">
        <v>64</v>
      </c>
      <c r="B65" s="11">
        <f t="shared" si="21"/>
        <v>37881.026715411012</v>
      </c>
      <c r="C65" s="11">
        <f t="shared" si="22"/>
        <v>45.1483422317757</v>
      </c>
      <c r="D65" s="11">
        <f t="shared" si="23"/>
        <v>220.97265583989758</v>
      </c>
      <c r="E65" s="11">
        <f t="shared" si="20"/>
        <v>266.12099807167328</v>
      </c>
      <c r="F65" s="11">
        <f t="shared" si="24"/>
        <v>37835.878373179235</v>
      </c>
      <c r="G65" s="7"/>
      <c r="H65" s="7"/>
      <c r="I65" s="7"/>
    </row>
    <row r="66" spans="1:9" x14ac:dyDescent="0.25">
      <c r="A66" s="13" t="s">
        <v>65</v>
      </c>
      <c r="B66" s="11">
        <f t="shared" si="21"/>
        <v>37835.878373179235</v>
      </c>
      <c r="C66" s="11">
        <f t="shared" si="22"/>
        <v>45.411707561461071</v>
      </c>
      <c r="D66" s="11">
        <f t="shared" si="23"/>
        <v>220.70929051021221</v>
      </c>
      <c r="E66" s="11">
        <f t="shared" si="20"/>
        <v>266.12099807167328</v>
      </c>
      <c r="F66" s="11">
        <f t="shared" si="24"/>
        <v>37790.466665617772</v>
      </c>
      <c r="G66" s="7"/>
      <c r="H66" s="7"/>
      <c r="I66" s="7"/>
    </row>
    <row r="67" spans="1:9" x14ac:dyDescent="0.25">
      <c r="A67" s="13" t="s">
        <v>66</v>
      </c>
      <c r="B67" s="11">
        <f t="shared" si="21"/>
        <v>37790.466665617772</v>
      </c>
      <c r="C67" s="11">
        <f t="shared" si="22"/>
        <v>45.676609188902944</v>
      </c>
      <c r="D67" s="11">
        <f t="shared" si="23"/>
        <v>220.44438888277034</v>
      </c>
      <c r="E67" s="11">
        <f t="shared" si="20"/>
        <v>266.12099807167328</v>
      </c>
      <c r="F67" s="11">
        <f t="shared" si="24"/>
        <v>37744.790056428872</v>
      </c>
      <c r="G67" s="7"/>
      <c r="H67" s="7"/>
      <c r="I67" s="7"/>
    </row>
    <row r="68" spans="1:9" x14ac:dyDescent="0.25">
      <c r="A68" s="13" t="s">
        <v>67</v>
      </c>
      <c r="B68" s="11">
        <f t="shared" si="21"/>
        <v>37744.790056428872</v>
      </c>
      <c r="C68" s="11">
        <f t="shared" si="22"/>
        <v>45.9430560758382</v>
      </c>
      <c r="D68" s="11">
        <f t="shared" si="23"/>
        <v>220.17794199583508</v>
      </c>
      <c r="E68" s="11">
        <f t="shared" si="20"/>
        <v>266.12099807167328</v>
      </c>
      <c r="F68" s="11">
        <f t="shared" si="24"/>
        <v>37698.847000353031</v>
      </c>
      <c r="G68" s="7"/>
      <c r="H68" s="7"/>
      <c r="I68" s="7"/>
    </row>
    <row r="69" spans="1:9" x14ac:dyDescent="0.25">
      <c r="A69" s="13" t="s">
        <v>68</v>
      </c>
      <c r="B69" s="11">
        <f t="shared" si="21"/>
        <v>37698.847000353031</v>
      </c>
      <c r="C69" s="11">
        <f t="shared" si="22"/>
        <v>46.211057236280595</v>
      </c>
      <c r="D69" s="11">
        <f t="shared" si="23"/>
        <v>219.90994083539269</v>
      </c>
      <c r="E69" s="11">
        <f t="shared" si="20"/>
        <v>266.12099807167328</v>
      </c>
      <c r="F69" s="16">
        <f t="shared" si="24"/>
        <v>37652.635943116751</v>
      </c>
      <c r="G69" s="7"/>
      <c r="H69" s="7"/>
      <c r="I69" s="7"/>
    </row>
    <row r="70" spans="1:9" x14ac:dyDescent="0.25">
      <c r="A70" s="17" t="s">
        <v>69</v>
      </c>
      <c r="B70" s="11"/>
      <c r="C70" s="16">
        <f>SUM(C58:C69)</f>
        <v>537.18212960542303</v>
      </c>
      <c r="D70" s="16">
        <f>SUM(D58:D69)</f>
        <v>2656.2698472546563</v>
      </c>
      <c r="E70" s="11"/>
      <c r="F70" s="11"/>
      <c r="G70" s="7"/>
      <c r="H70" s="7"/>
      <c r="I70" s="7"/>
    </row>
    <row r="71" spans="1:9" x14ac:dyDescent="0.25">
      <c r="A71" s="7"/>
      <c r="B71" s="11"/>
      <c r="C71" s="11"/>
      <c r="D71" s="11"/>
      <c r="E71" s="11"/>
      <c r="F71" s="11"/>
      <c r="G71" s="7"/>
      <c r="H71" s="7"/>
      <c r="I71" s="7"/>
    </row>
    <row r="72" spans="1:9" x14ac:dyDescent="0.25">
      <c r="A72" s="10" t="s">
        <v>73</v>
      </c>
      <c r="B72" s="11">
        <f>+F69</f>
        <v>37652.635943116751</v>
      </c>
      <c r="C72" s="11">
        <f>+E72-D72</f>
        <v>46.480621736825555</v>
      </c>
      <c r="D72" s="11">
        <f>B72*$I$2</f>
        <v>219.64037633484773</v>
      </c>
      <c r="E72" s="11">
        <f t="shared" ref="E72:E83" si="25">-$I$9</f>
        <v>266.12099807167328</v>
      </c>
      <c r="F72" s="11">
        <f>+B72-C72</f>
        <v>37606.155321379927</v>
      </c>
      <c r="G72" s="7"/>
      <c r="H72" s="7"/>
      <c r="I72" s="7"/>
    </row>
    <row r="73" spans="1:9" x14ac:dyDescent="0.25">
      <c r="A73" s="13" t="s">
        <v>53</v>
      </c>
      <c r="B73" s="11">
        <f>+F72</f>
        <v>37606.155321379927</v>
      </c>
      <c r="C73" s="11">
        <f>+E73-D73</f>
        <v>46.75175869695704</v>
      </c>
      <c r="D73" s="11">
        <f>B73*$I$2</f>
        <v>219.36923937471624</v>
      </c>
      <c r="E73" s="11">
        <f t="shared" si="25"/>
        <v>266.12099807167328</v>
      </c>
      <c r="F73" s="11">
        <f>+B73-C73</f>
        <v>37559.403562682972</v>
      </c>
      <c r="G73" s="7"/>
      <c r="H73" s="7"/>
      <c r="I73" s="7"/>
    </row>
    <row r="74" spans="1:9" x14ac:dyDescent="0.25">
      <c r="A74" s="13" t="s">
        <v>55</v>
      </c>
      <c r="B74" s="11">
        <f>+F73</f>
        <v>37559.403562682972</v>
      </c>
      <c r="C74" s="11">
        <f>+E74-D74</f>
        <v>47.024477289355929</v>
      </c>
      <c r="D74" s="11">
        <f>B74*$I$2</f>
        <v>219.09652078231736</v>
      </c>
      <c r="E74" s="11">
        <f t="shared" si="25"/>
        <v>266.12099807167328</v>
      </c>
      <c r="F74" s="11">
        <f>+B74-C74</f>
        <v>37512.379085393615</v>
      </c>
    </row>
    <row r="75" spans="1:9" x14ac:dyDescent="0.25">
      <c r="A75" s="13" t="s">
        <v>57</v>
      </c>
      <c r="B75" s="11">
        <f>+F74</f>
        <v>37512.379085393615</v>
      </c>
      <c r="C75" s="11">
        <f>+E75-D75</f>
        <v>47.298786740210517</v>
      </c>
      <c r="D75" s="11">
        <f>B75*$I$2</f>
        <v>218.82221133146277</v>
      </c>
      <c r="E75" s="11">
        <f t="shared" si="25"/>
        <v>266.12099807167328</v>
      </c>
      <c r="F75" s="11">
        <f>+B75-C75</f>
        <v>37465.080298653404</v>
      </c>
    </row>
    <row r="76" spans="1:9" x14ac:dyDescent="0.25">
      <c r="A76" s="13" t="s">
        <v>59</v>
      </c>
      <c r="B76" s="11">
        <f t="shared" ref="B76:B83" si="26">+F75</f>
        <v>37465.080298653404</v>
      </c>
      <c r="C76" s="11">
        <f t="shared" ref="C76:C83" si="27">+E76-D76</f>
        <v>47.574696329528422</v>
      </c>
      <c r="D76" s="11">
        <f t="shared" ref="D76:D83" si="28">B76*$I$2</f>
        <v>218.54630174214486</v>
      </c>
      <c r="E76" s="11">
        <f t="shared" si="25"/>
        <v>266.12099807167328</v>
      </c>
      <c r="F76" s="11">
        <f t="shared" ref="F76:F83" si="29">+B76-C76</f>
        <v>37417.505602323872</v>
      </c>
    </row>
    <row r="77" spans="1:9" x14ac:dyDescent="0.25">
      <c r="A77" s="13" t="s">
        <v>61</v>
      </c>
      <c r="B77" s="11">
        <f t="shared" si="26"/>
        <v>37417.505602323872</v>
      </c>
      <c r="C77" s="11">
        <f t="shared" si="27"/>
        <v>47.852215391450699</v>
      </c>
      <c r="D77" s="11">
        <f t="shared" si="28"/>
        <v>218.26878268022259</v>
      </c>
      <c r="E77" s="11">
        <f t="shared" si="25"/>
        <v>266.12099807167328</v>
      </c>
      <c r="F77" s="11">
        <f t="shared" si="29"/>
        <v>37369.653386932419</v>
      </c>
    </row>
    <row r="78" spans="1:9" x14ac:dyDescent="0.25">
      <c r="A78" s="13" t="s">
        <v>63</v>
      </c>
      <c r="B78" s="11">
        <f t="shared" si="26"/>
        <v>37369.653386932419</v>
      </c>
      <c r="C78" s="11">
        <f t="shared" si="27"/>
        <v>48.131353314567491</v>
      </c>
      <c r="D78" s="11">
        <f t="shared" si="28"/>
        <v>217.98964475710579</v>
      </c>
      <c r="E78" s="11">
        <f t="shared" si="25"/>
        <v>266.12099807167328</v>
      </c>
      <c r="F78" s="11">
        <f t="shared" si="29"/>
        <v>37321.522033617854</v>
      </c>
    </row>
    <row r="79" spans="1:9" x14ac:dyDescent="0.25">
      <c r="A79" s="13" t="s">
        <v>64</v>
      </c>
      <c r="B79" s="11">
        <f t="shared" si="26"/>
        <v>37321.522033617854</v>
      </c>
      <c r="C79" s="11">
        <f t="shared" si="27"/>
        <v>48.412119542235786</v>
      </c>
      <c r="D79" s="11">
        <f t="shared" si="28"/>
        <v>217.7088785294375</v>
      </c>
      <c r="E79" s="11">
        <f t="shared" si="25"/>
        <v>266.12099807167328</v>
      </c>
      <c r="F79" s="11">
        <f t="shared" si="29"/>
        <v>37273.10991407562</v>
      </c>
    </row>
    <row r="80" spans="1:9" x14ac:dyDescent="0.25">
      <c r="A80" s="13" t="s">
        <v>65</v>
      </c>
      <c r="B80" s="11">
        <f t="shared" si="26"/>
        <v>37273.10991407562</v>
      </c>
      <c r="C80" s="11">
        <f t="shared" si="27"/>
        <v>48.694523572898817</v>
      </c>
      <c r="D80" s="11">
        <f t="shared" si="28"/>
        <v>217.42647449877447</v>
      </c>
      <c r="E80" s="11">
        <f t="shared" si="25"/>
        <v>266.12099807167328</v>
      </c>
      <c r="F80" s="11">
        <f t="shared" si="29"/>
        <v>37224.41539050272</v>
      </c>
    </row>
    <row r="81" spans="1:6" x14ac:dyDescent="0.25">
      <c r="A81" s="13" t="s">
        <v>66</v>
      </c>
      <c r="B81" s="11">
        <f t="shared" si="26"/>
        <v>37224.41539050272</v>
      </c>
      <c r="C81" s="11">
        <f t="shared" si="27"/>
        <v>48.9785749604074</v>
      </c>
      <c r="D81" s="11">
        <f t="shared" si="28"/>
        <v>217.14242311126588</v>
      </c>
      <c r="E81" s="11">
        <f t="shared" si="25"/>
        <v>266.12099807167328</v>
      </c>
      <c r="F81" s="11">
        <f t="shared" si="29"/>
        <v>37175.436815542314</v>
      </c>
    </row>
    <row r="82" spans="1:6" x14ac:dyDescent="0.25">
      <c r="A82" s="13" t="s">
        <v>67</v>
      </c>
      <c r="B82" s="11">
        <f t="shared" si="26"/>
        <v>37175.436815542314</v>
      </c>
      <c r="C82" s="11">
        <f t="shared" si="27"/>
        <v>49.264283314343118</v>
      </c>
      <c r="D82" s="11">
        <f t="shared" si="28"/>
        <v>216.85671475733017</v>
      </c>
      <c r="E82" s="11">
        <f t="shared" si="25"/>
        <v>266.12099807167328</v>
      </c>
      <c r="F82" s="11">
        <f t="shared" si="29"/>
        <v>37126.172532227974</v>
      </c>
    </row>
    <row r="83" spans="1:6" x14ac:dyDescent="0.25">
      <c r="A83" s="13" t="s">
        <v>68</v>
      </c>
      <c r="B83" s="11">
        <f t="shared" si="26"/>
        <v>37126.172532227974</v>
      </c>
      <c r="C83" s="11">
        <f t="shared" si="27"/>
        <v>49.551658300343433</v>
      </c>
      <c r="D83" s="11">
        <f t="shared" si="28"/>
        <v>216.56933977132985</v>
      </c>
      <c r="E83" s="11">
        <f t="shared" si="25"/>
        <v>266.12099807167328</v>
      </c>
      <c r="F83" s="16">
        <f t="shared" si="29"/>
        <v>37076.620873927634</v>
      </c>
    </row>
    <row r="84" spans="1:6" x14ac:dyDescent="0.25">
      <c r="A84" s="17" t="s">
        <v>69</v>
      </c>
      <c r="B84" s="11"/>
      <c r="C84" s="16">
        <f>SUM(C72:C83)</f>
        <v>576.01506918912423</v>
      </c>
      <c r="D84" s="16">
        <f>SUM(D72:D83)</f>
        <v>2617.4369076709554</v>
      </c>
      <c r="E84" s="11"/>
      <c r="F84" s="11"/>
    </row>
    <row r="86" spans="1:6" x14ac:dyDescent="0.25">
      <c r="A86" s="10" t="s">
        <v>73</v>
      </c>
      <c r="B86" s="11">
        <f>+F83</f>
        <v>37076.620873927634</v>
      </c>
      <c r="C86" s="11">
        <f>+E86-D86</f>
        <v>49.840709640428742</v>
      </c>
      <c r="D86" s="11">
        <f>B86*$I$2</f>
        <v>216.28028843124454</v>
      </c>
      <c r="E86" s="11">
        <f t="shared" ref="E86:E97" si="30">-$I$9</f>
        <v>266.12099807167328</v>
      </c>
      <c r="F86" s="11">
        <f>+B86-C86</f>
        <v>37026.780164287207</v>
      </c>
    </row>
    <row r="87" spans="1:6" x14ac:dyDescent="0.25">
      <c r="A87" s="13" t="s">
        <v>53</v>
      </c>
      <c r="B87" s="11">
        <f>+F86</f>
        <v>37026.780164287207</v>
      </c>
      <c r="C87" s="11">
        <f>+E87-D87</f>
        <v>50.131447113331234</v>
      </c>
      <c r="D87" s="11">
        <f>B87*$I$2</f>
        <v>215.98955095834205</v>
      </c>
      <c r="E87" s="11">
        <f t="shared" si="30"/>
        <v>266.12099807167328</v>
      </c>
      <c r="F87" s="11">
        <f>+B87-C87</f>
        <v>36976.648717173877</v>
      </c>
    </row>
    <row r="88" spans="1:6" x14ac:dyDescent="0.25">
      <c r="A88" s="13" t="s">
        <v>55</v>
      </c>
      <c r="B88" s="11">
        <f>+F87</f>
        <v>36976.648717173877</v>
      </c>
      <c r="C88" s="11">
        <f>+E88-D88</f>
        <v>50.423880554825644</v>
      </c>
      <c r="D88" s="11">
        <f>B88*$I$2</f>
        <v>215.69711751684764</v>
      </c>
      <c r="E88" s="11">
        <f t="shared" si="30"/>
        <v>266.12099807167328</v>
      </c>
      <c r="F88" s="11">
        <f>+B88-C88</f>
        <v>36926.224836619054</v>
      </c>
    </row>
    <row r="89" spans="1:6" x14ac:dyDescent="0.25">
      <c r="A89" s="13" t="s">
        <v>57</v>
      </c>
      <c r="B89" s="11">
        <f>+F88</f>
        <v>36926.224836619054</v>
      </c>
      <c r="C89" s="11">
        <f>+E89-D89</f>
        <v>50.718019858062121</v>
      </c>
      <c r="D89" s="11">
        <f>B89*$I$2</f>
        <v>215.40297821361116</v>
      </c>
      <c r="E89" s="11">
        <f t="shared" si="30"/>
        <v>266.12099807167328</v>
      </c>
      <c r="F89" s="11">
        <f>+B89-C89</f>
        <v>36875.506816760993</v>
      </c>
    </row>
    <row r="90" spans="1:6" x14ac:dyDescent="0.25">
      <c r="A90" s="13" t="s">
        <v>59</v>
      </c>
      <c r="B90" s="11">
        <f t="shared" ref="B90:B97" si="31">+F89</f>
        <v>36875.506816760993</v>
      </c>
      <c r="C90" s="11">
        <f t="shared" ref="C90:C97" si="32">+E90-D90</f>
        <v>51.013874973900812</v>
      </c>
      <c r="D90" s="11">
        <f t="shared" ref="D90:D97" si="33">B90*$I$2</f>
        <v>215.10712309777247</v>
      </c>
      <c r="E90" s="11">
        <f t="shared" si="30"/>
        <v>266.12099807167328</v>
      </c>
      <c r="F90" s="11">
        <f t="shared" ref="F90:F97" si="34">+B90-C90</f>
        <v>36824.492941787095</v>
      </c>
    </row>
    <row r="91" spans="1:6" x14ac:dyDescent="0.25">
      <c r="A91" s="13" t="s">
        <v>61</v>
      </c>
      <c r="B91" s="11">
        <f t="shared" si="31"/>
        <v>36824.492941787095</v>
      </c>
      <c r="C91" s="11">
        <f t="shared" si="32"/>
        <v>51.311455911248544</v>
      </c>
      <c r="D91" s="11">
        <f t="shared" si="33"/>
        <v>214.80954216042474</v>
      </c>
      <c r="E91" s="11">
        <f t="shared" si="30"/>
        <v>266.12099807167328</v>
      </c>
      <c r="F91" s="11">
        <f t="shared" si="34"/>
        <v>36773.181485875844</v>
      </c>
    </row>
    <row r="92" spans="1:6" x14ac:dyDescent="0.25">
      <c r="A92" s="13" t="s">
        <v>63</v>
      </c>
      <c r="B92" s="11">
        <f t="shared" si="31"/>
        <v>36773.181485875844</v>
      </c>
      <c r="C92" s="11">
        <f t="shared" si="32"/>
        <v>51.610772737397525</v>
      </c>
      <c r="D92" s="11">
        <f t="shared" si="33"/>
        <v>214.51022533427576</v>
      </c>
      <c r="E92" s="11">
        <f t="shared" si="30"/>
        <v>266.12099807167328</v>
      </c>
      <c r="F92" s="11">
        <f t="shared" si="34"/>
        <v>36721.570713138448</v>
      </c>
    </row>
    <row r="93" spans="1:6" x14ac:dyDescent="0.25">
      <c r="A93" s="13" t="s">
        <v>64</v>
      </c>
      <c r="B93" s="11">
        <f t="shared" si="31"/>
        <v>36721.570713138448</v>
      </c>
      <c r="C93" s="11">
        <f t="shared" si="32"/>
        <v>51.911835578365668</v>
      </c>
      <c r="D93" s="11">
        <f t="shared" si="33"/>
        <v>214.20916249330762</v>
      </c>
      <c r="E93" s="11">
        <f t="shared" si="30"/>
        <v>266.12099807167328</v>
      </c>
      <c r="F93" s="11">
        <f t="shared" si="34"/>
        <v>36669.658877560083</v>
      </c>
    </row>
    <row r="94" spans="1:6" x14ac:dyDescent="0.25">
      <c r="A94" s="13" t="s">
        <v>65</v>
      </c>
      <c r="B94" s="11">
        <f t="shared" si="31"/>
        <v>36669.658877560083</v>
      </c>
      <c r="C94" s="11">
        <f t="shared" si="32"/>
        <v>52.214654619239468</v>
      </c>
      <c r="D94" s="11">
        <f t="shared" si="33"/>
        <v>213.90634345243382</v>
      </c>
      <c r="E94" s="11">
        <f t="shared" si="30"/>
        <v>266.12099807167328</v>
      </c>
      <c r="F94" s="11">
        <f t="shared" si="34"/>
        <v>36617.444222940845</v>
      </c>
    </row>
    <row r="95" spans="1:6" x14ac:dyDescent="0.25">
      <c r="A95" s="13" t="s">
        <v>66</v>
      </c>
      <c r="B95" s="11">
        <f t="shared" si="31"/>
        <v>36617.444222940845</v>
      </c>
      <c r="C95" s="11">
        <f t="shared" si="32"/>
        <v>52.519240104518332</v>
      </c>
      <c r="D95" s="11">
        <f t="shared" si="33"/>
        <v>213.60175796715495</v>
      </c>
      <c r="E95" s="11">
        <f t="shared" si="30"/>
        <v>266.12099807167328</v>
      </c>
      <c r="F95" s="11">
        <f t="shared" si="34"/>
        <v>36564.924982836324</v>
      </c>
    </row>
    <row r="96" spans="1:6" x14ac:dyDescent="0.25">
      <c r="A96" s="13" t="s">
        <v>67</v>
      </c>
      <c r="B96" s="11">
        <f t="shared" si="31"/>
        <v>36564.924982836324</v>
      </c>
      <c r="C96" s="11">
        <f t="shared" si="32"/>
        <v>52.82560233846138</v>
      </c>
      <c r="D96" s="11">
        <f t="shared" si="33"/>
        <v>213.2953957332119</v>
      </c>
      <c r="E96" s="11">
        <f t="shared" si="30"/>
        <v>266.12099807167328</v>
      </c>
      <c r="F96" s="11">
        <f t="shared" si="34"/>
        <v>36512.099380497864</v>
      </c>
    </row>
    <row r="97" spans="1:6" x14ac:dyDescent="0.25">
      <c r="A97" s="13" t="s">
        <v>68</v>
      </c>
      <c r="B97" s="11">
        <f t="shared" si="31"/>
        <v>36512.099380497864</v>
      </c>
      <c r="C97" s="11">
        <f t="shared" si="32"/>
        <v>53.133751685435726</v>
      </c>
      <c r="D97" s="11">
        <f t="shared" si="33"/>
        <v>212.98724638623756</v>
      </c>
      <c r="E97" s="11">
        <f t="shared" si="30"/>
        <v>266.12099807167328</v>
      </c>
      <c r="F97" s="16">
        <f t="shared" si="34"/>
        <v>36458.965628812432</v>
      </c>
    </row>
    <row r="98" spans="1:6" x14ac:dyDescent="0.25">
      <c r="A98" s="17" t="s">
        <v>69</v>
      </c>
      <c r="B98" s="11"/>
      <c r="C98" s="16">
        <f>SUM(C86:C97)</f>
        <v>617.65524511521517</v>
      </c>
      <c r="D98" s="16">
        <f>SUM(D86:D97)</f>
        <v>2575.7967317448638</v>
      </c>
      <c r="E98" s="11"/>
      <c r="F98" s="11"/>
    </row>
    <row r="100" spans="1:6" x14ac:dyDescent="0.25">
      <c r="A100" s="10" t="s">
        <v>73</v>
      </c>
      <c r="B100" s="11">
        <f>+F97</f>
        <v>36458.965628812432</v>
      </c>
      <c r="C100" s="11">
        <f>+E100-D100</f>
        <v>53.443698570267429</v>
      </c>
      <c r="D100" s="11">
        <f>B100*$I$2</f>
        <v>212.67729950140586</v>
      </c>
      <c r="E100" s="11">
        <f t="shared" ref="E100:E111" si="35">-$I$9</f>
        <v>266.12099807167328</v>
      </c>
      <c r="F100" s="11">
        <f>+B100-C100</f>
        <v>36405.521930242161</v>
      </c>
    </row>
    <row r="101" spans="1:6" x14ac:dyDescent="0.25">
      <c r="A101" s="13" t="s">
        <v>53</v>
      </c>
      <c r="B101" s="11">
        <f>+F100</f>
        <v>36405.521930242161</v>
      </c>
      <c r="C101" s="11">
        <f>+E101-D101</f>
        <v>53.755453478594006</v>
      </c>
      <c r="D101" s="11">
        <f>B101*$I$2</f>
        <v>212.36554459307928</v>
      </c>
      <c r="E101" s="11">
        <f t="shared" si="35"/>
        <v>266.12099807167328</v>
      </c>
      <c r="F101" s="11">
        <f>+B101-C101</f>
        <v>36351.766476763565</v>
      </c>
    </row>
    <row r="102" spans="1:6" x14ac:dyDescent="0.25">
      <c r="A102" s="13" t="s">
        <v>55</v>
      </c>
      <c r="B102" s="11">
        <f>+F101</f>
        <v>36351.766476763565</v>
      </c>
      <c r="C102" s="11">
        <f>+E102-D102</f>
        <v>54.069026957219137</v>
      </c>
      <c r="D102" s="11">
        <f>B102*$I$2</f>
        <v>212.05197111445415</v>
      </c>
      <c r="E102" s="11">
        <f t="shared" si="35"/>
        <v>266.12099807167328</v>
      </c>
      <c r="F102" s="11">
        <f>+B102-C102</f>
        <v>36297.697449806343</v>
      </c>
    </row>
    <row r="103" spans="1:6" x14ac:dyDescent="0.25">
      <c r="A103" s="13" t="s">
        <v>57</v>
      </c>
      <c r="B103" s="11">
        <f>+F102</f>
        <v>36297.697449806343</v>
      </c>
      <c r="C103" s="11">
        <f>+E103-D103</f>
        <v>54.38442961446961</v>
      </c>
      <c r="D103" s="11">
        <f>B103*$I$2</f>
        <v>211.73656845720367</v>
      </c>
      <c r="E103" s="11">
        <f t="shared" si="35"/>
        <v>266.12099807167328</v>
      </c>
      <c r="F103" s="11">
        <f>+B103-C103</f>
        <v>36243.313020191876</v>
      </c>
    </row>
    <row r="104" spans="1:6" x14ac:dyDescent="0.25">
      <c r="A104" s="13" t="s">
        <v>59</v>
      </c>
      <c r="B104" s="11">
        <f t="shared" ref="B104:B111" si="36">+F103</f>
        <v>36243.313020191876</v>
      </c>
      <c r="C104" s="11">
        <f t="shared" ref="C104:C111" si="37">+E104-D104</f>
        <v>54.701672120554008</v>
      </c>
      <c r="D104" s="11">
        <f t="shared" ref="D104:D111" si="38">B104*$I$2</f>
        <v>211.41932595111928</v>
      </c>
      <c r="E104" s="11">
        <f t="shared" si="35"/>
        <v>266.12099807167328</v>
      </c>
      <c r="F104" s="11">
        <f t="shared" ref="F104:F111" si="39">+B104-C104</f>
        <v>36188.611348071325</v>
      </c>
    </row>
    <row r="105" spans="1:6" x14ac:dyDescent="0.25">
      <c r="A105" s="13" t="s">
        <v>61</v>
      </c>
      <c r="B105" s="11">
        <f t="shared" si="36"/>
        <v>36188.611348071325</v>
      </c>
      <c r="C105" s="11">
        <f t="shared" si="37"/>
        <v>55.020765207923887</v>
      </c>
      <c r="D105" s="11">
        <f t="shared" si="38"/>
        <v>211.1002328637494</v>
      </c>
      <c r="E105" s="11">
        <f t="shared" si="35"/>
        <v>266.12099807167328</v>
      </c>
      <c r="F105" s="11">
        <f t="shared" si="39"/>
        <v>36133.590582863399</v>
      </c>
    </row>
    <row r="106" spans="1:6" x14ac:dyDescent="0.25">
      <c r="A106" s="13" t="s">
        <v>63</v>
      </c>
      <c r="B106" s="11">
        <f t="shared" si="36"/>
        <v>36133.590582863399</v>
      </c>
      <c r="C106" s="11">
        <f t="shared" si="37"/>
        <v>55.341719671636781</v>
      </c>
      <c r="D106" s="11">
        <f t="shared" si="38"/>
        <v>210.7792784000365</v>
      </c>
      <c r="E106" s="11">
        <f t="shared" si="35"/>
        <v>266.12099807167328</v>
      </c>
      <c r="F106" s="11">
        <f t="shared" si="39"/>
        <v>36078.248863191759</v>
      </c>
    </row>
    <row r="107" spans="1:6" x14ac:dyDescent="0.25">
      <c r="A107" s="13" t="s">
        <v>64</v>
      </c>
      <c r="B107" s="11">
        <f t="shared" si="36"/>
        <v>36078.248863191759</v>
      </c>
      <c r="C107" s="11">
        <f t="shared" si="37"/>
        <v>55.664546369721336</v>
      </c>
      <c r="D107" s="11">
        <f t="shared" si="38"/>
        <v>210.45645170195195</v>
      </c>
      <c r="E107" s="11">
        <f t="shared" si="35"/>
        <v>266.12099807167328</v>
      </c>
      <c r="F107" s="11">
        <f t="shared" si="39"/>
        <v>36022.584316822038</v>
      </c>
    </row>
    <row r="108" spans="1:6" x14ac:dyDescent="0.25">
      <c r="A108" s="13" t="s">
        <v>65</v>
      </c>
      <c r="B108" s="11">
        <f t="shared" si="36"/>
        <v>36022.584316822038</v>
      </c>
      <c r="C108" s="11">
        <f t="shared" si="37"/>
        <v>55.989256223544714</v>
      </c>
      <c r="D108" s="11">
        <f t="shared" si="38"/>
        <v>210.13174184812857</v>
      </c>
      <c r="E108" s="11">
        <f t="shared" si="35"/>
        <v>266.12099807167328</v>
      </c>
      <c r="F108" s="11">
        <f t="shared" si="39"/>
        <v>35966.595060598491</v>
      </c>
    </row>
    <row r="109" spans="1:6" x14ac:dyDescent="0.25">
      <c r="A109" s="13" t="s">
        <v>66</v>
      </c>
      <c r="B109" s="11">
        <f t="shared" si="36"/>
        <v>35966.595060598491</v>
      </c>
      <c r="C109" s="11">
        <f t="shared" si="37"/>
        <v>56.315860218182081</v>
      </c>
      <c r="D109" s="11">
        <f t="shared" si="38"/>
        <v>209.8051378534912</v>
      </c>
      <c r="E109" s="11">
        <f t="shared" si="35"/>
        <v>266.12099807167328</v>
      </c>
      <c r="F109" s="11">
        <f t="shared" si="39"/>
        <v>35910.279200380312</v>
      </c>
    </row>
    <row r="110" spans="1:6" x14ac:dyDescent="0.25">
      <c r="A110" s="13" t="s">
        <v>67</v>
      </c>
      <c r="B110" s="11">
        <f t="shared" si="36"/>
        <v>35910.279200380312</v>
      </c>
      <c r="C110" s="11">
        <f t="shared" si="37"/>
        <v>56.644369402788129</v>
      </c>
      <c r="D110" s="11">
        <f t="shared" si="38"/>
        <v>209.47662866888516</v>
      </c>
      <c r="E110" s="11">
        <f t="shared" si="35"/>
        <v>266.12099807167328</v>
      </c>
      <c r="F110" s="11">
        <f t="shared" si="39"/>
        <v>35853.63483097752</v>
      </c>
    </row>
    <row r="111" spans="1:6" x14ac:dyDescent="0.25">
      <c r="A111" s="13" t="s">
        <v>68</v>
      </c>
      <c r="B111" s="11">
        <f t="shared" si="36"/>
        <v>35853.63483097752</v>
      </c>
      <c r="C111" s="11">
        <f t="shared" si="37"/>
        <v>56.974794890971083</v>
      </c>
      <c r="D111" s="11">
        <f t="shared" si="38"/>
        <v>209.1462031807022</v>
      </c>
      <c r="E111" s="11">
        <f t="shared" si="35"/>
        <v>266.12099807167328</v>
      </c>
      <c r="F111" s="16">
        <f t="shared" si="39"/>
        <v>35796.660036086549</v>
      </c>
    </row>
    <row r="112" spans="1:6" x14ac:dyDescent="0.25">
      <c r="A112" s="17" t="s">
        <v>69</v>
      </c>
      <c r="B112" s="11"/>
      <c r="C112" s="16">
        <f>SUM(C100:C111)</f>
        <v>662.3055927258722</v>
      </c>
      <c r="D112" s="16">
        <f>SUM(D100:D111)</f>
        <v>2531.146384134207</v>
      </c>
      <c r="E112" s="11"/>
      <c r="F112" s="11"/>
    </row>
    <row r="114" spans="1:6" x14ac:dyDescent="0.25">
      <c r="A114" s="10" t="s">
        <v>73</v>
      </c>
      <c r="B114" s="11">
        <f>+F111</f>
        <v>35796.660036086549</v>
      </c>
      <c r="C114" s="11">
        <f>+E114-D114</f>
        <v>57.307147861168403</v>
      </c>
      <c r="D114" s="11">
        <f>B114*$I$2</f>
        <v>208.81385021050488</v>
      </c>
      <c r="E114" s="11">
        <f t="shared" ref="E114:E125" si="40">-$I$9</f>
        <v>266.12099807167328</v>
      </c>
      <c r="F114" s="11">
        <f>+B114-C114</f>
        <v>35739.352888225381</v>
      </c>
    </row>
    <row r="115" spans="1:6" x14ac:dyDescent="0.25">
      <c r="A115" s="13" t="s">
        <v>53</v>
      </c>
      <c r="B115" s="11">
        <f>+F114</f>
        <v>35739.352888225381</v>
      </c>
      <c r="C115" s="11">
        <f>+E115-D115</f>
        <v>57.641439557025222</v>
      </c>
      <c r="D115" s="11">
        <f>B115*$I$2</f>
        <v>208.47955851464806</v>
      </c>
      <c r="E115" s="11">
        <f t="shared" si="40"/>
        <v>266.12099807167328</v>
      </c>
      <c r="F115" s="11">
        <f>+B115-C115</f>
        <v>35681.711448668357</v>
      </c>
    </row>
    <row r="116" spans="1:6" x14ac:dyDescent="0.25">
      <c r="A116" s="13" t="s">
        <v>55</v>
      </c>
      <c r="B116" s="11">
        <f>+F115</f>
        <v>35681.711448668357</v>
      </c>
      <c r="C116" s="11">
        <f>+E116-D116</f>
        <v>57.977681287774516</v>
      </c>
      <c r="D116" s="11">
        <f>B116*$I$2</f>
        <v>208.14331678389877</v>
      </c>
      <c r="E116" s="11">
        <f t="shared" si="40"/>
        <v>266.12099807167328</v>
      </c>
      <c r="F116" s="11">
        <f>+B116-C116</f>
        <v>35623.733767380581</v>
      </c>
    </row>
    <row r="117" spans="1:6" x14ac:dyDescent="0.25">
      <c r="A117" s="13" t="s">
        <v>57</v>
      </c>
      <c r="B117" s="11">
        <f>+F116</f>
        <v>35623.733767380581</v>
      </c>
      <c r="C117" s="11">
        <f>+E117-D117</f>
        <v>58.315884428619881</v>
      </c>
      <c r="D117" s="11">
        <f>B117*$I$2</f>
        <v>207.8051136430534</v>
      </c>
      <c r="E117" s="11">
        <f t="shared" si="40"/>
        <v>266.12099807167328</v>
      </c>
      <c r="F117" s="11">
        <f>+B117-C117</f>
        <v>35565.417882951959</v>
      </c>
    </row>
    <row r="118" spans="1:6" x14ac:dyDescent="0.25">
      <c r="A118" s="13" t="s">
        <v>59</v>
      </c>
      <c r="B118" s="11">
        <f t="shared" ref="B118:B125" si="41">+F117</f>
        <v>35565.417882951959</v>
      </c>
      <c r="C118" s="11">
        <f t="shared" ref="C118:C125" si="42">+E118-D118</f>
        <v>58.656060421120173</v>
      </c>
      <c r="D118" s="11">
        <f t="shared" ref="D118:D125" si="43">B118*$I$2</f>
        <v>207.46493765055311</v>
      </c>
      <c r="E118" s="11">
        <f t="shared" si="40"/>
        <v>266.12099807167328</v>
      </c>
      <c r="F118" s="11">
        <f t="shared" ref="F118:F125" si="44">+B118-C118</f>
        <v>35506.76182253084</v>
      </c>
    </row>
    <row r="119" spans="1:6" x14ac:dyDescent="0.25">
      <c r="A119" s="13" t="s">
        <v>61</v>
      </c>
      <c r="B119" s="11">
        <f t="shared" si="41"/>
        <v>35506.76182253084</v>
      </c>
      <c r="C119" s="11">
        <f t="shared" si="42"/>
        <v>58.998220773576719</v>
      </c>
      <c r="D119" s="11">
        <f t="shared" si="43"/>
        <v>207.12277729809657</v>
      </c>
      <c r="E119" s="11">
        <f t="shared" si="40"/>
        <v>266.12099807167328</v>
      </c>
      <c r="F119" s="11">
        <f t="shared" si="44"/>
        <v>35447.763601757266</v>
      </c>
    </row>
    <row r="120" spans="1:6" x14ac:dyDescent="0.25">
      <c r="A120" s="13" t="s">
        <v>63</v>
      </c>
      <c r="B120" s="11">
        <f t="shared" si="41"/>
        <v>35447.763601757266</v>
      </c>
      <c r="C120" s="11">
        <f t="shared" si="42"/>
        <v>59.342377061422553</v>
      </c>
      <c r="D120" s="11">
        <f t="shared" si="43"/>
        <v>206.77862101025073</v>
      </c>
      <c r="E120" s="11">
        <f t="shared" si="40"/>
        <v>266.12099807167328</v>
      </c>
      <c r="F120" s="11">
        <f t="shared" si="44"/>
        <v>35388.421224695841</v>
      </c>
    </row>
    <row r="121" spans="1:6" x14ac:dyDescent="0.25">
      <c r="A121" s="13" t="s">
        <v>64</v>
      </c>
      <c r="B121" s="11">
        <f t="shared" si="41"/>
        <v>35388.421224695841</v>
      </c>
      <c r="C121" s="11">
        <f t="shared" si="42"/>
        <v>59.688540927614213</v>
      </c>
      <c r="D121" s="11">
        <f t="shared" si="43"/>
        <v>206.43245714405907</v>
      </c>
      <c r="E121" s="11">
        <f t="shared" si="40"/>
        <v>266.12099807167328</v>
      </c>
      <c r="F121" s="11">
        <f t="shared" si="44"/>
        <v>35328.732683768227</v>
      </c>
    </row>
    <row r="122" spans="1:6" x14ac:dyDescent="0.25">
      <c r="A122" s="13" t="s">
        <v>65</v>
      </c>
      <c r="B122" s="11">
        <f t="shared" si="41"/>
        <v>35328.732683768227</v>
      </c>
      <c r="C122" s="11">
        <f t="shared" si="42"/>
        <v>60.036724083025291</v>
      </c>
      <c r="D122" s="11">
        <f t="shared" si="43"/>
        <v>206.08427398864799</v>
      </c>
      <c r="E122" s="11">
        <f t="shared" si="40"/>
        <v>266.12099807167328</v>
      </c>
      <c r="F122" s="11">
        <f t="shared" si="44"/>
        <v>35268.695959685203</v>
      </c>
    </row>
    <row r="123" spans="1:6" x14ac:dyDescent="0.25">
      <c r="A123" s="13" t="s">
        <v>66</v>
      </c>
      <c r="B123" s="11">
        <f t="shared" si="41"/>
        <v>35268.695959685203</v>
      </c>
      <c r="C123" s="11">
        <f t="shared" si="42"/>
        <v>60.386938306842922</v>
      </c>
      <c r="D123" s="11">
        <f t="shared" si="43"/>
        <v>205.73405976483036</v>
      </c>
      <c r="E123" s="11">
        <f t="shared" si="40"/>
        <v>266.12099807167328</v>
      </c>
      <c r="F123" s="11">
        <f t="shared" si="44"/>
        <v>35208.309021378358</v>
      </c>
    </row>
    <row r="124" spans="1:6" x14ac:dyDescent="0.25">
      <c r="A124" s="13" t="s">
        <v>67</v>
      </c>
      <c r="B124" s="11">
        <f t="shared" si="41"/>
        <v>35208.309021378358</v>
      </c>
      <c r="C124" s="11">
        <f t="shared" si="42"/>
        <v>60.739195446966193</v>
      </c>
      <c r="D124" s="11">
        <f t="shared" si="43"/>
        <v>205.38180262470709</v>
      </c>
      <c r="E124" s="11">
        <f t="shared" si="40"/>
        <v>266.12099807167328</v>
      </c>
      <c r="F124" s="11">
        <f t="shared" si="44"/>
        <v>35147.569825931394</v>
      </c>
    </row>
    <row r="125" spans="1:6" x14ac:dyDescent="0.25">
      <c r="A125" s="13" t="s">
        <v>68</v>
      </c>
      <c r="B125" s="11">
        <f t="shared" si="41"/>
        <v>35147.569825931394</v>
      </c>
      <c r="C125" s="11">
        <f t="shared" si="42"/>
        <v>61.093507420406809</v>
      </c>
      <c r="D125" s="11">
        <f t="shared" si="43"/>
        <v>205.02749065126648</v>
      </c>
      <c r="E125" s="11">
        <f t="shared" si="40"/>
        <v>266.12099807167328</v>
      </c>
      <c r="F125" s="16">
        <f t="shared" si="44"/>
        <v>35086.476318510984</v>
      </c>
    </row>
    <row r="126" spans="1:6" x14ac:dyDescent="0.25">
      <c r="A126" s="17" t="s">
        <v>69</v>
      </c>
      <c r="B126" s="11"/>
      <c r="C126" s="16">
        <f>SUM(C114:C125)</f>
        <v>710.18371757556292</v>
      </c>
      <c r="D126" s="16">
        <f>SUM(D114:D125)</f>
        <v>2483.2682592845163</v>
      </c>
      <c r="E126" s="11"/>
      <c r="F126" s="11"/>
    </row>
    <row r="128" spans="1:6" x14ac:dyDescent="0.25">
      <c r="A128" s="10" t="s">
        <v>73</v>
      </c>
      <c r="B128" s="11">
        <f>+F125</f>
        <v>35086.476318510984</v>
      </c>
      <c r="C128" s="11">
        <f>+E128-D128</f>
        <v>61.449886213692537</v>
      </c>
      <c r="D128" s="11">
        <f>B128*$I$2</f>
        <v>204.67111185798075</v>
      </c>
      <c r="E128" s="11">
        <f t="shared" ref="E128:E139" si="45">-$I$9</f>
        <v>266.12099807167328</v>
      </c>
      <c r="F128" s="11">
        <f>+B128-C128</f>
        <v>35025.026432297294</v>
      </c>
    </row>
    <row r="129" spans="1:6" x14ac:dyDescent="0.25">
      <c r="A129" s="13" t="s">
        <v>53</v>
      </c>
      <c r="B129" s="11">
        <f>+F128</f>
        <v>35025.026432297294</v>
      </c>
      <c r="C129" s="11">
        <f>+E129-D129</f>
        <v>61.808343883272386</v>
      </c>
      <c r="D129" s="11">
        <f>B129*$I$2</f>
        <v>204.3126541884009</v>
      </c>
      <c r="E129" s="11">
        <f t="shared" si="45"/>
        <v>266.12099807167328</v>
      </c>
      <c r="F129" s="11">
        <f>+B129-C129</f>
        <v>34963.218088414025</v>
      </c>
    </row>
    <row r="130" spans="1:6" x14ac:dyDescent="0.25">
      <c r="A130" s="13" t="s">
        <v>55</v>
      </c>
      <c r="B130" s="11">
        <f>+F129</f>
        <v>34963.218088414025</v>
      </c>
      <c r="C130" s="11">
        <f>+E130-D130</f>
        <v>62.168892555924799</v>
      </c>
      <c r="D130" s="11">
        <f>B130*$I$2</f>
        <v>203.95210551574849</v>
      </c>
      <c r="E130" s="11">
        <f t="shared" si="45"/>
        <v>266.12099807167328</v>
      </c>
      <c r="F130" s="11">
        <f>+B130-C130</f>
        <v>34901.049195858097</v>
      </c>
    </row>
    <row r="131" spans="1:6" x14ac:dyDescent="0.25">
      <c r="A131" s="13" t="s">
        <v>57</v>
      </c>
      <c r="B131" s="11">
        <f>+F130</f>
        <v>34901.049195858097</v>
      </c>
      <c r="C131" s="11">
        <f>+E131-D131</f>
        <v>62.531544429167695</v>
      </c>
      <c r="D131" s="11">
        <f>B131*$I$2</f>
        <v>203.58945364250559</v>
      </c>
      <c r="E131" s="11">
        <f t="shared" si="45"/>
        <v>266.12099807167328</v>
      </c>
      <c r="F131" s="11">
        <f>+B131-C131</f>
        <v>34838.517651428927</v>
      </c>
    </row>
    <row r="132" spans="1:6" x14ac:dyDescent="0.25">
      <c r="A132" s="13" t="s">
        <v>59</v>
      </c>
      <c r="B132" s="11">
        <f t="shared" ref="B132:B139" si="46">+F131</f>
        <v>34838.517651428927</v>
      </c>
      <c r="C132" s="11">
        <f t="shared" ref="C132:C139" si="47">+E132-D132</f>
        <v>62.896311771671208</v>
      </c>
      <c r="D132" s="11">
        <f t="shared" ref="D132:D139" si="48">B132*$I$2</f>
        <v>203.22468630000208</v>
      </c>
      <c r="E132" s="11">
        <f t="shared" si="45"/>
        <v>266.12099807167328</v>
      </c>
      <c r="F132" s="11">
        <f t="shared" ref="F132:F139" si="49">+B132-C132</f>
        <v>34775.621339657257</v>
      </c>
    </row>
    <row r="133" spans="1:6" x14ac:dyDescent="0.25">
      <c r="A133" s="13" t="s">
        <v>61</v>
      </c>
      <c r="B133" s="11">
        <f t="shared" si="46"/>
        <v>34775.621339657257</v>
      </c>
      <c r="C133" s="11">
        <f t="shared" si="47"/>
        <v>63.263206923672612</v>
      </c>
      <c r="D133" s="11">
        <f t="shared" si="48"/>
        <v>202.85779114800067</v>
      </c>
      <c r="E133" s="11">
        <f t="shared" si="45"/>
        <v>266.12099807167328</v>
      </c>
      <c r="F133" s="11">
        <f t="shared" si="49"/>
        <v>34712.358132733585</v>
      </c>
    </row>
    <row r="134" spans="1:6" x14ac:dyDescent="0.25">
      <c r="A134" s="13" t="s">
        <v>63</v>
      </c>
      <c r="B134" s="11">
        <f t="shared" si="46"/>
        <v>34712.358132733585</v>
      </c>
      <c r="C134" s="11">
        <f t="shared" si="47"/>
        <v>63.632242297394015</v>
      </c>
      <c r="D134" s="11">
        <f t="shared" si="48"/>
        <v>202.48875577427927</v>
      </c>
      <c r="E134" s="11">
        <f t="shared" si="45"/>
        <v>266.12099807167328</v>
      </c>
      <c r="F134" s="11">
        <f t="shared" si="49"/>
        <v>34648.725890436188</v>
      </c>
    </row>
    <row r="135" spans="1:6" x14ac:dyDescent="0.25">
      <c r="A135" s="13" t="s">
        <v>64</v>
      </c>
      <c r="B135" s="11">
        <f t="shared" si="46"/>
        <v>34648.725890436188</v>
      </c>
      <c r="C135" s="11">
        <f t="shared" si="47"/>
        <v>64.003430377462166</v>
      </c>
      <c r="D135" s="11">
        <f t="shared" si="48"/>
        <v>202.11756769421112</v>
      </c>
      <c r="E135" s="11">
        <f t="shared" si="45"/>
        <v>266.12099807167328</v>
      </c>
      <c r="F135" s="11">
        <f t="shared" si="49"/>
        <v>34584.722460058729</v>
      </c>
    </row>
    <row r="136" spans="1:6" x14ac:dyDescent="0.25">
      <c r="A136" s="13" t="s">
        <v>65</v>
      </c>
      <c r="B136" s="11">
        <f t="shared" si="46"/>
        <v>34584.722460058729</v>
      </c>
      <c r="C136" s="11">
        <f t="shared" si="47"/>
        <v>64.376783721330696</v>
      </c>
      <c r="D136" s="11">
        <f t="shared" si="48"/>
        <v>201.74421435034259</v>
      </c>
      <c r="E136" s="11">
        <f t="shared" si="45"/>
        <v>266.12099807167328</v>
      </c>
      <c r="F136" s="11">
        <f t="shared" si="49"/>
        <v>34520.345676337398</v>
      </c>
    </row>
    <row r="137" spans="1:6" x14ac:dyDescent="0.25">
      <c r="A137" s="13" t="s">
        <v>66</v>
      </c>
      <c r="B137" s="11">
        <f t="shared" si="46"/>
        <v>34520.345676337398</v>
      </c>
      <c r="C137" s="11">
        <f t="shared" si="47"/>
        <v>64.752314959705132</v>
      </c>
      <c r="D137" s="11">
        <f t="shared" si="48"/>
        <v>201.36868311196815</v>
      </c>
      <c r="E137" s="11">
        <f t="shared" si="45"/>
        <v>266.12099807167328</v>
      </c>
      <c r="F137" s="11">
        <f t="shared" si="49"/>
        <v>34455.593361377694</v>
      </c>
    </row>
    <row r="138" spans="1:6" x14ac:dyDescent="0.25">
      <c r="A138" s="13" t="s">
        <v>67</v>
      </c>
      <c r="B138" s="11">
        <f t="shared" si="46"/>
        <v>34455.593361377694</v>
      </c>
      <c r="C138" s="11">
        <f t="shared" si="47"/>
        <v>65.130036796970046</v>
      </c>
      <c r="D138" s="11">
        <f t="shared" si="48"/>
        <v>200.99096127470324</v>
      </c>
      <c r="E138" s="11">
        <f t="shared" si="45"/>
        <v>266.12099807167328</v>
      </c>
      <c r="F138" s="11">
        <f t="shared" si="49"/>
        <v>34390.463324580727</v>
      </c>
    </row>
    <row r="139" spans="1:6" x14ac:dyDescent="0.25">
      <c r="A139" s="13" t="s">
        <v>68</v>
      </c>
      <c r="B139" s="11">
        <f t="shared" si="46"/>
        <v>34390.463324580727</v>
      </c>
      <c r="C139" s="11">
        <f t="shared" si="47"/>
        <v>65.509962011619024</v>
      </c>
      <c r="D139" s="11">
        <f t="shared" si="48"/>
        <v>200.61103606005426</v>
      </c>
      <c r="E139" s="11">
        <f t="shared" si="45"/>
        <v>266.12099807167328</v>
      </c>
      <c r="F139" s="16">
        <f t="shared" si="49"/>
        <v>34324.953362569111</v>
      </c>
    </row>
    <row r="140" spans="1:6" x14ac:dyDescent="0.25">
      <c r="A140" s="17" t="s">
        <v>69</v>
      </c>
      <c r="B140" s="11"/>
      <c r="C140" s="16">
        <f>SUM(C128:C139)</f>
        <v>761.52295594188229</v>
      </c>
      <c r="D140" s="16">
        <f>SUM(D128:D139)</f>
        <v>2431.9290209181972</v>
      </c>
      <c r="E140" s="11"/>
      <c r="F140" s="11"/>
    </row>
    <row r="142" spans="1:6" x14ac:dyDescent="0.25">
      <c r="A142" s="10" t="s">
        <v>73</v>
      </c>
      <c r="B142" s="11">
        <f>+F139</f>
        <v>34324.953362569111</v>
      </c>
      <c r="C142" s="11">
        <f>+E142-D142</f>
        <v>65.892103456686783</v>
      </c>
      <c r="D142" s="11">
        <f>B142*$I$2</f>
        <v>200.2288946149865</v>
      </c>
      <c r="E142" s="11">
        <f t="shared" ref="E142:E153" si="50">-$I$9</f>
        <v>266.12099807167328</v>
      </c>
      <c r="F142" s="11">
        <f>+B142-C142</f>
        <v>34259.061259112423</v>
      </c>
    </row>
    <row r="143" spans="1:6" x14ac:dyDescent="0.25">
      <c r="A143" s="13" t="s">
        <v>53</v>
      </c>
      <c r="B143" s="11">
        <f>+F142</f>
        <v>34259.061259112423</v>
      </c>
      <c r="C143" s="11">
        <f>+E143-D143</f>
        <v>66.276474060184142</v>
      </c>
      <c r="D143" s="11">
        <f>B143*$I$2</f>
        <v>199.84452401148914</v>
      </c>
      <c r="E143" s="11">
        <f t="shared" si="50"/>
        <v>266.12099807167328</v>
      </c>
      <c r="F143" s="11">
        <f>+B143-C143</f>
        <v>34192.784785052238</v>
      </c>
    </row>
    <row r="144" spans="1:6" x14ac:dyDescent="0.25">
      <c r="A144" s="13" t="s">
        <v>55</v>
      </c>
      <c r="B144" s="11">
        <f>+F143</f>
        <v>34192.784785052238</v>
      </c>
      <c r="C144" s="11">
        <f>+E144-D144</f>
        <v>66.663086825535231</v>
      </c>
      <c r="D144" s="11">
        <f>B144*$I$2</f>
        <v>199.45791124613805</v>
      </c>
      <c r="E144" s="11">
        <f t="shared" si="50"/>
        <v>266.12099807167328</v>
      </c>
      <c r="F144" s="11">
        <f>+B144-C144</f>
        <v>34126.1216982267</v>
      </c>
    </row>
    <row r="145" spans="1:6" x14ac:dyDescent="0.25">
      <c r="A145" s="13" t="s">
        <v>57</v>
      </c>
      <c r="B145" s="11">
        <f>+F144</f>
        <v>34126.1216982267</v>
      </c>
      <c r="C145" s="11">
        <f>+E145-D145</f>
        <v>67.051954832017515</v>
      </c>
      <c r="D145" s="11">
        <f>B145*$I$2</f>
        <v>199.06904323965577</v>
      </c>
      <c r="E145" s="11">
        <f t="shared" si="50"/>
        <v>266.12099807167328</v>
      </c>
      <c r="F145" s="11">
        <f>+B145-C145</f>
        <v>34059.069743394684</v>
      </c>
    </row>
    <row r="146" spans="1:6" x14ac:dyDescent="0.25">
      <c r="A146" s="13" t="s">
        <v>59</v>
      </c>
      <c r="B146" s="11">
        <f t="shared" ref="B146:B153" si="51">+F145</f>
        <v>34059.069743394684</v>
      </c>
      <c r="C146" s="11">
        <f t="shared" ref="C146:C153" si="52">+E146-D146</f>
        <v>67.443091235204292</v>
      </c>
      <c r="D146" s="11">
        <f t="shared" ref="D146:D153" si="53">B146*$I$2</f>
        <v>198.67790683646899</v>
      </c>
      <c r="E146" s="11">
        <f t="shared" si="50"/>
        <v>266.12099807167328</v>
      </c>
      <c r="F146" s="11">
        <f t="shared" ref="F146:F153" si="54">+B146-C146</f>
        <v>33991.626652159481</v>
      </c>
    </row>
    <row r="147" spans="1:6" x14ac:dyDescent="0.25">
      <c r="A147" s="13" t="s">
        <v>61</v>
      </c>
      <c r="B147" s="11">
        <f t="shared" si="51"/>
        <v>33991.626652159481</v>
      </c>
      <c r="C147" s="11">
        <f t="shared" si="52"/>
        <v>67.836509267409639</v>
      </c>
      <c r="D147" s="11">
        <f t="shared" si="53"/>
        <v>198.28448880426365</v>
      </c>
      <c r="E147" s="11">
        <f t="shared" si="50"/>
        <v>266.12099807167328</v>
      </c>
      <c r="F147" s="11">
        <f t="shared" si="54"/>
        <v>33923.790142892074</v>
      </c>
    </row>
    <row r="148" spans="1:6" x14ac:dyDescent="0.25">
      <c r="A148" s="13" t="s">
        <v>63</v>
      </c>
      <c r="B148" s="11">
        <f t="shared" si="51"/>
        <v>33923.790142892074</v>
      </c>
      <c r="C148" s="11">
        <f t="shared" si="52"/>
        <v>68.232222238136188</v>
      </c>
      <c r="D148" s="11">
        <f t="shared" si="53"/>
        <v>197.8887758335371</v>
      </c>
      <c r="E148" s="11">
        <f t="shared" si="50"/>
        <v>266.12099807167328</v>
      </c>
      <c r="F148" s="11">
        <f t="shared" si="54"/>
        <v>33855.557920653941</v>
      </c>
    </row>
    <row r="149" spans="1:6" x14ac:dyDescent="0.25">
      <c r="A149" s="13" t="s">
        <v>64</v>
      </c>
      <c r="B149" s="11">
        <f t="shared" si="51"/>
        <v>33855.557920653941</v>
      </c>
      <c r="C149" s="11">
        <f t="shared" si="52"/>
        <v>68.630243534525277</v>
      </c>
      <c r="D149" s="11">
        <f t="shared" si="53"/>
        <v>197.49075453714801</v>
      </c>
      <c r="E149" s="11">
        <f t="shared" si="50"/>
        <v>266.12099807167328</v>
      </c>
      <c r="F149" s="11">
        <f t="shared" si="54"/>
        <v>33786.927677119413</v>
      </c>
    </row>
    <row r="150" spans="1:6" x14ac:dyDescent="0.25">
      <c r="A150" s="13" t="s">
        <v>65</v>
      </c>
      <c r="B150" s="11">
        <f t="shared" si="51"/>
        <v>33786.927677119413</v>
      </c>
      <c r="C150" s="11">
        <f t="shared" si="52"/>
        <v>69.030586621810045</v>
      </c>
      <c r="D150" s="11">
        <f t="shared" si="53"/>
        <v>197.09041144986324</v>
      </c>
      <c r="E150" s="11">
        <f t="shared" si="50"/>
        <v>266.12099807167328</v>
      </c>
      <c r="F150" s="11">
        <f t="shared" si="54"/>
        <v>33717.897090497601</v>
      </c>
    </row>
    <row r="151" spans="1:6" x14ac:dyDescent="0.25">
      <c r="A151" s="13" t="s">
        <v>66</v>
      </c>
      <c r="B151" s="11">
        <f t="shared" si="51"/>
        <v>33717.897090497601</v>
      </c>
      <c r="C151" s="11">
        <f t="shared" si="52"/>
        <v>69.433265043770604</v>
      </c>
      <c r="D151" s="11">
        <f t="shared" si="53"/>
        <v>196.68773302790268</v>
      </c>
      <c r="E151" s="11">
        <f t="shared" si="50"/>
        <v>266.12099807167328</v>
      </c>
      <c r="F151" s="11">
        <f t="shared" si="54"/>
        <v>33648.463825453829</v>
      </c>
    </row>
    <row r="152" spans="1:6" x14ac:dyDescent="0.25">
      <c r="A152" s="13" t="s">
        <v>67</v>
      </c>
      <c r="B152" s="11">
        <f t="shared" si="51"/>
        <v>33648.463825453829</v>
      </c>
      <c r="C152" s="11">
        <f t="shared" si="52"/>
        <v>69.838292423192598</v>
      </c>
      <c r="D152" s="11">
        <f t="shared" si="53"/>
        <v>196.28270564848069</v>
      </c>
      <c r="E152" s="11">
        <f t="shared" si="50"/>
        <v>266.12099807167328</v>
      </c>
      <c r="F152" s="11">
        <f t="shared" si="54"/>
        <v>33578.625533030638</v>
      </c>
    </row>
    <row r="153" spans="1:6" x14ac:dyDescent="0.25">
      <c r="A153" s="13" t="s">
        <v>68</v>
      </c>
      <c r="B153" s="11">
        <f t="shared" si="51"/>
        <v>33578.625533030638</v>
      </c>
      <c r="C153" s="11">
        <f t="shared" si="52"/>
        <v>70.245682462327892</v>
      </c>
      <c r="D153" s="11">
        <f t="shared" si="53"/>
        <v>195.87531560934539</v>
      </c>
      <c r="E153" s="11">
        <f t="shared" si="50"/>
        <v>266.12099807167328</v>
      </c>
      <c r="F153" s="16">
        <f t="shared" si="54"/>
        <v>33508.379850568308</v>
      </c>
    </row>
    <row r="154" spans="1:6" x14ac:dyDescent="0.25">
      <c r="A154" s="17" t="s">
        <v>69</v>
      </c>
      <c r="B154" s="11"/>
      <c r="C154" s="16">
        <f>SUM(C142:C153)</f>
        <v>816.57351200080006</v>
      </c>
      <c r="D154" s="16">
        <f>SUM(D142:D153)</f>
        <v>2376.8784648592787</v>
      </c>
      <c r="E154" s="11"/>
      <c r="F154" s="11"/>
    </row>
    <row r="156" spans="1:6" x14ac:dyDescent="0.25">
      <c r="A156" s="10" t="s">
        <v>73</v>
      </c>
      <c r="B156" s="11">
        <f>+F153</f>
        <v>33508.379850568308</v>
      </c>
      <c r="C156" s="11">
        <f>+E156-D156</f>
        <v>70.655448943358152</v>
      </c>
      <c r="D156" s="11">
        <f>B156*$I$2</f>
        <v>195.46554912831513</v>
      </c>
      <c r="E156" s="11">
        <f t="shared" ref="E156:E167" si="55">-$I$9</f>
        <v>266.12099807167328</v>
      </c>
      <c r="F156" s="11">
        <f>+B156-C156</f>
        <v>33437.724401624953</v>
      </c>
    </row>
    <row r="157" spans="1:6" x14ac:dyDescent="0.25">
      <c r="A157" s="13" t="s">
        <v>53</v>
      </c>
      <c r="B157" s="11">
        <f>+F156</f>
        <v>33437.724401624953</v>
      </c>
      <c r="C157" s="11">
        <f>+E157-D157</f>
        <v>71.067605728861054</v>
      </c>
      <c r="D157" s="11">
        <f>B157*$I$2</f>
        <v>195.05339234281223</v>
      </c>
      <c r="E157" s="11">
        <f t="shared" si="55"/>
        <v>266.12099807167328</v>
      </c>
      <c r="F157" s="11">
        <f>+B157-C157</f>
        <v>33366.656795896095</v>
      </c>
    </row>
    <row r="158" spans="1:6" x14ac:dyDescent="0.25">
      <c r="A158" s="13" t="s">
        <v>55</v>
      </c>
      <c r="B158" s="11">
        <f>+F157</f>
        <v>33366.656795896095</v>
      </c>
      <c r="C158" s="11">
        <f>+E158-D158</f>
        <v>71.482166762279377</v>
      </c>
      <c r="D158" s="11">
        <f>B158*$I$2</f>
        <v>194.63883130939391</v>
      </c>
      <c r="E158" s="11">
        <f t="shared" si="55"/>
        <v>266.12099807167328</v>
      </c>
      <c r="F158" s="11">
        <f>+B158-C158</f>
        <v>33295.174629133813</v>
      </c>
    </row>
    <row r="159" spans="1:6" x14ac:dyDescent="0.25">
      <c r="A159" s="13" t="s">
        <v>57</v>
      </c>
      <c r="B159" s="11">
        <f>+F158</f>
        <v>33295.174629133813</v>
      </c>
      <c r="C159" s="11">
        <f>+E159-D159</f>
        <v>71.899146068392696</v>
      </c>
      <c r="D159" s="11">
        <f>B159*$I$2</f>
        <v>194.22185200328059</v>
      </c>
      <c r="E159" s="11">
        <f t="shared" si="55"/>
        <v>266.12099807167328</v>
      </c>
      <c r="F159" s="11">
        <f>+B159-C159</f>
        <v>33223.275483065423</v>
      </c>
    </row>
    <row r="160" spans="1:6" x14ac:dyDescent="0.25">
      <c r="A160" s="13" t="s">
        <v>59</v>
      </c>
      <c r="B160" s="11">
        <f t="shared" ref="B160:B167" si="56">+F159</f>
        <v>33223.275483065423</v>
      </c>
      <c r="C160" s="11">
        <f t="shared" ref="C160:C167" si="57">+E160-D160</f>
        <v>72.318557753791652</v>
      </c>
      <c r="D160" s="11">
        <f t="shared" ref="D160:D167" si="58">B160*$I$2</f>
        <v>193.80244031788163</v>
      </c>
      <c r="E160" s="11">
        <f t="shared" si="55"/>
        <v>266.12099807167328</v>
      </c>
      <c r="F160" s="11">
        <f t="shared" ref="F160:F167" si="59">+B160-C160</f>
        <v>33150.956925311628</v>
      </c>
    </row>
    <row r="161" spans="1:6" x14ac:dyDescent="0.25">
      <c r="A161" s="13" t="s">
        <v>61</v>
      </c>
      <c r="B161" s="11">
        <f t="shared" si="56"/>
        <v>33150.956925311628</v>
      </c>
      <c r="C161" s="11">
        <f t="shared" si="57"/>
        <v>72.740416007355435</v>
      </c>
      <c r="D161" s="11">
        <f t="shared" si="58"/>
        <v>193.38058206431785</v>
      </c>
      <c r="E161" s="11">
        <f t="shared" si="55"/>
        <v>266.12099807167328</v>
      </c>
      <c r="F161" s="11">
        <f t="shared" si="59"/>
        <v>33078.216509304271</v>
      </c>
    </row>
    <row r="162" spans="1:6" x14ac:dyDescent="0.25">
      <c r="A162" s="13" t="s">
        <v>63</v>
      </c>
      <c r="B162" s="11">
        <f t="shared" si="56"/>
        <v>33078.216509304271</v>
      </c>
      <c r="C162" s="11">
        <f t="shared" si="57"/>
        <v>73.16473510073169</v>
      </c>
      <c r="D162" s="11">
        <f t="shared" si="58"/>
        <v>192.95626297094159</v>
      </c>
      <c r="E162" s="11">
        <f t="shared" si="55"/>
        <v>266.12099807167328</v>
      </c>
      <c r="F162" s="11">
        <f t="shared" si="59"/>
        <v>33005.051774203537</v>
      </c>
    </row>
    <row r="163" spans="1:6" x14ac:dyDescent="0.25">
      <c r="A163" s="13" t="s">
        <v>64</v>
      </c>
      <c r="B163" s="11">
        <f t="shared" si="56"/>
        <v>33005.051774203537</v>
      </c>
      <c r="C163" s="11">
        <f t="shared" si="57"/>
        <v>73.59152938881931</v>
      </c>
      <c r="D163" s="11">
        <f t="shared" si="58"/>
        <v>192.52946868285397</v>
      </c>
      <c r="E163" s="11">
        <f t="shared" si="55"/>
        <v>266.12099807167328</v>
      </c>
      <c r="F163" s="11">
        <f t="shared" si="59"/>
        <v>32931.46024481472</v>
      </c>
    </row>
    <row r="164" spans="1:6" x14ac:dyDescent="0.25">
      <c r="A164" s="13" t="s">
        <v>65</v>
      </c>
      <c r="B164" s="11">
        <f t="shared" si="56"/>
        <v>32931.46024481472</v>
      </c>
      <c r="C164" s="11">
        <f t="shared" si="57"/>
        <v>74.020813310254084</v>
      </c>
      <c r="D164" s="11">
        <f t="shared" si="58"/>
        <v>192.1001847614192</v>
      </c>
      <c r="E164" s="11">
        <f t="shared" si="55"/>
        <v>266.12099807167328</v>
      </c>
      <c r="F164" s="11">
        <f t="shared" si="59"/>
        <v>32857.439431504463</v>
      </c>
    </row>
    <row r="165" spans="1:6" x14ac:dyDescent="0.25">
      <c r="A165" s="13" t="s">
        <v>66</v>
      </c>
      <c r="B165" s="11">
        <f t="shared" si="56"/>
        <v>32857.439431504463</v>
      </c>
      <c r="C165" s="11">
        <f t="shared" si="57"/>
        <v>74.452601387897232</v>
      </c>
      <c r="D165" s="11">
        <f t="shared" si="58"/>
        <v>191.66839668377605</v>
      </c>
      <c r="E165" s="11">
        <f t="shared" si="55"/>
        <v>266.12099807167328</v>
      </c>
      <c r="F165" s="11">
        <f t="shared" si="59"/>
        <v>32782.986830116562</v>
      </c>
    </row>
    <row r="166" spans="1:6" x14ac:dyDescent="0.25">
      <c r="A166" s="13" t="s">
        <v>67</v>
      </c>
      <c r="B166" s="11">
        <f t="shared" si="56"/>
        <v>32782.986830116562</v>
      </c>
      <c r="C166" s="11">
        <f t="shared" si="57"/>
        <v>74.88690822932665</v>
      </c>
      <c r="D166" s="11">
        <f t="shared" si="58"/>
        <v>191.23408984234663</v>
      </c>
      <c r="E166" s="11">
        <f t="shared" si="55"/>
        <v>266.12099807167328</v>
      </c>
      <c r="F166" s="11">
        <f t="shared" si="59"/>
        <v>32708.099921887235</v>
      </c>
    </row>
    <row r="167" spans="1:6" x14ac:dyDescent="0.25">
      <c r="A167" s="13" t="s">
        <v>68</v>
      </c>
      <c r="B167" s="11">
        <f t="shared" si="56"/>
        <v>32708.099921887235</v>
      </c>
      <c r="C167" s="11">
        <f t="shared" si="57"/>
        <v>75.323748527331077</v>
      </c>
      <c r="D167" s="11">
        <f t="shared" si="58"/>
        <v>190.79724954434221</v>
      </c>
      <c r="E167" s="11">
        <f t="shared" si="55"/>
        <v>266.12099807167328</v>
      </c>
      <c r="F167" s="16">
        <f t="shared" si="59"/>
        <v>32632.776173359904</v>
      </c>
    </row>
    <row r="168" spans="1:6" x14ac:dyDescent="0.25">
      <c r="A168" s="17" t="s">
        <v>69</v>
      </c>
      <c r="B168" s="11"/>
      <c r="C168" s="16">
        <f>SUM(C156:C167)</f>
        <v>875.60367720839849</v>
      </c>
      <c r="D168" s="16">
        <f>SUM(D156:D167)</f>
        <v>2317.8482996516814</v>
      </c>
      <c r="E168" s="11"/>
      <c r="F168" s="1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19"/>
  <sheetViews>
    <sheetView showGridLines="0" tabSelected="1" workbookViewId="0">
      <selection activeCell="F3" sqref="F3"/>
    </sheetView>
  </sheetViews>
  <sheetFormatPr defaultColWidth="11" defaultRowHeight="15.75" x14ac:dyDescent="0.25"/>
  <sheetData>
    <row r="3" spans="2:2" x14ac:dyDescent="0.25">
      <c r="B3" s="22" t="s">
        <v>90</v>
      </c>
    </row>
    <row r="4" spans="2:2" x14ac:dyDescent="0.25">
      <c r="B4" s="23"/>
    </row>
    <row r="5" spans="2:2" x14ac:dyDescent="0.25">
      <c r="B5" s="23" t="s">
        <v>91</v>
      </c>
    </row>
    <row r="6" spans="2:2" x14ac:dyDescent="0.25">
      <c r="B6" s="23" t="s">
        <v>92</v>
      </c>
    </row>
    <row r="7" spans="2:2" x14ac:dyDescent="0.25">
      <c r="B7" s="23" t="s">
        <v>93</v>
      </c>
    </row>
    <row r="8" spans="2:2" x14ac:dyDescent="0.25">
      <c r="B8" s="23" t="s">
        <v>94</v>
      </c>
    </row>
    <row r="9" spans="2:2" x14ac:dyDescent="0.25">
      <c r="B9" s="23" t="s">
        <v>95</v>
      </c>
    </row>
    <row r="10" spans="2:2" x14ac:dyDescent="0.25">
      <c r="B10" s="23" t="s">
        <v>96</v>
      </c>
    </row>
    <row r="11" spans="2:2" x14ac:dyDescent="0.25">
      <c r="B11" s="23" t="s">
        <v>97</v>
      </c>
    </row>
    <row r="12" spans="2:2" x14ac:dyDescent="0.25">
      <c r="B12" s="23" t="s">
        <v>98</v>
      </c>
    </row>
    <row r="13" spans="2:2" x14ac:dyDescent="0.25">
      <c r="B13" s="23" t="s">
        <v>99</v>
      </c>
    </row>
    <row r="14" spans="2:2" x14ac:dyDescent="0.25">
      <c r="B14" s="23" t="s">
        <v>100</v>
      </c>
    </row>
    <row r="15" spans="2:2" x14ac:dyDescent="0.25">
      <c r="B15" s="23" t="s">
        <v>101</v>
      </c>
    </row>
    <row r="16" spans="2:2" x14ac:dyDescent="0.25">
      <c r="B16" s="23" t="s">
        <v>102</v>
      </c>
    </row>
    <row r="17" spans="2:2" x14ac:dyDescent="0.25">
      <c r="B17" s="23" t="s">
        <v>103</v>
      </c>
    </row>
    <row r="18" spans="2:2" x14ac:dyDescent="0.25">
      <c r="B18" s="23" t="s">
        <v>104</v>
      </c>
    </row>
    <row r="19" spans="2:2" x14ac:dyDescent="0.25">
      <c r="B19" s="23" t="s">
        <v>105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Income</vt:lpstr>
      <vt:lpstr>Mortgage</vt:lpstr>
      <vt:lpstr>assumptions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2013-12-05T20:43:15Z</dcterms:created>
  <dcterms:modified xsi:type="dcterms:W3CDTF">2013-12-06T18:03:21Z</dcterms:modified>
</cp:coreProperties>
</file>