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50" yWindow="555" windowWidth="12135" windowHeight="8640"/>
  </bookViews>
  <sheets>
    <sheet name="Statements" sheetId="1" r:id="rId1"/>
    <sheet name="Mortgage" sheetId="2" r:id="rId2"/>
  </sheets>
  <calcPr calcId="145621"/>
</workbook>
</file>

<file path=xl/calcChain.xml><?xml version="1.0" encoding="utf-8"?>
<calcChain xmlns="http://schemas.openxmlformats.org/spreadsheetml/2006/main">
  <c r="J47" i="1" l="1"/>
  <c r="I47" i="1"/>
  <c r="H47" i="1"/>
  <c r="G47" i="1"/>
  <c r="F47" i="1"/>
  <c r="E47" i="1"/>
  <c r="D47" i="1"/>
  <c r="C47" i="1"/>
  <c r="J73" i="1"/>
  <c r="I73" i="1"/>
  <c r="H73" i="1"/>
  <c r="G73" i="1"/>
  <c r="F73" i="1"/>
  <c r="E73" i="1"/>
  <c r="D73" i="1"/>
  <c r="C73" i="1"/>
  <c r="I2" i="2"/>
  <c r="I8" i="2" s="1"/>
  <c r="B2" i="2"/>
  <c r="B172" i="1"/>
  <c r="B176" i="1" s="1"/>
  <c r="E109" i="2" l="1"/>
  <c r="E36" i="2"/>
  <c r="E26" i="2"/>
  <c r="E50" i="2"/>
  <c r="E32" i="2"/>
  <c r="E4" i="2"/>
  <c r="E18" i="2"/>
  <c r="E8" i="2"/>
  <c r="E46" i="2"/>
  <c r="E40" i="2"/>
  <c r="E22" i="2"/>
  <c r="E12" i="2"/>
  <c r="D2" i="2"/>
  <c r="E54" i="2"/>
  <c r="E60" i="2"/>
  <c r="E64" i="2"/>
  <c r="E68" i="2"/>
  <c r="E74" i="2"/>
  <c r="E78" i="2"/>
  <c r="E82" i="2"/>
  <c r="E88" i="2"/>
  <c r="E92" i="2"/>
  <c r="E96" i="2"/>
  <c r="E102" i="2"/>
  <c r="E106" i="2"/>
  <c r="E110" i="2"/>
  <c r="E11" i="2"/>
  <c r="E7" i="2"/>
  <c r="E3" i="2"/>
  <c r="E25" i="2"/>
  <c r="E21" i="2"/>
  <c r="E17" i="2"/>
  <c r="E33" i="2"/>
  <c r="E37" i="2"/>
  <c r="E41" i="2"/>
  <c r="E47" i="2"/>
  <c r="E51" i="2"/>
  <c r="E55" i="2"/>
  <c r="E61" i="2"/>
  <c r="E65" i="2"/>
  <c r="E69" i="2"/>
  <c r="E75" i="2"/>
  <c r="E79" i="2"/>
  <c r="E83" i="2"/>
  <c r="E89" i="2"/>
  <c r="E93" i="2"/>
  <c r="E97" i="2"/>
  <c r="E103" i="2"/>
  <c r="E107" i="2"/>
  <c r="E111" i="2"/>
  <c r="E2" i="2"/>
  <c r="C2" i="2" s="1"/>
  <c r="E10" i="2"/>
  <c r="E6" i="2"/>
  <c r="E16" i="2"/>
  <c r="E24" i="2"/>
  <c r="E20" i="2"/>
  <c r="E30" i="2"/>
  <c r="E34" i="2"/>
  <c r="E38" i="2"/>
  <c r="E44" i="2"/>
  <c r="E48" i="2"/>
  <c r="E52" i="2"/>
  <c r="E58" i="2"/>
  <c r="E62" i="2"/>
  <c r="E66" i="2"/>
  <c r="E72" i="2"/>
  <c r="E76" i="2"/>
  <c r="E80" i="2"/>
  <c r="E86" i="2"/>
  <c r="E90" i="2"/>
  <c r="E94" i="2"/>
  <c r="E100" i="2"/>
  <c r="E104" i="2"/>
  <c r="E108" i="2"/>
  <c r="E13" i="2"/>
  <c r="E9" i="2"/>
  <c r="E5" i="2"/>
  <c r="E27" i="2"/>
  <c r="E23" i="2"/>
  <c r="E19" i="2"/>
  <c r="E31" i="2"/>
  <c r="E35" i="2"/>
  <c r="E39" i="2"/>
  <c r="E45" i="2"/>
  <c r="E49" i="2"/>
  <c r="E53" i="2"/>
  <c r="E59" i="2"/>
  <c r="E63" i="2"/>
  <c r="E67" i="2"/>
  <c r="E73" i="2"/>
  <c r="E77" i="2"/>
  <c r="E81" i="2"/>
  <c r="E87" i="2"/>
  <c r="E91" i="2"/>
  <c r="E95" i="2"/>
  <c r="E101" i="2"/>
  <c r="E105" i="2"/>
  <c r="J154" i="1"/>
  <c r="L151" i="1"/>
  <c r="J151" i="1" s="1"/>
  <c r="J152" i="1" s="1"/>
  <c r="F2" i="2" l="1"/>
  <c r="B3" i="2" s="1"/>
  <c r="D3" i="2" s="1"/>
  <c r="J161" i="1"/>
  <c r="J167" i="1" s="1"/>
  <c r="I161" i="1"/>
  <c r="H161" i="1"/>
  <c r="G161" i="1"/>
  <c r="F161" i="1"/>
  <c r="E161" i="1"/>
  <c r="D161" i="1"/>
  <c r="C161" i="1"/>
  <c r="I128" i="1"/>
  <c r="I130" i="1" s="1"/>
  <c r="G128" i="1"/>
  <c r="H120" i="1"/>
  <c r="H117" i="1"/>
  <c r="H116" i="1"/>
  <c r="D112" i="1"/>
  <c r="C101" i="1"/>
  <c r="D91" i="1"/>
  <c r="D86" i="1"/>
  <c r="G63" i="1"/>
  <c r="E63" i="1"/>
  <c r="C63" i="1"/>
  <c r="I63" i="1" s="1"/>
  <c r="J56" i="1"/>
  <c r="I56" i="1"/>
  <c r="H56" i="1"/>
  <c r="G56" i="1"/>
  <c r="F56" i="1"/>
  <c r="E56" i="1"/>
  <c r="D56" i="1"/>
  <c r="C56" i="1"/>
  <c r="J48" i="1"/>
  <c r="I48" i="1"/>
  <c r="H48" i="1"/>
  <c r="G48" i="1"/>
  <c r="F48" i="1"/>
  <c r="E48" i="1"/>
  <c r="D48" i="1"/>
  <c r="C48" i="1"/>
  <c r="C42" i="1"/>
  <c r="D29" i="1"/>
  <c r="E29" i="1" s="1"/>
  <c r="F29" i="1" s="1"/>
  <c r="G29" i="1" s="1"/>
  <c r="H29" i="1" s="1"/>
  <c r="I29" i="1" s="1"/>
  <c r="J29" i="1" s="1"/>
  <c r="E28" i="1"/>
  <c r="F28" i="1" s="1"/>
  <c r="D28" i="1"/>
  <c r="D27" i="1"/>
  <c r="E27" i="1" s="1"/>
  <c r="F27" i="1" s="1"/>
  <c r="G27" i="1" s="1"/>
  <c r="H27" i="1" s="1"/>
  <c r="I27" i="1" s="1"/>
  <c r="J27" i="1" s="1"/>
  <c r="D26" i="1"/>
  <c r="E26" i="1" s="1"/>
  <c r="F26" i="1" s="1"/>
  <c r="G26" i="1" s="1"/>
  <c r="H26" i="1" s="1"/>
  <c r="I26" i="1" s="1"/>
  <c r="J26" i="1" s="1"/>
  <c r="J25" i="1"/>
  <c r="I25" i="1"/>
  <c r="H25" i="1"/>
  <c r="G25" i="1"/>
  <c r="F25" i="1"/>
  <c r="E25" i="1"/>
  <c r="D25" i="1"/>
  <c r="C25" i="1"/>
  <c r="C24" i="1"/>
  <c r="I24" i="1" s="1"/>
  <c r="I46" i="1" s="1"/>
  <c r="I137" i="1" s="1"/>
  <c r="I141" i="1" s="1"/>
  <c r="E20" i="1"/>
  <c r="F20" i="1" s="1"/>
  <c r="G20" i="1" s="1"/>
  <c r="H20" i="1" s="1"/>
  <c r="I20" i="1" s="1"/>
  <c r="D20" i="1"/>
  <c r="D19" i="1"/>
  <c r="E19" i="1" s="1"/>
  <c r="F19" i="1" s="1"/>
  <c r="G19" i="1" s="1"/>
  <c r="H19" i="1" s="1"/>
  <c r="I19" i="1" s="1"/>
  <c r="J19" i="1" s="1"/>
  <c r="C12" i="1"/>
  <c r="C9" i="1" s="1"/>
  <c r="C34" i="1" s="1"/>
  <c r="H118" i="1" l="1"/>
  <c r="I117" i="1" s="1"/>
  <c r="C3" i="2"/>
  <c r="C46" i="1"/>
  <c r="I132" i="1"/>
  <c r="F24" i="1"/>
  <c r="F46" i="1" s="1"/>
  <c r="F137" i="1" s="1"/>
  <c r="F141" i="1" s="1"/>
  <c r="D24" i="1"/>
  <c r="G24" i="1"/>
  <c r="G46" i="1" s="1"/>
  <c r="G137" i="1" s="1"/>
  <c r="G141" i="1" s="1"/>
  <c r="L154" i="1"/>
  <c r="J155" i="1" s="1"/>
  <c r="H24" i="1"/>
  <c r="H46" i="1" s="1"/>
  <c r="H137" i="1" s="1"/>
  <c r="H141" i="1" s="1"/>
  <c r="D46" i="1"/>
  <c r="D137" i="1" s="1"/>
  <c r="D141" i="1" s="1"/>
  <c r="E24" i="1"/>
  <c r="E46" i="1" s="1"/>
  <c r="E137" i="1" s="1"/>
  <c r="E141" i="1" s="1"/>
  <c r="J24" i="1"/>
  <c r="C71" i="1"/>
  <c r="D42" i="1"/>
  <c r="C69" i="1"/>
  <c r="C58" i="1"/>
  <c r="G28" i="1"/>
  <c r="F12" i="1"/>
  <c r="C33" i="1"/>
  <c r="E12" i="1"/>
  <c r="C137" i="1"/>
  <c r="C141" i="1" s="1"/>
  <c r="C100" i="1"/>
  <c r="C64" i="1"/>
  <c r="D12" i="1"/>
  <c r="J63" i="1"/>
  <c r="F63" i="1"/>
  <c r="H63" i="1"/>
  <c r="D63" i="1"/>
  <c r="D90" i="1"/>
  <c r="D94" i="1" s="1"/>
  <c r="I116" i="1" l="1"/>
  <c r="G114" i="1" s="1"/>
  <c r="D114" i="1" s="1"/>
  <c r="F3" i="2"/>
  <c r="B4" i="2" s="1"/>
  <c r="D4" i="2" s="1"/>
  <c r="J46" i="1"/>
  <c r="J137" i="1" s="1"/>
  <c r="J141" i="1" s="1"/>
  <c r="L148" i="1"/>
  <c r="J148" i="1" s="1"/>
  <c r="J149" i="1" s="1"/>
  <c r="E42" i="1"/>
  <c r="D71" i="1"/>
  <c r="C163" i="1"/>
  <c r="F9" i="1"/>
  <c r="F34" i="1" s="1"/>
  <c r="D9" i="1"/>
  <c r="D34" i="1" s="1"/>
  <c r="E9" i="1"/>
  <c r="E34" i="1" s="1"/>
  <c r="H28" i="1"/>
  <c r="G12" i="1"/>
  <c r="D64" i="1"/>
  <c r="C66" i="1"/>
  <c r="C41" i="1"/>
  <c r="C99" i="1" s="1"/>
  <c r="C40" i="1"/>
  <c r="C146" i="1" s="1"/>
  <c r="C38" i="1"/>
  <c r="C37" i="1"/>
  <c r="C35" i="1"/>
  <c r="C162" i="1"/>
  <c r="C4" i="2" l="1"/>
  <c r="F42" i="1"/>
  <c r="E71" i="1"/>
  <c r="E69" i="1"/>
  <c r="E58" i="1"/>
  <c r="F162" i="1" s="1"/>
  <c r="F69" i="1"/>
  <c r="F58" i="1"/>
  <c r="E64" i="1"/>
  <c r="E33" i="1"/>
  <c r="F33" i="1"/>
  <c r="C97" i="1"/>
  <c r="C44" i="1"/>
  <c r="C136" i="1" s="1"/>
  <c r="C138" i="1" s="1"/>
  <c r="C142" i="1"/>
  <c r="C98" i="1"/>
  <c r="G9" i="1"/>
  <c r="G34" i="1" s="1"/>
  <c r="D69" i="1"/>
  <c r="D58" i="1"/>
  <c r="C50" i="1"/>
  <c r="I28" i="1"/>
  <c r="H12" i="1"/>
  <c r="D33" i="1"/>
  <c r="F4" i="2" l="1"/>
  <c r="B5" i="2" s="1"/>
  <c r="G42" i="1"/>
  <c r="F71" i="1"/>
  <c r="C140" i="1"/>
  <c r="C143" i="1" s="1"/>
  <c r="C172" i="1" s="1"/>
  <c r="C139" i="1"/>
  <c r="C164" i="1" s="1"/>
  <c r="C51" i="1"/>
  <c r="C70" i="1" s="1"/>
  <c r="H9" i="1"/>
  <c r="H34" i="1" s="1"/>
  <c r="E162" i="1"/>
  <c r="D162" i="1"/>
  <c r="F41" i="1"/>
  <c r="F40" i="1"/>
  <c r="F38" i="1"/>
  <c r="F37" i="1"/>
  <c r="F35" i="1"/>
  <c r="J28" i="1"/>
  <c r="J12" i="1" s="1"/>
  <c r="I12" i="1"/>
  <c r="D163" i="1"/>
  <c r="E41" i="1"/>
  <c r="E40" i="1"/>
  <c r="E38" i="1"/>
  <c r="E37" i="1"/>
  <c r="E35" i="1"/>
  <c r="F163" i="1"/>
  <c r="G69" i="1"/>
  <c r="G58" i="1"/>
  <c r="F64" i="1"/>
  <c r="E66" i="1"/>
  <c r="D41" i="1"/>
  <c r="D40" i="1"/>
  <c r="D38" i="1"/>
  <c r="D37" i="1"/>
  <c r="D35" i="1"/>
  <c r="G33" i="1"/>
  <c r="C102" i="1"/>
  <c r="D104" i="1" s="1"/>
  <c r="D105" i="1" s="1"/>
  <c r="D66" i="1"/>
  <c r="E163" i="1"/>
  <c r="D5" i="2" l="1"/>
  <c r="D44" i="1"/>
  <c r="E142" i="1"/>
  <c r="E146" i="1"/>
  <c r="F142" i="1"/>
  <c r="F146" i="1"/>
  <c r="H33" i="1"/>
  <c r="H40" i="1" s="1"/>
  <c r="D142" i="1"/>
  <c r="D146" i="1"/>
  <c r="H42" i="1"/>
  <c r="G71" i="1"/>
  <c r="C52" i="1"/>
  <c r="C77" i="1" s="1"/>
  <c r="C79" i="1" s="1"/>
  <c r="C81" i="1" s="1"/>
  <c r="H37" i="1"/>
  <c r="H35" i="1"/>
  <c r="F66" i="1"/>
  <c r="G64" i="1"/>
  <c r="I9" i="1"/>
  <c r="I34" i="1" s="1"/>
  <c r="F44" i="1"/>
  <c r="F50" i="1" s="1"/>
  <c r="G41" i="1"/>
  <c r="G40" i="1"/>
  <c r="G38" i="1"/>
  <c r="G37" i="1"/>
  <c r="G35" i="1"/>
  <c r="J9" i="1"/>
  <c r="J34" i="1" s="1"/>
  <c r="D50" i="1"/>
  <c r="D136" i="1"/>
  <c r="D138" i="1" s="1"/>
  <c r="G163" i="1"/>
  <c r="E44" i="1"/>
  <c r="E50" i="1" s="1"/>
  <c r="G162" i="1"/>
  <c r="H69" i="1"/>
  <c r="H58" i="1"/>
  <c r="C5" i="2" l="1"/>
  <c r="H38" i="1"/>
  <c r="H41" i="1"/>
  <c r="H44" i="1" s="1"/>
  <c r="H50" i="1" s="1"/>
  <c r="H142" i="1"/>
  <c r="H146" i="1"/>
  <c r="J33" i="1"/>
  <c r="J41" i="1" s="1"/>
  <c r="G142" i="1"/>
  <c r="G146" i="1"/>
  <c r="I33" i="1"/>
  <c r="I41" i="1" s="1"/>
  <c r="I42" i="1"/>
  <c r="H71" i="1"/>
  <c r="E136" i="1"/>
  <c r="E138" i="1" s="1"/>
  <c r="E139" i="1" s="1"/>
  <c r="E51" i="1"/>
  <c r="E70" i="1" s="1"/>
  <c r="F51" i="1"/>
  <c r="F70" i="1" s="1"/>
  <c r="D139" i="1"/>
  <c r="D164" i="1" s="1"/>
  <c r="J40" i="1"/>
  <c r="J146" i="1" s="1"/>
  <c r="I40" i="1"/>
  <c r="I38" i="1"/>
  <c r="I37" i="1"/>
  <c r="D51" i="1"/>
  <c r="D70" i="1" s="1"/>
  <c r="G44" i="1"/>
  <c r="G136" i="1" s="1"/>
  <c r="G138" i="1" s="1"/>
  <c r="F136" i="1"/>
  <c r="F138" i="1" s="1"/>
  <c r="H64" i="1"/>
  <c r="G66" i="1"/>
  <c r="H163" i="1"/>
  <c r="J69" i="1"/>
  <c r="J58" i="1"/>
  <c r="J168" i="1" s="1"/>
  <c r="H162" i="1"/>
  <c r="I69" i="1"/>
  <c r="I58" i="1"/>
  <c r="I162" i="1" s="1"/>
  <c r="F5" i="2" l="1"/>
  <c r="B6" i="2" s="1"/>
  <c r="D6" i="2" s="1"/>
  <c r="C6" i="2" s="1"/>
  <c r="F6" i="2" s="1"/>
  <c r="B7" i="2" s="1"/>
  <c r="D7" i="2" s="1"/>
  <c r="C7" i="2" s="1"/>
  <c r="F7" i="2" s="1"/>
  <c r="B8" i="2" s="1"/>
  <c r="D8" i="2" s="1"/>
  <c r="C8" i="2" s="1"/>
  <c r="F8" i="2" s="1"/>
  <c r="B9" i="2" s="1"/>
  <c r="D9" i="2" s="1"/>
  <c r="C9" i="2" s="1"/>
  <c r="F9" i="2" s="1"/>
  <c r="B10" i="2" s="1"/>
  <c r="D10" i="2" s="1"/>
  <c r="C10" i="2" s="1"/>
  <c r="F10" i="2" s="1"/>
  <c r="B11" i="2" s="1"/>
  <c r="G50" i="1"/>
  <c r="G51" i="1" s="1"/>
  <c r="G70" i="1" s="1"/>
  <c r="J42" i="1"/>
  <c r="J71" i="1" s="1"/>
  <c r="I71" i="1"/>
  <c r="I142" i="1"/>
  <c r="I146" i="1"/>
  <c r="J37" i="1"/>
  <c r="I35" i="1"/>
  <c r="J38" i="1"/>
  <c r="D140" i="1"/>
  <c r="D143" i="1" s="1"/>
  <c r="D172" i="1" s="1"/>
  <c r="I44" i="1"/>
  <c r="J35" i="1"/>
  <c r="E164" i="1"/>
  <c r="E140" i="1"/>
  <c r="E143" i="1" s="1"/>
  <c r="F52" i="1"/>
  <c r="E52" i="1"/>
  <c r="D52" i="1"/>
  <c r="D77" i="1" s="1"/>
  <c r="H51" i="1"/>
  <c r="H70" i="1" s="1"/>
  <c r="G139" i="1"/>
  <c r="G140" i="1" s="1"/>
  <c r="G143" i="1" s="1"/>
  <c r="I163" i="1"/>
  <c r="F139" i="1"/>
  <c r="F164" i="1" s="1"/>
  <c r="H136" i="1"/>
  <c r="H138" i="1" s="1"/>
  <c r="H66" i="1"/>
  <c r="I64" i="1"/>
  <c r="J162" i="1"/>
  <c r="J169" i="1"/>
  <c r="J163" i="1"/>
  <c r="J44" i="1"/>
  <c r="J136" i="1" s="1"/>
  <c r="J138" i="1" s="1"/>
  <c r="D11" i="2" l="1"/>
  <c r="C11" i="2" s="1"/>
  <c r="F11" i="2" s="1"/>
  <c r="B12" i="2" s="1"/>
  <c r="D12" i="2" s="1"/>
  <c r="C12" i="2" s="1"/>
  <c r="F12" i="2" s="1"/>
  <c r="B13" i="2" s="1"/>
  <c r="D13" i="2" s="1"/>
  <c r="I136" i="1"/>
  <c r="I138" i="1" s="1"/>
  <c r="I50" i="1"/>
  <c r="E172" i="1"/>
  <c r="H52" i="1"/>
  <c r="F140" i="1"/>
  <c r="F143" i="1" s="1"/>
  <c r="F172" i="1" s="1"/>
  <c r="E77" i="1"/>
  <c r="F77" i="1" s="1"/>
  <c r="F79" i="1" s="1"/>
  <c r="F81" i="1" s="1"/>
  <c r="D79" i="1"/>
  <c r="D81" i="1" s="1"/>
  <c r="J139" i="1"/>
  <c r="J140" i="1" s="1"/>
  <c r="J143" i="1" s="1"/>
  <c r="I51" i="1"/>
  <c r="I70" i="1" s="1"/>
  <c r="J50" i="1"/>
  <c r="H139" i="1"/>
  <c r="H164" i="1" s="1"/>
  <c r="J64" i="1"/>
  <c r="J66" i="1" s="1"/>
  <c r="I66" i="1"/>
  <c r="G52" i="1"/>
  <c r="G164" i="1"/>
  <c r="G172" i="1" s="1"/>
  <c r="C13" i="2" l="1"/>
  <c r="F13" i="2" s="1"/>
  <c r="B16" i="2" s="1"/>
  <c r="D14" i="2"/>
  <c r="I140" i="1"/>
  <c r="I143" i="1" s="1"/>
  <c r="I139" i="1"/>
  <c r="G77" i="1"/>
  <c r="H77" i="1" s="1"/>
  <c r="H79" i="1" s="1"/>
  <c r="H81" i="1" s="1"/>
  <c r="E79" i="1"/>
  <c r="E81" i="1" s="1"/>
  <c r="J51" i="1"/>
  <c r="J70" i="1" s="1"/>
  <c r="I52" i="1"/>
  <c r="H140" i="1"/>
  <c r="H143" i="1" s="1"/>
  <c r="H172" i="1" s="1"/>
  <c r="I164" i="1"/>
  <c r="J164" i="1"/>
  <c r="J170" i="1"/>
  <c r="C14" i="2" l="1"/>
  <c r="D16" i="2"/>
  <c r="I172" i="1"/>
  <c r="J172" i="1"/>
  <c r="I77" i="1"/>
  <c r="I79" i="1" s="1"/>
  <c r="I81" i="1" s="1"/>
  <c r="G79" i="1"/>
  <c r="G81" i="1" s="1"/>
  <c r="J52" i="1"/>
  <c r="C16" i="2" l="1"/>
  <c r="J77" i="1"/>
  <c r="H121" i="1" s="1"/>
  <c r="H123" i="1" s="1"/>
  <c r="F16" i="2" l="1"/>
  <c r="B17" i="2" s="1"/>
  <c r="D17" i="2" s="1"/>
  <c r="J79" i="1"/>
  <c r="J81" i="1" s="1"/>
  <c r="L120" i="1"/>
  <c r="D118" i="1" s="1"/>
  <c r="L116" i="1"/>
  <c r="D117" i="1" s="1"/>
  <c r="C17" i="2" l="1"/>
  <c r="D120" i="1"/>
  <c r="H128" i="1"/>
  <c r="G130" i="1" s="1"/>
  <c r="F17" i="2" l="1"/>
  <c r="B18" i="2" s="1"/>
  <c r="H174" i="1"/>
  <c r="D174" i="1"/>
  <c r="G174" i="1"/>
  <c r="C174" i="1"/>
  <c r="I174" i="1"/>
  <c r="E174" i="1"/>
  <c r="F174" i="1"/>
  <c r="B174" i="1"/>
  <c r="J174" i="1"/>
  <c r="D122" i="1"/>
  <c r="G132" i="1"/>
  <c r="D18" i="2" l="1"/>
  <c r="D125" i="1"/>
  <c r="D127" i="1" s="1"/>
  <c r="D123" i="1"/>
  <c r="B175" i="1"/>
  <c r="C18" i="2" l="1"/>
  <c r="F18" i="2" l="1"/>
  <c r="B19" i="2" s="1"/>
  <c r="D19" i="2" s="1"/>
  <c r="C19" i="2" l="1"/>
  <c r="F19" i="2" l="1"/>
  <c r="B20" i="2" s="1"/>
  <c r="D20" i="2" l="1"/>
  <c r="C20" i="2" l="1"/>
  <c r="F20" i="2" l="1"/>
  <c r="B21" i="2" s="1"/>
  <c r="D21" i="2" s="1"/>
  <c r="C21" i="2" s="1"/>
  <c r="F21" i="2" s="1"/>
  <c r="B22" i="2" s="1"/>
  <c r="D22" i="2" s="1"/>
  <c r="C22" i="2" s="1"/>
  <c r="F22" i="2" s="1"/>
  <c r="B23" i="2" s="1"/>
  <c r="D23" i="2" l="1"/>
  <c r="C23" i="2" s="1"/>
  <c r="F23" i="2" s="1"/>
  <c r="B24" i="2" s="1"/>
  <c r="D24" i="2" s="1"/>
  <c r="C24" i="2" s="1"/>
  <c r="F24" i="2" s="1"/>
  <c r="B25" i="2" s="1"/>
  <c r="D25" i="2" l="1"/>
  <c r="C25" i="2" s="1"/>
  <c r="F25" i="2" s="1"/>
  <c r="B26" i="2" s="1"/>
  <c r="D26" i="2" l="1"/>
  <c r="C26" i="2" s="1"/>
  <c r="F26" i="2" s="1"/>
  <c r="B27" i="2" s="1"/>
  <c r="D27" i="2" l="1"/>
  <c r="C27" i="2" l="1"/>
  <c r="D28" i="2"/>
  <c r="C28" i="2" l="1"/>
  <c r="F27" i="2"/>
  <c r="B30" i="2" s="1"/>
  <c r="D30" i="2" l="1"/>
  <c r="C30" i="2" l="1"/>
  <c r="F30" i="2" l="1"/>
  <c r="B31" i="2" s="1"/>
  <c r="D31" i="2" l="1"/>
  <c r="C31" i="2" l="1"/>
  <c r="F31" i="2" l="1"/>
  <c r="B32" i="2" s="1"/>
  <c r="D32" i="2" s="1"/>
  <c r="C32" i="2" l="1"/>
  <c r="F32" i="2" l="1"/>
  <c r="B33" i="2" s="1"/>
  <c r="D33" i="2" s="1"/>
  <c r="C33" i="2" l="1"/>
  <c r="F33" i="2" l="1"/>
  <c r="B34" i="2" s="1"/>
  <c r="D34" i="2" s="1"/>
  <c r="C34" i="2" l="1"/>
  <c r="F34" i="2" l="1"/>
  <c r="B35" i="2" s="1"/>
  <c r="D35" i="2" s="1"/>
  <c r="C35" i="2" s="1"/>
  <c r="F35" i="2" s="1"/>
  <c r="B36" i="2" s="1"/>
  <c r="D36" i="2" l="1"/>
  <c r="C36" i="2" s="1"/>
  <c r="F36" i="2" s="1"/>
  <c r="B37" i="2" s="1"/>
  <c r="D37" i="2" l="1"/>
  <c r="C37" i="2" s="1"/>
  <c r="F37" i="2" s="1"/>
  <c r="B38" i="2" s="1"/>
  <c r="D38" i="2" l="1"/>
  <c r="C38" i="2" s="1"/>
  <c r="F38" i="2" s="1"/>
  <c r="B39" i="2" s="1"/>
  <c r="D39" i="2" l="1"/>
  <c r="C39" i="2" s="1"/>
  <c r="F39" i="2" s="1"/>
  <c r="B40" i="2" s="1"/>
  <c r="D40" i="2" l="1"/>
  <c r="C40" i="2" s="1"/>
  <c r="F40" i="2" s="1"/>
  <c r="B41" i="2" s="1"/>
  <c r="D41" i="2" l="1"/>
  <c r="C41" i="2" l="1"/>
  <c r="D42" i="2"/>
  <c r="C42" i="2" l="1"/>
  <c r="F41" i="2"/>
  <c r="B44" i="2" s="1"/>
  <c r="D44" i="2" s="1"/>
  <c r="C44" i="2" l="1"/>
  <c r="F44" i="2" l="1"/>
  <c r="B45" i="2" s="1"/>
  <c r="D45" i="2" l="1"/>
  <c r="C45" i="2" l="1"/>
  <c r="F45" i="2" l="1"/>
  <c r="B46" i="2" s="1"/>
  <c r="D46" i="2" l="1"/>
  <c r="C46" i="2" l="1"/>
  <c r="F46" i="2" l="1"/>
  <c r="B47" i="2" s="1"/>
  <c r="D47" i="2" s="1"/>
  <c r="C47" i="2" l="1"/>
  <c r="F47" i="2" l="1"/>
  <c r="B48" i="2" s="1"/>
  <c r="D48" i="2" l="1"/>
  <c r="C48" i="2" l="1"/>
  <c r="F48" i="2" l="1"/>
  <c r="B49" i="2" s="1"/>
  <c r="D49" i="2" s="1"/>
  <c r="C49" i="2" s="1"/>
  <c r="F49" i="2" s="1"/>
  <c r="B50" i="2" s="1"/>
  <c r="D50" i="2" s="1"/>
  <c r="C50" i="2" s="1"/>
  <c r="F50" i="2" s="1"/>
  <c r="B51" i="2" s="1"/>
  <c r="D51" i="2" s="1"/>
  <c r="C51" i="2" s="1"/>
  <c r="F51" i="2" s="1"/>
  <c r="B52" i="2" s="1"/>
  <c r="D52" i="2" s="1"/>
  <c r="C52" i="2" s="1"/>
  <c r="F52" i="2" s="1"/>
  <c r="B53" i="2" s="1"/>
  <c r="D53" i="2" l="1"/>
  <c r="C53" i="2" s="1"/>
  <c r="F53" i="2" s="1"/>
  <c r="B54" i="2" s="1"/>
  <c r="D54" i="2" s="1"/>
  <c r="C54" i="2" s="1"/>
  <c r="F54" i="2" s="1"/>
  <c r="B55" i="2" s="1"/>
  <c r="D55" i="2" s="1"/>
  <c r="C55" i="2" l="1"/>
  <c r="D56" i="2"/>
  <c r="F55" i="2" l="1"/>
  <c r="B58" i="2" s="1"/>
  <c r="D58" i="2" s="1"/>
  <c r="C56" i="2"/>
  <c r="C58" i="2" l="1"/>
  <c r="F58" i="2" l="1"/>
  <c r="B59" i="2" s="1"/>
  <c r="D59" i="2" l="1"/>
  <c r="C59" i="2" l="1"/>
  <c r="F59" i="2" l="1"/>
  <c r="B60" i="2" s="1"/>
  <c r="D60" i="2" s="1"/>
  <c r="C60" i="2" l="1"/>
  <c r="F60" i="2" l="1"/>
  <c r="B61" i="2" s="1"/>
  <c r="D61" i="2" s="1"/>
  <c r="C61" i="2" l="1"/>
  <c r="F61" i="2" l="1"/>
  <c r="B62" i="2" s="1"/>
  <c r="D62" i="2" s="1"/>
  <c r="C62" i="2" l="1"/>
  <c r="F62" i="2" l="1"/>
  <c r="B63" i="2" s="1"/>
  <c r="D63" i="2" s="1"/>
  <c r="C63" i="2" s="1"/>
  <c r="F63" i="2" s="1"/>
  <c r="B64" i="2" s="1"/>
  <c r="D64" i="2" l="1"/>
  <c r="C64" i="2" s="1"/>
  <c r="F64" i="2" s="1"/>
  <c r="B65" i="2" s="1"/>
  <c r="D65" i="2" s="1"/>
  <c r="C65" i="2" s="1"/>
  <c r="F65" i="2" s="1"/>
  <c r="B66" i="2" s="1"/>
  <c r="D66" i="2" s="1"/>
  <c r="C66" i="2" s="1"/>
  <c r="F66" i="2" s="1"/>
  <c r="B67" i="2" s="1"/>
  <c r="D67" i="2" l="1"/>
  <c r="C67" i="2" s="1"/>
  <c r="F67" i="2" s="1"/>
  <c r="B68" i="2" s="1"/>
  <c r="D68" i="2" s="1"/>
  <c r="C68" i="2" s="1"/>
  <c r="F68" i="2" s="1"/>
  <c r="B69" i="2" s="1"/>
  <c r="D69" i="2" s="1"/>
  <c r="C69" i="2" l="1"/>
  <c r="D70" i="2"/>
  <c r="F69" i="2" l="1"/>
  <c r="B72" i="2" s="1"/>
  <c r="D72" i="2" s="1"/>
  <c r="C70" i="2"/>
  <c r="C72" i="2" l="1"/>
  <c r="F72" i="2" l="1"/>
  <c r="B73" i="2" s="1"/>
  <c r="D73" i="2" l="1"/>
  <c r="C73" i="2" l="1"/>
  <c r="F73" i="2" l="1"/>
  <c r="B74" i="2" s="1"/>
  <c r="D74" i="2" l="1"/>
  <c r="C74" i="2" l="1"/>
  <c r="F74" i="2" l="1"/>
  <c r="B75" i="2" s="1"/>
  <c r="D75" i="2" s="1"/>
  <c r="C75" i="2" l="1"/>
  <c r="F75" i="2" l="1"/>
  <c r="B76" i="2" s="1"/>
  <c r="D76" i="2" s="1"/>
  <c r="C76" i="2" l="1"/>
  <c r="F76" i="2" l="1"/>
  <c r="B77" i="2" s="1"/>
  <c r="D77" i="2" s="1"/>
  <c r="C77" i="2" s="1"/>
  <c r="F77" i="2" s="1"/>
  <c r="B78" i="2" s="1"/>
  <c r="D78" i="2" s="1"/>
  <c r="C78" i="2" s="1"/>
  <c r="F78" i="2" s="1"/>
  <c r="B79" i="2" s="1"/>
  <c r="D79" i="2" l="1"/>
  <c r="C79" i="2" s="1"/>
  <c r="F79" i="2" s="1"/>
  <c r="B80" i="2" s="1"/>
  <c r="D80" i="2" s="1"/>
  <c r="C80" i="2" s="1"/>
  <c r="F80" i="2" s="1"/>
  <c r="B81" i="2" s="1"/>
  <c r="D81" i="2" s="1"/>
  <c r="C81" i="2" s="1"/>
  <c r="F81" i="2" s="1"/>
  <c r="B82" i="2" s="1"/>
  <c r="D82" i="2" s="1"/>
  <c r="C82" i="2" s="1"/>
  <c r="F82" i="2" s="1"/>
  <c r="B83" i="2" s="1"/>
  <c r="D83" i="2" s="1"/>
  <c r="C83" i="2" l="1"/>
  <c r="D84" i="2"/>
  <c r="F83" i="2" l="1"/>
  <c r="B86" i="2" s="1"/>
  <c r="D86" i="2" s="1"/>
  <c r="C84" i="2"/>
  <c r="C86" i="2" l="1"/>
  <c r="F86" i="2" l="1"/>
  <c r="B87" i="2" s="1"/>
  <c r="D87" i="2" l="1"/>
  <c r="C87" i="2" l="1"/>
  <c r="F87" i="2" l="1"/>
  <c r="B88" i="2" s="1"/>
  <c r="D88" i="2" l="1"/>
  <c r="C88" i="2" l="1"/>
  <c r="F88" i="2" l="1"/>
  <c r="B89" i="2" s="1"/>
  <c r="D89" i="2" l="1"/>
  <c r="C89" i="2" l="1"/>
  <c r="F89" i="2" l="1"/>
  <c r="B90" i="2" s="1"/>
  <c r="D90" i="2" l="1"/>
  <c r="C90" i="2" l="1"/>
  <c r="F90" i="2" l="1"/>
  <c r="B91" i="2" s="1"/>
  <c r="D91" i="2" l="1"/>
  <c r="C91" i="2" s="1"/>
  <c r="F91" i="2" s="1"/>
  <c r="B92" i="2" s="1"/>
  <c r="D92" i="2" l="1"/>
  <c r="C92" i="2" s="1"/>
  <c r="F92" i="2" s="1"/>
  <c r="B93" i="2" s="1"/>
  <c r="D93" i="2" l="1"/>
  <c r="C93" i="2" s="1"/>
  <c r="F93" i="2" s="1"/>
  <c r="B94" i="2" s="1"/>
  <c r="D94" i="2" l="1"/>
  <c r="C94" i="2" s="1"/>
  <c r="F94" i="2" s="1"/>
  <c r="B95" i="2" s="1"/>
  <c r="D95" i="2" l="1"/>
  <c r="C95" i="2" s="1"/>
  <c r="F95" i="2" s="1"/>
  <c r="B96" i="2" s="1"/>
  <c r="D96" i="2" l="1"/>
  <c r="C96" i="2" s="1"/>
  <c r="F96" i="2" s="1"/>
  <c r="B97" i="2" s="1"/>
  <c r="D97" i="2" s="1"/>
  <c r="C97" i="2" l="1"/>
  <c r="D98" i="2"/>
  <c r="F97" i="2" l="1"/>
  <c r="B100" i="2" s="1"/>
  <c r="D100" i="2" s="1"/>
  <c r="C98" i="2"/>
  <c r="C100" i="2" l="1"/>
  <c r="F100" i="2" l="1"/>
  <c r="B101" i="2" s="1"/>
  <c r="D101" i="2" l="1"/>
  <c r="C101" i="2" l="1"/>
  <c r="F101" i="2" l="1"/>
  <c r="B102" i="2" s="1"/>
  <c r="D102" i="2" l="1"/>
  <c r="C102" i="2" l="1"/>
  <c r="F102" i="2" l="1"/>
  <c r="B103" i="2" s="1"/>
  <c r="D103" i="2" s="1"/>
  <c r="C103" i="2" l="1"/>
  <c r="F103" i="2" l="1"/>
  <c r="B104" i="2" s="1"/>
  <c r="D104" i="2" s="1"/>
  <c r="C104" i="2" l="1"/>
  <c r="F104" i="2" l="1"/>
  <c r="B105" i="2" s="1"/>
  <c r="D105" i="2" l="1"/>
  <c r="C105" i="2" s="1"/>
  <c r="F105" i="2" s="1"/>
  <c r="B106" i="2" s="1"/>
  <c r="D106" i="2" s="1"/>
  <c r="C106" i="2" s="1"/>
  <c r="F106" i="2" s="1"/>
  <c r="B107" i="2" s="1"/>
  <c r="D107" i="2" s="1"/>
  <c r="C107" i="2" s="1"/>
  <c r="F107" i="2" s="1"/>
  <c r="B108" i="2" s="1"/>
  <c r="D108" i="2" s="1"/>
  <c r="C108" i="2" s="1"/>
  <c r="F108" i="2" s="1"/>
  <c r="B109" i="2" s="1"/>
  <c r="D109" i="2" l="1"/>
  <c r="C109" i="2" s="1"/>
  <c r="F109" i="2" s="1"/>
  <c r="B110" i="2" s="1"/>
  <c r="D110" i="2" s="1"/>
  <c r="C110" i="2" s="1"/>
  <c r="F110" i="2" s="1"/>
  <c r="B111" i="2" s="1"/>
  <c r="D111" i="2" s="1"/>
  <c r="C111" i="2" l="1"/>
  <c r="D112" i="2"/>
  <c r="F111" i="2" l="1"/>
  <c r="C112" i="2"/>
</calcChain>
</file>

<file path=xl/sharedStrings.xml><?xml version="1.0" encoding="utf-8"?>
<sst xmlns="http://schemas.openxmlformats.org/spreadsheetml/2006/main" count="178" uniqueCount="144">
  <si>
    <t>Magic Suds</t>
  </si>
  <si>
    <t>Denotes an input cell that can be adjusted</t>
  </si>
  <si>
    <t>Denotes an assumption based on comparables</t>
  </si>
  <si>
    <t>Denotes key output for analysis</t>
  </si>
  <si>
    <t/>
  </si>
  <si>
    <t>Laundry Machine Revenue</t>
  </si>
  <si>
    <t>Machines</t>
  </si>
  <si>
    <t>Price/Machine</t>
  </si>
  <si>
    <t>Revenue/Machine</t>
  </si>
  <si>
    <t>Days of Operation</t>
  </si>
  <si>
    <t>Expenses % Revenue</t>
  </si>
  <si>
    <t>Mortgage</t>
  </si>
  <si>
    <t>Interest Rate</t>
  </si>
  <si>
    <t>Minimum Cash</t>
  </si>
  <si>
    <t>Inventory in Days</t>
  </si>
  <si>
    <t>Laundry Detergent Price</t>
  </si>
  <si>
    <t>inflation</t>
  </si>
  <si>
    <t>Laundry Detergent Cost</t>
  </si>
  <si>
    <t>Laundry Detergent sold daily</t>
  </si>
  <si>
    <t>Days of Inventory</t>
  </si>
  <si>
    <t>Accounts Payable Days</t>
  </si>
  <si>
    <t>Building depreciation</t>
  </si>
  <si>
    <t>Equipment depreciation</t>
  </si>
  <si>
    <t>Price of a wash</t>
  </si>
  <si>
    <t>Price of a dry</t>
  </si>
  <si>
    <t>Washes/machine/day</t>
  </si>
  <si>
    <t>Growth</t>
  </si>
  <si>
    <t>Dries/machine/day</t>
  </si>
  <si>
    <t>Income Statement</t>
  </si>
  <si>
    <t>Total Revenue</t>
  </si>
  <si>
    <t>COGS</t>
  </si>
  <si>
    <t>Gross Profit</t>
  </si>
  <si>
    <t>Operating Expenses</t>
  </si>
  <si>
    <t>Owner's Salaries and General</t>
  </si>
  <si>
    <t>of Sales</t>
  </si>
  <si>
    <t>Utilities variable</t>
  </si>
  <si>
    <t>Utilities Fixed</t>
  </si>
  <si>
    <t>Building &amp; Machine Maintenance</t>
  </si>
  <si>
    <t>Insurance</t>
  </si>
  <si>
    <t>Property Tax Expense</t>
  </si>
  <si>
    <t>of Property</t>
  </si>
  <si>
    <t>Total Operating Expenses</t>
  </si>
  <si>
    <t>Depreciation</t>
  </si>
  <si>
    <t>Mortgage Interest Expense</t>
  </si>
  <si>
    <t>Extra Bank Loan Interest Expense</t>
  </si>
  <si>
    <t>Taxable Income</t>
  </si>
  <si>
    <t>Taxes</t>
  </si>
  <si>
    <t>Net Profit after Taxes</t>
  </si>
  <si>
    <t>Balance Sheet</t>
  </si>
  <si>
    <t>Assets</t>
  </si>
  <si>
    <t>Minimum Cash Inventory</t>
  </si>
  <si>
    <t>Cash Above Minimum</t>
  </si>
  <si>
    <t>Inventory</t>
  </si>
  <si>
    <t>Accounts Receivable</t>
  </si>
  <si>
    <t>Land</t>
  </si>
  <si>
    <t>Building</t>
  </si>
  <si>
    <t>Equipment</t>
  </si>
  <si>
    <t>Less: Accumulated Depreciation</t>
  </si>
  <si>
    <t>Total Assets</t>
  </si>
  <si>
    <t>Liabilities and Equity</t>
  </si>
  <si>
    <t>Account Payable</t>
  </si>
  <si>
    <t>Income Tax Payable</t>
  </si>
  <si>
    <t>Property Tax Payable</t>
  </si>
  <si>
    <t>Mortgage Loan</t>
  </si>
  <si>
    <t>Bank Loans</t>
  </si>
  <si>
    <t>Shareholder Contributions</t>
  </si>
  <si>
    <t>Retained Earnings</t>
  </si>
  <si>
    <t>Total Liabilities and Equity</t>
  </si>
  <si>
    <t>DFN</t>
  </si>
  <si>
    <t>BreakEven</t>
  </si>
  <si>
    <t>Total</t>
  </si>
  <si>
    <t>Per Unit</t>
  </si>
  <si>
    <t>Variable Revenue Per unit</t>
  </si>
  <si>
    <t>Variable Cost per unit</t>
  </si>
  <si>
    <t>Utilities</t>
  </si>
  <si>
    <t>Contribuition Margin per unit</t>
  </si>
  <si>
    <t>Total Fixed Cost</t>
  </si>
  <si>
    <t>Fixed Salaries and General</t>
  </si>
  <si>
    <t>Machine Maitenance</t>
  </si>
  <si>
    <t>Breakeven in $ and units</t>
  </si>
  <si>
    <t>washes/dries</t>
  </si>
  <si>
    <t>Dollars</t>
  </si>
  <si>
    <t>WACC IN 2020</t>
  </si>
  <si>
    <t>Beta</t>
  </si>
  <si>
    <t>T-Bill rate</t>
  </si>
  <si>
    <t>Cost of Equity using CAPM (%)</t>
  </si>
  <si>
    <t>S&amp;P 500 rate</t>
  </si>
  <si>
    <t>Blended Cost of Debt (%)</t>
  </si>
  <si>
    <t>Blend</t>
  </si>
  <si>
    <t>Tax Rate (%)</t>
  </si>
  <si>
    <t>Percentage</t>
  </si>
  <si>
    <t>Percent Debt Currently (%)</t>
  </si>
  <si>
    <t>Bank loan</t>
  </si>
  <si>
    <t>Percent Equity Currently (%)</t>
  </si>
  <si>
    <t>Current WACC in 2015 (%)</t>
  </si>
  <si>
    <t>Unlevered Beta</t>
  </si>
  <si>
    <t>Relevered Beta at 80% Debt/20% Equity</t>
  </si>
  <si>
    <t>Cost of Equity with Relevered Beta using CAPM (%)</t>
  </si>
  <si>
    <t>Value</t>
  </si>
  <si>
    <t>Debt</t>
  </si>
  <si>
    <t>Tax Rate</t>
  </si>
  <si>
    <t>WACC in 2015 at 80% Debt/20% Equity</t>
  </si>
  <si>
    <t>Equity</t>
  </si>
  <si>
    <t>Really Happening</t>
  </si>
  <si>
    <t>Unlevered Beta</t>
  </si>
  <si>
    <t>Theoretically</t>
  </si>
  <si>
    <t>Relevered Beta</t>
  </si>
  <si>
    <t>Cash From Operations</t>
  </si>
  <si>
    <t>Operating Profit</t>
  </si>
  <si>
    <t>Less Depreciation</t>
  </si>
  <si>
    <t>Taxable Operating Income</t>
  </si>
  <si>
    <t>Tax Expense on Operations</t>
  </si>
  <si>
    <t>Operating Profit after taxes</t>
  </si>
  <si>
    <t>Add Depreciation</t>
  </si>
  <si>
    <t>Capital Expenditures</t>
  </si>
  <si>
    <t>Cash In/Out from Capital Expenditures</t>
  </si>
  <si>
    <t>Buy Building</t>
  </si>
  <si>
    <t>Sell Building</t>
  </si>
  <si>
    <t>Taxes from Sale</t>
  </si>
  <si>
    <t>Changes in Working Capital</t>
  </si>
  <si>
    <t>Accounts Recievable</t>
  </si>
  <si>
    <t>Accounts Payable</t>
  </si>
  <si>
    <t>Taxes Payable on Operations</t>
  </si>
  <si>
    <t>Liquidation of Working Capital</t>
  </si>
  <si>
    <t>FCF</t>
  </si>
  <si>
    <t>PV</t>
  </si>
  <si>
    <t>NPV</t>
  </si>
  <si>
    <t>IRR</t>
  </si>
  <si>
    <t>Buy Land</t>
  </si>
  <si>
    <t>Sell Land</t>
  </si>
  <si>
    <t>Taxes From Sale</t>
  </si>
  <si>
    <t>Buy Equipment</t>
  </si>
  <si>
    <t>Sell Equipment</t>
  </si>
  <si>
    <t>Beg Balance</t>
  </si>
  <si>
    <t>Principal</t>
  </si>
  <si>
    <t xml:space="preserve">Interest </t>
  </si>
  <si>
    <t>Payment</t>
  </si>
  <si>
    <t>End Balance</t>
  </si>
  <si>
    <t>Rate</t>
  </si>
  <si>
    <t>Per Rate</t>
  </si>
  <si>
    <t>FV</t>
  </si>
  <si>
    <t>Per</t>
  </si>
  <si>
    <t>Type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</si>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</sst>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164" formatCode="&quot;$&quot;#,##0.00"/>
    <numFmt numFmtId="165" formatCode="&quot;$&quot;#,##0"/>
    <numFmt numFmtId="166" formatCode="_(* #,##0.00_);_(* \(#,##0.00\);_(* \-??_);_(@_)"/>
    <numFmt numFmtId="167" formatCode="_(\$* #,##0.00_);_(\$* \(#,##0.00\);_(\$* \-??_);_(@_)"/>
    <numFmt numFmtId="168" formatCode="[$$-409]#,##0.00;[Red]\-[$$-409]#,##0.00"/>
  </numFmts>
  <fonts count="22" x14ac:knownFonts="1">
    <font>
      <sz val="10"/>
      <color rgb="FF000000"/>
      <name val="Arial"/>
    </font>
    <font>
      <sz val="10"/>
      <color rgb="FF38761D"/>
      <name val="Arial"/>
      <family val="2"/>
    </font>
    <font>
      <sz val="10"/>
      <color rgb="FF38761D"/>
      <name val="Arial"/>
      <family val="2"/>
    </font>
    <font>
      <sz val="10"/>
      <color rgb="FF0000FF"/>
      <name val="Arial"/>
      <family val="2"/>
    </font>
    <font>
      <b/>
      <sz val="10"/>
      <color rgb="FF000000"/>
      <name val="Arial"/>
      <family val="2"/>
    </font>
    <font>
      <b/>
      <sz val="10"/>
      <color rgb="FF1C4587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u/>
      <sz val="10"/>
      <color rgb="FF000000"/>
      <name val="Arial"/>
      <family val="2"/>
    </font>
    <font>
      <sz val="10"/>
      <color rgb="FF38761D"/>
      <name val="Arial"/>
      <family val="2"/>
    </font>
    <font>
      <sz val="10"/>
      <color rgb="FF38761D"/>
      <name val="Arial"/>
      <family val="2"/>
    </font>
    <font>
      <sz val="10"/>
      <color rgb="FF38761D"/>
      <name val="Arial"/>
      <family val="2"/>
    </font>
    <font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9" fillId="0" borderId="0"/>
    <xf numFmtId="166" fontId="20" fillId="0" borderId="0"/>
    <xf numFmtId="167" fontId="20" fillId="0" borderId="0"/>
    <xf numFmtId="0" fontId="20" fillId="0" borderId="0"/>
    <xf numFmtId="9" fontId="20" fillId="0" borderId="0"/>
  </cellStyleXfs>
  <cellXfs count="44"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64" fontId="0" fillId="0" borderId="1" xfId="0" applyNumberFormat="1" applyBorder="1" applyAlignment="1">
      <alignment wrapText="1"/>
    </xf>
    <xf numFmtId="165" fontId="0" fillId="0" borderId="2" xfId="0" applyNumberFormat="1" applyBorder="1" applyAlignment="1">
      <alignment wrapText="1"/>
    </xf>
    <xf numFmtId="164" fontId="2" fillId="0" borderId="0" xfId="0" applyNumberFormat="1" applyFont="1" applyAlignment="1">
      <alignment wrapText="1"/>
    </xf>
    <xf numFmtId="165" fontId="0" fillId="0" borderId="0" xfId="0" applyNumberFormat="1" applyAlignment="1">
      <alignment wrapText="1"/>
    </xf>
    <xf numFmtId="10" fontId="3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165" fontId="6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164" fontId="8" fillId="0" borderId="0" xfId="0" applyNumberFormat="1" applyFont="1" applyAlignment="1">
      <alignment wrapText="1"/>
    </xf>
    <xf numFmtId="165" fontId="0" fillId="0" borderId="3" xfId="0" applyNumberFormat="1" applyBorder="1" applyAlignment="1">
      <alignment wrapText="1"/>
    </xf>
    <xf numFmtId="10" fontId="0" fillId="0" borderId="0" xfId="0" applyNumberFormat="1" applyAlignment="1">
      <alignment wrapText="1"/>
    </xf>
    <xf numFmtId="0" fontId="9" fillId="0" borderId="0" xfId="0" applyFont="1" applyAlignment="1">
      <alignment wrapText="1"/>
    </xf>
    <xf numFmtId="165" fontId="10" fillId="0" borderId="0" xfId="0" applyNumberFormat="1" applyFont="1" applyAlignment="1">
      <alignment wrapText="1"/>
    </xf>
    <xf numFmtId="3" fontId="1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10" fontId="12" fillId="0" borderId="0" xfId="0" applyNumberFormat="1" applyFont="1" applyAlignment="1">
      <alignment wrapText="1"/>
    </xf>
    <xf numFmtId="0" fontId="0" fillId="0" borderId="4" xfId="0" applyBorder="1" applyAlignment="1">
      <alignment wrapText="1"/>
    </xf>
    <xf numFmtId="3" fontId="13" fillId="0" borderId="0" xfId="0" applyNumberFormat="1" applyFont="1" applyAlignment="1">
      <alignment wrapText="1"/>
    </xf>
    <xf numFmtId="3" fontId="0" fillId="0" borderId="0" xfId="0" applyNumberFormat="1" applyAlignment="1">
      <alignment wrapText="1"/>
    </xf>
    <xf numFmtId="41" fontId="14" fillId="0" borderId="0" xfId="0" applyNumberFormat="1" applyFont="1" applyAlignment="1">
      <alignment wrapText="1"/>
    </xf>
    <xf numFmtId="0" fontId="15" fillId="0" borderId="0" xfId="0" applyFont="1" applyAlignment="1">
      <alignment wrapText="1"/>
    </xf>
    <xf numFmtId="4" fontId="16" fillId="0" borderId="0" xfId="0" applyNumberFormat="1" applyFont="1" applyAlignment="1">
      <alignment wrapText="1"/>
    </xf>
    <xf numFmtId="10" fontId="17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17" fontId="19" fillId="0" borderId="0" xfId="1" applyNumberFormat="1" applyFont="1" applyAlignment="1">
      <alignment wrapText="1"/>
    </xf>
    <xf numFmtId="0" fontId="19" fillId="0" borderId="0" xfId="1"/>
    <xf numFmtId="10" fontId="19" fillId="0" borderId="0" xfId="1" applyNumberFormat="1"/>
    <xf numFmtId="0" fontId="19" fillId="0" borderId="0" xfId="1" applyFont="1" applyAlignment="1">
      <alignment wrapText="1"/>
    </xf>
    <xf numFmtId="168" fontId="19" fillId="0" borderId="0" xfId="1" applyNumberFormat="1" applyFont="1" applyAlignment="1">
      <alignment wrapText="1"/>
    </xf>
    <xf numFmtId="168" fontId="19" fillId="0" borderId="0" xfId="1" applyNumberFormat="1"/>
    <xf numFmtId="0" fontId="19" fillId="0" borderId="0" xfId="1" applyNumberFormat="1"/>
    <xf numFmtId="168" fontId="21" fillId="0" borderId="0" xfId="1" applyNumberFormat="1" applyFont="1" applyAlignment="1">
      <alignment wrapText="1"/>
    </xf>
    <xf numFmtId="0" fontId="21" fillId="0" borderId="0" xfId="1" applyFont="1" applyAlignment="1">
      <alignment wrapText="1"/>
    </xf>
    <xf numFmtId="0" fontId="21" fillId="0" borderId="0" xfId="1" applyFont="1"/>
    <xf numFmtId="0" fontId="19" fillId="0" borderId="0" xfId="1"/>
    <xf numFmtId="168" fontId="19" fillId="0" borderId="0" xfId="1" applyNumberFormat="1" applyFont="1" applyAlignment="1">
      <alignment wrapText="1"/>
    </xf>
    <xf numFmtId="168" fontId="21" fillId="0" borderId="0" xfId="1" applyNumberFormat="1" applyFont="1" applyAlignment="1">
      <alignment wrapText="1"/>
    </xf>
    <xf numFmtId="0" fontId="21" fillId="0" borderId="0" xfId="1" applyFont="1" applyAlignment="1">
      <alignment wrapText="1"/>
    </xf>
    <xf numFmtId="168" fontId="19" fillId="0" borderId="0" xfId="1" applyNumberFormat="1"/>
    <xf numFmtId="0" fontId="0" fillId="0" borderId="0" xfId="0" applyAlignment="1">
      <alignment horizontal="center" wrapText="1"/>
    </xf>
  </cellXfs>
  <cellStyles count="6">
    <cellStyle name="Comma 2" xfId="2"/>
    <cellStyle name="Currency 2" xfId="3"/>
    <cellStyle name="Excel Built-in Normal" xfId="4"/>
    <cellStyle name="Normal" xfId="0" builtinId="0"/>
    <cellStyle name="Normal 2" xfId="1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6"/>
  <sheetViews>
    <sheetView tabSelected="1" zoomScale="80" zoomScaleNormal="80" workbookViewId="0">
      <selection activeCell="G83" sqref="G83"/>
    </sheetView>
  </sheetViews>
  <sheetFormatPr defaultColWidth="17.140625" defaultRowHeight="12.75" customHeight="1" x14ac:dyDescent="0.2"/>
  <cols>
    <col min="1" max="1" width="31.7109375" customWidth="1"/>
    <col min="6" max="6" width="20" customWidth="1"/>
    <col min="13" max="13" width="24.28515625" customWidth="1"/>
  </cols>
  <sheetData>
    <row r="1" spans="1:11" ht="12.75" customHeight="1" x14ac:dyDescent="0.2">
      <c r="E1" t="s">
        <v>0</v>
      </c>
    </row>
    <row r="2" spans="1:11" ht="12.75" customHeight="1" x14ac:dyDescent="0.2">
      <c r="A2" s="24" t="s">
        <v>1</v>
      </c>
    </row>
    <row r="3" spans="1:11" ht="12.75" customHeight="1" x14ac:dyDescent="0.2">
      <c r="A3" s="11" t="s">
        <v>2</v>
      </c>
    </row>
    <row r="4" spans="1:11" ht="12.75" customHeight="1" x14ac:dyDescent="0.2">
      <c r="A4" s="1" t="s">
        <v>3</v>
      </c>
    </row>
    <row r="5" spans="1:11" ht="12.75" customHeight="1" x14ac:dyDescent="0.2">
      <c r="A5" s="1"/>
    </row>
    <row r="6" spans="1:11" ht="12.75" customHeight="1" x14ac:dyDescent="0.2">
      <c r="A6" s="1"/>
    </row>
    <row r="7" spans="1:11" ht="12.75" customHeight="1" x14ac:dyDescent="0.2">
      <c r="A7" s="1"/>
    </row>
    <row r="8" spans="1:11" ht="12.75" customHeight="1" x14ac:dyDescent="0.2">
      <c r="A8" t="s">
        <v>4</v>
      </c>
      <c r="C8">
        <v>2013</v>
      </c>
      <c r="D8">
        <v>2014</v>
      </c>
      <c r="E8">
        <v>2015</v>
      </c>
      <c r="F8">
        <v>2016</v>
      </c>
      <c r="G8">
        <v>2017</v>
      </c>
      <c r="H8">
        <v>2018</v>
      </c>
      <c r="I8">
        <v>2019</v>
      </c>
      <c r="J8">
        <v>2020</v>
      </c>
    </row>
    <row r="9" spans="1:11" ht="12.75" customHeight="1" x14ac:dyDescent="0.2">
      <c r="A9" t="s">
        <v>5</v>
      </c>
      <c r="C9" s="22">
        <f t="shared" ref="C9:J9" si="0">((C10*C12)*C13)*52</f>
        <v>196560</v>
      </c>
      <c r="D9" s="22">
        <f t="shared" si="0"/>
        <v>209483.82</v>
      </c>
      <c r="E9" s="22">
        <f t="shared" si="0"/>
        <v>223257.38116500003</v>
      </c>
      <c r="F9" s="22">
        <f t="shared" si="0"/>
        <v>237936.55397659878</v>
      </c>
      <c r="G9" s="22">
        <f t="shared" si="0"/>
        <v>253580.88240056016</v>
      </c>
      <c r="H9" s="22">
        <f t="shared" si="0"/>
        <v>270253.82541839703</v>
      </c>
      <c r="I9" s="22">
        <f t="shared" si="0"/>
        <v>288023.01443965657</v>
      </c>
      <c r="J9" s="22">
        <f t="shared" si="0"/>
        <v>306960.52763906401</v>
      </c>
      <c r="K9" s="14"/>
    </row>
    <row r="10" spans="1:11" ht="12.75" customHeight="1" x14ac:dyDescent="0.2">
      <c r="A10" t="s">
        <v>6</v>
      </c>
      <c r="C10" s="24">
        <v>60</v>
      </c>
      <c r="D10" s="24">
        <v>60</v>
      </c>
      <c r="E10" s="24">
        <v>60</v>
      </c>
      <c r="F10" s="24">
        <v>60</v>
      </c>
      <c r="G10" s="24">
        <v>60</v>
      </c>
      <c r="H10" s="24">
        <v>60</v>
      </c>
      <c r="I10" s="24">
        <v>60</v>
      </c>
      <c r="J10" s="24">
        <v>60</v>
      </c>
    </row>
    <row r="11" spans="1:11" ht="12.75" customHeight="1" x14ac:dyDescent="0.2">
      <c r="A11" t="s">
        <v>7</v>
      </c>
      <c r="C11" s="10">
        <v>4000</v>
      </c>
      <c r="D11" s="10">
        <v>4000</v>
      </c>
      <c r="E11" s="10">
        <v>4000</v>
      </c>
      <c r="F11" s="10">
        <v>4000</v>
      </c>
      <c r="G11" s="10">
        <v>4000</v>
      </c>
      <c r="H11" s="10">
        <v>4000</v>
      </c>
      <c r="I11" s="10">
        <v>4000</v>
      </c>
      <c r="J11" s="10">
        <v>4000</v>
      </c>
      <c r="K11" s="6"/>
    </row>
    <row r="12" spans="1:11" ht="12.75" customHeight="1" x14ac:dyDescent="0.2">
      <c r="A12" t="s">
        <v>8</v>
      </c>
      <c r="C12" s="5">
        <f t="shared" ref="C12:J12" si="1">(C28*C26)+(C29*C27)</f>
        <v>10.5</v>
      </c>
      <c r="D12" s="5">
        <f t="shared" si="1"/>
        <v>11.190375</v>
      </c>
      <c r="E12" s="5">
        <f t="shared" si="1"/>
        <v>11.926142156250002</v>
      </c>
      <c r="F12" s="5">
        <f t="shared" si="1"/>
        <v>12.710286003023439</v>
      </c>
      <c r="G12" s="5">
        <f t="shared" si="1"/>
        <v>13.54598730772223</v>
      </c>
      <c r="H12" s="5">
        <f t="shared" si="1"/>
        <v>14.436635973204968</v>
      </c>
      <c r="I12" s="5">
        <f t="shared" si="1"/>
        <v>15.385844788443194</v>
      </c>
      <c r="J12" s="5">
        <f t="shared" si="1"/>
        <v>16.397464083283335</v>
      </c>
      <c r="K12" s="6">
        <v>0.03</v>
      </c>
    </row>
    <row r="13" spans="1:11" ht="12.75" customHeight="1" x14ac:dyDescent="0.2">
      <c r="A13" t="s">
        <v>9</v>
      </c>
      <c r="C13" s="24">
        <v>6</v>
      </c>
      <c r="D13" s="24">
        <v>6</v>
      </c>
      <c r="E13" s="24">
        <v>6</v>
      </c>
      <c r="F13" s="24">
        <v>6</v>
      </c>
      <c r="G13" s="24">
        <v>6</v>
      </c>
      <c r="H13" s="24">
        <v>6</v>
      </c>
      <c r="I13" s="24">
        <v>6</v>
      </c>
      <c r="J13" s="24">
        <v>6</v>
      </c>
      <c r="K13" s="6"/>
    </row>
    <row r="14" spans="1:11" ht="12.75" customHeight="1" x14ac:dyDescent="0.2">
      <c r="A14" t="s">
        <v>10</v>
      </c>
      <c r="C14" s="6">
        <v>0.65</v>
      </c>
      <c r="D14" s="6">
        <v>0.65</v>
      </c>
      <c r="E14" s="6">
        <v>0.65</v>
      </c>
      <c r="F14" s="6">
        <v>0.65</v>
      </c>
      <c r="G14" s="6">
        <v>0.65</v>
      </c>
      <c r="H14" s="6">
        <v>0.65</v>
      </c>
      <c r="I14" s="6">
        <v>0.65</v>
      </c>
      <c r="J14" s="6">
        <v>0.65</v>
      </c>
      <c r="K14" s="6"/>
    </row>
    <row r="15" spans="1:11" ht="12.75" customHeight="1" x14ac:dyDescent="0.2">
      <c r="A15" t="s">
        <v>11</v>
      </c>
      <c r="C15" s="10">
        <v>500000</v>
      </c>
      <c r="D15" s="10">
        <v>500000</v>
      </c>
      <c r="E15" s="10">
        <v>500000</v>
      </c>
      <c r="F15" s="10">
        <v>500000</v>
      </c>
      <c r="G15" s="10">
        <v>500000</v>
      </c>
      <c r="H15" s="10">
        <v>500000</v>
      </c>
      <c r="I15" s="10">
        <v>500000</v>
      </c>
      <c r="J15" s="10">
        <v>500000</v>
      </c>
      <c r="K15" s="6"/>
    </row>
    <row r="16" spans="1:11" ht="12.75" customHeight="1" x14ac:dyDescent="0.2">
      <c r="A16" t="s">
        <v>12</v>
      </c>
      <c r="C16" s="6">
        <v>6.5000000000000002E-2</v>
      </c>
      <c r="D16" s="6">
        <v>6.5000000000000002E-2</v>
      </c>
      <c r="E16" s="6">
        <v>6.5000000000000002E-2</v>
      </c>
      <c r="F16" s="6">
        <v>6.5000000000000002E-2</v>
      </c>
      <c r="G16" s="6">
        <v>6.5000000000000002E-2</v>
      </c>
      <c r="H16" s="6">
        <v>6.5000000000000002E-2</v>
      </c>
      <c r="I16" s="6">
        <v>6.5000000000000002E-2</v>
      </c>
      <c r="J16" s="6">
        <v>6.5000000000000002E-2</v>
      </c>
      <c r="K16" s="6"/>
    </row>
    <row r="17" spans="1:22" ht="12.75" customHeight="1" x14ac:dyDescent="0.2">
      <c r="A17" t="s">
        <v>13</v>
      </c>
      <c r="C17" s="21">
        <v>6000</v>
      </c>
      <c r="D17" s="21">
        <v>6000</v>
      </c>
      <c r="E17" s="21">
        <v>6000</v>
      </c>
      <c r="F17" s="21">
        <v>6000</v>
      </c>
      <c r="G17" s="21">
        <v>6000</v>
      </c>
      <c r="H17" s="21">
        <v>6000</v>
      </c>
      <c r="I17" s="21">
        <v>6000</v>
      </c>
      <c r="J17" s="21">
        <v>6000</v>
      </c>
      <c r="K17" s="24"/>
    </row>
    <row r="18" spans="1:22" ht="12.75" customHeight="1" x14ac:dyDescent="0.2">
      <c r="A18" t="s">
        <v>14</v>
      </c>
      <c r="C18" s="24">
        <v>12</v>
      </c>
      <c r="D18" s="24">
        <v>12</v>
      </c>
      <c r="E18" s="24">
        <v>11</v>
      </c>
      <c r="F18" s="24">
        <v>11</v>
      </c>
      <c r="G18" s="24">
        <v>11</v>
      </c>
      <c r="H18" s="24">
        <v>11</v>
      </c>
      <c r="I18" s="24">
        <v>11</v>
      </c>
      <c r="J18" s="24">
        <v>11</v>
      </c>
      <c r="K18" s="24"/>
      <c r="V18" s="14"/>
    </row>
    <row r="19" spans="1:22" ht="12.75" customHeight="1" x14ac:dyDescent="0.2">
      <c r="A19" t="s">
        <v>15</v>
      </c>
      <c r="C19" s="12">
        <v>1</v>
      </c>
      <c r="D19" s="9">
        <f t="shared" ref="D19:J19" si="2">C19+(C19*$K$19)</f>
        <v>1.0149999999999999</v>
      </c>
      <c r="E19" s="9">
        <f t="shared" si="2"/>
        <v>1.0302249999999999</v>
      </c>
      <c r="F19" s="9">
        <f t="shared" si="2"/>
        <v>1.045678375</v>
      </c>
      <c r="G19" s="9">
        <f t="shared" si="2"/>
        <v>1.0613635506250001</v>
      </c>
      <c r="H19" s="9">
        <f t="shared" si="2"/>
        <v>1.0772840038843752</v>
      </c>
      <c r="I19" s="9">
        <f t="shared" si="2"/>
        <v>1.0934432639426408</v>
      </c>
      <c r="J19" s="9">
        <f t="shared" si="2"/>
        <v>1.1098449129017804</v>
      </c>
      <c r="K19" s="24">
        <v>1.4999999999999999E-2</v>
      </c>
      <c r="L19" t="s">
        <v>16</v>
      </c>
      <c r="V19" s="14"/>
    </row>
    <row r="20" spans="1:22" ht="12.75" customHeight="1" x14ac:dyDescent="0.2">
      <c r="A20" t="s">
        <v>17</v>
      </c>
      <c r="C20" s="24">
        <v>0.25</v>
      </c>
      <c r="D20" s="9">
        <f t="shared" ref="D20:I20" si="3">C20+(C20*$K$20)</f>
        <v>0.25374999999999998</v>
      </c>
      <c r="E20" s="9">
        <f t="shared" si="3"/>
        <v>0.25755624999999999</v>
      </c>
      <c r="F20" s="9">
        <f t="shared" si="3"/>
        <v>0.26141959375000001</v>
      </c>
      <c r="G20" s="9">
        <f t="shared" si="3"/>
        <v>0.26534088765625002</v>
      </c>
      <c r="H20" s="9">
        <f t="shared" si="3"/>
        <v>0.26932100097109379</v>
      </c>
      <c r="I20" s="9">
        <f t="shared" si="3"/>
        <v>0.2733608159856602</v>
      </c>
      <c r="J20">
        <v>0.25</v>
      </c>
      <c r="K20" s="24">
        <v>1.4999999999999999E-2</v>
      </c>
      <c r="L20" t="s">
        <v>16</v>
      </c>
      <c r="V20" s="14"/>
    </row>
    <row r="21" spans="1:22" ht="12.75" customHeight="1" x14ac:dyDescent="0.2">
      <c r="A21" t="s">
        <v>18</v>
      </c>
      <c r="C21" s="6">
        <v>0.1</v>
      </c>
      <c r="D21" s="6">
        <v>0.1</v>
      </c>
      <c r="E21" s="6">
        <v>0.1</v>
      </c>
      <c r="F21" s="6">
        <v>0.1</v>
      </c>
      <c r="G21" s="6">
        <v>0.1</v>
      </c>
      <c r="H21" s="6">
        <v>0.1</v>
      </c>
      <c r="I21" s="6">
        <v>0.1</v>
      </c>
      <c r="J21" s="6">
        <v>0.1</v>
      </c>
      <c r="K21" s="24"/>
      <c r="V21" s="14"/>
    </row>
    <row r="22" spans="1:22" ht="12.75" customHeight="1" x14ac:dyDescent="0.2">
      <c r="A22" t="s">
        <v>19</v>
      </c>
      <c r="C22" s="24">
        <v>8</v>
      </c>
      <c r="D22" s="24">
        <v>8</v>
      </c>
      <c r="E22" s="24">
        <v>8</v>
      </c>
      <c r="F22" s="24">
        <v>8</v>
      </c>
      <c r="G22" s="24">
        <v>8</v>
      </c>
      <c r="H22" s="24">
        <v>8</v>
      </c>
      <c r="I22" s="24">
        <v>8</v>
      </c>
      <c r="J22" s="24">
        <v>8</v>
      </c>
      <c r="K22" s="24"/>
      <c r="V22" s="14"/>
    </row>
    <row r="23" spans="1:22" ht="12.75" customHeight="1" x14ac:dyDescent="0.2">
      <c r="A23" t="s">
        <v>20</v>
      </c>
      <c r="C23" s="24">
        <v>30</v>
      </c>
      <c r="D23" s="24">
        <v>30</v>
      </c>
      <c r="E23" s="24">
        <v>30</v>
      </c>
      <c r="F23" s="24">
        <v>30</v>
      </c>
      <c r="G23" s="24">
        <v>30</v>
      </c>
      <c r="H23" s="24">
        <v>30</v>
      </c>
      <c r="I23" s="24">
        <v>30</v>
      </c>
      <c r="J23" s="24">
        <v>30</v>
      </c>
      <c r="K23" s="24"/>
      <c r="V23" s="14"/>
    </row>
    <row r="24" spans="1:22" ht="12.75" customHeight="1" x14ac:dyDescent="0.2">
      <c r="A24" t="s">
        <v>21</v>
      </c>
      <c r="C24" s="14">
        <f>1/30</f>
        <v>3.3333333333333333E-2</v>
      </c>
      <c r="D24" s="14">
        <f t="shared" ref="D24:J24" si="4">$C$24</f>
        <v>3.3333333333333333E-2</v>
      </c>
      <c r="E24" s="14">
        <f t="shared" si="4"/>
        <v>3.3333333333333333E-2</v>
      </c>
      <c r="F24" s="14">
        <f t="shared" si="4"/>
        <v>3.3333333333333333E-2</v>
      </c>
      <c r="G24" s="14">
        <f t="shared" si="4"/>
        <v>3.3333333333333333E-2</v>
      </c>
      <c r="H24" s="14">
        <f t="shared" si="4"/>
        <v>3.3333333333333333E-2</v>
      </c>
      <c r="I24" s="14">
        <f t="shared" si="4"/>
        <v>3.3333333333333333E-2</v>
      </c>
      <c r="J24" s="14">
        <f t="shared" si="4"/>
        <v>3.3333333333333333E-2</v>
      </c>
      <c r="K24" s="24"/>
      <c r="V24" s="14"/>
    </row>
    <row r="25" spans="1:22" ht="12.75" customHeight="1" x14ac:dyDescent="0.2">
      <c r="A25" t="s">
        <v>22</v>
      </c>
      <c r="C25" s="14">
        <f t="shared" ref="C25:J25" si="5">1/3</f>
        <v>0.33333333333333331</v>
      </c>
      <c r="D25" s="14">
        <f t="shared" si="5"/>
        <v>0.33333333333333331</v>
      </c>
      <c r="E25" s="14">
        <f t="shared" si="5"/>
        <v>0.33333333333333331</v>
      </c>
      <c r="F25" s="14">
        <f t="shared" si="5"/>
        <v>0.33333333333333331</v>
      </c>
      <c r="G25" s="14">
        <f t="shared" si="5"/>
        <v>0.33333333333333331</v>
      </c>
      <c r="H25" s="14">
        <f t="shared" si="5"/>
        <v>0.33333333333333331</v>
      </c>
      <c r="I25" s="14">
        <f t="shared" si="5"/>
        <v>0.33333333333333331</v>
      </c>
      <c r="J25" s="14">
        <f t="shared" si="5"/>
        <v>0.33333333333333331</v>
      </c>
      <c r="K25" s="24"/>
      <c r="V25" s="14"/>
    </row>
    <row r="26" spans="1:22" ht="12.75" customHeight="1" x14ac:dyDescent="0.2">
      <c r="A26" t="s">
        <v>23</v>
      </c>
      <c r="C26" s="24">
        <v>1.5</v>
      </c>
      <c r="D26" s="18">
        <f t="shared" ref="D26:J26" si="6">C26+(C26*$K$26)</f>
        <v>1.5225</v>
      </c>
      <c r="E26" s="18">
        <f t="shared" si="6"/>
        <v>1.5453375</v>
      </c>
      <c r="F26" s="18">
        <f t="shared" si="6"/>
        <v>1.5685175625000001</v>
      </c>
      <c r="G26" s="18">
        <f t="shared" si="6"/>
        <v>1.5920453259375</v>
      </c>
      <c r="H26" s="18">
        <f t="shared" si="6"/>
        <v>1.6159260058265625</v>
      </c>
      <c r="I26" s="18">
        <f t="shared" si="6"/>
        <v>1.640164895913961</v>
      </c>
      <c r="J26" s="18">
        <f t="shared" si="6"/>
        <v>1.6647673693526703</v>
      </c>
      <c r="K26" s="24">
        <v>1.4999999999999999E-2</v>
      </c>
      <c r="L26" t="s">
        <v>16</v>
      </c>
      <c r="V26" s="14"/>
    </row>
    <row r="27" spans="1:22" ht="12.75" customHeight="1" x14ac:dyDescent="0.2">
      <c r="A27" t="s">
        <v>24</v>
      </c>
      <c r="C27" s="24">
        <v>1.5</v>
      </c>
      <c r="D27" s="18">
        <f t="shared" ref="D27:J27" si="7">C27+(C27*$K$27)</f>
        <v>1.5225</v>
      </c>
      <c r="E27" s="18">
        <f t="shared" si="7"/>
        <v>1.5453375</v>
      </c>
      <c r="F27" s="18">
        <f t="shared" si="7"/>
        <v>1.5685175625000001</v>
      </c>
      <c r="G27" s="18">
        <f t="shared" si="7"/>
        <v>1.5920453259375</v>
      </c>
      <c r="H27" s="18">
        <f t="shared" si="7"/>
        <v>1.6159260058265625</v>
      </c>
      <c r="I27" s="18">
        <f t="shared" si="7"/>
        <v>1.640164895913961</v>
      </c>
      <c r="J27" s="18">
        <f t="shared" si="7"/>
        <v>1.6647673693526703</v>
      </c>
      <c r="K27" s="24">
        <v>1.4999999999999999E-2</v>
      </c>
      <c r="L27" t="s">
        <v>16</v>
      </c>
      <c r="V27" s="14"/>
    </row>
    <row r="28" spans="1:22" ht="12.75" customHeight="1" x14ac:dyDescent="0.2">
      <c r="A28" t="s">
        <v>25</v>
      </c>
      <c r="C28" s="21">
        <v>3</v>
      </c>
      <c r="D28" s="22">
        <f t="shared" ref="D28:J28" si="8">C28+(C28*$K$28)</f>
        <v>3.15</v>
      </c>
      <c r="E28" s="22">
        <f t="shared" si="8"/>
        <v>3.3075000000000001</v>
      </c>
      <c r="F28" s="22">
        <f t="shared" si="8"/>
        <v>3.4728750000000002</v>
      </c>
      <c r="G28" s="22">
        <f t="shared" si="8"/>
        <v>3.6465187500000003</v>
      </c>
      <c r="H28" s="22">
        <f t="shared" si="8"/>
        <v>3.8288446875000002</v>
      </c>
      <c r="I28" s="22">
        <f t="shared" si="8"/>
        <v>4.0202869218749999</v>
      </c>
      <c r="J28" s="22">
        <f t="shared" si="8"/>
        <v>4.2213012679687498</v>
      </c>
      <c r="K28" s="24">
        <v>0.05</v>
      </c>
      <c r="L28" t="s">
        <v>26</v>
      </c>
      <c r="V28" s="14"/>
    </row>
    <row r="29" spans="1:22" ht="12.75" customHeight="1" x14ac:dyDescent="0.2">
      <c r="A29" t="s">
        <v>27</v>
      </c>
      <c r="C29" s="21">
        <v>4</v>
      </c>
      <c r="D29" s="22">
        <f t="shared" ref="D29:J29" si="9">C29+(C29*$K$29)</f>
        <v>4.2</v>
      </c>
      <c r="E29" s="22">
        <f t="shared" si="9"/>
        <v>4.41</v>
      </c>
      <c r="F29" s="22">
        <f t="shared" si="9"/>
        <v>4.6305000000000005</v>
      </c>
      <c r="G29" s="22">
        <f t="shared" si="9"/>
        <v>4.8620250000000009</v>
      </c>
      <c r="H29" s="22">
        <f t="shared" si="9"/>
        <v>5.1051262500000014</v>
      </c>
      <c r="I29" s="22">
        <f t="shared" si="9"/>
        <v>5.3603825625000017</v>
      </c>
      <c r="J29" s="22">
        <f t="shared" si="9"/>
        <v>5.6284016906250018</v>
      </c>
      <c r="K29" s="24">
        <v>0.05</v>
      </c>
      <c r="L29" t="s">
        <v>26</v>
      </c>
      <c r="V29" s="14"/>
    </row>
    <row r="30" spans="1:22" ht="12.75" customHeight="1" x14ac:dyDescent="0.2">
      <c r="K30" s="24"/>
      <c r="V30" s="14"/>
    </row>
    <row r="31" spans="1:22" ht="12.75" customHeight="1" x14ac:dyDescent="0.2">
      <c r="V31" s="14"/>
    </row>
    <row r="32" spans="1:22" x14ac:dyDescent="0.2">
      <c r="A32" s="7" t="s">
        <v>28</v>
      </c>
      <c r="V32" s="14"/>
    </row>
    <row r="33" spans="1:22" x14ac:dyDescent="0.2">
      <c r="A33" t="s">
        <v>29</v>
      </c>
      <c r="C33" s="5">
        <f t="shared" ref="C33:J33" si="10">(((C10*C12)*C13)*52)+((C9*C21)*C19)</f>
        <v>216216</v>
      </c>
      <c r="D33" s="5">
        <f t="shared" si="10"/>
        <v>230746.42773</v>
      </c>
      <c r="E33" s="5">
        <f t="shared" si="10"/>
        <v>246257.91471607125</v>
      </c>
      <c r="F33" s="5">
        <f t="shared" si="10"/>
        <v>262817.06488813373</v>
      </c>
      <c r="G33" s="5">
        <f t="shared" si="10"/>
        <v>280495.03297208808</v>
      </c>
      <c r="H33" s="5">
        <f t="shared" si="10"/>
        <v>299367.83772957698</v>
      </c>
      <c r="I33" s="5">
        <f t="shared" si="10"/>
        <v>319516.69693960622</v>
      </c>
      <c r="J33" s="5">
        <f t="shared" si="10"/>
        <v>341028.38564525015</v>
      </c>
      <c r="V33" s="14"/>
    </row>
    <row r="34" spans="1:22" x14ac:dyDescent="0.2">
      <c r="A34" t="s">
        <v>30</v>
      </c>
      <c r="C34" s="20">
        <f t="shared" ref="C34:J34" si="11">(C9*C21)*C20</f>
        <v>4914</v>
      </c>
      <c r="D34" s="2">
        <f t="shared" si="11"/>
        <v>5315.6519324999999</v>
      </c>
      <c r="E34" s="2">
        <f t="shared" si="11"/>
        <v>5750.1333877678035</v>
      </c>
      <c r="F34" s="3">
        <f t="shared" si="11"/>
        <v>6220.1277278837406</v>
      </c>
      <c r="G34" s="3">
        <f t="shared" si="11"/>
        <v>6728.5376428819791</v>
      </c>
      <c r="H34" s="3">
        <f t="shared" si="11"/>
        <v>7278.5030777949914</v>
      </c>
      <c r="I34" s="3">
        <f t="shared" si="11"/>
        <v>7873.4206249874114</v>
      </c>
      <c r="J34" s="3">
        <f t="shared" si="11"/>
        <v>7674.0131909766005</v>
      </c>
      <c r="K34" s="14"/>
      <c r="V34" s="14"/>
    </row>
    <row r="35" spans="1:22" x14ac:dyDescent="0.2">
      <c r="A35" t="s">
        <v>31</v>
      </c>
      <c r="C35" s="13">
        <f t="shared" ref="C35:J35" si="12">C33-C34</f>
        <v>211302</v>
      </c>
      <c r="D35" s="13">
        <f t="shared" si="12"/>
        <v>225430.77579749998</v>
      </c>
      <c r="E35" s="13">
        <f t="shared" si="12"/>
        <v>240507.78132830345</v>
      </c>
      <c r="F35" s="13">
        <f t="shared" si="12"/>
        <v>256596.93716024997</v>
      </c>
      <c r="G35" s="13">
        <f t="shared" si="12"/>
        <v>273766.49532920611</v>
      </c>
      <c r="H35" s="13">
        <f t="shared" si="12"/>
        <v>292089.334651782</v>
      </c>
      <c r="I35" s="13">
        <f t="shared" si="12"/>
        <v>311643.27631461882</v>
      </c>
      <c r="J35" s="13">
        <f t="shared" si="12"/>
        <v>333354.37245427357</v>
      </c>
      <c r="V35" s="14"/>
    </row>
    <row r="36" spans="1:22" x14ac:dyDescent="0.2">
      <c r="A36" s="7" t="s">
        <v>32</v>
      </c>
      <c r="C36" s="5"/>
      <c r="E36" s="8"/>
    </row>
    <row r="37" spans="1:22" x14ac:dyDescent="0.2">
      <c r="A37" t="s">
        <v>33</v>
      </c>
      <c r="C37" s="5">
        <f t="shared" ref="C37:J37" si="13">$K$37*C33</f>
        <v>60540.480000000003</v>
      </c>
      <c r="D37" s="5">
        <f t="shared" si="13"/>
        <v>64608.999764400003</v>
      </c>
      <c r="E37" s="5">
        <f t="shared" si="13"/>
        <v>68952.216120499957</v>
      </c>
      <c r="F37" s="5">
        <f t="shared" si="13"/>
        <v>73588.778168677454</v>
      </c>
      <c r="G37" s="5">
        <f t="shared" si="13"/>
        <v>78538.609232184666</v>
      </c>
      <c r="H37" s="5">
        <f t="shared" si="13"/>
        <v>83822.994564281558</v>
      </c>
      <c r="I37" s="5">
        <f t="shared" si="13"/>
        <v>89464.675143089757</v>
      </c>
      <c r="J37" s="5">
        <f t="shared" si="13"/>
        <v>95487.947980670055</v>
      </c>
      <c r="K37" s="26">
        <v>0.28000000000000003</v>
      </c>
      <c r="L37" t="s">
        <v>34</v>
      </c>
    </row>
    <row r="38" spans="1:22" x14ac:dyDescent="0.2">
      <c r="A38" t="s">
        <v>35</v>
      </c>
      <c r="C38" s="5">
        <f t="shared" ref="C38:J38" si="14">C33*$K$38</f>
        <v>38918.879999999997</v>
      </c>
      <c r="D38" s="5">
        <f t="shared" si="14"/>
        <v>41534.356991399996</v>
      </c>
      <c r="E38" s="5">
        <f t="shared" si="14"/>
        <v>44326.424648892826</v>
      </c>
      <c r="F38" s="5">
        <f t="shared" si="14"/>
        <v>47307.071679864071</v>
      </c>
      <c r="G38" s="5">
        <f t="shared" si="14"/>
        <v>50489.105934975851</v>
      </c>
      <c r="H38" s="5">
        <f t="shared" si="14"/>
        <v>53886.210791323851</v>
      </c>
      <c r="I38" s="5">
        <f t="shared" si="14"/>
        <v>57513.005449129116</v>
      </c>
      <c r="J38" s="5">
        <f t="shared" si="14"/>
        <v>61385.109416145024</v>
      </c>
      <c r="K38" s="26">
        <v>0.18</v>
      </c>
      <c r="L38" t="s">
        <v>34</v>
      </c>
    </row>
    <row r="39" spans="1:22" x14ac:dyDescent="0.2">
      <c r="A39" t="s">
        <v>36</v>
      </c>
      <c r="C39" s="5">
        <v>1000</v>
      </c>
      <c r="D39" s="5">
        <v>1000</v>
      </c>
      <c r="E39" s="5">
        <v>1000</v>
      </c>
      <c r="F39" s="5">
        <v>1000</v>
      </c>
      <c r="G39" s="5">
        <v>1000</v>
      </c>
      <c r="H39" s="5">
        <v>1000</v>
      </c>
      <c r="I39" s="5">
        <v>1000</v>
      </c>
      <c r="J39" s="5">
        <v>1000</v>
      </c>
      <c r="K39" s="25"/>
    </row>
    <row r="40" spans="1:22" x14ac:dyDescent="0.2">
      <c r="A40" t="s">
        <v>37</v>
      </c>
      <c r="C40" s="5">
        <f t="shared" ref="C40:J40" si="15">$K$40*C33</f>
        <v>8648.64</v>
      </c>
      <c r="D40" s="5">
        <f t="shared" si="15"/>
        <v>9229.8571092000002</v>
      </c>
      <c r="E40" s="5">
        <f t="shared" si="15"/>
        <v>9850.3165886428505</v>
      </c>
      <c r="F40" s="5">
        <f t="shared" si="15"/>
        <v>10512.68259552535</v>
      </c>
      <c r="G40" s="5">
        <f t="shared" si="15"/>
        <v>11219.801318883523</v>
      </c>
      <c r="H40" s="5">
        <f t="shared" si="15"/>
        <v>11974.713509183079</v>
      </c>
      <c r="I40" s="5">
        <f t="shared" si="15"/>
        <v>12780.667877584248</v>
      </c>
      <c r="J40" s="5">
        <f t="shared" si="15"/>
        <v>13641.135425810005</v>
      </c>
      <c r="K40" s="26">
        <v>0.04</v>
      </c>
      <c r="L40" t="s">
        <v>34</v>
      </c>
    </row>
    <row r="41" spans="1:22" x14ac:dyDescent="0.2">
      <c r="A41" t="s">
        <v>38</v>
      </c>
      <c r="C41" s="5">
        <f t="shared" ref="C41:J41" si="16">C33*$K$41</f>
        <v>2810.808</v>
      </c>
      <c r="D41" s="5">
        <f t="shared" si="16"/>
        <v>2999.7035604899997</v>
      </c>
      <c r="E41" s="5">
        <f t="shared" si="16"/>
        <v>3201.3528913089262</v>
      </c>
      <c r="F41" s="5">
        <f t="shared" si="16"/>
        <v>3416.6218435457381</v>
      </c>
      <c r="G41" s="5">
        <f t="shared" si="16"/>
        <v>3646.4354286371449</v>
      </c>
      <c r="H41" s="5">
        <f t="shared" si="16"/>
        <v>3891.7818904845003</v>
      </c>
      <c r="I41" s="5">
        <f t="shared" si="16"/>
        <v>4153.7170602148808</v>
      </c>
      <c r="J41" s="5">
        <f t="shared" si="16"/>
        <v>4433.3690133882519</v>
      </c>
      <c r="K41" s="26">
        <v>1.2999999999999999E-2</v>
      </c>
      <c r="L41" t="s">
        <v>34</v>
      </c>
    </row>
    <row r="42" spans="1:22" x14ac:dyDescent="0.2">
      <c r="A42" t="s">
        <v>39</v>
      </c>
      <c r="C42" s="5">
        <f t="shared" ref="C42" si="17">($C$62+$C$61)*$K42</f>
        <v>6375</v>
      </c>
      <c r="D42" s="5">
        <f>C42*1.03</f>
        <v>6566.25</v>
      </c>
      <c r="E42" s="5">
        <f t="shared" ref="E42:J42" si="18">D42*1.03</f>
        <v>6763.2375000000002</v>
      </c>
      <c r="F42" s="5">
        <f t="shared" si="18"/>
        <v>6966.1346250000006</v>
      </c>
      <c r="G42" s="5">
        <f t="shared" si="18"/>
        <v>7175.1186637500005</v>
      </c>
      <c r="H42" s="5">
        <f t="shared" si="18"/>
        <v>7390.3722236625008</v>
      </c>
      <c r="I42" s="5">
        <f t="shared" si="18"/>
        <v>7612.083390372376</v>
      </c>
      <c r="J42" s="5">
        <f t="shared" si="18"/>
        <v>7840.4458920835477</v>
      </c>
      <c r="K42" s="26">
        <v>1.2749999999999999E-2</v>
      </c>
      <c r="L42" t="s">
        <v>40</v>
      </c>
    </row>
    <row r="43" spans="1:22" x14ac:dyDescent="0.2">
      <c r="C43" s="5"/>
      <c r="D43" s="5"/>
      <c r="E43" s="5"/>
      <c r="F43" s="5"/>
      <c r="K43" s="14"/>
    </row>
    <row r="44" spans="1:22" x14ac:dyDescent="0.2">
      <c r="A44" s="7" t="s">
        <v>41</v>
      </c>
      <c r="C44" s="5">
        <f t="shared" ref="C44:J44" si="19">SUM(C37:C42)</f>
        <v>118293.808</v>
      </c>
      <c r="D44" s="5">
        <f t="shared" si="19"/>
        <v>125939.16742549</v>
      </c>
      <c r="E44" s="5">
        <f t="shared" si="19"/>
        <v>134093.54774934455</v>
      </c>
      <c r="F44" s="5">
        <f t="shared" si="19"/>
        <v>142791.2889126126</v>
      </c>
      <c r="G44" s="5">
        <f t="shared" si="19"/>
        <v>152069.07057843119</v>
      </c>
      <c r="H44" s="5">
        <f t="shared" si="19"/>
        <v>161966.0729789355</v>
      </c>
      <c r="I44" s="5">
        <f t="shared" si="19"/>
        <v>172524.14892039038</v>
      </c>
      <c r="J44" s="5">
        <f t="shared" si="19"/>
        <v>183788.00772809688</v>
      </c>
      <c r="K44" s="14"/>
    </row>
    <row r="45" spans="1:22" x14ac:dyDescent="0.2">
      <c r="C45" s="5"/>
    </row>
    <row r="46" spans="1:22" x14ac:dyDescent="0.2">
      <c r="A46" t="s">
        <v>42</v>
      </c>
      <c r="C46" s="5">
        <f>((C11*C10)*C25)+(C62*C24)</f>
        <v>95000</v>
      </c>
      <c r="D46" s="5">
        <f>((D11*D10)*D25)+(D62*D24)</f>
        <v>95000</v>
      </c>
      <c r="E46" s="5">
        <f>((E11*E10)*E25)+(E62*E24)</f>
        <v>95000</v>
      </c>
      <c r="F46" s="5">
        <f>+(F62*F24)</f>
        <v>15000</v>
      </c>
      <c r="G46" s="5">
        <f>+(G62*G24)</f>
        <v>15000</v>
      </c>
      <c r="H46" s="5">
        <f>+(H62*H24)</f>
        <v>15000</v>
      </c>
      <c r="I46" s="5">
        <f>+(I62*I24)</f>
        <v>15000</v>
      </c>
      <c r="J46" s="5">
        <f>+(J62*J24)</f>
        <v>15000</v>
      </c>
    </row>
    <row r="47" spans="1:22" x14ac:dyDescent="0.2">
      <c r="A47" t="s">
        <v>43</v>
      </c>
      <c r="C47" s="5">
        <f>Mortgage!D14</f>
        <v>29101.908658300108</v>
      </c>
      <c r="D47" s="5">
        <f>Mortgage!D28</f>
        <v>28765.056007210125</v>
      </c>
      <c r="E47" s="5">
        <f>Mortgage!D42</f>
        <v>28405.643710224682</v>
      </c>
      <c r="F47" s="5">
        <f>Mortgage!D56</f>
        <v>28022.160906077632</v>
      </c>
      <c r="G47" s="9">
        <f>Mortgage!D70</f>
        <v>27612.995548325736</v>
      </c>
      <c r="H47" s="22">
        <f>Mortgage!D84</f>
        <v>27176.427628789897</v>
      </c>
      <c r="I47" s="22">
        <f>Mortgage!D98</f>
        <v>26710.621947157855</v>
      </c>
      <c r="J47" s="22">
        <f>Mortgage!D112</f>
        <v>26213.620396353617</v>
      </c>
    </row>
    <row r="48" spans="1:22" x14ac:dyDescent="0.2">
      <c r="A48" t="s">
        <v>44</v>
      </c>
      <c r="C48" s="5">
        <f t="shared" ref="C48:J48" si="20">C74*$K$48</f>
        <v>17846.962585578822</v>
      </c>
      <c r="D48" s="5">
        <f t="shared" si="20"/>
        <v>13126.501657050676</v>
      </c>
      <c r="E48" s="5">
        <f t="shared" si="20"/>
        <v>7253.8624690599827</v>
      </c>
      <c r="F48" s="5">
        <f t="shared" si="20"/>
        <v>68.597612290605625</v>
      </c>
      <c r="G48" s="5">
        <f t="shared" si="20"/>
        <v>0</v>
      </c>
      <c r="H48" s="5">
        <f t="shared" si="20"/>
        <v>0</v>
      </c>
      <c r="I48" s="5">
        <f t="shared" si="20"/>
        <v>0</v>
      </c>
      <c r="J48" s="5">
        <f t="shared" si="20"/>
        <v>0</v>
      </c>
      <c r="K48" s="26">
        <v>0.09</v>
      </c>
    </row>
    <row r="49" spans="1:11" x14ac:dyDescent="0.2">
      <c r="K49" s="11"/>
    </row>
    <row r="50" spans="1:11" x14ac:dyDescent="0.2">
      <c r="A50" t="s">
        <v>45</v>
      </c>
      <c r="C50" s="22">
        <f t="shared" ref="C50:J50" si="21">C35-(C44+SUM(C46:C48))</f>
        <v>-48940.679243878927</v>
      </c>
      <c r="D50" s="22">
        <f t="shared" si="21"/>
        <v>-37399.949292250792</v>
      </c>
      <c r="E50" s="22">
        <f t="shared" si="21"/>
        <v>-24245.272600325756</v>
      </c>
      <c r="F50" s="22">
        <f t="shared" si="21"/>
        <v>70714.88972926914</v>
      </c>
      <c r="G50" s="22">
        <f t="shared" si="21"/>
        <v>79084.429202449188</v>
      </c>
      <c r="H50" s="22">
        <f t="shared" si="21"/>
        <v>87946.834044056595</v>
      </c>
      <c r="I50" s="22">
        <f t="shared" si="21"/>
        <v>97408.50544707058</v>
      </c>
      <c r="J50" s="22">
        <f t="shared" si="21"/>
        <v>108352.74432982306</v>
      </c>
      <c r="K50" s="11"/>
    </row>
    <row r="51" spans="1:11" x14ac:dyDescent="0.2">
      <c r="A51" t="s">
        <v>46</v>
      </c>
      <c r="C51" s="22">
        <f t="shared" ref="C51:J51" si="22">IF((C50&gt;0),(C50*$K$51),0)</f>
        <v>0</v>
      </c>
      <c r="D51" s="22">
        <f t="shared" si="22"/>
        <v>0</v>
      </c>
      <c r="E51" s="22">
        <f t="shared" si="22"/>
        <v>0</v>
      </c>
      <c r="F51" s="22">
        <f t="shared" si="22"/>
        <v>17678.722432317285</v>
      </c>
      <c r="G51" s="22">
        <f t="shared" si="22"/>
        <v>19771.107300612297</v>
      </c>
      <c r="H51" s="22">
        <f t="shared" si="22"/>
        <v>21986.708511014149</v>
      </c>
      <c r="I51" s="22">
        <f t="shared" si="22"/>
        <v>24352.126361767645</v>
      </c>
      <c r="J51" s="22">
        <f t="shared" si="22"/>
        <v>27088.186082455766</v>
      </c>
      <c r="K51" s="26">
        <v>0.25</v>
      </c>
    </row>
    <row r="52" spans="1:11" x14ac:dyDescent="0.2">
      <c r="A52" s="7" t="s">
        <v>47</v>
      </c>
      <c r="C52" s="17">
        <f t="shared" ref="C52:J52" si="23">+C50-C51</f>
        <v>-48940.679243878927</v>
      </c>
      <c r="D52" s="17">
        <f t="shared" si="23"/>
        <v>-37399.949292250792</v>
      </c>
      <c r="E52" s="17">
        <f t="shared" si="23"/>
        <v>-24245.272600325756</v>
      </c>
      <c r="F52" s="17">
        <f t="shared" si="23"/>
        <v>53036.167296951855</v>
      </c>
      <c r="G52" s="17">
        <f t="shared" si="23"/>
        <v>59313.321901836891</v>
      </c>
      <c r="H52" s="17">
        <f t="shared" si="23"/>
        <v>65960.125533042446</v>
      </c>
      <c r="I52" s="17">
        <f t="shared" si="23"/>
        <v>73056.379085302935</v>
      </c>
      <c r="J52" s="17">
        <f t="shared" si="23"/>
        <v>81264.558247367298</v>
      </c>
    </row>
    <row r="54" spans="1:11" x14ac:dyDescent="0.2">
      <c r="A54" s="7" t="s">
        <v>48</v>
      </c>
    </row>
    <row r="55" spans="1:11" x14ac:dyDescent="0.2">
      <c r="A55" s="7" t="s">
        <v>49</v>
      </c>
    </row>
    <row r="56" spans="1:11" x14ac:dyDescent="0.2">
      <c r="A56" t="s">
        <v>50</v>
      </c>
      <c r="C56" s="5">
        <f t="shared" ref="C56:J56" si="24">C17</f>
        <v>6000</v>
      </c>
      <c r="D56" s="5">
        <f t="shared" si="24"/>
        <v>6000</v>
      </c>
      <c r="E56" s="5">
        <f t="shared" si="24"/>
        <v>6000</v>
      </c>
      <c r="F56" s="5">
        <f t="shared" si="24"/>
        <v>6000</v>
      </c>
      <c r="G56" s="5">
        <f t="shared" si="24"/>
        <v>6000</v>
      </c>
      <c r="H56" s="5">
        <f t="shared" si="24"/>
        <v>6000</v>
      </c>
      <c r="I56" s="5">
        <f t="shared" si="24"/>
        <v>6000</v>
      </c>
      <c r="J56" s="5">
        <f t="shared" si="24"/>
        <v>6000</v>
      </c>
    </row>
    <row r="57" spans="1:11" x14ac:dyDescent="0.2">
      <c r="A57" t="s">
        <v>51</v>
      </c>
      <c r="C57" s="5"/>
      <c r="G57" s="5">
        <v>69364.77</v>
      </c>
      <c r="H57" s="5">
        <v>145833.65</v>
      </c>
      <c r="I57" s="5">
        <v>229092</v>
      </c>
      <c r="J57" s="5">
        <v>320391</v>
      </c>
    </row>
    <row r="58" spans="1:11" x14ac:dyDescent="0.2">
      <c r="A58" t="s">
        <v>52</v>
      </c>
      <c r="C58" s="5">
        <f t="shared" ref="C58:J58" si="25">(C34/365)*C22</f>
        <v>107.7041095890411</v>
      </c>
      <c r="D58" s="5">
        <f t="shared" si="25"/>
        <v>116.50743961643836</v>
      </c>
      <c r="E58" s="5">
        <f t="shared" si="25"/>
        <v>126.03032082778748</v>
      </c>
      <c r="F58" s="5">
        <f t="shared" si="25"/>
        <v>136.33156663854774</v>
      </c>
      <c r="G58" s="5">
        <f t="shared" si="25"/>
        <v>147.47479765220777</v>
      </c>
      <c r="H58" s="5">
        <f t="shared" si="25"/>
        <v>159.52883458180804</v>
      </c>
      <c r="I58" s="5">
        <f t="shared" si="25"/>
        <v>172.56812328739531</v>
      </c>
      <c r="J58" s="5">
        <f t="shared" si="25"/>
        <v>168.19754939126796</v>
      </c>
    </row>
    <row r="59" spans="1:11" x14ac:dyDescent="0.2">
      <c r="A59" t="s">
        <v>53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</row>
    <row r="60" spans="1:11" x14ac:dyDescent="0.2">
      <c r="C60" s="5"/>
    </row>
    <row r="61" spans="1:11" x14ac:dyDescent="0.2">
      <c r="A61" t="s">
        <v>54</v>
      </c>
      <c r="C61" s="5">
        <v>50000</v>
      </c>
      <c r="D61" s="5">
        <v>50000</v>
      </c>
      <c r="E61" s="5">
        <v>50000</v>
      </c>
      <c r="F61" s="5">
        <v>50000</v>
      </c>
      <c r="G61" s="5">
        <v>50000</v>
      </c>
      <c r="H61" s="5">
        <v>50000</v>
      </c>
      <c r="I61" s="5">
        <v>50000</v>
      </c>
      <c r="J61" s="5">
        <v>50000</v>
      </c>
    </row>
    <row r="62" spans="1:11" x14ac:dyDescent="0.2">
      <c r="A62" t="s">
        <v>55</v>
      </c>
      <c r="C62" s="5">
        <v>450000</v>
      </c>
      <c r="D62" s="5">
        <v>450000</v>
      </c>
      <c r="E62" s="5">
        <v>450000</v>
      </c>
      <c r="F62" s="5">
        <v>450000</v>
      </c>
      <c r="G62" s="5">
        <v>450000</v>
      </c>
      <c r="H62" s="5">
        <v>450000</v>
      </c>
      <c r="I62" s="5">
        <v>450000</v>
      </c>
      <c r="J62" s="5">
        <v>450000</v>
      </c>
    </row>
    <row r="63" spans="1:11" x14ac:dyDescent="0.2">
      <c r="A63" t="s">
        <v>56</v>
      </c>
      <c r="C63" s="5">
        <f>C11*C10</f>
        <v>240000</v>
      </c>
      <c r="D63" s="5">
        <f t="shared" ref="D63:J63" si="26">$C$63</f>
        <v>240000</v>
      </c>
      <c r="E63" s="5">
        <f t="shared" si="26"/>
        <v>240000</v>
      </c>
      <c r="F63" s="5">
        <f t="shared" si="26"/>
        <v>240000</v>
      </c>
      <c r="G63" s="5">
        <f t="shared" si="26"/>
        <v>240000</v>
      </c>
      <c r="H63" s="5">
        <f t="shared" si="26"/>
        <v>240000</v>
      </c>
      <c r="I63" s="5">
        <f t="shared" si="26"/>
        <v>240000</v>
      </c>
      <c r="J63" s="5">
        <f t="shared" si="26"/>
        <v>240000</v>
      </c>
    </row>
    <row r="64" spans="1:11" x14ac:dyDescent="0.2">
      <c r="A64" t="s">
        <v>57</v>
      </c>
      <c r="C64" s="5">
        <f>C46</f>
        <v>95000</v>
      </c>
      <c r="D64" s="5">
        <f t="shared" ref="D64:J64" si="27">C64+D46</f>
        <v>190000</v>
      </c>
      <c r="E64" s="5">
        <f t="shared" si="27"/>
        <v>285000</v>
      </c>
      <c r="F64" s="5">
        <f t="shared" si="27"/>
        <v>300000</v>
      </c>
      <c r="G64" s="5">
        <f t="shared" si="27"/>
        <v>315000</v>
      </c>
      <c r="H64" s="5">
        <f t="shared" si="27"/>
        <v>330000</v>
      </c>
      <c r="I64" s="5">
        <f t="shared" si="27"/>
        <v>345000</v>
      </c>
      <c r="J64" s="5">
        <f t="shared" si="27"/>
        <v>360000</v>
      </c>
    </row>
    <row r="66" spans="1:10" x14ac:dyDescent="0.2">
      <c r="A66" s="7" t="s">
        <v>58</v>
      </c>
      <c r="C66" s="22">
        <f t="shared" ref="C66:J66" si="28">SUM(C56:C63)-C64</f>
        <v>651107.7041095891</v>
      </c>
      <c r="D66" s="22">
        <f t="shared" si="28"/>
        <v>556116.50743961637</v>
      </c>
      <c r="E66" s="22">
        <f t="shared" si="28"/>
        <v>461126.03032082785</v>
      </c>
      <c r="F66" s="22">
        <f t="shared" si="28"/>
        <v>446136.33156663855</v>
      </c>
      <c r="G66" s="22">
        <f t="shared" si="28"/>
        <v>500512.24479765224</v>
      </c>
      <c r="H66" s="22">
        <f t="shared" si="28"/>
        <v>561993.17883458175</v>
      </c>
      <c r="I66" s="22">
        <f t="shared" si="28"/>
        <v>630264.5681232874</v>
      </c>
      <c r="J66" s="22">
        <f t="shared" si="28"/>
        <v>706559.19754939131</v>
      </c>
    </row>
    <row r="68" spans="1:10" x14ac:dyDescent="0.2">
      <c r="A68" s="7" t="s">
        <v>59</v>
      </c>
    </row>
    <row r="69" spans="1:10" x14ac:dyDescent="0.2">
      <c r="A69" t="s">
        <v>60</v>
      </c>
      <c r="C69" s="22">
        <f t="shared" ref="C69:J69" si="29">(C34/365)*C23</f>
        <v>403.89041095890411</v>
      </c>
      <c r="D69" s="22">
        <f t="shared" si="29"/>
        <v>436.90289856164384</v>
      </c>
      <c r="E69" s="22">
        <f t="shared" si="29"/>
        <v>472.61370310420307</v>
      </c>
      <c r="F69" s="22">
        <f t="shared" si="29"/>
        <v>511.24337489455405</v>
      </c>
      <c r="G69" s="22">
        <f t="shared" si="29"/>
        <v>553.03049119577918</v>
      </c>
      <c r="H69" s="22">
        <f t="shared" si="29"/>
        <v>598.23312968178016</v>
      </c>
      <c r="I69" s="22">
        <f t="shared" si="29"/>
        <v>647.1304623277324</v>
      </c>
      <c r="J69" s="22">
        <f t="shared" si="29"/>
        <v>630.74081021725488</v>
      </c>
    </row>
    <row r="70" spans="1:10" x14ac:dyDescent="0.2">
      <c r="A70" t="s">
        <v>61</v>
      </c>
      <c r="C70" s="22">
        <f t="shared" ref="C70:J70" si="30">C51</f>
        <v>0</v>
      </c>
      <c r="D70" s="22">
        <f t="shared" si="30"/>
        <v>0</v>
      </c>
      <c r="E70" s="22">
        <f t="shared" si="30"/>
        <v>0</v>
      </c>
      <c r="F70" s="22">
        <f t="shared" si="30"/>
        <v>17678.722432317285</v>
      </c>
      <c r="G70" s="22">
        <f t="shared" si="30"/>
        <v>19771.107300612297</v>
      </c>
      <c r="H70" s="22">
        <f t="shared" si="30"/>
        <v>21986.708511014149</v>
      </c>
      <c r="I70" s="22">
        <f t="shared" si="30"/>
        <v>24352.126361767645</v>
      </c>
      <c r="J70" s="22">
        <f t="shared" si="30"/>
        <v>27088.186082455766</v>
      </c>
    </row>
    <row r="71" spans="1:10" x14ac:dyDescent="0.2">
      <c r="A71" t="s">
        <v>62</v>
      </c>
      <c r="C71">
        <f t="shared" ref="C71:J71" si="31">C42</f>
        <v>6375</v>
      </c>
      <c r="D71">
        <f t="shared" si="31"/>
        <v>6566.25</v>
      </c>
      <c r="E71">
        <f t="shared" si="31"/>
        <v>6763.2375000000002</v>
      </c>
      <c r="F71">
        <f t="shared" si="31"/>
        <v>6966.1346250000006</v>
      </c>
      <c r="G71">
        <f t="shared" si="31"/>
        <v>7175.1186637500005</v>
      </c>
      <c r="H71">
        <f t="shared" si="31"/>
        <v>7390.3722236625008</v>
      </c>
      <c r="I71">
        <f t="shared" si="31"/>
        <v>7612.083390372376</v>
      </c>
      <c r="J71">
        <f t="shared" si="31"/>
        <v>7840.4458920835477</v>
      </c>
    </row>
    <row r="73" spans="1:10" x14ac:dyDescent="0.2">
      <c r="A73" t="s">
        <v>63</v>
      </c>
      <c r="C73" s="5">
        <f>Mortgage!F13</f>
        <v>444970.23538968008</v>
      </c>
      <c r="D73" s="5">
        <f>Mortgage!F27</f>
        <v>439603.61812827009</v>
      </c>
      <c r="E73" s="5">
        <f>Mortgage!F41</f>
        <v>433877.58856987464</v>
      </c>
      <c r="F73" s="5">
        <f>Mortgage!F55</f>
        <v>427768.07620733225</v>
      </c>
      <c r="G73" s="9">
        <f>Mortgage!F69</f>
        <v>421249.39848703792</v>
      </c>
      <c r="H73" s="9">
        <f>Mortgage!F83</f>
        <v>414294.15284720773</v>
      </c>
      <c r="I73" s="9">
        <f>Mortgage!F97</f>
        <v>406873.10152574559</v>
      </c>
      <c r="J73" s="9">
        <f>Mortgage!F111</f>
        <v>398955.04865347926</v>
      </c>
    </row>
    <row r="74" spans="1:10" x14ac:dyDescent="0.2">
      <c r="A74" t="s">
        <v>64</v>
      </c>
      <c r="C74" s="5">
        <v>198299.58428420912</v>
      </c>
      <c r="D74" s="5">
        <v>145850.01841167419</v>
      </c>
      <c r="E74" s="5">
        <v>80598.471878444252</v>
      </c>
      <c r="F74" s="5">
        <v>762.19569211784028</v>
      </c>
    </row>
    <row r="76" spans="1:10" x14ac:dyDescent="0.2">
      <c r="A76" t="s">
        <v>65</v>
      </c>
      <c r="C76" s="5">
        <v>50000</v>
      </c>
      <c r="D76" s="5">
        <v>50000</v>
      </c>
      <c r="E76" s="5">
        <v>50000</v>
      </c>
      <c r="F76" s="5">
        <v>50000</v>
      </c>
      <c r="G76" s="5">
        <v>50000</v>
      </c>
      <c r="H76" s="5">
        <v>50000</v>
      </c>
      <c r="I76" s="5">
        <v>50000</v>
      </c>
      <c r="J76" s="5">
        <v>50000</v>
      </c>
    </row>
    <row r="77" spans="1:10" x14ac:dyDescent="0.2">
      <c r="A77" t="s">
        <v>66</v>
      </c>
      <c r="C77" s="5">
        <f>+C52</f>
        <v>-48940.679243878927</v>
      </c>
      <c r="D77" s="5">
        <f t="shared" ref="D77:J77" si="32">C77+D52</f>
        <v>-86340.62853612972</v>
      </c>
      <c r="E77" s="5">
        <f t="shared" si="32"/>
        <v>-110585.90113645548</v>
      </c>
      <c r="F77" s="5">
        <f t="shared" si="32"/>
        <v>-57549.73383950362</v>
      </c>
      <c r="G77" s="5">
        <f t="shared" si="32"/>
        <v>1763.5880623332705</v>
      </c>
      <c r="H77" s="5">
        <f t="shared" si="32"/>
        <v>67723.71359537571</v>
      </c>
      <c r="I77" s="5">
        <f t="shared" si="32"/>
        <v>140780.09268067864</v>
      </c>
      <c r="J77" s="5">
        <f t="shared" si="32"/>
        <v>222044.65092804594</v>
      </c>
    </row>
    <row r="78" spans="1:10" x14ac:dyDescent="0.2">
      <c r="C78" s="5"/>
      <c r="D78" s="5"/>
      <c r="E78" s="5"/>
      <c r="F78" s="5"/>
    </row>
    <row r="79" spans="1:10" x14ac:dyDescent="0.2">
      <c r="A79" s="7" t="s">
        <v>67</v>
      </c>
      <c r="C79" s="5">
        <f t="shared" ref="C79:J79" si="33">SUM(C69:C78)</f>
        <v>651108.03084096918</v>
      </c>
      <c r="D79" s="5">
        <f t="shared" si="33"/>
        <v>556116.16090237617</v>
      </c>
      <c r="E79" s="5">
        <f t="shared" si="33"/>
        <v>461126.01051496761</v>
      </c>
      <c r="F79" s="5">
        <f t="shared" si="33"/>
        <v>446136.63849215832</v>
      </c>
      <c r="G79" s="5">
        <f t="shared" si="33"/>
        <v>500512.24300492927</v>
      </c>
      <c r="H79" s="5">
        <f t="shared" si="33"/>
        <v>561993.18030694185</v>
      </c>
      <c r="I79" s="5">
        <f t="shared" si="33"/>
        <v>630264.5344208919</v>
      </c>
      <c r="J79" s="5">
        <f t="shared" si="33"/>
        <v>706559.07236628176</v>
      </c>
    </row>
    <row r="80" spans="1:10" x14ac:dyDescent="0.2">
      <c r="C80" s="5"/>
      <c r="D80" s="5"/>
      <c r="E80" s="5"/>
      <c r="F80" s="5"/>
    </row>
    <row r="81" spans="1:10" x14ac:dyDescent="0.2">
      <c r="A81" s="7" t="s">
        <v>68</v>
      </c>
      <c r="C81" s="5">
        <f t="shared" ref="C81:J81" si="34">C66-C79</f>
        <v>-0.32673138007521629</v>
      </c>
      <c r="D81" s="5">
        <f t="shared" si="34"/>
        <v>0.34653724019881338</v>
      </c>
      <c r="E81" s="5">
        <f t="shared" si="34"/>
        <v>1.9805860240012407E-2</v>
      </c>
      <c r="F81" s="5">
        <f t="shared" si="34"/>
        <v>-0.30692551977699623</v>
      </c>
      <c r="G81" s="5">
        <f t="shared" si="34"/>
        <v>1.7927229637280107E-3</v>
      </c>
      <c r="H81" s="5">
        <f t="shared" si="34"/>
        <v>-1.472360105253756E-3</v>
      </c>
      <c r="I81" s="5">
        <f t="shared" si="34"/>
        <v>3.3702395507134497E-2</v>
      </c>
      <c r="J81" s="5">
        <f t="shared" si="34"/>
        <v>0.12518310954328626</v>
      </c>
    </row>
    <row r="84" spans="1:10" x14ac:dyDescent="0.2">
      <c r="A84" s="7" t="s">
        <v>69</v>
      </c>
      <c r="B84" s="7"/>
      <c r="C84" s="15" t="s">
        <v>70</v>
      </c>
      <c r="D84" s="15" t="s">
        <v>71</v>
      </c>
    </row>
    <row r="86" spans="1:10" x14ac:dyDescent="0.2">
      <c r="A86" s="7" t="s">
        <v>72</v>
      </c>
      <c r="D86" s="5">
        <f>SUM(C26:C27)</f>
        <v>3</v>
      </c>
    </row>
    <row r="87" spans="1:10" x14ac:dyDescent="0.2">
      <c r="D87" s="9"/>
    </row>
    <row r="89" spans="1:10" x14ac:dyDescent="0.2">
      <c r="A89" s="7" t="s">
        <v>73</v>
      </c>
    </row>
    <row r="90" spans="1:10" x14ac:dyDescent="0.2">
      <c r="A90" t="s">
        <v>30</v>
      </c>
      <c r="D90" s="18">
        <f>D86*E90</f>
        <v>7.17E-2</v>
      </c>
      <c r="E90" s="14">
        <v>2.3900000000000001E-2</v>
      </c>
    </row>
    <row r="91" spans="1:10" x14ac:dyDescent="0.2">
      <c r="A91" t="s">
        <v>74</v>
      </c>
      <c r="D91">
        <f>E91*D86</f>
        <v>0.54</v>
      </c>
      <c r="E91" s="14">
        <v>0.18</v>
      </c>
    </row>
    <row r="94" spans="1:10" x14ac:dyDescent="0.2">
      <c r="A94" t="s">
        <v>75</v>
      </c>
      <c r="D94" s="5">
        <f>D86-SUM(D90:D92)</f>
        <v>2.3883000000000001</v>
      </c>
    </row>
    <row r="96" spans="1:10" x14ac:dyDescent="0.2">
      <c r="A96" s="7" t="s">
        <v>76</v>
      </c>
    </row>
    <row r="97" spans="1:7" x14ac:dyDescent="0.2">
      <c r="A97" t="s">
        <v>77</v>
      </c>
      <c r="C97">
        <f>C37</f>
        <v>60540.480000000003</v>
      </c>
    </row>
    <row r="98" spans="1:7" x14ac:dyDescent="0.2">
      <c r="A98" t="s">
        <v>78</v>
      </c>
      <c r="C98">
        <f>C40</f>
        <v>8648.64</v>
      </c>
    </row>
    <row r="99" spans="1:7" x14ac:dyDescent="0.2">
      <c r="A99" t="s">
        <v>38</v>
      </c>
      <c r="C99" s="5">
        <f>C41</f>
        <v>2810.808</v>
      </c>
    </row>
    <row r="100" spans="1:7" x14ac:dyDescent="0.2">
      <c r="A100" t="s">
        <v>42</v>
      </c>
      <c r="C100" s="5">
        <f>C46</f>
        <v>95000</v>
      </c>
    </row>
    <row r="101" spans="1:7" x14ac:dyDescent="0.2">
      <c r="A101" t="s">
        <v>43</v>
      </c>
      <c r="C101" s="5">
        <f>C47</f>
        <v>29101.908658300108</v>
      </c>
    </row>
    <row r="102" spans="1:7" x14ac:dyDescent="0.2">
      <c r="A102" t="s">
        <v>70</v>
      </c>
      <c r="C102" s="5">
        <f>SUM(C97:C101)</f>
        <v>196101.83665830013</v>
      </c>
    </row>
    <row r="103" spans="1:7" x14ac:dyDescent="0.2">
      <c r="C103" s="43" t="s">
        <v>79</v>
      </c>
      <c r="D103" s="43"/>
      <c r="E103" s="43"/>
    </row>
    <row r="104" spans="1:7" x14ac:dyDescent="0.2">
      <c r="C104" t="s">
        <v>80</v>
      </c>
      <c r="D104" s="17">
        <f>C102/D94</f>
        <v>82109.381844115109</v>
      </c>
    </row>
    <row r="105" spans="1:7" x14ac:dyDescent="0.2">
      <c r="C105" t="s">
        <v>81</v>
      </c>
      <c r="D105" s="16">
        <f>D104*D86</f>
        <v>246328.14553234534</v>
      </c>
    </row>
    <row r="106" spans="1:7" x14ac:dyDescent="0.2">
      <c r="D106" s="16"/>
    </row>
    <row r="107" spans="1:7" x14ac:dyDescent="0.2">
      <c r="D107" s="16"/>
    </row>
    <row r="108" spans="1:7" x14ac:dyDescent="0.2">
      <c r="D108" s="16"/>
    </row>
    <row r="109" spans="1:7" x14ac:dyDescent="0.2">
      <c r="D109" s="16"/>
    </row>
    <row r="110" spans="1:7" x14ac:dyDescent="0.2">
      <c r="A110" t="s">
        <v>82</v>
      </c>
      <c r="F110" t="s">
        <v>83</v>
      </c>
      <c r="G110" s="11">
        <v>0.9</v>
      </c>
    </row>
    <row r="111" spans="1:7" x14ac:dyDescent="0.2">
      <c r="F111" t="s">
        <v>84</v>
      </c>
      <c r="G111" s="26">
        <v>2.3999999999999998E-3</v>
      </c>
    </row>
    <row r="112" spans="1:7" x14ac:dyDescent="0.2">
      <c r="A112" t="s">
        <v>85</v>
      </c>
      <c r="D112" s="14">
        <f>G111+(G110*(G112-G111))</f>
        <v>0.11597999999999999</v>
      </c>
      <c r="F112" t="s">
        <v>86</v>
      </c>
      <c r="G112" s="26">
        <v>0.12859999999999999</v>
      </c>
    </row>
    <row r="114" spans="1:12" x14ac:dyDescent="0.2">
      <c r="A114" t="s">
        <v>87</v>
      </c>
      <c r="D114">
        <f>G114</f>
        <v>7.0000000000000007E-2</v>
      </c>
      <c r="F114" t="s">
        <v>88</v>
      </c>
      <c r="G114">
        <f>(I116*J116)+(I117*J117)</f>
        <v>7.0000000000000007E-2</v>
      </c>
    </row>
    <row r="115" spans="1:12" x14ac:dyDescent="0.2">
      <c r="A115" t="s">
        <v>89</v>
      </c>
      <c r="D115" s="14">
        <v>0.3</v>
      </c>
      <c r="L115" t="s">
        <v>90</v>
      </c>
    </row>
    <row r="116" spans="1:12" x14ac:dyDescent="0.2">
      <c r="F116" t="s">
        <v>11</v>
      </c>
      <c r="H116">
        <f>J73</f>
        <v>398955.04865347926</v>
      </c>
      <c r="I116" s="14">
        <f>H116/H118</f>
        <v>1</v>
      </c>
      <c r="J116" s="11">
        <v>7.0000000000000007E-2</v>
      </c>
      <c r="L116" s="14">
        <f>H118/H123</f>
        <v>0.59456814794744473</v>
      </c>
    </row>
    <row r="117" spans="1:12" x14ac:dyDescent="0.2">
      <c r="A117" t="s">
        <v>91</v>
      </c>
      <c r="D117" s="14">
        <f>L116</f>
        <v>0.59456814794744473</v>
      </c>
      <c r="F117" t="s">
        <v>92</v>
      </c>
      <c r="H117">
        <f>J74</f>
        <v>0</v>
      </c>
      <c r="I117">
        <f>H117/H118</f>
        <v>0</v>
      </c>
      <c r="J117" s="11">
        <v>0.1</v>
      </c>
    </row>
    <row r="118" spans="1:12" x14ac:dyDescent="0.2">
      <c r="A118" t="s">
        <v>93</v>
      </c>
      <c r="D118" s="14">
        <f>L120</f>
        <v>0.40543185205255533</v>
      </c>
      <c r="H118">
        <f>SUM(H116:H117)</f>
        <v>398955.04865347926</v>
      </c>
    </row>
    <row r="120" spans="1:12" ht="25.5" x14ac:dyDescent="0.2">
      <c r="A120" t="s">
        <v>94</v>
      </c>
      <c r="D120" s="14">
        <f>((D117*D114)*(1-D115))+(D118*D112)</f>
        <v>7.615582545048015E-2</v>
      </c>
      <c r="F120" t="s">
        <v>65</v>
      </c>
      <c r="H120">
        <f>J76</f>
        <v>50000</v>
      </c>
      <c r="L120" s="14">
        <f>SUM(H120:H121)/H123</f>
        <v>0.40543185205255533</v>
      </c>
    </row>
    <row r="121" spans="1:12" x14ac:dyDescent="0.2">
      <c r="F121" t="s">
        <v>66</v>
      </c>
      <c r="H121" s="9">
        <f>J77</f>
        <v>222044.65092804594</v>
      </c>
    </row>
    <row r="122" spans="1:12" x14ac:dyDescent="0.2">
      <c r="A122" t="s">
        <v>95</v>
      </c>
      <c r="D122">
        <f>G130</f>
        <v>0.44410362839714984</v>
      </c>
    </row>
    <row r="123" spans="1:12" ht="25.5" x14ac:dyDescent="0.2">
      <c r="A123" t="s">
        <v>96</v>
      </c>
      <c r="D123">
        <f>G132</f>
        <v>1.6875937879091696</v>
      </c>
      <c r="F123" t="s">
        <v>70</v>
      </c>
      <c r="H123" s="9">
        <f>SUM(H118:H121)</f>
        <v>670999.69958152517</v>
      </c>
    </row>
    <row r="125" spans="1:12" ht="25.5" x14ac:dyDescent="0.2">
      <c r="A125" t="s">
        <v>97</v>
      </c>
      <c r="D125">
        <f>G111+(G132*(G112-G111))</f>
        <v>0.21537433603413719</v>
      </c>
    </row>
    <row r="126" spans="1:12" x14ac:dyDescent="0.2">
      <c r="G126" t="s">
        <v>98</v>
      </c>
      <c r="H126" t="s">
        <v>99</v>
      </c>
      <c r="I126" t="s">
        <v>100</v>
      </c>
    </row>
    <row r="127" spans="1:12" ht="25.5" x14ac:dyDescent="0.2">
      <c r="A127" t="s">
        <v>101</v>
      </c>
      <c r="D127" s="19">
        <f>((H132*D114)*(1-D115))+((1-H132)*D125)</f>
        <v>8.2274867206827432E-2</v>
      </c>
      <c r="G127" t="s">
        <v>83</v>
      </c>
    </row>
    <row r="128" spans="1:12" x14ac:dyDescent="0.2">
      <c r="F128" t="s">
        <v>102</v>
      </c>
      <c r="G128">
        <f>G110</f>
        <v>0.9</v>
      </c>
      <c r="H128" s="14">
        <f>D117</f>
        <v>0.59456814794744473</v>
      </c>
      <c r="I128">
        <f>D115</f>
        <v>0.3</v>
      </c>
      <c r="J128" t="s">
        <v>103</v>
      </c>
    </row>
    <row r="130" spans="1:10" x14ac:dyDescent="0.2">
      <c r="F130" t="s">
        <v>104</v>
      </c>
      <c r="G130">
        <f>G128/((1+((1-I130)*(H128/((100/100)-H128)))))</f>
        <v>0.44410362839714984</v>
      </c>
      <c r="H130" s="11">
        <v>0</v>
      </c>
      <c r="I130">
        <f>I128</f>
        <v>0.3</v>
      </c>
      <c r="J130" t="s">
        <v>105</v>
      </c>
    </row>
    <row r="132" spans="1:10" x14ac:dyDescent="0.2">
      <c r="F132" t="s">
        <v>106</v>
      </c>
      <c r="G132">
        <f>G130*(1+((1-I132)*(H132/((100/100)-H132))))</f>
        <v>1.6875937879091696</v>
      </c>
      <c r="H132" s="11">
        <v>0.8</v>
      </c>
      <c r="I132">
        <f>I128</f>
        <v>0.3</v>
      </c>
    </row>
    <row r="135" spans="1:10" x14ac:dyDescent="0.2">
      <c r="A135" s="7" t="s">
        <v>107</v>
      </c>
    </row>
    <row r="136" spans="1:10" x14ac:dyDescent="0.2">
      <c r="A136" t="s">
        <v>108</v>
      </c>
      <c r="C136" s="5">
        <f t="shared" ref="C136:J136" si="35">C35-C44</f>
        <v>93008.191999999995</v>
      </c>
      <c r="D136" s="5">
        <f t="shared" si="35"/>
        <v>99491.608372009985</v>
      </c>
      <c r="E136" s="5">
        <f t="shared" si="35"/>
        <v>106414.2335789589</v>
      </c>
      <c r="F136" s="5">
        <f t="shared" si="35"/>
        <v>113805.64824763738</v>
      </c>
      <c r="G136" s="5">
        <f t="shared" si="35"/>
        <v>121697.42475077492</v>
      </c>
      <c r="H136" s="5">
        <f t="shared" si="35"/>
        <v>130123.26167284651</v>
      </c>
      <c r="I136" s="5">
        <f t="shared" si="35"/>
        <v>139119.12739422845</v>
      </c>
      <c r="J136" s="5">
        <f t="shared" si="35"/>
        <v>149566.36472617669</v>
      </c>
    </row>
    <row r="137" spans="1:10" x14ac:dyDescent="0.2">
      <c r="A137" t="s">
        <v>109</v>
      </c>
      <c r="C137">
        <f t="shared" ref="C137:J137" si="36">C46</f>
        <v>95000</v>
      </c>
      <c r="D137">
        <f t="shared" si="36"/>
        <v>95000</v>
      </c>
      <c r="E137">
        <f t="shared" si="36"/>
        <v>95000</v>
      </c>
      <c r="F137">
        <f t="shared" si="36"/>
        <v>15000</v>
      </c>
      <c r="G137">
        <f t="shared" si="36"/>
        <v>15000</v>
      </c>
      <c r="H137">
        <f t="shared" si="36"/>
        <v>15000</v>
      </c>
      <c r="I137">
        <f t="shared" si="36"/>
        <v>15000</v>
      </c>
      <c r="J137">
        <f t="shared" si="36"/>
        <v>15000</v>
      </c>
    </row>
    <row r="138" spans="1:10" x14ac:dyDescent="0.2">
      <c r="A138" t="s">
        <v>110</v>
      </c>
      <c r="C138" s="5">
        <f t="shared" ref="C138:J138" si="37">C136-C137</f>
        <v>-1991.8080000000045</v>
      </c>
      <c r="D138" s="5">
        <f t="shared" si="37"/>
        <v>4491.608372009985</v>
      </c>
      <c r="E138" s="5">
        <f t="shared" si="37"/>
        <v>11414.233578958898</v>
      </c>
      <c r="F138" s="5">
        <f t="shared" si="37"/>
        <v>98805.648247637379</v>
      </c>
      <c r="G138" s="5">
        <f t="shared" si="37"/>
        <v>106697.42475077492</v>
      </c>
      <c r="H138" s="5">
        <f t="shared" si="37"/>
        <v>115123.26167284651</v>
      </c>
      <c r="I138" s="5">
        <f t="shared" si="37"/>
        <v>124119.12739422845</v>
      </c>
      <c r="J138" s="5">
        <f t="shared" si="37"/>
        <v>134566.36472617669</v>
      </c>
    </row>
    <row r="139" spans="1:10" x14ac:dyDescent="0.2">
      <c r="A139" t="s">
        <v>111</v>
      </c>
      <c r="C139" s="5">
        <f t="shared" ref="C139:J139" si="38">IF((C138&lt;0),0,(C138*0.3))</f>
        <v>0</v>
      </c>
      <c r="D139" s="5">
        <f t="shared" si="38"/>
        <v>1347.4825116029954</v>
      </c>
      <c r="E139" s="5">
        <f t="shared" si="38"/>
        <v>3424.2700736876691</v>
      </c>
      <c r="F139" s="5">
        <f t="shared" si="38"/>
        <v>29641.694474291213</v>
      </c>
      <c r="G139" s="5">
        <f t="shared" si="38"/>
        <v>32009.227425232475</v>
      </c>
      <c r="H139" s="5">
        <f t="shared" si="38"/>
        <v>34536.978501853948</v>
      </c>
      <c r="I139" s="5">
        <f t="shared" si="38"/>
        <v>37235.738218268532</v>
      </c>
      <c r="J139" s="5">
        <f t="shared" si="38"/>
        <v>40369.909417853007</v>
      </c>
    </row>
    <row r="140" spans="1:10" x14ac:dyDescent="0.2">
      <c r="A140" t="s">
        <v>112</v>
      </c>
      <c r="C140" s="5">
        <f t="shared" ref="C140:J140" si="39">C138-C139</f>
        <v>-1991.8080000000045</v>
      </c>
      <c r="D140" s="5">
        <f t="shared" si="39"/>
        <v>3144.1258604069899</v>
      </c>
      <c r="E140" s="5">
        <f t="shared" si="39"/>
        <v>7989.9635052712292</v>
      </c>
      <c r="F140" s="5">
        <f t="shared" si="39"/>
        <v>69163.953773346162</v>
      </c>
      <c r="G140" s="5">
        <f t="shared" si="39"/>
        <v>74688.197325542453</v>
      </c>
      <c r="H140" s="5">
        <f t="shared" si="39"/>
        <v>80586.283170992567</v>
      </c>
      <c r="I140" s="5">
        <f t="shared" si="39"/>
        <v>86883.389175959921</v>
      </c>
      <c r="J140" s="5">
        <f t="shared" si="39"/>
        <v>94196.455308323682</v>
      </c>
    </row>
    <row r="141" spans="1:10" x14ac:dyDescent="0.2">
      <c r="A141" t="s">
        <v>113</v>
      </c>
      <c r="C141">
        <f t="shared" ref="C141:J141" si="40">C137</f>
        <v>95000</v>
      </c>
      <c r="D141">
        <f t="shared" si="40"/>
        <v>95000</v>
      </c>
      <c r="E141">
        <f t="shared" si="40"/>
        <v>95000</v>
      </c>
      <c r="F141">
        <f t="shared" si="40"/>
        <v>15000</v>
      </c>
      <c r="G141">
        <f t="shared" si="40"/>
        <v>15000</v>
      </c>
      <c r="H141">
        <f t="shared" si="40"/>
        <v>15000</v>
      </c>
      <c r="I141">
        <f t="shared" si="40"/>
        <v>15000</v>
      </c>
      <c r="J141">
        <f t="shared" si="40"/>
        <v>15000</v>
      </c>
    </row>
    <row r="142" spans="1:10" x14ac:dyDescent="0.2">
      <c r="A142" t="s">
        <v>114</v>
      </c>
      <c r="C142" s="5">
        <f t="shared" ref="C142:I142" si="41">-C40</f>
        <v>-8648.64</v>
      </c>
      <c r="D142" s="5">
        <f t="shared" si="41"/>
        <v>-9229.8571092000002</v>
      </c>
      <c r="E142" s="5">
        <f t="shared" si="41"/>
        <v>-9850.3165886428505</v>
      </c>
      <c r="F142" s="5">
        <f t="shared" si="41"/>
        <v>-10512.68259552535</v>
      </c>
      <c r="G142" s="5">
        <f t="shared" si="41"/>
        <v>-11219.801318883523</v>
      </c>
      <c r="H142" s="5">
        <f t="shared" si="41"/>
        <v>-11974.713509183079</v>
      </c>
      <c r="I142" s="5">
        <f t="shared" si="41"/>
        <v>-12780.667877584248</v>
      </c>
    </row>
    <row r="143" spans="1:10" x14ac:dyDescent="0.2">
      <c r="A143" t="s">
        <v>107</v>
      </c>
      <c r="C143" s="5">
        <f t="shared" ref="C143:J143" si="42">(C140+C141)+C142</f>
        <v>84359.551999999996</v>
      </c>
      <c r="D143" s="5">
        <f t="shared" si="42"/>
        <v>88914.268751206982</v>
      </c>
      <c r="E143" s="5">
        <f t="shared" si="42"/>
        <v>93139.646916628379</v>
      </c>
      <c r="F143" s="5">
        <f t="shared" si="42"/>
        <v>73651.271177820818</v>
      </c>
      <c r="G143" s="5">
        <f t="shared" si="42"/>
        <v>78468.396006658935</v>
      </c>
      <c r="H143" s="5">
        <f t="shared" si="42"/>
        <v>83611.569661809481</v>
      </c>
      <c r="I143" s="5">
        <f t="shared" si="42"/>
        <v>89102.721298375676</v>
      </c>
      <c r="J143" s="5">
        <f t="shared" si="42"/>
        <v>109196.45530832368</v>
      </c>
    </row>
    <row r="145" spans="1:12" ht="25.5" x14ac:dyDescent="0.2">
      <c r="A145" s="7" t="s">
        <v>115</v>
      </c>
    </row>
    <row r="146" spans="1:12" x14ac:dyDescent="0.2">
      <c r="A146" s="7" t="s">
        <v>114</v>
      </c>
      <c r="C146" s="5">
        <f>-C40</f>
        <v>-8648.64</v>
      </c>
      <c r="D146" s="5">
        <f t="shared" ref="D146:J146" si="43">-D40</f>
        <v>-9229.8571092000002</v>
      </c>
      <c r="E146" s="5">
        <f t="shared" si="43"/>
        <v>-9850.3165886428505</v>
      </c>
      <c r="F146" s="5">
        <f t="shared" si="43"/>
        <v>-10512.68259552535</v>
      </c>
      <c r="G146" s="5">
        <f t="shared" si="43"/>
        <v>-11219.801318883523</v>
      </c>
      <c r="H146" s="5">
        <f t="shared" si="43"/>
        <v>-11974.713509183079</v>
      </c>
      <c r="I146" s="5">
        <f t="shared" si="43"/>
        <v>-12780.667877584248</v>
      </c>
      <c r="J146" s="5">
        <f t="shared" si="43"/>
        <v>-13641.135425810005</v>
      </c>
    </row>
    <row r="147" spans="1:12" x14ac:dyDescent="0.2">
      <c r="A147" t="s">
        <v>116</v>
      </c>
      <c r="B147" s="23">
        <v>-450000</v>
      </c>
      <c r="C147" s="5"/>
    </row>
    <row r="148" spans="1:12" x14ac:dyDescent="0.2">
      <c r="A148" t="s">
        <v>117</v>
      </c>
      <c r="J148" s="5">
        <f>L148*0.8</f>
        <v>264000</v>
      </c>
      <c r="L148" s="5">
        <f>J62-((J62*J24)*8)</f>
        <v>330000</v>
      </c>
    </row>
    <row r="149" spans="1:12" x14ac:dyDescent="0.2">
      <c r="A149" t="s">
        <v>118</v>
      </c>
      <c r="J149" s="5">
        <f>IF(J148-L148&lt;0,0,-(J148-L148)*D115)</f>
        <v>0</v>
      </c>
    </row>
    <row r="150" spans="1:12" x14ac:dyDescent="0.2">
      <c r="A150" s="27" t="s">
        <v>128</v>
      </c>
      <c r="B150" s="23">
        <v>-50000</v>
      </c>
      <c r="J150" s="5"/>
    </row>
    <row r="151" spans="1:12" x14ac:dyDescent="0.2">
      <c r="A151" s="27" t="s">
        <v>129</v>
      </c>
      <c r="J151" s="5">
        <f>L151*1.2</f>
        <v>60000</v>
      </c>
      <c r="L151" s="5">
        <f>C61</f>
        <v>50000</v>
      </c>
    </row>
    <row r="152" spans="1:12" x14ac:dyDescent="0.2">
      <c r="A152" s="27" t="s">
        <v>130</v>
      </c>
      <c r="J152" s="5">
        <f>-(J151-L151)*0.15</f>
        <v>-1500</v>
      </c>
      <c r="L152" s="5"/>
    </row>
    <row r="153" spans="1:12" x14ac:dyDescent="0.2">
      <c r="A153" s="27" t="s">
        <v>131</v>
      </c>
      <c r="B153" s="23">
        <v>-100000</v>
      </c>
      <c r="J153" s="5"/>
      <c r="L153" s="5"/>
    </row>
    <row r="154" spans="1:12" x14ac:dyDescent="0.2">
      <c r="A154" s="27" t="s">
        <v>132</v>
      </c>
      <c r="J154" s="5">
        <f>0</f>
        <v>0</v>
      </c>
      <c r="L154" s="5">
        <f>IF(C11*C10-((C10*C11*C24)*8)&gt;0,0,C11*C10-((C10*C11*C24)*8))</f>
        <v>0</v>
      </c>
    </row>
    <row r="155" spans="1:12" x14ac:dyDescent="0.2">
      <c r="A155" s="27" t="s">
        <v>130</v>
      </c>
      <c r="J155" s="5">
        <f>-(J154-L154)*0.15</f>
        <v>0</v>
      </c>
    </row>
    <row r="156" spans="1:12" x14ac:dyDescent="0.2">
      <c r="J156" s="5"/>
    </row>
    <row r="157" spans="1:12" x14ac:dyDescent="0.2">
      <c r="J157" s="5"/>
    </row>
    <row r="158" spans="1:12" x14ac:dyDescent="0.2">
      <c r="J158" s="5"/>
    </row>
    <row r="160" spans="1:12" x14ac:dyDescent="0.2">
      <c r="A160" s="7" t="s">
        <v>119</v>
      </c>
    </row>
    <row r="161" spans="1:10" x14ac:dyDescent="0.2">
      <c r="A161" t="s">
        <v>120</v>
      </c>
      <c r="C161">
        <f t="shared" ref="C161:F161" si="44">-C59</f>
        <v>0</v>
      </c>
      <c r="D161">
        <f t="shared" si="44"/>
        <v>0</v>
      </c>
      <c r="E161">
        <f t="shared" si="44"/>
        <v>0</v>
      </c>
      <c r="F161">
        <f t="shared" si="44"/>
        <v>0</v>
      </c>
      <c r="G161">
        <f>-G59</f>
        <v>0</v>
      </c>
      <c r="H161">
        <f>-H59</f>
        <v>0</v>
      </c>
      <c r="I161">
        <f>-I59</f>
        <v>0</v>
      </c>
      <c r="J161">
        <f>-J59</f>
        <v>0</v>
      </c>
    </row>
    <row r="162" spans="1:10" x14ac:dyDescent="0.2">
      <c r="A162" t="s">
        <v>52</v>
      </c>
      <c r="C162" s="22">
        <f>-(C58)</f>
        <v>-107.7041095890411</v>
      </c>
      <c r="D162" s="5">
        <f t="shared" ref="D162:J162" si="45">C58-D58</f>
        <v>-8.8033300273972657</v>
      </c>
      <c r="E162" s="5">
        <f t="shared" si="45"/>
        <v>-9.5228812113491159</v>
      </c>
      <c r="F162" s="5">
        <f t="shared" si="45"/>
        <v>-10.301245810760264</v>
      </c>
      <c r="G162" s="5">
        <f t="shared" si="45"/>
        <v>-11.143231013660028</v>
      </c>
      <c r="H162" s="5">
        <f t="shared" si="45"/>
        <v>-12.054036929600272</v>
      </c>
      <c r="I162" s="5">
        <f t="shared" si="45"/>
        <v>-13.039288705587268</v>
      </c>
      <c r="J162" s="5">
        <f t="shared" si="45"/>
        <v>4.3705738961273539</v>
      </c>
    </row>
    <row r="163" spans="1:10" x14ac:dyDescent="0.2">
      <c r="A163" t="s">
        <v>121</v>
      </c>
      <c r="C163" s="9">
        <f>C69</f>
        <v>403.89041095890411</v>
      </c>
      <c r="D163" s="5">
        <f t="shared" ref="D163:J163" si="46">D69-C69</f>
        <v>33.012487602739725</v>
      </c>
      <c r="E163" s="5">
        <f t="shared" si="46"/>
        <v>35.710804542559231</v>
      </c>
      <c r="F163" s="5">
        <f t="shared" si="46"/>
        <v>38.629671790350983</v>
      </c>
      <c r="G163" s="5">
        <f t="shared" si="46"/>
        <v>41.787116301225126</v>
      </c>
      <c r="H163" s="5">
        <f t="shared" si="46"/>
        <v>45.202638486000978</v>
      </c>
      <c r="I163" s="5">
        <f t="shared" si="46"/>
        <v>48.897332645952247</v>
      </c>
      <c r="J163" s="5">
        <f t="shared" si="46"/>
        <v>-16.389652110477527</v>
      </c>
    </row>
    <row r="164" spans="1:10" x14ac:dyDescent="0.2">
      <c r="A164" t="s">
        <v>122</v>
      </c>
      <c r="C164">
        <f>C139</f>
        <v>0</v>
      </c>
      <c r="D164" s="5">
        <f t="shared" ref="D164:J164" si="47">D139-C139</f>
        <v>1347.4825116029954</v>
      </c>
      <c r="E164" s="5">
        <f t="shared" si="47"/>
        <v>2076.7875620846735</v>
      </c>
      <c r="F164" s="5">
        <f t="shared" si="47"/>
        <v>26217.424400603544</v>
      </c>
      <c r="G164" s="5">
        <f t="shared" si="47"/>
        <v>2367.5329509412622</v>
      </c>
      <c r="H164" s="5">
        <f t="shared" si="47"/>
        <v>2527.7510766214727</v>
      </c>
      <c r="I164" s="5">
        <f t="shared" si="47"/>
        <v>2698.7597164145845</v>
      </c>
      <c r="J164" s="5">
        <f t="shared" si="47"/>
        <v>3134.1711995844744</v>
      </c>
    </row>
    <row r="166" spans="1:10" x14ac:dyDescent="0.2">
      <c r="A166" s="7" t="s">
        <v>123</v>
      </c>
    </row>
    <row r="167" spans="1:10" x14ac:dyDescent="0.2">
      <c r="A167" t="s">
        <v>120</v>
      </c>
      <c r="J167">
        <f>J161</f>
        <v>0</v>
      </c>
    </row>
    <row r="168" spans="1:10" x14ac:dyDescent="0.2">
      <c r="A168" t="s">
        <v>52</v>
      </c>
      <c r="J168" s="5">
        <f>J58</f>
        <v>168.19754939126796</v>
      </c>
    </row>
    <row r="169" spans="1:10" x14ac:dyDescent="0.2">
      <c r="A169" t="s">
        <v>121</v>
      </c>
      <c r="J169" s="5">
        <f>-J69</f>
        <v>-630.74081021725488</v>
      </c>
    </row>
    <row r="170" spans="1:10" x14ac:dyDescent="0.2">
      <c r="A170" t="s">
        <v>122</v>
      </c>
      <c r="J170" s="5">
        <f>-J139</f>
        <v>-40369.909417853007</v>
      </c>
    </row>
    <row r="171" spans="1:10" x14ac:dyDescent="0.2">
      <c r="B171" s="20"/>
      <c r="C171" s="20"/>
      <c r="D171" s="20"/>
      <c r="E171" s="20"/>
      <c r="F171" s="20"/>
      <c r="G171" s="20"/>
      <c r="H171" s="20"/>
      <c r="I171" s="20"/>
      <c r="J171" s="20"/>
    </row>
    <row r="172" spans="1:10" x14ac:dyDescent="0.2">
      <c r="A172" t="s">
        <v>124</v>
      </c>
      <c r="B172" s="13">
        <f>SUM(B143:B170)</f>
        <v>-600000</v>
      </c>
      <c r="C172" s="13">
        <f>SUM(C143:C170)</f>
        <v>76007.098301369857</v>
      </c>
      <c r="D172" s="13">
        <f>SUM(D143:D170)</f>
        <v>81056.103311185318</v>
      </c>
      <c r="E172" s="13">
        <f t="shared" ref="E172:J172" si="48">SUM(E143:E170)</f>
        <v>85392.305813401414</v>
      </c>
      <c r="F172" s="13">
        <f>SUM(F143:F170)</f>
        <v>89384.341408878594</v>
      </c>
      <c r="G172" s="13">
        <f>SUM(G143:G170)</f>
        <v>69646.77152400426</v>
      </c>
      <c r="H172" s="13">
        <f>SUM(H143:H170)</f>
        <v>74197.755830804264</v>
      </c>
      <c r="I172" s="13">
        <f t="shared" si="48"/>
        <v>79056.671181146376</v>
      </c>
      <c r="J172" s="13">
        <f t="shared" si="48"/>
        <v>380345.01932520478</v>
      </c>
    </row>
    <row r="173" spans="1:10" x14ac:dyDescent="0.2">
      <c r="B173">
        <v>0</v>
      </c>
      <c r="C173">
        <v>1</v>
      </c>
      <c r="D173">
        <v>2</v>
      </c>
      <c r="E173">
        <v>3</v>
      </c>
      <c r="F173">
        <v>4</v>
      </c>
      <c r="G173">
        <v>5</v>
      </c>
      <c r="H173">
        <v>6</v>
      </c>
      <c r="I173">
        <v>7</v>
      </c>
      <c r="J173">
        <v>8</v>
      </c>
    </row>
    <row r="174" spans="1:10" x14ac:dyDescent="0.2">
      <c r="A174" t="s">
        <v>125</v>
      </c>
      <c r="B174" s="9">
        <f t="shared" ref="B174:J174" si="49">-PV($D$120,B173,,B172)</f>
        <v>-600000</v>
      </c>
      <c r="C174" s="9">
        <f t="shared" si="49"/>
        <v>70628.338855623617</v>
      </c>
      <c r="D174" s="9">
        <f t="shared" si="49"/>
        <v>69989.904309048128</v>
      </c>
      <c r="E174" s="9">
        <f t="shared" si="49"/>
        <v>68516.198347220823</v>
      </c>
      <c r="F174" s="9">
        <f t="shared" si="49"/>
        <v>66643.960877382022</v>
      </c>
      <c r="G174" s="9">
        <f t="shared" si="49"/>
        <v>48253.096122611569</v>
      </c>
      <c r="H174" s="9">
        <f t="shared" si="49"/>
        <v>47768.302034492641</v>
      </c>
      <c r="I174" s="9">
        <f t="shared" si="49"/>
        <v>47294.691506338699</v>
      </c>
      <c r="J174" s="9">
        <f t="shared" si="49"/>
        <v>211434.78859981624</v>
      </c>
    </row>
    <row r="175" spans="1:10" x14ac:dyDescent="0.2">
      <c r="A175" t="s">
        <v>126</v>
      </c>
      <c r="B175" s="4">
        <f>SUM(B174:J174)</f>
        <v>30529.280652533722</v>
      </c>
      <c r="C175" s="9"/>
    </row>
    <row r="176" spans="1:10" x14ac:dyDescent="0.2">
      <c r="A176" t="s">
        <v>127</v>
      </c>
      <c r="B176" s="19">
        <f>IRR(B172:J172)</f>
        <v>8.6689914457228401E-2</v>
      </c>
    </row>
  </sheetData>
  <mergeCells count="1">
    <mergeCell ref="C103:E10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opLeftCell="A85" workbookViewId="0">
      <selection activeCell="I8" sqref="I8"/>
    </sheetView>
  </sheetViews>
  <sheetFormatPr defaultRowHeight="12.75" x14ac:dyDescent="0.2"/>
  <cols>
    <col min="1" max="1" width="15" customWidth="1"/>
    <col min="2" max="2" width="11.5703125" bestFit="1" customWidth="1"/>
    <col min="3" max="4" width="10.140625" bestFit="1" customWidth="1"/>
    <col min="5" max="5" width="9.7109375" bestFit="1" customWidth="1"/>
    <col min="6" max="6" width="11.5703125" bestFit="1" customWidth="1"/>
    <col min="9" max="9" width="11.140625" bestFit="1" customWidth="1"/>
  </cols>
  <sheetData>
    <row r="1" spans="1:9" x14ac:dyDescent="0.2">
      <c r="A1" s="29"/>
      <c r="B1" s="38" t="s">
        <v>133</v>
      </c>
      <c r="C1" s="38" t="s">
        <v>134</v>
      </c>
      <c r="D1" s="38" t="s">
        <v>135</v>
      </c>
      <c r="E1" s="38" t="s">
        <v>136</v>
      </c>
      <c r="F1" s="38" t="s">
        <v>137</v>
      </c>
      <c r="G1" s="29"/>
      <c r="H1" s="29" t="s">
        <v>138</v>
      </c>
      <c r="I1" s="30">
        <v>6.5000000000000002E-2</v>
      </c>
    </row>
    <row r="2" spans="1:9" x14ac:dyDescent="0.2">
      <c r="A2" s="28">
        <v>41275</v>
      </c>
      <c r="B2" s="39">
        <f>I6</f>
        <v>450000</v>
      </c>
      <c r="C2" s="39">
        <f>+E2-D2</f>
        <v>406.80610571833677</v>
      </c>
      <c r="D2" s="39">
        <f>B2*$I$2</f>
        <v>2437.5</v>
      </c>
      <c r="E2" s="39">
        <f>-$I$8</f>
        <v>2844.3061057183368</v>
      </c>
      <c r="F2" s="39">
        <f>+B2-C2</f>
        <v>449593.19389428163</v>
      </c>
      <c r="G2" s="29"/>
      <c r="H2" s="29" t="s">
        <v>139</v>
      </c>
      <c r="I2" s="30">
        <f>+I1/12</f>
        <v>5.4166666666666669E-3</v>
      </c>
    </row>
    <row r="3" spans="1:9" x14ac:dyDescent="0.2">
      <c r="A3" s="28">
        <v>41306</v>
      </c>
      <c r="B3" s="39">
        <f>+F2</f>
        <v>449593.19389428163</v>
      </c>
      <c r="C3" s="39">
        <f t="shared" ref="C3:C13" si="0">+E3-D3</f>
        <v>409.00963879097799</v>
      </c>
      <c r="D3" s="39">
        <f t="shared" ref="D3:D13" si="1">B3*$I$2</f>
        <v>2435.2964669273588</v>
      </c>
      <c r="E3" s="39">
        <f t="shared" ref="E3:E13" si="2">-$I$8</f>
        <v>2844.3061057183368</v>
      </c>
      <c r="F3" s="39">
        <f t="shared" ref="F3:F13" si="3">+B3-C3</f>
        <v>449184.18425549066</v>
      </c>
      <c r="G3" s="29"/>
      <c r="H3" s="29" t="s">
        <v>140</v>
      </c>
      <c r="I3" s="33">
        <v>0</v>
      </c>
    </row>
    <row r="4" spans="1:9" x14ac:dyDescent="0.2">
      <c r="A4" s="28">
        <v>41334</v>
      </c>
      <c r="B4" s="39">
        <f t="shared" ref="B4:B13" si="4">+F3</f>
        <v>449184.18425549066</v>
      </c>
      <c r="C4" s="39">
        <f t="shared" si="0"/>
        <v>411.22510766776213</v>
      </c>
      <c r="D4" s="39">
        <f t="shared" si="1"/>
        <v>2433.0809980505746</v>
      </c>
      <c r="E4" s="39">
        <f t="shared" si="2"/>
        <v>2844.3061057183368</v>
      </c>
      <c r="F4" s="39">
        <f t="shared" si="3"/>
        <v>448772.95914782293</v>
      </c>
      <c r="G4" s="29"/>
      <c r="H4" s="29" t="s">
        <v>141</v>
      </c>
      <c r="I4" s="34">
        <v>360</v>
      </c>
    </row>
    <row r="5" spans="1:9" x14ac:dyDescent="0.2">
      <c r="A5" s="28">
        <v>41365</v>
      </c>
      <c r="B5" s="39">
        <f t="shared" si="4"/>
        <v>448772.95914782293</v>
      </c>
      <c r="C5" s="39">
        <f t="shared" si="0"/>
        <v>413.45257700096272</v>
      </c>
      <c r="D5" s="39">
        <f t="shared" si="1"/>
        <v>2430.853528717374</v>
      </c>
      <c r="E5" s="39">
        <f t="shared" si="2"/>
        <v>2844.3061057183368</v>
      </c>
      <c r="F5" s="39">
        <f t="shared" si="3"/>
        <v>448359.50657082198</v>
      </c>
      <c r="G5" s="29"/>
      <c r="H5" s="29" t="s">
        <v>142</v>
      </c>
      <c r="I5" s="29">
        <v>0</v>
      </c>
    </row>
    <row r="6" spans="1:9" x14ac:dyDescent="0.2">
      <c r="A6" s="28">
        <v>41395</v>
      </c>
      <c r="B6" s="39">
        <f t="shared" si="4"/>
        <v>448359.50657082198</v>
      </c>
      <c r="C6" s="39">
        <f t="shared" si="0"/>
        <v>415.69211179305103</v>
      </c>
      <c r="D6" s="39">
        <f t="shared" si="1"/>
        <v>2428.6139939252857</v>
      </c>
      <c r="E6" s="39">
        <f t="shared" si="2"/>
        <v>2844.3061057183368</v>
      </c>
      <c r="F6" s="39">
        <f t="shared" si="3"/>
        <v>447943.81445902894</v>
      </c>
      <c r="G6" s="29"/>
      <c r="H6" s="29" t="s">
        <v>125</v>
      </c>
      <c r="I6" s="33">
        <v>450000</v>
      </c>
    </row>
    <row r="7" spans="1:9" x14ac:dyDescent="0.2">
      <c r="A7" s="28">
        <v>41426</v>
      </c>
      <c r="B7" s="39">
        <f t="shared" si="4"/>
        <v>447943.81445902894</v>
      </c>
      <c r="C7" s="39">
        <f t="shared" si="0"/>
        <v>417.94377739859647</v>
      </c>
      <c r="D7" s="39">
        <f t="shared" si="1"/>
        <v>2426.3623283197403</v>
      </c>
      <c r="E7" s="39">
        <f t="shared" si="2"/>
        <v>2844.3061057183368</v>
      </c>
      <c r="F7" s="39">
        <f t="shared" si="3"/>
        <v>447525.87068163033</v>
      </c>
      <c r="G7" s="29"/>
      <c r="H7" s="29"/>
      <c r="I7" s="29"/>
    </row>
    <row r="8" spans="1:9" x14ac:dyDescent="0.2">
      <c r="A8" s="28">
        <v>41456</v>
      </c>
      <c r="B8" s="39">
        <f t="shared" si="4"/>
        <v>447525.87068163033</v>
      </c>
      <c r="C8" s="39">
        <f t="shared" si="0"/>
        <v>420.20763952617244</v>
      </c>
      <c r="D8" s="39">
        <f t="shared" si="1"/>
        <v>2424.0984661921643</v>
      </c>
      <c r="E8" s="39">
        <f t="shared" si="2"/>
        <v>2844.3061057183368</v>
      </c>
      <c r="F8" s="39">
        <f t="shared" si="3"/>
        <v>447105.66304210416</v>
      </c>
      <c r="G8" s="29"/>
      <c r="H8" s="29" t="s">
        <v>136</v>
      </c>
      <c r="I8" s="42">
        <f>PMT(I2,I4,I6,I3,I5)</f>
        <v>-2844.3061057183368</v>
      </c>
    </row>
    <row r="9" spans="1:9" x14ac:dyDescent="0.2">
      <c r="A9" s="28">
        <v>41487</v>
      </c>
      <c r="B9" s="39">
        <f t="shared" si="4"/>
        <v>447105.66304210416</v>
      </c>
      <c r="C9" s="39">
        <f t="shared" si="0"/>
        <v>422.48376424027265</v>
      </c>
      <c r="D9" s="39">
        <f t="shared" si="1"/>
        <v>2421.8223414780641</v>
      </c>
      <c r="E9" s="39">
        <f t="shared" si="2"/>
        <v>2844.3061057183368</v>
      </c>
      <c r="F9" s="39">
        <f t="shared" si="3"/>
        <v>446683.17927786388</v>
      </c>
      <c r="G9" s="29"/>
      <c r="H9" s="29"/>
      <c r="I9" s="29"/>
    </row>
    <row r="10" spans="1:9" x14ac:dyDescent="0.2">
      <c r="A10" s="28">
        <v>41518</v>
      </c>
      <c r="B10" s="39">
        <f t="shared" si="4"/>
        <v>446683.17927786388</v>
      </c>
      <c r="C10" s="39">
        <f t="shared" si="0"/>
        <v>424.77221796324056</v>
      </c>
      <c r="D10" s="39">
        <f t="shared" si="1"/>
        <v>2419.5338877550962</v>
      </c>
      <c r="E10" s="39">
        <f t="shared" si="2"/>
        <v>2844.3061057183368</v>
      </c>
      <c r="F10" s="39">
        <f t="shared" si="3"/>
        <v>446258.40705990064</v>
      </c>
      <c r="G10" s="29"/>
      <c r="H10" s="29"/>
      <c r="I10" s="29"/>
    </row>
    <row r="11" spans="1:9" x14ac:dyDescent="0.2">
      <c r="A11" s="28">
        <v>41548</v>
      </c>
      <c r="B11" s="39">
        <f t="shared" si="4"/>
        <v>446258.40705990064</v>
      </c>
      <c r="C11" s="39">
        <f t="shared" si="0"/>
        <v>427.07306747720804</v>
      </c>
      <c r="D11" s="39">
        <f t="shared" si="1"/>
        <v>2417.2330382411287</v>
      </c>
      <c r="E11" s="39">
        <f t="shared" si="2"/>
        <v>2844.3061057183368</v>
      </c>
      <c r="F11" s="39">
        <f t="shared" si="3"/>
        <v>445831.33399242343</v>
      </c>
      <c r="G11" s="29"/>
      <c r="H11" s="29"/>
      <c r="I11" s="29"/>
    </row>
    <row r="12" spans="1:9" x14ac:dyDescent="0.2">
      <c r="A12" s="28">
        <v>41579</v>
      </c>
      <c r="B12" s="39">
        <f t="shared" si="4"/>
        <v>445831.33399242343</v>
      </c>
      <c r="C12" s="39">
        <f t="shared" si="0"/>
        <v>429.38637992604299</v>
      </c>
      <c r="D12" s="39">
        <f t="shared" si="1"/>
        <v>2414.9197257922938</v>
      </c>
      <c r="E12" s="39">
        <f t="shared" si="2"/>
        <v>2844.3061057183368</v>
      </c>
      <c r="F12" s="39">
        <f t="shared" si="3"/>
        <v>445401.94761249737</v>
      </c>
      <c r="G12" s="29"/>
      <c r="H12" s="29"/>
      <c r="I12" s="29"/>
    </row>
    <row r="13" spans="1:9" x14ac:dyDescent="0.2">
      <c r="A13" s="28">
        <v>41609</v>
      </c>
      <c r="B13" s="39">
        <f t="shared" si="4"/>
        <v>445401.94761249737</v>
      </c>
      <c r="C13" s="39">
        <f t="shared" si="0"/>
        <v>431.71222281730934</v>
      </c>
      <c r="D13" s="39">
        <f t="shared" si="1"/>
        <v>2412.5938829010274</v>
      </c>
      <c r="E13" s="39">
        <f t="shared" si="2"/>
        <v>2844.3061057183368</v>
      </c>
      <c r="F13" s="40">
        <f t="shared" si="3"/>
        <v>444970.23538968008</v>
      </c>
      <c r="G13" s="29"/>
      <c r="H13" s="29"/>
      <c r="I13" s="29"/>
    </row>
    <row r="14" spans="1:9" x14ac:dyDescent="0.2">
      <c r="A14" s="36" t="s">
        <v>143</v>
      </c>
      <c r="B14" s="41"/>
      <c r="C14" s="40">
        <f>SUM(C2:C13)</f>
        <v>5029.764610319934</v>
      </c>
      <c r="D14" s="40">
        <f>SUM(D2:D13)</f>
        <v>29101.908658300108</v>
      </c>
      <c r="E14" s="39"/>
      <c r="F14" s="39"/>
      <c r="G14" s="29"/>
      <c r="H14" s="29"/>
      <c r="I14" s="29"/>
    </row>
    <row r="15" spans="1:9" x14ac:dyDescent="0.2">
      <c r="A15" s="31"/>
      <c r="B15" s="31"/>
      <c r="C15" s="32"/>
      <c r="D15" s="32"/>
      <c r="E15" s="32"/>
      <c r="F15" s="32"/>
      <c r="G15" s="29"/>
      <c r="H15" s="29"/>
      <c r="I15" s="29"/>
    </row>
    <row r="16" spans="1:9" x14ac:dyDescent="0.2">
      <c r="A16" s="28">
        <v>41640</v>
      </c>
      <c r="B16" s="32">
        <f>+F13</f>
        <v>444970.23538968008</v>
      </c>
      <c r="C16" s="39">
        <f>+E16-D16</f>
        <v>434.05066402423608</v>
      </c>
      <c r="D16" s="39">
        <f>B16*$I$2</f>
        <v>2410.2554416941007</v>
      </c>
      <c r="E16" s="39">
        <f t="shared" ref="E16:E27" si="5">-$I$8</f>
        <v>2844.3061057183368</v>
      </c>
      <c r="F16" s="39">
        <f>+B16-C16</f>
        <v>444536.18472565582</v>
      </c>
      <c r="G16" s="29"/>
      <c r="H16" s="29"/>
      <c r="I16" s="29"/>
    </row>
    <row r="17" spans="1:6" x14ac:dyDescent="0.2">
      <c r="A17" s="28">
        <v>41671</v>
      </c>
      <c r="B17" s="39">
        <f>+F16</f>
        <v>444536.18472565582</v>
      </c>
      <c r="C17" s="39">
        <f t="shared" ref="C17:C27" si="6">+E17-D17</f>
        <v>436.40177178770091</v>
      </c>
      <c r="D17" s="39">
        <f t="shared" ref="D17:D27" si="7">B17*$I$2</f>
        <v>2407.9043339306359</v>
      </c>
      <c r="E17" s="39">
        <f t="shared" si="5"/>
        <v>2844.3061057183368</v>
      </c>
      <c r="F17" s="39">
        <f t="shared" ref="F17:F27" si="8">+B17-C17</f>
        <v>444099.7829538681</v>
      </c>
    </row>
    <row r="18" spans="1:6" x14ac:dyDescent="0.2">
      <c r="A18" s="28">
        <v>41699</v>
      </c>
      <c r="B18" s="39">
        <f t="shared" ref="B18:B27" si="9">+F17</f>
        <v>444099.7829538681</v>
      </c>
      <c r="C18" s="39">
        <f t="shared" si="6"/>
        <v>438.76561471821788</v>
      </c>
      <c r="D18" s="39">
        <f t="shared" si="7"/>
        <v>2405.5404910001189</v>
      </c>
      <c r="E18" s="39">
        <f t="shared" si="5"/>
        <v>2844.3061057183368</v>
      </c>
      <c r="F18" s="39">
        <f t="shared" si="8"/>
        <v>443661.0173391499</v>
      </c>
    </row>
    <row r="19" spans="1:6" x14ac:dyDescent="0.2">
      <c r="A19" s="28">
        <v>41730</v>
      </c>
      <c r="B19" s="39">
        <f t="shared" si="9"/>
        <v>443661.0173391499</v>
      </c>
      <c r="C19" s="39">
        <f t="shared" si="6"/>
        <v>441.1422617979415</v>
      </c>
      <c r="D19" s="39">
        <f t="shared" si="7"/>
        <v>2403.1638439203953</v>
      </c>
      <c r="E19" s="39">
        <f t="shared" si="5"/>
        <v>2844.3061057183368</v>
      </c>
      <c r="F19" s="39">
        <f t="shared" si="8"/>
        <v>443219.87507735193</v>
      </c>
    </row>
    <row r="20" spans="1:6" x14ac:dyDescent="0.2">
      <c r="A20" s="28">
        <v>41760</v>
      </c>
      <c r="B20" s="39">
        <f t="shared" si="9"/>
        <v>443219.87507735193</v>
      </c>
      <c r="C20" s="39">
        <f t="shared" si="6"/>
        <v>443.53178238268038</v>
      </c>
      <c r="D20" s="39">
        <f t="shared" si="7"/>
        <v>2400.7743233356564</v>
      </c>
      <c r="E20" s="39">
        <f t="shared" si="5"/>
        <v>2844.3061057183368</v>
      </c>
      <c r="F20" s="39">
        <f t="shared" si="8"/>
        <v>442776.34329496924</v>
      </c>
    </row>
    <row r="21" spans="1:6" x14ac:dyDescent="0.2">
      <c r="A21" s="28">
        <v>41791</v>
      </c>
      <c r="B21" s="39">
        <f t="shared" si="9"/>
        <v>442776.34329496924</v>
      </c>
      <c r="C21" s="39">
        <f t="shared" si="6"/>
        <v>445.93424620391988</v>
      </c>
      <c r="D21" s="39">
        <f t="shared" si="7"/>
        <v>2398.3718595144169</v>
      </c>
      <c r="E21" s="39">
        <f t="shared" si="5"/>
        <v>2844.3061057183368</v>
      </c>
      <c r="F21" s="39">
        <f t="shared" si="8"/>
        <v>442330.40904876532</v>
      </c>
    </row>
    <row r="22" spans="1:6" x14ac:dyDescent="0.2">
      <c r="A22" s="28">
        <v>41821</v>
      </c>
      <c r="B22" s="39">
        <f t="shared" si="9"/>
        <v>442330.40904876532</v>
      </c>
      <c r="C22" s="39">
        <f t="shared" si="6"/>
        <v>448.3497233708581</v>
      </c>
      <c r="D22" s="39">
        <f t="shared" si="7"/>
        <v>2395.9563823474787</v>
      </c>
      <c r="E22" s="39">
        <f t="shared" si="5"/>
        <v>2844.3061057183368</v>
      </c>
      <c r="F22" s="39">
        <f t="shared" si="8"/>
        <v>441882.05932539445</v>
      </c>
    </row>
    <row r="23" spans="1:6" x14ac:dyDescent="0.2">
      <c r="A23" s="28">
        <v>41852</v>
      </c>
      <c r="B23" s="39">
        <f t="shared" si="9"/>
        <v>441882.05932539445</v>
      </c>
      <c r="C23" s="39">
        <f t="shared" si="6"/>
        <v>450.77828437244989</v>
      </c>
      <c r="D23" s="39">
        <f t="shared" si="7"/>
        <v>2393.5278213458869</v>
      </c>
      <c r="E23" s="39">
        <f t="shared" si="5"/>
        <v>2844.3061057183368</v>
      </c>
      <c r="F23" s="39">
        <f t="shared" si="8"/>
        <v>441431.28104102198</v>
      </c>
    </row>
    <row r="24" spans="1:6" x14ac:dyDescent="0.2">
      <c r="A24" s="28">
        <v>41883</v>
      </c>
      <c r="B24" s="39">
        <f t="shared" si="9"/>
        <v>441431.28104102198</v>
      </c>
      <c r="C24" s="39">
        <f t="shared" si="6"/>
        <v>453.22000007946781</v>
      </c>
      <c r="D24" s="39">
        <f t="shared" si="7"/>
        <v>2391.086105638869</v>
      </c>
      <c r="E24" s="39">
        <f t="shared" si="5"/>
        <v>2844.3061057183368</v>
      </c>
      <c r="F24" s="39">
        <f t="shared" si="8"/>
        <v>440978.0610409425</v>
      </c>
    </row>
    <row r="25" spans="1:6" x14ac:dyDescent="0.2">
      <c r="A25" s="28">
        <v>41913</v>
      </c>
      <c r="B25" s="39">
        <f t="shared" si="9"/>
        <v>440978.0610409425</v>
      </c>
      <c r="C25" s="39">
        <f t="shared" si="6"/>
        <v>455.67494174656485</v>
      </c>
      <c r="D25" s="39">
        <f t="shared" si="7"/>
        <v>2388.6311639717719</v>
      </c>
      <c r="E25" s="39">
        <f t="shared" si="5"/>
        <v>2844.3061057183368</v>
      </c>
      <c r="F25" s="39">
        <f t="shared" si="8"/>
        <v>440522.38609919592</v>
      </c>
    </row>
    <row r="26" spans="1:6" x14ac:dyDescent="0.2">
      <c r="A26" s="28">
        <v>41944</v>
      </c>
      <c r="B26" s="39">
        <f t="shared" si="9"/>
        <v>440522.38609919592</v>
      </c>
      <c r="C26" s="39">
        <f t="shared" si="6"/>
        <v>458.14318101435856</v>
      </c>
      <c r="D26" s="39">
        <f t="shared" si="7"/>
        <v>2386.1629247039782</v>
      </c>
      <c r="E26" s="39">
        <f t="shared" si="5"/>
        <v>2844.3061057183368</v>
      </c>
      <c r="F26" s="39">
        <f t="shared" si="8"/>
        <v>440064.24291818158</v>
      </c>
    </row>
    <row r="27" spans="1:6" x14ac:dyDescent="0.2">
      <c r="A27" s="28">
        <v>41974</v>
      </c>
      <c r="B27" s="39">
        <f t="shared" si="9"/>
        <v>440064.24291818158</v>
      </c>
      <c r="C27" s="39">
        <f t="shared" si="6"/>
        <v>460.62478991151966</v>
      </c>
      <c r="D27" s="39">
        <f t="shared" si="7"/>
        <v>2383.6813158068171</v>
      </c>
      <c r="E27" s="39">
        <f t="shared" si="5"/>
        <v>2844.3061057183368</v>
      </c>
      <c r="F27" s="40">
        <f t="shared" si="8"/>
        <v>439603.61812827009</v>
      </c>
    </row>
    <row r="28" spans="1:6" x14ac:dyDescent="0.2">
      <c r="A28" s="36" t="s">
        <v>143</v>
      </c>
      <c r="B28" s="36"/>
      <c r="C28" s="40">
        <f>SUM(C16:C27)</f>
        <v>5366.617261409915</v>
      </c>
      <c r="D28" s="40">
        <f>SUM(D16:D27)</f>
        <v>28765.056007210125</v>
      </c>
      <c r="E28" s="32"/>
      <c r="F28" s="32"/>
    </row>
    <row r="29" spans="1:6" x14ac:dyDescent="0.2">
      <c r="A29" s="31"/>
      <c r="B29" s="31"/>
      <c r="C29" s="32"/>
      <c r="D29" s="32"/>
      <c r="E29" s="32"/>
      <c r="F29" s="32"/>
    </row>
    <row r="30" spans="1:6" x14ac:dyDescent="0.2">
      <c r="A30" s="28">
        <v>42005</v>
      </c>
      <c r="B30" s="39">
        <f>+F27</f>
        <v>439603.61812827009</v>
      </c>
      <c r="C30" s="39">
        <f>+E30-D30</f>
        <v>463.11984085687391</v>
      </c>
      <c r="D30" s="39">
        <f>B30*$I$2</f>
        <v>2381.1862648614629</v>
      </c>
      <c r="E30" s="39">
        <f t="shared" ref="E30:E41" si="10">-$I$8</f>
        <v>2844.3061057183368</v>
      </c>
      <c r="F30" s="39">
        <f>+B30-C30</f>
        <v>439140.49828741321</v>
      </c>
    </row>
    <row r="31" spans="1:6" x14ac:dyDescent="0.2">
      <c r="A31" s="28">
        <v>42036</v>
      </c>
      <c r="B31" s="39">
        <f>+F30</f>
        <v>439140.49828741321</v>
      </c>
      <c r="C31" s="39">
        <f t="shared" ref="C31:C41" si="11">+E31-D31</f>
        <v>465.62840666151533</v>
      </c>
      <c r="D31" s="39">
        <f t="shared" ref="D31:D41" si="12">B31*$I$2</f>
        <v>2378.6776990568214</v>
      </c>
      <c r="E31" s="39">
        <f t="shared" si="10"/>
        <v>2844.3061057183368</v>
      </c>
      <c r="F31" s="39">
        <f t="shared" ref="F31:F41" si="13">+B31-C31</f>
        <v>438674.86988075171</v>
      </c>
    </row>
    <row r="32" spans="1:6" x14ac:dyDescent="0.2">
      <c r="A32" s="28">
        <v>42064</v>
      </c>
      <c r="B32" s="39">
        <f t="shared" ref="B32:B41" si="14">+F31</f>
        <v>438674.86988075171</v>
      </c>
      <c r="C32" s="39">
        <f t="shared" si="11"/>
        <v>468.15056053093167</v>
      </c>
      <c r="D32" s="39">
        <f t="shared" si="12"/>
        <v>2376.1555451874051</v>
      </c>
      <c r="E32" s="39">
        <f t="shared" si="10"/>
        <v>2844.3061057183368</v>
      </c>
      <c r="F32" s="39">
        <f t="shared" si="13"/>
        <v>438206.71932022076</v>
      </c>
    </row>
    <row r="33" spans="1:6" x14ac:dyDescent="0.2">
      <c r="A33" s="28">
        <v>42095</v>
      </c>
      <c r="B33" s="39">
        <f t="shared" si="14"/>
        <v>438206.71932022076</v>
      </c>
      <c r="C33" s="39">
        <f t="shared" si="11"/>
        <v>470.68637606714083</v>
      </c>
      <c r="D33" s="39">
        <f t="shared" si="12"/>
        <v>2373.6197296511959</v>
      </c>
      <c r="E33" s="39">
        <f t="shared" si="10"/>
        <v>2844.3061057183368</v>
      </c>
      <c r="F33" s="39">
        <f t="shared" si="13"/>
        <v>437736.03294415359</v>
      </c>
    </row>
    <row r="34" spans="1:6" x14ac:dyDescent="0.2">
      <c r="A34" s="28">
        <v>42125</v>
      </c>
      <c r="B34" s="39">
        <f t="shared" si="14"/>
        <v>437736.03294415359</v>
      </c>
      <c r="C34" s="39">
        <f t="shared" si="11"/>
        <v>473.23592727083815</v>
      </c>
      <c r="D34" s="39">
        <f t="shared" si="12"/>
        <v>2371.0701784474986</v>
      </c>
      <c r="E34" s="39">
        <f t="shared" si="10"/>
        <v>2844.3061057183368</v>
      </c>
      <c r="F34" s="39">
        <f t="shared" si="13"/>
        <v>437262.79701688275</v>
      </c>
    </row>
    <row r="35" spans="1:6" x14ac:dyDescent="0.2">
      <c r="A35" s="28">
        <v>42156</v>
      </c>
      <c r="B35" s="39">
        <f t="shared" si="14"/>
        <v>437262.79701688275</v>
      </c>
      <c r="C35" s="39">
        <f t="shared" si="11"/>
        <v>475.79928854355512</v>
      </c>
      <c r="D35" s="39">
        <f t="shared" si="12"/>
        <v>2368.5068171747816</v>
      </c>
      <c r="E35" s="39">
        <f t="shared" si="10"/>
        <v>2844.3061057183368</v>
      </c>
      <c r="F35" s="39">
        <f t="shared" si="13"/>
        <v>436786.99772833916</v>
      </c>
    </row>
    <row r="36" spans="1:6" x14ac:dyDescent="0.2">
      <c r="A36" s="28">
        <v>42186</v>
      </c>
      <c r="B36" s="39">
        <f t="shared" si="14"/>
        <v>436786.99772833916</v>
      </c>
      <c r="C36" s="39">
        <f t="shared" si="11"/>
        <v>478.37653468983308</v>
      </c>
      <c r="D36" s="39">
        <f t="shared" si="12"/>
        <v>2365.9295710285037</v>
      </c>
      <c r="E36" s="39">
        <f t="shared" si="10"/>
        <v>2844.3061057183368</v>
      </c>
      <c r="F36" s="39">
        <f t="shared" si="13"/>
        <v>436308.62119364931</v>
      </c>
    </row>
    <row r="37" spans="1:6" x14ac:dyDescent="0.2">
      <c r="A37" s="28">
        <v>42217</v>
      </c>
      <c r="B37" s="39">
        <f t="shared" si="14"/>
        <v>436308.62119364931</v>
      </c>
      <c r="C37" s="39">
        <f t="shared" si="11"/>
        <v>480.96774091940279</v>
      </c>
      <c r="D37" s="39">
        <f t="shared" si="12"/>
        <v>2363.338364798934</v>
      </c>
      <c r="E37" s="39">
        <f t="shared" si="10"/>
        <v>2844.3061057183368</v>
      </c>
      <c r="F37" s="39">
        <f t="shared" si="13"/>
        <v>435827.65345272992</v>
      </c>
    </row>
    <row r="38" spans="1:6" x14ac:dyDescent="0.2">
      <c r="A38" s="28">
        <v>42248</v>
      </c>
      <c r="B38" s="39">
        <f t="shared" si="14"/>
        <v>435827.65345272992</v>
      </c>
      <c r="C38" s="39">
        <f t="shared" si="11"/>
        <v>483.57298284938315</v>
      </c>
      <c r="D38" s="39">
        <f t="shared" si="12"/>
        <v>2360.7331228689536</v>
      </c>
      <c r="E38" s="39">
        <f t="shared" si="10"/>
        <v>2844.3061057183368</v>
      </c>
      <c r="F38" s="39">
        <f t="shared" si="13"/>
        <v>435344.08046988054</v>
      </c>
    </row>
    <row r="39" spans="1:6" x14ac:dyDescent="0.2">
      <c r="A39" s="28">
        <v>42278</v>
      </c>
      <c r="B39" s="39">
        <f t="shared" si="14"/>
        <v>435344.08046988054</v>
      </c>
      <c r="C39" s="39">
        <f t="shared" si="11"/>
        <v>486.19233650648357</v>
      </c>
      <c r="D39" s="39">
        <f t="shared" si="12"/>
        <v>2358.1137692118532</v>
      </c>
      <c r="E39" s="39">
        <f t="shared" si="10"/>
        <v>2844.3061057183368</v>
      </c>
      <c r="F39" s="39">
        <f t="shared" si="13"/>
        <v>434857.88813337404</v>
      </c>
    </row>
    <row r="40" spans="1:6" x14ac:dyDescent="0.2">
      <c r="A40" s="28">
        <v>42309</v>
      </c>
      <c r="B40" s="39">
        <f t="shared" si="14"/>
        <v>434857.88813337404</v>
      </c>
      <c r="C40" s="39">
        <f t="shared" si="11"/>
        <v>488.82587832922718</v>
      </c>
      <c r="D40" s="39">
        <f t="shared" si="12"/>
        <v>2355.4802273891096</v>
      </c>
      <c r="E40" s="39">
        <f t="shared" si="10"/>
        <v>2844.3061057183368</v>
      </c>
      <c r="F40" s="39">
        <f t="shared" si="13"/>
        <v>434369.06225504482</v>
      </c>
    </row>
    <row r="41" spans="1:6" x14ac:dyDescent="0.2">
      <c r="A41" s="28">
        <v>42339</v>
      </c>
      <c r="B41" s="39">
        <f t="shared" si="14"/>
        <v>434369.06225504482</v>
      </c>
      <c r="C41" s="39">
        <f t="shared" si="11"/>
        <v>491.4736851701773</v>
      </c>
      <c r="D41" s="39">
        <f t="shared" si="12"/>
        <v>2352.8324205481595</v>
      </c>
      <c r="E41" s="39">
        <f t="shared" si="10"/>
        <v>2844.3061057183368</v>
      </c>
      <c r="F41" s="40">
        <f t="shared" si="13"/>
        <v>433877.58856987464</v>
      </c>
    </row>
    <row r="42" spans="1:6" x14ac:dyDescent="0.2">
      <c r="A42" s="36" t="s">
        <v>143</v>
      </c>
      <c r="B42" s="36"/>
      <c r="C42" s="40">
        <f>SUM(C30:C41)</f>
        <v>5726.0295583953621</v>
      </c>
      <c r="D42" s="40">
        <f>SUM(D30:D41)</f>
        <v>28405.643710224682</v>
      </c>
      <c r="E42" s="32"/>
      <c r="F42" s="32"/>
    </row>
    <row r="43" spans="1:6" x14ac:dyDescent="0.2">
      <c r="A43" s="31"/>
      <c r="B43" s="31"/>
      <c r="C43" s="32"/>
      <c r="D43" s="32"/>
      <c r="E43" s="32"/>
      <c r="F43" s="32"/>
    </row>
    <row r="44" spans="1:6" x14ac:dyDescent="0.2">
      <c r="A44" s="28">
        <v>42370</v>
      </c>
      <c r="B44" s="39">
        <f>+F41</f>
        <v>433877.58856987464</v>
      </c>
      <c r="C44" s="39">
        <f>+E44-D44</f>
        <v>494.13583429818254</v>
      </c>
      <c r="D44" s="39">
        <f>B44*$I$2</f>
        <v>2350.1702714201542</v>
      </c>
      <c r="E44" s="39">
        <f t="shared" ref="E44:E55" si="15">-$I$8</f>
        <v>2844.3061057183368</v>
      </c>
      <c r="F44" s="39">
        <f>+B44-C44</f>
        <v>433383.45273557649</v>
      </c>
    </row>
    <row r="45" spans="1:6" x14ac:dyDescent="0.2">
      <c r="A45" s="28">
        <v>42401</v>
      </c>
      <c r="B45" s="39">
        <f>+F44</f>
        <v>433383.45273557649</v>
      </c>
      <c r="C45" s="39">
        <f t="shared" ref="C45:C55" si="16">+E45-D45</f>
        <v>496.8124034006305</v>
      </c>
      <c r="D45" s="39">
        <f t="shared" ref="D45:D55" si="17">B45*$I$2</f>
        <v>2347.4937023177063</v>
      </c>
      <c r="E45" s="39">
        <f t="shared" si="15"/>
        <v>2844.3061057183368</v>
      </c>
      <c r="F45" s="39">
        <f t="shared" ref="F45:F55" si="18">+B45-C45</f>
        <v>432886.64033217588</v>
      </c>
    </row>
    <row r="46" spans="1:6" x14ac:dyDescent="0.2">
      <c r="A46" s="28">
        <v>42430</v>
      </c>
      <c r="B46" s="39">
        <f t="shared" ref="B46:B55" si="19">+F45</f>
        <v>432886.64033217588</v>
      </c>
      <c r="C46" s="39">
        <f t="shared" si="16"/>
        <v>499.50347058571742</v>
      </c>
      <c r="D46" s="39">
        <f t="shared" si="17"/>
        <v>2344.8026351326193</v>
      </c>
      <c r="E46" s="39">
        <f t="shared" si="15"/>
        <v>2844.3061057183368</v>
      </c>
      <c r="F46" s="39">
        <f t="shared" si="18"/>
        <v>432387.13686159014</v>
      </c>
    </row>
    <row r="47" spans="1:6" x14ac:dyDescent="0.2">
      <c r="A47" s="28">
        <v>42461</v>
      </c>
      <c r="B47" s="39">
        <f t="shared" si="19"/>
        <v>432387.13686159014</v>
      </c>
      <c r="C47" s="39">
        <f t="shared" si="16"/>
        <v>502.20911438472331</v>
      </c>
      <c r="D47" s="39">
        <f t="shared" si="17"/>
        <v>2342.0969913336135</v>
      </c>
      <c r="E47" s="39">
        <f t="shared" si="15"/>
        <v>2844.3061057183368</v>
      </c>
      <c r="F47" s="39">
        <f t="shared" si="18"/>
        <v>431884.92774720542</v>
      </c>
    </row>
    <row r="48" spans="1:6" x14ac:dyDescent="0.2">
      <c r="A48" s="28">
        <v>42491</v>
      </c>
      <c r="B48" s="39">
        <f t="shared" si="19"/>
        <v>431884.92774720542</v>
      </c>
      <c r="C48" s="39">
        <f t="shared" si="16"/>
        <v>504.92941375430746</v>
      </c>
      <c r="D48" s="39">
        <f t="shared" si="17"/>
        <v>2339.3766919640293</v>
      </c>
      <c r="E48" s="39">
        <f t="shared" si="15"/>
        <v>2844.3061057183368</v>
      </c>
      <c r="F48" s="39">
        <f t="shared" si="18"/>
        <v>431379.99833345111</v>
      </c>
    </row>
    <row r="49" spans="1:7" x14ac:dyDescent="0.2">
      <c r="A49" s="28">
        <v>42522</v>
      </c>
      <c r="B49" s="39">
        <f t="shared" si="19"/>
        <v>431379.99833345111</v>
      </c>
      <c r="C49" s="39">
        <f t="shared" si="16"/>
        <v>507.66444807880998</v>
      </c>
      <c r="D49" s="39">
        <f t="shared" si="17"/>
        <v>2336.6416576395268</v>
      </c>
      <c r="E49" s="39">
        <f t="shared" si="15"/>
        <v>2844.3061057183368</v>
      </c>
      <c r="F49" s="39">
        <f t="shared" si="18"/>
        <v>430872.33388537227</v>
      </c>
      <c r="G49" s="29"/>
    </row>
    <row r="50" spans="1:7" x14ac:dyDescent="0.2">
      <c r="A50" s="28">
        <v>42552</v>
      </c>
      <c r="B50" s="39">
        <f t="shared" si="19"/>
        <v>430872.33388537227</v>
      </c>
      <c r="C50" s="39">
        <f t="shared" si="16"/>
        <v>510.41429717257006</v>
      </c>
      <c r="D50" s="39">
        <f t="shared" si="17"/>
        <v>2333.8918085457667</v>
      </c>
      <c r="E50" s="39">
        <f t="shared" si="15"/>
        <v>2844.3061057183368</v>
      </c>
      <c r="F50" s="39">
        <f t="shared" si="18"/>
        <v>430361.9195881997</v>
      </c>
      <c r="G50" s="29"/>
    </row>
    <row r="51" spans="1:7" x14ac:dyDescent="0.2">
      <c r="A51" s="28">
        <v>42583</v>
      </c>
      <c r="B51" s="39">
        <f t="shared" si="19"/>
        <v>430361.9195881997</v>
      </c>
      <c r="C51" s="39">
        <f t="shared" si="16"/>
        <v>513.17904128225518</v>
      </c>
      <c r="D51" s="39">
        <f t="shared" si="17"/>
        <v>2331.1270644360816</v>
      </c>
      <c r="E51" s="39">
        <f t="shared" si="15"/>
        <v>2844.3061057183368</v>
      </c>
      <c r="F51" s="39">
        <f t="shared" si="18"/>
        <v>429848.74054691743</v>
      </c>
      <c r="G51" s="29"/>
    </row>
    <row r="52" spans="1:7" x14ac:dyDescent="0.2">
      <c r="A52" s="28">
        <v>42614</v>
      </c>
      <c r="B52" s="39">
        <f t="shared" si="19"/>
        <v>429848.74054691743</v>
      </c>
      <c r="C52" s="39">
        <f t="shared" si="16"/>
        <v>515.95876108920083</v>
      </c>
      <c r="D52" s="39">
        <f t="shared" si="17"/>
        <v>2328.3473446291359</v>
      </c>
      <c r="E52" s="39">
        <f t="shared" si="15"/>
        <v>2844.3061057183368</v>
      </c>
      <c r="F52" s="39">
        <f t="shared" si="18"/>
        <v>429332.78178582824</v>
      </c>
      <c r="G52" s="29"/>
    </row>
    <row r="53" spans="1:7" x14ac:dyDescent="0.2">
      <c r="A53" s="28">
        <v>42644</v>
      </c>
      <c r="B53" s="39">
        <f t="shared" si="19"/>
        <v>429332.78178582824</v>
      </c>
      <c r="C53" s="39">
        <f t="shared" si="16"/>
        <v>518.75353771176697</v>
      </c>
      <c r="D53" s="39">
        <f t="shared" si="17"/>
        <v>2325.5525680065698</v>
      </c>
      <c r="E53" s="39">
        <f t="shared" si="15"/>
        <v>2844.3061057183368</v>
      </c>
      <c r="F53" s="39">
        <f t="shared" si="18"/>
        <v>428814.02824811649</v>
      </c>
      <c r="G53" s="29"/>
    </row>
    <row r="54" spans="1:7" x14ac:dyDescent="0.2">
      <c r="A54" s="28">
        <v>42675</v>
      </c>
      <c r="B54" s="39">
        <f t="shared" si="19"/>
        <v>428814.02824811649</v>
      </c>
      <c r="C54" s="39">
        <f t="shared" si="16"/>
        <v>521.56345270770589</v>
      </c>
      <c r="D54" s="39">
        <f t="shared" si="17"/>
        <v>2322.7426530106309</v>
      </c>
      <c r="E54" s="39">
        <f t="shared" si="15"/>
        <v>2844.3061057183368</v>
      </c>
      <c r="F54" s="39">
        <f t="shared" si="18"/>
        <v>428292.46479540877</v>
      </c>
      <c r="G54" s="29"/>
    </row>
    <row r="55" spans="1:7" x14ac:dyDescent="0.2">
      <c r="A55" s="28">
        <v>42705</v>
      </c>
      <c r="B55" s="39">
        <f t="shared" si="19"/>
        <v>428292.46479540877</v>
      </c>
      <c r="C55" s="39">
        <f t="shared" si="16"/>
        <v>524.38858807653924</v>
      </c>
      <c r="D55" s="39">
        <f t="shared" si="17"/>
        <v>2319.9175176417975</v>
      </c>
      <c r="E55" s="39">
        <f t="shared" si="15"/>
        <v>2844.3061057183368</v>
      </c>
      <c r="F55" s="40">
        <f t="shared" si="18"/>
        <v>427768.07620733225</v>
      </c>
      <c r="G55" s="32"/>
    </row>
    <row r="56" spans="1:7" x14ac:dyDescent="0.2">
      <c r="A56" s="36" t="s">
        <v>143</v>
      </c>
      <c r="B56" s="37"/>
      <c r="C56" s="40">
        <f>SUM(C44:C55)</f>
        <v>6109.5123625424094</v>
      </c>
      <c r="D56" s="40">
        <f>SUM(D44:D55)</f>
        <v>28022.160906077632</v>
      </c>
      <c r="E56" s="29"/>
      <c r="F56" s="29"/>
      <c r="G56" s="29"/>
    </row>
    <row r="58" spans="1:7" x14ac:dyDescent="0.2">
      <c r="A58" s="28">
        <v>42736</v>
      </c>
      <c r="B58" s="39">
        <f>+F55</f>
        <v>427768.07620733225</v>
      </c>
      <c r="C58" s="39">
        <f>+E58-D58</f>
        <v>527.22902626195355</v>
      </c>
      <c r="D58" s="39">
        <f>B58*$I$2</f>
        <v>2317.0770794563832</v>
      </c>
      <c r="E58" s="39">
        <f t="shared" ref="E58:E69" si="20">-$I$8</f>
        <v>2844.3061057183368</v>
      </c>
      <c r="F58" s="39">
        <f>+B58-C58</f>
        <v>427240.8471810703</v>
      </c>
    </row>
    <row r="59" spans="1:7" x14ac:dyDescent="0.2">
      <c r="A59" s="28">
        <v>42767</v>
      </c>
      <c r="B59" s="39">
        <f>+F58</f>
        <v>427240.8471810703</v>
      </c>
      <c r="C59" s="39">
        <f t="shared" ref="C59:C69" si="21">+E59-D59</f>
        <v>530.08485015420592</v>
      </c>
      <c r="D59" s="39">
        <f t="shared" ref="D59:D69" si="22">B59*$I$2</f>
        <v>2314.2212555641308</v>
      </c>
      <c r="E59" s="39">
        <f t="shared" si="20"/>
        <v>2844.3061057183368</v>
      </c>
      <c r="F59" s="39">
        <f t="shared" ref="F59:F69" si="23">+B59-C59</f>
        <v>426710.76233091613</v>
      </c>
    </row>
    <row r="60" spans="1:7" x14ac:dyDescent="0.2">
      <c r="A60" s="28">
        <v>42795</v>
      </c>
      <c r="B60" s="39">
        <f t="shared" ref="B60:B69" si="24">+F59</f>
        <v>426710.76233091613</v>
      </c>
      <c r="C60" s="39">
        <f t="shared" si="21"/>
        <v>532.95614309254097</v>
      </c>
      <c r="D60" s="39">
        <f t="shared" si="22"/>
        <v>2311.3499626257958</v>
      </c>
      <c r="E60" s="39">
        <f t="shared" si="20"/>
        <v>2844.3061057183368</v>
      </c>
      <c r="F60" s="39">
        <f t="shared" si="23"/>
        <v>426177.80618782359</v>
      </c>
    </row>
    <row r="61" spans="1:7" x14ac:dyDescent="0.2">
      <c r="A61" s="28">
        <v>42826</v>
      </c>
      <c r="B61" s="39">
        <f t="shared" si="24"/>
        <v>426177.80618782359</v>
      </c>
      <c r="C61" s="39">
        <f t="shared" si="21"/>
        <v>535.84298886762554</v>
      </c>
      <c r="D61" s="39">
        <f t="shared" si="22"/>
        <v>2308.4631168507112</v>
      </c>
      <c r="E61" s="39">
        <f t="shared" si="20"/>
        <v>2844.3061057183368</v>
      </c>
      <c r="F61" s="39">
        <f t="shared" si="23"/>
        <v>425641.96319895599</v>
      </c>
    </row>
    <row r="62" spans="1:7" x14ac:dyDescent="0.2">
      <c r="A62" s="28">
        <v>42856</v>
      </c>
      <c r="B62" s="39">
        <f t="shared" si="24"/>
        <v>425641.96319895599</v>
      </c>
      <c r="C62" s="39">
        <f t="shared" si="21"/>
        <v>538.74547172399161</v>
      </c>
      <c r="D62" s="39">
        <f t="shared" si="22"/>
        <v>2305.5606339943452</v>
      </c>
      <c r="E62" s="39">
        <f t="shared" si="20"/>
        <v>2844.3061057183368</v>
      </c>
      <c r="F62" s="39">
        <f t="shared" si="23"/>
        <v>425103.21772723197</v>
      </c>
    </row>
    <row r="63" spans="1:7" x14ac:dyDescent="0.2">
      <c r="A63" s="28">
        <v>42887</v>
      </c>
      <c r="B63" s="39">
        <f t="shared" si="24"/>
        <v>425103.21772723197</v>
      </c>
      <c r="C63" s="39">
        <f t="shared" si="21"/>
        <v>541.66367636249697</v>
      </c>
      <c r="D63" s="39">
        <f t="shared" si="22"/>
        <v>2302.6424293558398</v>
      </c>
      <c r="E63" s="39">
        <f t="shared" si="20"/>
        <v>2844.3061057183368</v>
      </c>
      <c r="F63" s="39">
        <f t="shared" si="23"/>
        <v>424561.55405086948</v>
      </c>
    </row>
    <row r="64" spans="1:7" x14ac:dyDescent="0.2">
      <c r="A64" s="28">
        <v>42917</v>
      </c>
      <c r="B64" s="39">
        <f t="shared" si="24"/>
        <v>424561.55405086948</v>
      </c>
      <c r="C64" s="39">
        <f t="shared" si="21"/>
        <v>544.59768794279353</v>
      </c>
      <c r="D64" s="39">
        <f t="shared" si="22"/>
        <v>2299.7084177755432</v>
      </c>
      <c r="E64" s="39">
        <f t="shared" si="20"/>
        <v>2844.3061057183368</v>
      </c>
      <c r="F64" s="39">
        <f t="shared" si="23"/>
        <v>424016.95636292669</v>
      </c>
    </row>
    <row r="65" spans="1:6" x14ac:dyDescent="0.2">
      <c r="A65" s="28">
        <v>42948</v>
      </c>
      <c r="B65" s="39">
        <f t="shared" si="24"/>
        <v>424016.95636292669</v>
      </c>
      <c r="C65" s="39">
        <f t="shared" si="21"/>
        <v>547.54759208581709</v>
      </c>
      <c r="D65" s="39">
        <f t="shared" si="22"/>
        <v>2296.7585136325197</v>
      </c>
      <c r="E65" s="39">
        <f t="shared" si="20"/>
        <v>2844.3061057183368</v>
      </c>
      <c r="F65" s="39">
        <f t="shared" si="23"/>
        <v>423469.40877084085</v>
      </c>
    </row>
    <row r="66" spans="1:6" x14ac:dyDescent="0.2">
      <c r="A66" s="28">
        <v>42979</v>
      </c>
      <c r="B66" s="39">
        <f t="shared" si="24"/>
        <v>423469.40877084085</v>
      </c>
      <c r="C66" s="39">
        <f t="shared" si="21"/>
        <v>550.51347487628209</v>
      </c>
      <c r="D66" s="39">
        <f t="shared" si="22"/>
        <v>2293.7926308420547</v>
      </c>
      <c r="E66" s="39">
        <f t="shared" si="20"/>
        <v>2844.3061057183368</v>
      </c>
      <c r="F66" s="39">
        <f t="shared" si="23"/>
        <v>422918.89529596455</v>
      </c>
    </row>
    <row r="67" spans="1:6" x14ac:dyDescent="0.2">
      <c r="A67" s="28">
        <v>43009</v>
      </c>
      <c r="B67" s="39">
        <f t="shared" si="24"/>
        <v>422918.89529596455</v>
      </c>
      <c r="C67" s="39">
        <f t="shared" si="21"/>
        <v>553.49542286519545</v>
      </c>
      <c r="D67" s="39">
        <f t="shared" si="22"/>
        <v>2290.8106828531413</v>
      </c>
      <c r="E67" s="39">
        <f t="shared" si="20"/>
        <v>2844.3061057183368</v>
      </c>
      <c r="F67" s="39">
        <f t="shared" si="23"/>
        <v>422365.39987309935</v>
      </c>
    </row>
    <row r="68" spans="1:6" x14ac:dyDescent="0.2">
      <c r="A68" s="28">
        <v>43040</v>
      </c>
      <c r="B68" s="39">
        <f t="shared" si="24"/>
        <v>422365.39987309935</v>
      </c>
      <c r="C68" s="39">
        <f t="shared" si="21"/>
        <v>556.49352307238178</v>
      </c>
      <c r="D68" s="39">
        <f t="shared" si="22"/>
        <v>2287.812582645955</v>
      </c>
      <c r="E68" s="39">
        <f t="shared" si="20"/>
        <v>2844.3061057183368</v>
      </c>
      <c r="F68" s="39">
        <f t="shared" si="23"/>
        <v>421808.90635002695</v>
      </c>
    </row>
    <row r="69" spans="1:6" x14ac:dyDescent="0.2">
      <c r="A69" s="28">
        <v>43070</v>
      </c>
      <c r="B69" s="39">
        <f t="shared" si="24"/>
        <v>421808.90635002695</v>
      </c>
      <c r="C69" s="39">
        <f t="shared" si="21"/>
        <v>559.50786298902403</v>
      </c>
      <c r="D69" s="39">
        <f t="shared" si="22"/>
        <v>2284.7982427293127</v>
      </c>
      <c r="E69" s="39">
        <f t="shared" si="20"/>
        <v>2844.3061057183368</v>
      </c>
      <c r="F69" s="40">
        <f t="shared" si="23"/>
        <v>421249.39848703792</v>
      </c>
    </row>
    <row r="70" spans="1:6" x14ac:dyDescent="0.2">
      <c r="A70" s="36" t="s">
        <v>143</v>
      </c>
      <c r="B70" s="37"/>
      <c r="C70" s="40">
        <f>SUM(C58:C69)</f>
        <v>6518.6777202943094</v>
      </c>
      <c r="D70" s="40">
        <f>SUM(D58:D69)</f>
        <v>27612.995548325736</v>
      </c>
      <c r="E70" s="29"/>
      <c r="F70" s="29"/>
    </row>
    <row r="72" spans="1:6" x14ac:dyDescent="0.2">
      <c r="A72" s="28">
        <v>43101</v>
      </c>
      <c r="B72" s="39">
        <f>+F69</f>
        <v>421249.39848703792</v>
      </c>
      <c r="C72" s="39">
        <f>+E72-D72</f>
        <v>562.53853058021468</v>
      </c>
      <c r="D72" s="39">
        <f>B72*$I$2</f>
        <v>2281.7675751381221</v>
      </c>
      <c r="E72" s="39">
        <f t="shared" ref="E72:E83" si="25">-$I$8</f>
        <v>2844.3061057183368</v>
      </c>
      <c r="F72" s="39">
        <f>+B72-C72</f>
        <v>420686.85995645769</v>
      </c>
    </row>
    <row r="73" spans="1:6" x14ac:dyDescent="0.2">
      <c r="A73" s="28">
        <v>43132</v>
      </c>
      <c r="B73" s="39">
        <f>+F72</f>
        <v>420686.85995645769</v>
      </c>
      <c r="C73" s="39">
        <f t="shared" ref="C73:C83" si="26">+E73-D73</f>
        <v>565.58561428752409</v>
      </c>
      <c r="D73" s="39">
        <f t="shared" ref="D73:D83" si="27">B73*$I$2</f>
        <v>2278.7204914308127</v>
      </c>
      <c r="E73" s="39">
        <f t="shared" si="25"/>
        <v>2844.3061057183368</v>
      </c>
      <c r="F73" s="39">
        <f t="shared" ref="F73:F83" si="28">+B73-C73</f>
        <v>420121.27434217016</v>
      </c>
    </row>
    <row r="74" spans="1:6" x14ac:dyDescent="0.2">
      <c r="A74" s="28">
        <v>43160</v>
      </c>
      <c r="B74" s="39">
        <f t="shared" ref="B74:B83" si="29">+F73</f>
        <v>420121.27434217016</v>
      </c>
      <c r="C74" s="39">
        <f t="shared" si="26"/>
        <v>568.64920303158169</v>
      </c>
      <c r="D74" s="39">
        <f t="shared" si="27"/>
        <v>2275.6569026867551</v>
      </c>
      <c r="E74" s="39">
        <f t="shared" si="25"/>
        <v>2844.3061057183368</v>
      </c>
      <c r="F74" s="39">
        <f t="shared" si="28"/>
        <v>419552.6251391386</v>
      </c>
    </row>
    <row r="75" spans="1:6" x14ac:dyDescent="0.2">
      <c r="A75" s="28">
        <v>43191</v>
      </c>
      <c r="B75" s="39">
        <f t="shared" si="29"/>
        <v>419552.6251391386</v>
      </c>
      <c r="C75" s="39">
        <f t="shared" si="26"/>
        <v>571.72938621466938</v>
      </c>
      <c r="D75" s="39">
        <f t="shared" si="27"/>
        <v>2272.5767195036674</v>
      </c>
      <c r="E75" s="39">
        <f t="shared" si="25"/>
        <v>2844.3061057183368</v>
      </c>
      <c r="F75" s="39">
        <f t="shared" si="28"/>
        <v>418980.89575292391</v>
      </c>
    </row>
    <row r="76" spans="1:6" x14ac:dyDescent="0.2">
      <c r="A76" s="28">
        <v>43221</v>
      </c>
      <c r="B76" s="39">
        <f t="shared" si="29"/>
        <v>418980.89575292391</v>
      </c>
      <c r="C76" s="39">
        <f t="shared" si="26"/>
        <v>574.82625372333223</v>
      </c>
      <c r="D76" s="39">
        <f t="shared" si="27"/>
        <v>2269.4798519950045</v>
      </c>
      <c r="E76" s="39">
        <f t="shared" si="25"/>
        <v>2844.3061057183368</v>
      </c>
      <c r="F76" s="39">
        <f t="shared" si="28"/>
        <v>418406.06949920056</v>
      </c>
    </row>
    <row r="77" spans="1:6" x14ac:dyDescent="0.2">
      <c r="A77" s="28">
        <v>43252</v>
      </c>
      <c r="B77" s="39">
        <f t="shared" si="29"/>
        <v>418406.06949920056</v>
      </c>
      <c r="C77" s="39">
        <f t="shared" si="26"/>
        <v>577.93989593100014</v>
      </c>
      <c r="D77" s="39">
        <f t="shared" si="27"/>
        <v>2266.3662097873366</v>
      </c>
      <c r="E77" s="39">
        <f t="shared" si="25"/>
        <v>2844.3061057183368</v>
      </c>
      <c r="F77" s="39">
        <f t="shared" si="28"/>
        <v>417828.12960326957</v>
      </c>
    </row>
    <row r="78" spans="1:6" x14ac:dyDescent="0.2">
      <c r="A78" s="28">
        <v>43282</v>
      </c>
      <c r="B78" s="39">
        <f t="shared" si="29"/>
        <v>417828.12960326957</v>
      </c>
      <c r="C78" s="39">
        <f t="shared" si="26"/>
        <v>581.07040370062668</v>
      </c>
      <c r="D78" s="39">
        <f t="shared" si="27"/>
        <v>2263.2357020177101</v>
      </c>
      <c r="E78" s="39">
        <f t="shared" si="25"/>
        <v>2844.3061057183368</v>
      </c>
      <c r="F78" s="39">
        <f t="shared" si="28"/>
        <v>417247.05919956893</v>
      </c>
    </row>
    <row r="79" spans="1:6" x14ac:dyDescent="0.2">
      <c r="A79" s="28">
        <v>43313</v>
      </c>
      <c r="B79" s="39">
        <f t="shared" si="29"/>
        <v>417247.05919956893</v>
      </c>
      <c r="C79" s="39">
        <f t="shared" si="26"/>
        <v>584.21786838733851</v>
      </c>
      <c r="D79" s="39">
        <f t="shared" si="27"/>
        <v>2260.0882373309983</v>
      </c>
      <c r="E79" s="39">
        <f t="shared" si="25"/>
        <v>2844.3061057183368</v>
      </c>
      <c r="F79" s="39">
        <f t="shared" si="28"/>
        <v>416662.84133118158</v>
      </c>
    </row>
    <row r="80" spans="1:6" x14ac:dyDescent="0.2">
      <c r="A80" s="28">
        <v>43344</v>
      </c>
      <c r="B80" s="39">
        <f t="shared" si="29"/>
        <v>416662.84133118158</v>
      </c>
      <c r="C80" s="39">
        <f t="shared" si="26"/>
        <v>587.38238184110332</v>
      </c>
      <c r="D80" s="39">
        <f t="shared" si="27"/>
        <v>2256.9237238772334</v>
      </c>
      <c r="E80" s="39">
        <f t="shared" si="25"/>
        <v>2844.3061057183368</v>
      </c>
      <c r="F80" s="39">
        <f t="shared" si="28"/>
        <v>416075.45894934051</v>
      </c>
    </row>
    <row r="81" spans="1:6" x14ac:dyDescent="0.2">
      <c r="A81" s="28">
        <v>43374</v>
      </c>
      <c r="B81" s="39">
        <f t="shared" si="29"/>
        <v>416075.45894934051</v>
      </c>
      <c r="C81" s="39">
        <f t="shared" si="26"/>
        <v>590.5640364094088</v>
      </c>
      <c r="D81" s="39">
        <f t="shared" si="27"/>
        <v>2253.742069308928</v>
      </c>
      <c r="E81" s="39">
        <f t="shared" si="25"/>
        <v>2844.3061057183368</v>
      </c>
      <c r="F81" s="39">
        <f t="shared" si="28"/>
        <v>415484.89491293108</v>
      </c>
    </row>
    <row r="82" spans="1:6" x14ac:dyDescent="0.2">
      <c r="A82" s="28">
        <v>43405</v>
      </c>
      <c r="B82" s="39">
        <f t="shared" si="29"/>
        <v>415484.89491293108</v>
      </c>
      <c r="C82" s="39">
        <f t="shared" si="26"/>
        <v>593.76292493996016</v>
      </c>
      <c r="D82" s="39">
        <f t="shared" si="27"/>
        <v>2250.5431807783766</v>
      </c>
      <c r="E82" s="39">
        <f t="shared" si="25"/>
        <v>2844.3061057183368</v>
      </c>
      <c r="F82" s="39">
        <f t="shared" si="28"/>
        <v>414891.1319879911</v>
      </c>
    </row>
    <row r="83" spans="1:6" x14ac:dyDescent="0.2">
      <c r="A83" s="28">
        <v>43435</v>
      </c>
      <c r="B83" s="39">
        <f t="shared" si="29"/>
        <v>414891.1319879911</v>
      </c>
      <c r="C83" s="39">
        <f t="shared" si="26"/>
        <v>596.97914078338499</v>
      </c>
      <c r="D83" s="39">
        <f t="shared" si="27"/>
        <v>2247.3269649349518</v>
      </c>
      <c r="E83" s="39">
        <f t="shared" si="25"/>
        <v>2844.3061057183368</v>
      </c>
      <c r="F83" s="40">
        <f t="shared" si="28"/>
        <v>414294.15284720773</v>
      </c>
    </row>
    <row r="84" spans="1:6" x14ac:dyDescent="0.2">
      <c r="A84" s="36" t="s">
        <v>143</v>
      </c>
      <c r="B84" s="37"/>
      <c r="C84" s="40">
        <f>SUM(C72:C83)</f>
        <v>6955.2456398301456</v>
      </c>
      <c r="D84" s="40">
        <f>SUM(D72:D83)</f>
        <v>27176.427628789897</v>
      </c>
      <c r="E84" s="29"/>
      <c r="F84" s="29"/>
    </row>
    <row r="85" spans="1:6" x14ac:dyDescent="0.2">
      <c r="B85" s="31"/>
      <c r="C85" s="32"/>
      <c r="D85" s="32"/>
      <c r="E85" s="32"/>
      <c r="F85" s="32"/>
    </row>
    <row r="86" spans="1:6" x14ac:dyDescent="0.2">
      <c r="A86" s="28">
        <v>43466</v>
      </c>
      <c r="B86" s="39">
        <f>+F83</f>
        <v>414294.15284720773</v>
      </c>
      <c r="C86" s="39">
        <f>+E86-D86</f>
        <v>600.2127777959613</v>
      </c>
      <c r="D86" s="39">
        <f>B86*$I$2</f>
        <v>2244.0933279223755</v>
      </c>
      <c r="E86" s="39">
        <f t="shared" ref="E86:E97" si="30">-$I$8</f>
        <v>2844.3061057183368</v>
      </c>
      <c r="F86" s="39">
        <f>+B86-C86</f>
        <v>413693.94006941176</v>
      </c>
    </row>
    <row r="87" spans="1:6" x14ac:dyDescent="0.2">
      <c r="A87" s="28">
        <v>43497</v>
      </c>
      <c r="B87" s="39">
        <f>+F86</f>
        <v>413693.94006941176</v>
      </c>
      <c r="C87" s="39">
        <f t="shared" ref="C87:C97" si="31">+E87-D87</f>
        <v>603.46393034235643</v>
      </c>
      <c r="D87" s="39">
        <f t="shared" ref="D87:D97" si="32">B87*$I$2</f>
        <v>2240.8421753759803</v>
      </c>
      <c r="E87" s="39">
        <f t="shared" si="30"/>
        <v>2844.3061057183368</v>
      </c>
      <c r="F87" s="39">
        <f t="shared" ref="F87:F97" si="33">+B87-C87</f>
        <v>413090.47613906942</v>
      </c>
    </row>
    <row r="88" spans="1:6" x14ac:dyDescent="0.2">
      <c r="A88" s="28">
        <v>43525</v>
      </c>
      <c r="B88" s="39">
        <f t="shared" ref="B88:B97" si="34">+F87</f>
        <v>413090.47613906942</v>
      </c>
      <c r="C88" s="39">
        <f t="shared" si="31"/>
        <v>606.7326932983774</v>
      </c>
      <c r="D88" s="39">
        <f t="shared" si="32"/>
        <v>2237.5734124199594</v>
      </c>
      <c r="E88" s="39">
        <f t="shared" si="30"/>
        <v>2844.3061057183368</v>
      </c>
      <c r="F88" s="39">
        <f t="shared" si="33"/>
        <v>412483.74344577105</v>
      </c>
    </row>
    <row r="89" spans="1:6" x14ac:dyDescent="0.2">
      <c r="A89" s="28">
        <v>43556</v>
      </c>
      <c r="B89" s="39">
        <f t="shared" si="34"/>
        <v>412483.74344577105</v>
      </c>
      <c r="C89" s="39">
        <f t="shared" si="31"/>
        <v>610.01916205374346</v>
      </c>
      <c r="D89" s="39">
        <f t="shared" si="32"/>
        <v>2234.2869436645933</v>
      </c>
      <c r="E89" s="39">
        <f t="shared" si="30"/>
        <v>2844.3061057183368</v>
      </c>
      <c r="F89" s="39">
        <f t="shared" si="33"/>
        <v>411873.72428371728</v>
      </c>
    </row>
    <row r="90" spans="1:6" x14ac:dyDescent="0.2">
      <c r="A90" s="28">
        <v>43586</v>
      </c>
      <c r="B90" s="39">
        <f t="shared" si="34"/>
        <v>411873.72428371728</v>
      </c>
      <c r="C90" s="39">
        <f t="shared" si="31"/>
        <v>613.32343251486827</v>
      </c>
      <c r="D90" s="39">
        <f t="shared" si="32"/>
        <v>2230.9826732034685</v>
      </c>
      <c r="E90" s="39">
        <f t="shared" si="30"/>
        <v>2844.3061057183368</v>
      </c>
      <c r="F90" s="39">
        <f t="shared" si="33"/>
        <v>411260.40085120243</v>
      </c>
    </row>
    <row r="91" spans="1:6" x14ac:dyDescent="0.2">
      <c r="A91" s="28">
        <v>43617</v>
      </c>
      <c r="B91" s="39">
        <f t="shared" si="34"/>
        <v>411260.40085120243</v>
      </c>
      <c r="C91" s="39">
        <f t="shared" si="31"/>
        <v>616.64560110765706</v>
      </c>
      <c r="D91" s="39">
        <f t="shared" si="32"/>
        <v>2227.6605046106797</v>
      </c>
      <c r="E91" s="39">
        <f t="shared" si="30"/>
        <v>2844.3061057183368</v>
      </c>
      <c r="F91" s="39">
        <f t="shared" si="33"/>
        <v>410643.75525009475</v>
      </c>
    </row>
    <row r="92" spans="1:6" x14ac:dyDescent="0.2">
      <c r="A92" s="28">
        <v>43647</v>
      </c>
      <c r="B92" s="39">
        <f t="shared" si="34"/>
        <v>410643.75525009475</v>
      </c>
      <c r="C92" s="39">
        <f t="shared" si="31"/>
        <v>619.98576478032328</v>
      </c>
      <c r="D92" s="39">
        <f t="shared" si="32"/>
        <v>2224.3203409380135</v>
      </c>
      <c r="E92" s="39">
        <f t="shared" si="30"/>
        <v>2844.3061057183368</v>
      </c>
      <c r="F92" s="39">
        <f t="shared" si="33"/>
        <v>410023.76948531443</v>
      </c>
    </row>
    <row r="93" spans="1:6" x14ac:dyDescent="0.2">
      <c r="A93" s="28">
        <v>43678</v>
      </c>
      <c r="B93" s="39">
        <f t="shared" si="34"/>
        <v>410023.76948531443</v>
      </c>
      <c r="C93" s="39">
        <f t="shared" si="31"/>
        <v>623.34402100621674</v>
      </c>
      <c r="D93" s="39">
        <f t="shared" si="32"/>
        <v>2220.96208471212</v>
      </c>
      <c r="E93" s="39">
        <f t="shared" si="30"/>
        <v>2844.3061057183368</v>
      </c>
      <c r="F93" s="39">
        <f t="shared" si="33"/>
        <v>409400.42546430824</v>
      </c>
    </row>
    <row r="94" spans="1:6" x14ac:dyDescent="0.2">
      <c r="A94" s="28">
        <v>43709</v>
      </c>
      <c r="B94" s="39">
        <f t="shared" si="34"/>
        <v>409400.42546430824</v>
      </c>
      <c r="C94" s="39">
        <f t="shared" si="31"/>
        <v>626.72046778666709</v>
      </c>
      <c r="D94" s="39">
        <f t="shared" si="32"/>
        <v>2217.5856379316697</v>
      </c>
      <c r="E94" s="39">
        <f t="shared" si="30"/>
        <v>2844.3061057183368</v>
      </c>
      <c r="F94" s="39">
        <f t="shared" si="33"/>
        <v>408773.70499652158</v>
      </c>
    </row>
    <row r="95" spans="1:6" x14ac:dyDescent="0.2">
      <c r="A95" s="28">
        <v>43739</v>
      </c>
      <c r="B95" s="39">
        <f t="shared" si="34"/>
        <v>408773.70499652158</v>
      </c>
      <c r="C95" s="39">
        <f t="shared" si="31"/>
        <v>630.11520365384467</v>
      </c>
      <c r="D95" s="39">
        <f t="shared" si="32"/>
        <v>2214.1909020644921</v>
      </c>
      <c r="E95" s="39">
        <f t="shared" si="30"/>
        <v>2844.3061057183368</v>
      </c>
      <c r="F95" s="39">
        <f t="shared" si="33"/>
        <v>408143.58979286772</v>
      </c>
    </row>
    <row r="96" spans="1:6" x14ac:dyDescent="0.2">
      <c r="A96" s="28">
        <v>43770</v>
      </c>
      <c r="B96" s="39">
        <f t="shared" si="34"/>
        <v>408143.58979286772</v>
      </c>
      <c r="C96" s="39">
        <f t="shared" si="31"/>
        <v>633.5283276736368</v>
      </c>
      <c r="D96" s="39">
        <f t="shared" si="32"/>
        <v>2210.7777780447</v>
      </c>
      <c r="E96" s="39">
        <f t="shared" si="30"/>
        <v>2844.3061057183368</v>
      </c>
      <c r="F96" s="39">
        <f t="shared" si="33"/>
        <v>407510.0614651941</v>
      </c>
    </row>
    <row r="97" spans="1:6" x14ac:dyDescent="0.2">
      <c r="A97" s="28">
        <v>43800</v>
      </c>
      <c r="B97" s="39">
        <f t="shared" si="34"/>
        <v>407510.0614651941</v>
      </c>
      <c r="C97" s="39">
        <f t="shared" si="31"/>
        <v>636.95993944853535</v>
      </c>
      <c r="D97" s="39">
        <f t="shared" si="32"/>
        <v>2207.3461662698014</v>
      </c>
      <c r="E97" s="39">
        <f t="shared" si="30"/>
        <v>2844.3061057183368</v>
      </c>
      <c r="F97" s="40">
        <f t="shared" si="33"/>
        <v>406873.10152574559</v>
      </c>
    </row>
    <row r="98" spans="1:6" x14ac:dyDescent="0.2">
      <c r="A98" s="36" t="s">
        <v>143</v>
      </c>
      <c r="B98" s="37"/>
      <c r="C98" s="40">
        <f>SUM(C86:C97)</f>
        <v>7421.0513214621878</v>
      </c>
      <c r="D98" s="40">
        <f>SUM(D86:D97)</f>
        <v>26710.621947157855</v>
      </c>
      <c r="E98" s="29"/>
      <c r="F98" s="29"/>
    </row>
    <row r="99" spans="1:6" x14ac:dyDescent="0.2">
      <c r="B99" s="31"/>
      <c r="C99" s="32"/>
      <c r="D99" s="32"/>
      <c r="E99" s="32"/>
      <c r="F99" s="32"/>
    </row>
    <row r="100" spans="1:6" x14ac:dyDescent="0.2">
      <c r="A100" s="28">
        <v>43831</v>
      </c>
      <c r="B100" s="39">
        <f>+F97</f>
        <v>406873.10152574559</v>
      </c>
      <c r="C100" s="39">
        <f>+E100-D100</f>
        <v>640.41013912054814</v>
      </c>
      <c r="D100" s="39">
        <f>B100*$I$2</f>
        <v>2203.8959665977886</v>
      </c>
      <c r="E100" s="39">
        <f t="shared" ref="E100:E111" si="35">-$I$8</f>
        <v>2844.3061057183368</v>
      </c>
      <c r="F100" s="39">
        <f>+B100-C100</f>
        <v>406232.69138662505</v>
      </c>
    </row>
    <row r="101" spans="1:6" x14ac:dyDescent="0.2">
      <c r="A101" s="28">
        <v>43862</v>
      </c>
      <c r="B101" s="39">
        <f>+F100</f>
        <v>406232.69138662505</v>
      </c>
      <c r="C101" s="39">
        <f t="shared" ref="C101:C111" si="36">+E101-D101</f>
        <v>643.87902737411787</v>
      </c>
      <c r="D101" s="39">
        <f t="shared" ref="D101:D111" si="37">B101*$I$2</f>
        <v>2200.4270783442189</v>
      </c>
      <c r="E101" s="39">
        <f t="shared" si="35"/>
        <v>2844.3061057183368</v>
      </c>
      <c r="F101" s="39">
        <f t="shared" ref="F101:F111" si="38">+B101-C101</f>
        <v>405588.81235925097</v>
      </c>
    </row>
    <row r="102" spans="1:6" x14ac:dyDescent="0.2">
      <c r="A102" s="28">
        <v>43891</v>
      </c>
      <c r="B102" s="39">
        <f t="shared" ref="B102:B111" si="39">+F101</f>
        <v>405588.81235925097</v>
      </c>
      <c r="C102" s="39">
        <f t="shared" si="36"/>
        <v>647.36670543906075</v>
      </c>
      <c r="D102" s="39">
        <f t="shared" si="37"/>
        <v>2196.939400279276</v>
      </c>
      <c r="E102" s="39">
        <f t="shared" si="35"/>
        <v>2844.3061057183368</v>
      </c>
      <c r="F102" s="39">
        <f t="shared" si="38"/>
        <v>404941.44565381191</v>
      </c>
    </row>
    <row r="103" spans="1:6" x14ac:dyDescent="0.2">
      <c r="A103" s="28">
        <v>43922</v>
      </c>
      <c r="B103" s="39">
        <f t="shared" si="39"/>
        <v>404941.44565381191</v>
      </c>
      <c r="C103" s="39">
        <f t="shared" si="36"/>
        <v>650.87327509352235</v>
      </c>
      <c r="D103" s="39">
        <f t="shared" si="37"/>
        <v>2193.4328306248144</v>
      </c>
      <c r="E103" s="39">
        <f t="shared" si="35"/>
        <v>2844.3061057183368</v>
      </c>
      <c r="F103" s="39">
        <f t="shared" si="38"/>
        <v>404290.57237871841</v>
      </c>
    </row>
    <row r="104" spans="1:6" x14ac:dyDescent="0.2">
      <c r="A104" s="28">
        <v>43952</v>
      </c>
      <c r="B104" s="39">
        <f t="shared" si="39"/>
        <v>404290.57237871841</v>
      </c>
      <c r="C104" s="39">
        <f t="shared" si="36"/>
        <v>654.39883866694527</v>
      </c>
      <c r="D104" s="39">
        <f t="shared" si="37"/>
        <v>2189.9072670513915</v>
      </c>
      <c r="E104" s="39">
        <f t="shared" si="35"/>
        <v>2844.3061057183368</v>
      </c>
      <c r="F104" s="39">
        <f t="shared" si="38"/>
        <v>403636.17354005144</v>
      </c>
    </row>
    <row r="105" spans="1:6" x14ac:dyDescent="0.2">
      <c r="A105" s="28">
        <v>43983</v>
      </c>
      <c r="B105" s="39">
        <f t="shared" si="39"/>
        <v>403636.17354005144</v>
      </c>
      <c r="C105" s="39">
        <f t="shared" si="36"/>
        <v>657.94349904305818</v>
      </c>
      <c r="D105" s="39">
        <f t="shared" si="37"/>
        <v>2186.3626066752786</v>
      </c>
      <c r="E105" s="39">
        <f t="shared" si="35"/>
        <v>2844.3061057183368</v>
      </c>
      <c r="F105" s="39">
        <f t="shared" si="38"/>
        <v>402978.23004100838</v>
      </c>
    </row>
    <row r="106" spans="1:6" x14ac:dyDescent="0.2">
      <c r="A106" s="28">
        <v>44013</v>
      </c>
      <c r="B106" s="39">
        <f t="shared" si="39"/>
        <v>402978.23004100838</v>
      </c>
      <c r="C106" s="39">
        <f t="shared" si="36"/>
        <v>661.50735966287448</v>
      </c>
      <c r="D106" s="39">
        <f t="shared" si="37"/>
        <v>2182.7987460554623</v>
      </c>
      <c r="E106" s="39">
        <f t="shared" si="35"/>
        <v>2844.3061057183368</v>
      </c>
      <c r="F106" s="39">
        <f t="shared" si="38"/>
        <v>402316.72268134553</v>
      </c>
    </row>
    <row r="107" spans="1:6" x14ac:dyDescent="0.2">
      <c r="A107" s="28">
        <v>44044</v>
      </c>
      <c r="B107" s="39">
        <f t="shared" si="39"/>
        <v>402316.72268134553</v>
      </c>
      <c r="C107" s="39">
        <f t="shared" si="36"/>
        <v>665.09052452771493</v>
      </c>
      <c r="D107" s="39">
        <f t="shared" si="37"/>
        <v>2179.2155811906218</v>
      </c>
      <c r="E107" s="39">
        <f t="shared" si="35"/>
        <v>2844.3061057183368</v>
      </c>
      <c r="F107" s="39">
        <f t="shared" si="38"/>
        <v>401651.63215681782</v>
      </c>
    </row>
    <row r="108" spans="1:6" x14ac:dyDescent="0.2">
      <c r="A108" s="28">
        <v>44075</v>
      </c>
      <c r="B108" s="39">
        <f t="shared" si="39"/>
        <v>401651.63215681782</v>
      </c>
      <c r="C108" s="39">
        <f t="shared" si="36"/>
        <v>668.69309820223998</v>
      </c>
      <c r="D108" s="39">
        <f t="shared" si="37"/>
        <v>2175.6130075160968</v>
      </c>
      <c r="E108" s="39">
        <f t="shared" si="35"/>
        <v>2844.3061057183368</v>
      </c>
      <c r="F108" s="39">
        <f t="shared" si="38"/>
        <v>400982.93905861559</v>
      </c>
    </row>
    <row r="109" spans="1:6" x14ac:dyDescent="0.2">
      <c r="A109" s="28">
        <v>44105</v>
      </c>
      <c r="B109" s="39">
        <f t="shared" si="39"/>
        <v>400982.93905861559</v>
      </c>
      <c r="C109" s="39">
        <f t="shared" si="36"/>
        <v>672.31518581750242</v>
      </c>
      <c r="D109" s="39">
        <f t="shared" si="37"/>
        <v>2171.9909199008343</v>
      </c>
      <c r="E109" s="39">
        <f t="shared" si="35"/>
        <v>2844.3061057183368</v>
      </c>
      <c r="F109" s="39">
        <f t="shared" si="38"/>
        <v>400310.62387279811</v>
      </c>
    </row>
    <row r="110" spans="1:6" x14ac:dyDescent="0.2">
      <c r="A110" s="28">
        <v>44136</v>
      </c>
      <c r="B110" s="39">
        <f t="shared" si="39"/>
        <v>400310.62387279811</v>
      </c>
      <c r="C110" s="39">
        <f t="shared" si="36"/>
        <v>675.95689307401381</v>
      </c>
      <c r="D110" s="39">
        <f t="shared" si="37"/>
        <v>2168.349212644323</v>
      </c>
      <c r="E110" s="39">
        <f t="shared" si="35"/>
        <v>2844.3061057183368</v>
      </c>
      <c r="F110" s="39">
        <f t="shared" si="38"/>
        <v>399634.66697972408</v>
      </c>
    </row>
    <row r="111" spans="1:6" x14ac:dyDescent="0.2">
      <c r="A111" s="28">
        <v>44166</v>
      </c>
      <c r="B111" s="39">
        <f t="shared" si="39"/>
        <v>399634.66697972408</v>
      </c>
      <c r="C111" s="39">
        <f t="shared" si="36"/>
        <v>679.61832624483122</v>
      </c>
      <c r="D111" s="39">
        <f t="shared" si="37"/>
        <v>2164.6877794735055</v>
      </c>
      <c r="E111" s="39">
        <f t="shared" si="35"/>
        <v>2844.3061057183368</v>
      </c>
      <c r="F111" s="40">
        <f t="shared" si="38"/>
        <v>398955.04865347926</v>
      </c>
    </row>
    <row r="112" spans="1:6" x14ac:dyDescent="0.2">
      <c r="A112" s="36" t="s">
        <v>143</v>
      </c>
      <c r="B112" s="37"/>
      <c r="C112" s="40">
        <f>SUM(C100:C111)</f>
        <v>7918.0528722664303</v>
      </c>
      <c r="D112" s="40">
        <f>SUM(D100:D111)</f>
        <v>26213.620396353617</v>
      </c>
      <c r="E112" s="29"/>
      <c r="F112" s="29"/>
    </row>
    <row r="114" spans="2:6" x14ac:dyDescent="0.2">
      <c r="B114" s="32"/>
      <c r="C114" s="32"/>
      <c r="D114" s="32"/>
      <c r="E114" s="32"/>
      <c r="F114" s="32"/>
    </row>
    <row r="115" spans="2:6" x14ac:dyDescent="0.2">
      <c r="B115" s="32"/>
      <c r="C115" s="32"/>
      <c r="D115" s="32"/>
      <c r="E115" s="32"/>
      <c r="F115" s="32"/>
    </row>
    <row r="116" spans="2:6" x14ac:dyDescent="0.2">
      <c r="B116" s="32"/>
      <c r="C116" s="32"/>
      <c r="D116" s="32"/>
      <c r="E116" s="32"/>
      <c r="F116" s="32"/>
    </row>
    <row r="117" spans="2:6" x14ac:dyDescent="0.2">
      <c r="B117" s="32"/>
      <c r="C117" s="32"/>
      <c r="D117" s="32"/>
      <c r="E117" s="32"/>
      <c r="F117" s="32"/>
    </row>
    <row r="118" spans="2:6" x14ac:dyDescent="0.2">
      <c r="B118" s="32"/>
      <c r="C118" s="32"/>
      <c r="D118" s="32"/>
      <c r="E118" s="32"/>
      <c r="F118" s="32"/>
    </row>
    <row r="119" spans="2:6" x14ac:dyDescent="0.2">
      <c r="B119" s="32"/>
      <c r="C119" s="32"/>
      <c r="D119" s="32"/>
      <c r="E119" s="32"/>
      <c r="F119" s="32"/>
    </row>
    <row r="120" spans="2:6" x14ac:dyDescent="0.2">
      <c r="B120" s="32"/>
      <c r="C120" s="32"/>
      <c r="D120" s="32"/>
      <c r="E120" s="32"/>
      <c r="F120" s="32"/>
    </row>
    <row r="121" spans="2:6" x14ac:dyDescent="0.2">
      <c r="B121" s="32"/>
      <c r="C121" s="32"/>
      <c r="D121" s="32"/>
      <c r="E121" s="32"/>
      <c r="F121" s="32"/>
    </row>
    <row r="122" spans="2:6" x14ac:dyDescent="0.2">
      <c r="B122" s="32"/>
      <c r="C122" s="32"/>
      <c r="D122" s="32"/>
      <c r="E122" s="32"/>
      <c r="F122" s="32"/>
    </row>
    <row r="123" spans="2:6" x14ac:dyDescent="0.2">
      <c r="B123" s="32"/>
      <c r="C123" s="32"/>
      <c r="D123" s="32"/>
      <c r="E123" s="32"/>
      <c r="F123" s="32"/>
    </row>
    <row r="124" spans="2:6" x14ac:dyDescent="0.2">
      <c r="B124" s="32"/>
      <c r="C124" s="32"/>
      <c r="D124" s="32"/>
      <c r="E124" s="32"/>
      <c r="F124" s="32"/>
    </row>
    <row r="125" spans="2:6" x14ac:dyDescent="0.2">
      <c r="B125" s="32"/>
      <c r="C125" s="32"/>
      <c r="D125" s="32"/>
      <c r="E125" s="32"/>
      <c r="F125" s="35"/>
    </row>
    <row r="126" spans="2:6" x14ac:dyDescent="0.2">
      <c r="B126" s="37"/>
      <c r="C126" s="35"/>
      <c r="D126" s="35"/>
      <c r="E126" s="29"/>
      <c r="F126" s="29"/>
    </row>
    <row r="128" spans="2:6" x14ac:dyDescent="0.2">
      <c r="B128" s="32"/>
      <c r="C128" s="32"/>
      <c r="D128" s="32"/>
      <c r="E128" s="32"/>
      <c r="F128" s="32"/>
    </row>
    <row r="129" spans="2:6" x14ac:dyDescent="0.2">
      <c r="B129" s="32"/>
      <c r="C129" s="32"/>
      <c r="D129" s="32"/>
      <c r="E129" s="32"/>
      <c r="F129" s="32"/>
    </row>
    <row r="130" spans="2:6" x14ac:dyDescent="0.2">
      <c r="B130" s="32"/>
      <c r="C130" s="32"/>
      <c r="D130" s="32"/>
      <c r="E130" s="32"/>
      <c r="F130" s="32"/>
    </row>
    <row r="131" spans="2:6" x14ac:dyDescent="0.2">
      <c r="B131" s="32"/>
      <c r="C131" s="32"/>
      <c r="D131" s="32"/>
      <c r="E131" s="32"/>
      <c r="F131" s="32"/>
    </row>
    <row r="132" spans="2:6" x14ac:dyDescent="0.2">
      <c r="B132" s="32"/>
      <c r="C132" s="32"/>
      <c r="D132" s="32"/>
      <c r="E132" s="32"/>
      <c r="F132" s="32"/>
    </row>
    <row r="133" spans="2:6" x14ac:dyDescent="0.2">
      <c r="B133" s="32"/>
      <c r="C133" s="32"/>
      <c r="D133" s="32"/>
      <c r="E133" s="32"/>
      <c r="F133" s="32"/>
    </row>
    <row r="134" spans="2:6" x14ac:dyDescent="0.2">
      <c r="B134" s="32"/>
      <c r="C134" s="32"/>
      <c r="D134" s="32"/>
      <c r="E134" s="32"/>
      <c r="F134" s="32"/>
    </row>
    <row r="135" spans="2:6" x14ac:dyDescent="0.2">
      <c r="B135" s="32"/>
      <c r="C135" s="32"/>
      <c r="D135" s="32"/>
      <c r="E135" s="32"/>
      <c r="F135" s="32"/>
    </row>
    <row r="136" spans="2:6" x14ac:dyDescent="0.2">
      <c r="B136" s="32"/>
      <c r="C136" s="32"/>
      <c r="D136" s="32"/>
      <c r="E136" s="32"/>
      <c r="F136" s="32"/>
    </row>
    <row r="137" spans="2:6" x14ac:dyDescent="0.2">
      <c r="B137" s="32"/>
      <c r="C137" s="32"/>
      <c r="D137" s="32"/>
      <c r="E137" s="32"/>
      <c r="F137" s="32"/>
    </row>
    <row r="138" spans="2:6" x14ac:dyDescent="0.2">
      <c r="B138" s="32"/>
      <c r="C138" s="32"/>
      <c r="D138" s="32"/>
      <c r="E138" s="32"/>
      <c r="F138" s="32"/>
    </row>
    <row r="139" spans="2:6" x14ac:dyDescent="0.2">
      <c r="B139" s="32"/>
      <c r="C139" s="32"/>
      <c r="D139" s="32"/>
      <c r="E139" s="32"/>
      <c r="F139" s="35"/>
    </row>
    <row r="140" spans="2:6" x14ac:dyDescent="0.2">
      <c r="B140" s="36"/>
      <c r="C140" s="35"/>
      <c r="D140" s="35"/>
      <c r="E140" s="32"/>
      <c r="F140" s="32"/>
    </row>
    <row r="141" spans="2:6" x14ac:dyDescent="0.2">
      <c r="B141" s="31"/>
      <c r="C141" s="32"/>
      <c r="D141" s="32"/>
      <c r="E141" s="32"/>
      <c r="F141" s="32"/>
    </row>
    <row r="142" spans="2:6" x14ac:dyDescent="0.2">
      <c r="B142" s="32"/>
      <c r="C142" s="32"/>
      <c r="D142" s="32"/>
      <c r="E142" s="32"/>
      <c r="F142" s="32"/>
    </row>
    <row r="143" spans="2:6" x14ac:dyDescent="0.2">
      <c r="B143" s="32"/>
      <c r="C143" s="32"/>
      <c r="D143" s="32"/>
      <c r="E143" s="32"/>
      <c r="F143" s="32"/>
    </row>
    <row r="144" spans="2:6" x14ac:dyDescent="0.2">
      <c r="B144" s="32"/>
      <c r="C144" s="32"/>
      <c r="D144" s="32"/>
      <c r="E144" s="32"/>
      <c r="F144" s="32"/>
    </row>
    <row r="145" spans="2:6" x14ac:dyDescent="0.2">
      <c r="B145" s="32"/>
      <c r="C145" s="32"/>
      <c r="D145" s="32"/>
      <c r="E145" s="32"/>
      <c r="F145" s="32"/>
    </row>
    <row r="146" spans="2:6" x14ac:dyDescent="0.2">
      <c r="B146" s="32"/>
      <c r="C146" s="32"/>
      <c r="D146" s="32"/>
      <c r="E146" s="32"/>
      <c r="F146" s="32"/>
    </row>
    <row r="147" spans="2:6" x14ac:dyDescent="0.2">
      <c r="B147" s="32"/>
      <c r="C147" s="32"/>
      <c r="D147" s="32"/>
      <c r="E147" s="32"/>
      <c r="F147" s="32"/>
    </row>
    <row r="148" spans="2:6" x14ac:dyDescent="0.2">
      <c r="B148" s="32"/>
      <c r="C148" s="32"/>
      <c r="D148" s="32"/>
      <c r="E148" s="32"/>
      <c r="F148" s="32"/>
    </row>
    <row r="149" spans="2:6" x14ac:dyDescent="0.2">
      <c r="B149" s="32"/>
      <c r="C149" s="32"/>
      <c r="D149" s="32"/>
      <c r="E149" s="32"/>
      <c r="F149" s="32"/>
    </row>
    <row r="150" spans="2:6" x14ac:dyDescent="0.2">
      <c r="B150" s="32"/>
      <c r="C150" s="32"/>
      <c r="D150" s="32"/>
      <c r="E150" s="32"/>
      <c r="F150" s="32"/>
    </row>
    <row r="151" spans="2:6" x14ac:dyDescent="0.2">
      <c r="B151" s="32"/>
      <c r="C151" s="32"/>
      <c r="D151" s="32"/>
      <c r="E151" s="32"/>
      <c r="F151" s="32"/>
    </row>
    <row r="152" spans="2:6" x14ac:dyDescent="0.2">
      <c r="B152" s="32"/>
      <c r="C152" s="32"/>
      <c r="D152" s="32"/>
      <c r="E152" s="32"/>
      <c r="F152" s="32"/>
    </row>
    <row r="153" spans="2:6" x14ac:dyDescent="0.2">
      <c r="B153" s="32"/>
      <c r="C153" s="32"/>
      <c r="D153" s="32"/>
      <c r="E153" s="32"/>
      <c r="F153" s="35"/>
    </row>
    <row r="154" spans="2:6" x14ac:dyDescent="0.2">
      <c r="B154" s="36"/>
      <c r="C154" s="35"/>
      <c r="D154" s="35"/>
      <c r="E154" s="32"/>
      <c r="F154" s="32"/>
    </row>
    <row r="155" spans="2:6" x14ac:dyDescent="0.2">
      <c r="B155" s="31"/>
      <c r="C155" s="32"/>
      <c r="D155" s="32"/>
      <c r="E155" s="32"/>
      <c r="F155" s="32"/>
    </row>
    <row r="156" spans="2:6" x14ac:dyDescent="0.2">
      <c r="B156" s="32"/>
      <c r="C156" s="32"/>
      <c r="D156" s="32"/>
      <c r="E156" s="32"/>
      <c r="F156" s="32"/>
    </row>
    <row r="157" spans="2:6" x14ac:dyDescent="0.2">
      <c r="B157" s="32"/>
      <c r="C157" s="32"/>
      <c r="D157" s="32"/>
      <c r="E157" s="32"/>
      <c r="F157" s="32"/>
    </row>
    <row r="158" spans="2:6" x14ac:dyDescent="0.2">
      <c r="B158" s="32"/>
      <c r="C158" s="32"/>
      <c r="D158" s="32"/>
      <c r="E158" s="32"/>
      <c r="F158" s="32"/>
    </row>
    <row r="159" spans="2:6" x14ac:dyDescent="0.2">
      <c r="B159" s="32"/>
      <c r="C159" s="32"/>
      <c r="D159" s="32"/>
      <c r="E159" s="32"/>
      <c r="F159" s="32"/>
    </row>
    <row r="160" spans="2:6" x14ac:dyDescent="0.2">
      <c r="B160" s="32"/>
      <c r="C160" s="32"/>
      <c r="D160" s="32"/>
      <c r="E160" s="32"/>
      <c r="F160" s="32"/>
    </row>
    <row r="161" spans="2:6" x14ac:dyDescent="0.2">
      <c r="B161" s="32"/>
      <c r="C161" s="32"/>
      <c r="D161" s="32"/>
      <c r="E161" s="32"/>
      <c r="F161" s="32"/>
    </row>
    <row r="162" spans="2:6" x14ac:dyDescent="0.2">
      <c r="B162" s="32"/>
      <c r="C162" s="32"/>
      <c r="D162" s="32"/>
      <c r="E162" s="32"/>
      <c r="F162" s="32"/>
    </row>
    <row r="163" spans="2:6" x14ac:dyDescent="0.2">
      <c r="B163" s="32"/>
      <c r="C163" s="32"/>
      <c r="D163" s="32"/>
      <c r="E163" s="32"/>
      <c r="F163" s="32"/>
    </row>
    <row r="164" spans="2:6" x14ac:dyDescent="0.2">
      <c r="B164" s="32"/>
      <c r="C164" s="32"/>
      <c r="D164" s="32"/>
      <c r="E164" s="32"/>
      <c r="F164" s="32"/>
    </row>
    <row r="165" spans="2:6" x14ac:dyDescent="0.2">
      <c r="B165" s="32"/>
      <c r="C165" s="32"/>
      <c r="D165" s="32"/>
      <c r="E165" s="32"/>
      <c r="F165" s="32"/>
    </row>
    <row r="166" spans="2:6" x14ac:dyDescent="0.2">
      <c r="B166" s="32"/>
      <c r="C166" s="32"/>
      <c r="D166" s="32"/>
      <c r="E166" s="32"/>
      <c r="F166" s="32"/>
    </row>
    <row r="167" spans="2:6" x14ac:dyDescent="0.2">
      <c r="B167" s="32"/>
      <c r="C167" s="32"/>
      <c r="D167" s="32"/>
      <c r="E167" s="32"/>
      <c r="F167" s="35"/>
    </row>
    <row r="168" spans="2:6" x14ac:dyDescent="0.2">
      <c r="B168" s="37"/>
      <c r="C168" s="35"/>
      <c r="D168" s="35"/>
      <c r="E168" s="29"/>
      <c r="F168" s="29"/>
    </row>
    <row r="170" spans="2:6" x14ac:dyDescent="0.2">
      <c r="B170" s="32"/>
      <c r="C170" s="32"/>
      <c r="D170" s="32"/>
      <c r="E170" s="32"/>
      <c r="F170" s="32"/>
    </row>
    <row r="171" spans="2:6" x14ac:dyDescent="0.2">
      <c r="B171" s="32"/>
      <c r="C171" s="32"/>
      <c r="D171" s="32"/>
      <c r="E171" s="32"/>
      <c r="F171" s="32"/>
    </row>
    <row r="172" spans="2:6" x14ac:dyDescent="0.2">
      <c r="B172" s="32"/>
      <c r="C172" s="32"/>
      <c r="D172" s="32"/>
      <c r="E172" s="32"/>
      <c r="F172" s="32"/>
    </row>
    <row r="173" spans="2:6" x14ac:dyDescent="0.2">
      <c r="B173" s="32"/>
      <c r="C173" s="32"/>
      <c r="D173" s="32"/>
      <c r="E173" s="32"/>
      <c r="F173" s="32"/>
    </row>
    <row r="174" spans="2:6" x14ac:dyDescent="0.2">
      <c r="B174" s="32"/>
      <c r="C174" s="32"/>
      <c r="D174" s="32"/>
      <c r="E174" s="32"/>
      <c r="F174" s="32"/>
    </row>
    <row r="175" spans="2:6" x14ac:dyDescent="0.2">
      <c r="B175" s="32"/>
      <c r="C175" s="32"/>
      <c r="D175" s="32"/>
      <c r="E175" s="32"/>
      <c r="F175" s="32"/>
    </row>
    <row r="176" spans="2:6" x14ac:dyDescent="0.2">
      <c r="B176" s="32"/>
      <c r="C176" s="32"/>
      <c r="D176" s="32"/>
      <c r="E176" s="32"/>
      <c r="F176" s="32"/>
    </row>
    <row r="177" spans="2:6" x14ac:dyDescent="0.2">
      <c r="B177" s="32"/>
      <c r="C177" s="32"/>
      <c r="D177" s="32"/>
      <c r="E177" s="32"/>
      <c r="F177" s="32"/>
    </row>
    <row r="178" spans="2:6" x14ac:dyDescent="0.2">
      <c r="B178" s="32"/>
      <c r="C178" s="32"/>
      <c r="D178" s="32"/>
      <c r="E178" s="32"/>
      <c r="F178" s="32"/>
    </row>
    <row r="179" spans="2:6" x14ac:dyDescent="0.2">
      <c r="B179" s="32"/>
      <c r="C179" s="32"/>
      <c r="D179" s="32"/>
      <c r="E179" s="32"/>
      <c r="F179" s="32"/>
    </row>
    <row r="180" spans="2:6" x14ac:dyDescent="0.2">
      <c r="B180" s="32"/>
      <c r="C180" s="32"/>
      <c r="D180" s="32"/>
      <c r="E180" s="32"/>
      <c r="F180" s="32"/>
    </row>
    <row r="181" spans="2:6" x14ac:dyDescent="0.2">
      <c r="B181" s="32"/>
      <c r="C181" s="32"/>
      <c r="D181" s="32"/>
      <c r="E181" s="32"/>
      <c r="F181" s="35"/>
    </row>
    <row r="182" spans="2:6" x14ac:dyDescent="0.2">
      <c r="B182" s="37"/>
      <c r="C182" s="35"/>
      <c r="D182" s="35"/>
      <c r="E182" s="29"/>
      <c r="F182" s="29"/>
    </row>
    <row r="184" spans="2:6" x14ac:dyDescent="0.2">
      <c r="B184" s="32"/>
      <c r="C184" s="32"/>
      <c r="D184" s="32"/>
      <c r="E184" s="32"/>
      <c r="F184" s="3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Statements</vt:lpstr>
      <vt:lpstr>Mortgage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2013-12-05T20:40:20Z</dcterms:created>
  <dcterms:modified xsi:type="dcterms:W3CDTF">2019-07-22T21:18:18Z</dcterms:modified>
</cp:coreProperties>
</file>