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autoCompressPictures="0"/>
  <bookViews>
    <workbookView xWindow="0" yWindow="0" windowWidth="20730" windowHeight="11760" tabRatio="500"/>
  </bookViews>
  <sheets>
    <sheet name="Pro Forma" sheetId="2" r:id="rId1"/>
    <sheet name="Population and Membership fees" sheetId="1" r:id="rId2"/>
    <sheet name="Expenses" sheetId="3" r:id="rId3"/>
    <sheet name="Assets" sheetId="4" r:id="rId4"/>
    <sheet name="Breakeven" sheetId="6" r:id="rId5"/>
    <sheet name="WACC &amp; Loan" sheetId="5" r:id="rId6"/>
  </sheets>
  <definedNames>
    <definedName name="Counter">'Pro Forma'!$B$54</definedName>
    <definedName name="solver_eng" localSheetId="0" hidden="1">1</definedName>
    <definedName name="solver_lin" localSheetId="0" hidden="1">2</definedName>
    <definedName name="solver_neg" localSheetId="0" hidden="1">1</definedName>
    <definedName name="solver_num" localSheetId="0" hidden="1">0</definedName>
    <definedName name="solver_opt" localSheetId="0" hidden="1">'Pro Forma'!$I$53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7" i="2" l="1"/>
  <c r="C25" i="5"/>
  <c r="E24" i="2"/>
  <c r="F24" i="2"/>
  <c r="G24" i="2"/>
  <c r="H24" i="2"/>
  <c r="I24" i="2"/>
  <c r="J24" i="2"/>
  <c r="K24" i="2"/>
  <c r="D24" i="2"/>
  <c r="E32" i="6"/>
  <c r="C34" i="3"/>
  <c r="D19" i="2"/>
  <c r="C29" i="6"/>
  <c r="C33" i="3"/>
  <c r="D18" i="2"/>
  <c r="C28" i="6"/>
  <c r="D12" i="2"/>
  <c r="C21" i="6"/>
  <c r="D13" i="2"/>
  <c r="C22" i="6"/>
  <c r="O7" i="3"/>
  <c r="C22" i="3"/>
  <c r="D14" i="2"/>
  <c r="C23" i="6"/>
  <c r="C26" i="3"/>
  <c r="L13" i="3"/>
  <c r="L14" i="3"/>
  <c r="C27" i="3"/>
  <c r="H10" i="3"/>
  <c r="H11" i="3"/>
  <c r="C28" i="3"/>
  <c r="H12" i="3"/>
  <c r="C29" i="3"/>
  <c r="C30" i="3"/>
  <c r="D15" i="2"/>
  <c r="C24" i="6"/>
  <c r="D17" i="2"/>
  <c r="C26" i="6"/>
  <c r="C19" i="3"/>
  <c r="D11" i="2"/>
  <c r="C20" i="6"/>
  <c r="C19" i="1"/>
  <c r="B36" i="1"/>
  <c r="C20" i="1"/>
  <c r="B37" i="1"/>
  <c r="D5" i="6"/>
  <c r="C12" i="6"/>
  <c r="B25" i="1"/>
  <c r="D12" i="6"/>
  <c r="E9" i="4"/>
  <c r="E16" i="4"/>
  <c r="E8" i="4"/>
  <c r="E15" i="4"/>
  <c r="D12" i="4"/>
  <c r="K4" i="4"/>
  <c r="F15" i="4"/>
  <c r="C24" i="1"/>
  <c r="C25" i="1"/>
  <c r="C32" i="1"/>
  <c r="C33" i="1"/>
  <c r="C36" i="1"/>
  <c r="C37" i="1"/>
  <c r="C34" i="1"/>
  <c r="C38" i="1"/>
  <c r="E34" i="2"/>
  <c r="D24" i="1"/>
  <c r="D25" i="1"/>
  <c r="D32" i="1"/>
  <c r="D33" i="1"/>
  <c r="D36" i="1"/>
  <c r="D37" i="1"/>
  <c r="D34" i="1"/>
  <c r="D38" i="1"/>
  <c r="F34" i="2"/>
  <c r="E24" i="1"/>
  <c r="E25" i="1"/>
  <c r="E32" i="1"/>
  <c r="E33" i="1"/>
  <c r="E36" i="1"/>
  <c r="E37" i="1"/>
  <c r="E34" i="1"/>
  <c r="E38" i="1"/>
  <c r="G34" i="2"/>
  <c r="F24" i="1"/>
  <c r="F25" i="1"/>
  <c r="F32" i="1"/>
  <c r="F33" i="1"/>
  <c r="F36" i="1"/>
  <c r="F37" i="1"/>
  <c r="F34" i="1"/>
  <c r="F38" i="1"/>
  <c r="H34" i="2"/>
  <c r="G24" i="1"/>
  <c r="G25" i="1"/>
  <c r="G32" i="1"/>
  <c r="G33" i="1"/>
  <c r="G36" i="1"/>
  <c r="G37" i="1"/>
  <c r="G34" i="1"/>
  <c r="G38" i="1"/>
  <c r="I34" i="2"/>
  <c r="H24" i="1"/>
  <c r="H25" i="1"/>
  <c r="H32" i="1"/>
  <c r="H33" i="1"/>
  <c r="H36" i="1"/>
  <c r="H37" i="1"/>
  <c r="H34" i="1"/>
  <c r="H38" i="1"/>
  <c r="J34" i="2"/>
  <c r="I24" i="1"/>
  <c r="I25" i="1"/>
  <c r="I32" i="1"/>
  <c r="I33" i="1"/>
  <c r="I36" i="1"/>
  <c r="I37" i="1"/>
  <c r="I34" i="1"/>
  <c r="I38" i="1"/>
  <c r="K34" i="2"/>
  <c r="B32" i="1"/>
  <c r="B33" i="1"/>
  <c r="B34" i="1"/>
  <c r="B38" i="1"/>
  <c r="D34" i="2"/>
  <c r="F72" i="2"/>
  <c r="B26" i="1"/>
  <c r="B27" i="1"/>
  <c r="B30" i="1"/>
  <c r="D6" i="2"/>
  <c r="D8" i="2"/>
  <c r="D17" i="4"/>
  <c r="D16" i="2"/>
  <c r="C25" i="6"/>
  <c r="D13" i="4"/>
  <c r="D22" i="2"/>
  <c r="E60" i="2"/>
  <c r="E63" i="2"/>
  <c r="E72" i="2"/>
  <c r="E75" i="2"/>
  <c r="G29" i="5"/>
  <c r="D8" i="5"/>
  <c r="G32" i="5"/>
  <c r="D26" i="1"/>
  <c r="D27" i="1"/>
  <c r="D30" i="1"/>
  <c r="F6" i="2"/>
  <c r="F7" i="2"/>
  <c r="F8" i="2"/>
  <c r="D19" i="3"/>
  <c r="E19" i="3"/>
  <c r="F11" i="2"/>
  <c r="D20" i="3"/>
  <c r="E20" i="3"/>
  <c r="F12" i="2"/>
  <c r="D21" i="3"/>
  <c r="E21" i="3"/>
  <c r="F13" i="2"/>
  <c r="D22" i="3"/>
  <c r="E22" i="3"/>
  <c r="F14" i="2"/>
  <c r="D24" i="3"/>
  <c r="E24" i="3"/>
  <c r="D25" i="3"/>
  <c r="E25" i="3"/>
  <c r="D26" i="3"/>
  <c r="E26" i="3"/>
  <c r="D27" i="3"/>
  <c r="E27" i="3"/>
  <c r="D28" i="3"/>
  <c r="E28" i="3"/>
  <c r="D29" i="3"/>
  <c r="E29" i="3"/>
  <c r="E30" i="3"/>
  <c r="F15" i="2"/>
  <c r="D32" i="3"/>
  <c r="E32" i="3"/>
  <c r="F17" i="2"/>
  <c r="D33" i="3"/>
  <c r="E33" i="3"/>
  <c r="F18" i="2"/>
  <c r="D34" i="3"/>
  <c r="E34" i="3"/>
  <c r="F19" i="2"/>
  <c r="F22" i="2"/>
  <c r="G60" i="2"/>
  <c r="G63" i="2"/>
  <c r="H27" i="5"/>
  <c r="K27" i="5"/>
  <c r="H28" i="5"/>
  <c r="J28" i="5"/>
  <c r="K28" i="5"/>
  <c r="K29" i="5"/>
  <c r="C24" i="5"/>
  <c r="G22" i="5"/>
  <c r="J11" i="5"/>
  <c r="G24" i="5"/>
  <c r="G23" i="5"/>
  <c r="C22" i="5"/>
  <c r="C26" i="1"/>
  <c r="C27" i="1"/>
  <c r="C30" i="1"/>
  <c r="E6" i="2"/>
  <c r="E8" i="2"/>
  <c r="E11" i="2"/>
  <c r="E12" i="2"/>
  <c r="E13" i="2"/>
  <c r="E14" i="2"/>
  <c r="D30" i="3"/>
  <c r="E15" i="2"/>
  <c r="E17" i="4"/>
  <c r="E16" i="2"/>
  <c r="E17" i="2"/>
  <c r="E18" i="2"/>
  <c r="E19" i="2"/>
  <c r="E20" i="2"/>
  <c r="E22" i="2"/>
  <c r="F60" i="2"/>
  <c r="F63" i="2"/>
  <c r="F75" i="2"/>
  <c r="G75" i="2"/>
  <c r="E26" i="1"/>
  <c r="E27" i="1"/>
  <c r="E30" i="1"/>
  <c r="G6" i="2"/>
  <c r="G7" i="2"/>
  <c r="G8" i="2"/>
  <c r="F19" i="3"/>
  <c r="G11" i="2"/>
  <c r="F20" i="3"/>
  <c r="G12" i="2"/>
  <c r="F21" i="3"/>
  <c r="G13" i="2"/>
  <c r="F22" i="3"/>
  <c r="G14" i="2"/>
  <c r="F24" i="3"/>
  <c r="F25" i="3"/>
  <c r="F26" i="3"/>
  <c r="F27" i="3"/>
  <c r="F28" i="3"/>
  <c r="F29" i="3"/>
  <c r="F30" i="3"/>
  <c r="G15" i="2"/>
  <c r="F32" i="3"/>
  <c r="G17" i="2"/>
  <c r="F33" i="3"/>
  <c r="G18" i="2"/>
  <c r="F34" i="3"/>
  <c r="G19" i="2"/>
  <c r="G22" i="2"/>
  <c r="H60" i="2"/>
  <c r="H63" i="2"/>
  <c r="H75" i="2"/>
  <c r="F26" i="1"/>
  <c r="F27" i="1"/>
  <c r="F30" i="1"/>
  <c r="H6" i="2"/>
  <c r="H7" i="2"/>
  <c r="H8" i="2"/>
  <c r="G19" i="3"/>
  <c r="H11" i="2"/>
  <c r="G20" i="3"/>
  <c r="H12" i="2"/>
  <c r="G21" i="3"/>
  <c r="H13" i="2"/>
  <c r="G22" i="3"/>
  <c r="H14" i="2"/>
  <c r="G24" i="3"/>
  <c r="G25" i="3"/>
  <c r="G26" i="3"/>
  <c r="G27" i="3"/>
  <c r="G28" i="3"/>
  <c r="G29" i="3"/>
  <c r="G30" i="3"/>
  <c r="H15" i="2"/>
  <c r="G32" i="3"/>
  <c r="H17" i="2"/>
  <c r="G33" i="3"/>
  <c r="H18" i="2"/>
  <c r="G34" i="3"/>
  <c r="H19" i="2"/>
  <c r="H22" i="2"/>
  <c r="I60" i="2"/>
  <c r="I63" i="2"/>
  <c r="I75" i="2"/>
  <c r="G26" i="1"/>
  <c r="G27" i="1"/>
  <c r="G30" i="1"/>
  <c r="I6" i="2"/>
  <c r="I7" i="2"/>
  <c r="I8" i="2"/>
  <c r="H19" i="3"/>
  <c r="I11" i="2"/>
  <c r="H20" i="3"/>
  <c r="I12" i="2"/>
  <c r="H21" i="3"/>
  <c r="I13" i="2"/>
  <c r="H22" i="3"/>
  <c r="I14" i="2"/>
  <c r="H24" i="3"/>
  <c r="H25" i="3"/>
  <c r="H26" i="3"/>
  <c r="H27" i="3"/>
  <c r="H28" i="3"/>
  <c r="H29" i="3"/>
  <c r="H30" i="3"/>
  <c r="I15" i="2"/>
  <c r="H32" i="3"/>
  <c r="I17" i="2"/>
  <c r="H33" i="3"/>
  <c r="I18" i="2"/>
  <c r="H34" i="3"/>
  <c r="I19" i="2"/>
  <c r="I22" i="2"/>
  <c r="J60" i="2"/>
  <c r="J63" i="2"/>
  <c r="J75" i="2"/>
  <c r="H26" i="1"/>
  <c r="H27" i="1"/>
  <c r="H30" i="1"/>
  <c r="J6" i="2"/>
  <c r="J7" i="2"/>
  <c r="J8" i="2"/>
  <c r="I19" i="3"/>
  <c r="J11" i="2"/>
  <c r="I20" i="3"/>
  <c r="J12" i="2"/>
  <c r="I21" i="3"/>
  <c r="J13" i="2"/>
  <c r="I22" i="3"/>
  <c r="J14" i="2"/>
  <c r="I24" i="3"/>
  <c r="I25" i="3"/>
  <c r="I26" i="3"/>
  <c r="I27" i="3"/>
  <c r="I28" i="3"/>
  <c r="I29" i="3"/>
  <c r="I30" i="3"/>
  <c r="J15" i="2"/>
  <c r="I32" i="3"/>
  <c r="J17" i="2"/>
  <c r="I33" i="3"/>
  <c r="J18" i="2"/>
  <c r="I34" i="3"/>
  <c r="J19" i="2"/>
  <c r="J22" i="2"/>
  <c r="K60" i="2"/>
  <c r="K63" i="2"/>
  <c r="K75" i="2"/>
  <c r="D35" i="2"/>
  <c r="D37" i="2"/>
  <c r="E12" i="4"/>
  <c r="E35" i="2"/>
  <c r="E13" i="4"/>
  <c r="E37" i="2"/>
  <c r="E47" i="2"/>
  <c r="F12" i="4"/>
  <c r="F35" i="2"/>
  <c r="F47" i="2"/>
  <c r="G12" i="4"/>
  <c r="G35" i="2"/>
  <c r="F13" i="4"/>
  <c r="G13" i="4"/>
  <c r="G37" i="2"/>
  <c r="G47" i="2"/>
  <c r="H12" i="4"/>
  <c r="H35" i="2"/>
  <c r="H13" i="4"/>
  <c r="H37" i="2"/>
  <c r="H47" i="2"/>
  <c r="I12" i="4"/>
  <c r="I35" i="2"/>
  <c r="I13" i="4"/>
  <c r="I37" i="2"/>
  <c r="I47" i="2"/>
  <c r="J12" i="4"/>
  <c r="J35" i="2"/>
  <c r="J13" i="4"/>
  <c r="J37" i="2"/>
  <c r="J39" i="2"/>
  <c r="J47" i="2"/>
  <c r="K12" i="4"/>
  <c r="K35" i="2"/>
  <c r="K13" i="4"/>
  <c r="K37" i="2"/>
  <c r="I26" i="1"/>
  <c r="I27" i="1"/>
  <c r="I30" i="1"/>
  <c r="K6" i="2"/>
  <c r="K7" i="2"/>
  <c r="K8" i="2"/>
  <c r="J19" i="3"/>
  <c r="K11" i="2"/>
  <c r="J20" i="3"/>
  <c r="K12" i="2"/>
  <c r="J21" i="3"/>
  <c r="K13" i="2"/>
  <c r="J22" i="3"/>
  <c r="K14" i="2"/>
  <c r="J24" i="3"/>
  <c r="J25" i="3"/>
  <c r="J26" i="3"/>
  <c r="J27" i="3"/>
  <c r="J28" i="3"/>
  <c r="J29" i="3"/>
  <c r="J30" i="3"/>
  <c r="K15" i="2"/>
  <c r="J32" i="3"/>
  <c r="K17" i="2"/>
  <c r="J33" i="3"/>
  <c r="K18" i="2"/>
  <c r="J34" i="3"/>
  <c r="K19" i="2"/>
  <c r="K22" i="2"/>
  <c r="K47" i="2"/>
  <c r="L60" i="2"/>
  <c r="L63" i="2"/>
  <c r="L75" i="2"/>
  <c r="L81" i="2"/>
  <c r="D67" i="2"/>
  <c r="D83" i="2"/>
  <c r="F58" i="2"/>
  <c r="G58" i="2"/>
  <c r="H58" i="2"/>
  <c r="I58" i="2"/>
  <c r="J58" i="2"/>
  <c r="K58" i="2"/>
  <c r="L58" i="2"/>
  <c r="E58" i="2"/>
  <c r="D9" i="5"/>
  <c r="A30" i="5"/>
  <c r="K31" i="5"/>
  <c r="N12" i="3"/>
  <c r="B6" i="1"/>
  <c r="B8" i="1"/>
  <c r="B14" i="1"/>
  <c r="C30" i="6"/>
  <c r="H72" i="2"/>
  <c r="D18" i="6"/>
  <c r="D32" i="6"/>
  <c r="D39" i="2"/>
  <c r="K72" i="2"/>
  <c r="G72" i="2"/>
  <c r="D10" i="5"/>
  <c r="E9" i="5"/>
  <c r="C13" i="5"/>
  <c r="G15" i="4"/>
  <c r="D20" i="2"/>
  <c r="D26" i="2"/>
  <c r="D27" i="2"/>
  <c r="D43" i="2"/>
  <c r="F16" i="4"/>
  <c r="G16" i="4"/>
  <c r="H16" i="4"/>
  <c r="I16" i="4"/>
  <c r="J16" i="4"/>
  <c r="K16" i="4"/>
  <c r="E59" i="2"/>
  <c r="E61" i="2"/>
  <c r="E62" i="2"/>
  <c r="K39" i="2"/>
  <c r="G39" i="2"/>
  <c r="E26" i="2"/>
  <c r="E27" i="2"/>
  <c r="E43" i="2"/>
  <c r="F59" i="2"/>
  <c r="F61" i="2"/>
  <c r="F62" i="2"/>
  <c r="F74" i="2"/>
  <c r="E74" i="2"/>
  <c r="J72" i="2"/>
  <c r="H39" i="2"/>
  <c r="F39" i="2"/>
  <c r="E39" i="2"/>
  <c r="L72" i="2"/>
  <c r="I39" i="2"/>
  <c r="I72" i="2"/>
  <c r="L78" i="2"/>
  <c r="E64" i="2"/>
  <c r="E83" i="2"/>
  <c r="E8" i="5"/>
  <c r="F17" i="4"/>
  <c r="F16" i="2"/>
  <c r="F20" i="2"/>
  <c r="H15" i="4"/>
  <c r="G17" i="4"/>
  <c r="G16" i="2"/>
  <c r="G20" i="2"/>
  <c r="D28" i="2"/>
  <c r="D48" i="2"/>
  <c r="D49" i="2"/>
  <c r="D51" i="2"/>
  <c r="D53" i="2"/>
  <c r="F64" i="2"/>
  <c r="F83" i="2"/>
  <c r="E28" i="2"/>
  <c r="C12" i="5"/>
  <c r="C14" i="5"/>
  <c r="H59" i="2"/>
  <c r="H61" i="2"/>
  <c r="G26" i="2"/>
  <c r="G27" i="2"/>
  <c r="G43" i="2"/>
  <c r="H17" i="4"/>
  <c r="H16" i="2"/>
  <c r="H20" i="2"/>
  <c r="I15" i="4"/>
  <c r="G59" i="2"/>
  <c r="G61" i="2"/>
  <c r="F26" i="2"/>
  <c r="E48" i="2"/>
  <c r="E49" i="2"/>
  <c r="J15" i="4"/>
  <c r="I17" i="4"/>
  <c r="I16" i="2"/>
  <c r="I20" i="2"/>
  <c r="H26" i="2"/>
  <c r="I59" i="2"/>
  <c r="I61" i="2"/>
  <c r="F27" i="2"/>
  <c r="F43" i="2"/>
  <c r="F28" i="2"/>
  <c r="F48" i="2"/>
  <c r="G28" i="2"/>
  <c r="G48" i="2"/>
  <c r="G49" i="2"/>
  <c r="G62" i="2"/>
  <c r="G74" i="2"/>
  <c r="H62" i="2"/>
  <c r="H74" i="2"/>
  <c r="H64" i="2"/>
  <c r="H83" i="2"/>
  <c r="E51" i="2"/>
  <c r="E53" i="2"/>
  <c r="I62" i="2"/>
  <c r="I74" i="2"/>
  <c r="I64" i="2"/>
  <c r="I83" i="2"/>
  <c r="H27" i="2"/>
  <c r="H43" i="2"/>
  <c r="H28" i="2"/>
  <c r="H48" i="2"/>
  <c r="I26" i="2"/>
  <c r="J59" i="2"/>
  <c r="J61" i="2"/>
  <c r="F49" i="2"/>
  <c r="G33" i="5"/>
  <c r="G34" i="5"/>
  <c r="G64" i="2"/>
  <c r="G83" i="2"/>
  <c r="K15" i="4"/>
  <c r="K17" i="4"/>
  <c r="K16" i="2"/>
  <c r="K20" i="2"/>
  <c r="J17" i="4"/>
  <c r="J16" i="2"/>
  <c r="J20" i="2"/>
  <c r="G36" i="5"/>
  <c r="C27" i="5"/>
  <c r="G51" i="2"/>
  <c r="G53" i="2"/>
  <c r="F51" i="2"/>
  <c r="F53" i="2"/>
  <c r="H49" i="2"/>
  <c r="H51" i="2"/>
  <c r="H53" i="2"/>
  <c r="K59" i="2"/>
  <c r="K61" i="2"/>
  <c r="J26" i="2"/>
  <c r="J62" i="2"/>
  <c r="J74" i="2"/>
  <c r="K26" i="2"/>
  <c r="L59" i="2"/>
  <c r="L61" i="2"/>
  <c r="I27" i="2"/>
  <c r="I43" i="2"/>
  <c r="C28" i="5"/>
  <c r="C30" i="5"/>
  <c r="B85" i="2"/>
  <c r="I28" i="2"/>
  <c r="I48" i="2"/>
  <c r="L62" i="2"/>
  <c r="L74" i="2"/>
  <c r="L64" i="2"/>
  <c r="J27" i="2"/>
  <c r="J43" i="2"/>
  <c r="K27" i="2"/>
  <c r="K43" i="2"/>
  <c r="L80" i="2"/>
  <c r="K28" i="2"/>
  <c r="K62" i="2"/>
  <c r="K74" i="2"/>
  <c r="J64" i="2"/>
  <c r="J83" i="2"/>
  <c r="E86" i="2"/>
  <c r="G86" i="2"/>
  <c r="I86" i="2"/>
  <c r="F86" i="2"/>
  <c r="H86" i="2"/>
  <c r="J86" i="2"/>
  <c r="D86" i="2"/>
  <c r="C32" i="5"/>
  <c r="C33" i="5"/>
  <c r="C35" i="5"/>
  <c r="C37" i="5"/>
  <c r="I49" i="2"/>
  <c r="I51" i="2"/>
  <c r="I53" i="2"/>
  <c r="J28" i="2"/>
  <c r="J48" i="2"/>
  <c r="J49" i="2"/>
  <c r="J51" i="2"/>
  <c r="J53" i="2"/>
  <c r="K48" i="2"/>
  <c r="K49" i="2"/>
  <c r="K51" i="2"/>
  <c r="K53" i="2"/>
  <c r="L83" i="2"/>
  <c r="L86" i="2"/>
  <c r="K64" i="2"/>
  <c r="K83" i="2"/>
  <c r="K86" i="2"/>
  <c r="D89" i="2"/>
  <c r="B54" i="2"/>
  <c r="D88" i="2"/>
</calcChain>
</file>

<file path=xl/sharedStrings.xml><?xml version="1.0" encoding="utf-8"?>
<sst xmlns="http://schemas.openxmlformats.org/spreadsheetml/2006/main" count="240" uniqueCount="175">
  <si>
    <t>Total Population</t>
  </si>
  <si>
    <t>Membership Fees</t>
  </si>
  <si>
    <t>1 Year</t>
  </si>
  <si>
    <t>2 year</t>
  </si>
  <si>
    <t>key per month</t>
  </si>
  <si>
    <t>Percent that belong to gym</t>
  </si>
  <si>
    <t>Link</t>
  </si>
  <si>
    <t>Population that works out in a gym</t>
  </si>
  <si>
    <t>Gyms in Arlington</t>
  </si>
  <si>
    <t>Population per gym</t>
  </si>
  <si>
    <t>Percent</t>
  </si>
  <si>
    <t>Population growth rate 10years</t>
  </si>
  <si>
    <t>Growth rate 1 year</t>
  </si>
  <si>
    <t>INCOME STATEMENT</t>
  </si>
  <si>
    <t>Gym Revenue</t>
  </si>
  <si>
    <t>Depreciation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</si>
  <si>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</si>
  <si>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</si>
  <si>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</si>
  <si>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</si>
  <si>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</si>
  <si>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</si>
  <si>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</si>
  <si>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Cash Above Minimum</t>
  </si>
  <si>
    <t>Accounts Receivable</t>
  </si>
  <si>
    <t>Accumulated Depreciation</t>
  </si>
  <si>
    <t>Total Assets</t>
  </si>
  <si>
    <t>Liabilities and Equity</t>
  </si>
  <si>
    <t>Accounts Payable</t>
  </si>
  <si>
    <t>Income Tax Payable</t>
  </si>
  <si>
    <t>Extra Bank Loan</t>
  </si>
  <si>
    <t>Retained Earnings</t>
  </si>
  <si>
    <t>Total Liabilities and Equity</t>
  </si>
  <si>
    <t>Rent</t>
  </si>
  <si>
    <t>Cleaning Supplies</t>
  </si>
  <si>
    <t>Insurance</t>
  </si>
  <si>
    <t>Wages</t>
  </si>
  <si>
    <t>Utilities</t>
  </si>
  <si>
    <t>Internet</t>
  </si>
  <si>
    <t>Water</t>
  </si>
  <si>
    <t>Maintinence</t>
  </si>
  <si>
    <t>Advertisement</t>
  </si>
  <si>
    <t>Marketing Revenue</t>
  </si>
  <si>
    <t>Average Per Anytime Fitness</t>
  </si>
  <si>
    <t>Royalties</t>
  </si>
  <si>
    <t>Inflation</t>
  </si>
  <si>
    <t>Website maintinence fee</t>
  </si>
  <si>
    <t>Phone</t>
  </si>
  <si>
    <t>Expenses</t>
  </si>
  <si>
    <t>Gym Sq Ft.</t>
  </si>
  <si>
    <t>Open Days</t>
  </si>
  <si>
    <t>Open Hours</t>
  </si>
  <si>
    <t>Price per Kwh per sq ft</t>
  </si>
  <si>
    <t>Rent per sq ft</t>
  </si>
  <si>
    <t>Kwh per sq ft</t>
  </si>
  <si>
    <t>Total</t>
  </si>
  <si>
    <t>Work out Equipment</t>
  </si>
  <si>
    <t>Loan Rate</t>
  </si>
  <si>
    <t>when maintinence is required</t>
  </si>
  <si>
    <t>Cardio</t>
  </si>
  <si>
    <t>Restance</t>
  </si>
  <si>
    <t>Restiance</t>
  </si>
  <si>
    <t>Depreciation</t>
  </si>
  <si>
    <t>resistance</t>
  </si>
  <si>
    <t>Fees</t>
  </si>
  <si>
    <t>Facility Improvement Fees</t>
  </si>
  <si>
    <t>Life span</t>
  </si>
  <si>
    <t>Salvage Value</t>
  </si>
  <si>
    <t>Total Maintinence</t>
  </si>
  <si>
    <t>Minimum Wage Arlington</t>
  </si>
  <si>
    <t>Hours a week</t>
  </si>
  <si>
    <t>weeks</t>
  </si>
  <si>
    <t>Total Revenue</t>
  </si>
  <si>
    <t>Total Expenses</t>
  </si>
  <si>
    <t>Owners Withdrawls</t>
  </si>
  <si>
    <t>Owners Investment</t>
  </si>
  <si>
    <t>DFN</t>
  </si>
  <si>
    <t>Members</t>
  </si>
  <si>
    <t>Percent under average</t>
  </si>
  <si>
    <t>Water Service Fee</t>
  </si>
  <si>
    <t>Water Usage Fee</t>
  </si>
  <si>
    <t>Power Service Fee</t>
  </si>
  <si>
    <t>Power Usage Fee</t>
  </si>
  <si>
    <t>service</t>
  </si>
  <si>
    <t>Usage per gallon</t>
  </si>
  <si>
    <t>Gallons used per month</t>
  </si>
  <si>
    <t>Cost per month</t>
  </si>
  <si>
    <t>Cost per Year</t>
  </si>
  <si>
    <t>Power usage per year</t>
  </si>
  <si>
    <t>Usage Fee</t>
  </si>
  <si>
    <t>Service Fee</t>
  </si>
  <si>
    <t>New Workout equipment</t>
  </si>
  <si>
    <t>Investor return</t>
  </si>
  <si>
    <t>Annual</t>
  </si>
  <si>
    <t>Tax Rate</t>
  </si>
  <si>
    <t>Total Equity</t>
  </si>
  <si>
    <t>Portions</t>
  </si>
  <si>
    <t>Amount</t>
  </si>
  <si>
    <t>Total WACC</t>
  </si>
  <si>
    <t>Debt WACC</t>
  </si>
  <si>
    <t>Equity WACC</t>
  </si>
  <si>
    <t>Per Unit</t>
  </si>
  <si>
    <t>Variable Revenue Per Unit</t>
  </si>
  <si>
    <t>Gym Memberships</t>
  </si>
  <si>
    <t>Variable Costs Per Unit</t>
  </si>
  <si>
    <t xml:space="preserve">Fixed Costs </t>
  </si>
  <si>
    <t>Interest Exp.</t>
  </si>
  <si>
    <t>TYPE INTEREST EXPENSE IN!!!</t>
  </si>
  <si>
    <t>Breakeven Units</t>
  </si>
  <si>
    <t>FREE CASH FLOW</t>
  </si>
  <si>
    <t>Cash from Operations</t>
  </si>
  <si>
    <t>Operating Profit</t>
  </si>
  <si>
    <t>less depreciation</t>
  </si>
  <si>
    <t>Taxable Opperating Income</t>
  </si>
  <si>
    <t>TAX EXP.</t>
  </si>
  <si>
    <t>Add Back fake depreciation</t>
  </si>
  <si>
    <t>Net inc. from opperations</t>
  </si>
  <si>
    <t>Cash in/out from capitol expenditures</t>
  </si>
  <si>
    <t>Sell the building</t>
  </si>
  <si>
    <t>Taxes on Sale of Building</t>
  </si>
  <si>
    <t>Cash in/out from working capitol</t>
  </si>
  <si>
    <t>-</t>
  </si>
  <si>
    <t>Inventory</t>
  </si>
  <si>
    <t>+</t>
  </si>
  <si>
    <t>Income Tax Payable On Opperations only</t>
  </si>
  <si>
    <t>Accounts Payable - COGS</t>
  </si>
  <si>
    <t>Cash in/out from liquidation of Working Capitol</t>
  </si>
  <si>
    <t>TOTAL FREE CASH FLOWS</t>
  </si>
  <si>
    <t>PV of Present Cash flows</t>
  </si>
  <si>
    <t>Net present value of Free Cash Flows</t>
  </si>
  <si>
    <t>IRR</t>
  </si>
  <si>
    <t>Required Rate of Return</t>
  </si>
  <si>
    <t>S&amp;P 500 Rate of return*</t>
  </si>
  <si>
    <t>T-Bill Rate Rate Return*</t>
  </si>
  <si>
    <t>*10 year rates</t>
  </si>
  <si>
    <t>Equity Beta</t>
  </si>
  <si>
    <t>Cost of Equity using CAPM (%)</t>
  </si>
  <si>
    <t>Tbills</t>
  </si>
  <si>
    <t>S&amp;P</t>
  </si>
  <si>
    <t>Blended Cost of Debt (%)</t>
  </si>
  <si>
    <t>Tax Rate (%)</t>
  </si>
  <si>
    <t>Debt:</t>
  </si>
  <si>
    <t>Proportion</t>
  </si>
  <si>
    <t>Rate</t>
  </si>
  <si>
    <t>Blended</t>
  </si>
  <si>
    <t>Percent Debt Currently (%)</t>
  </si>
  <si>
    <t>Mortgage</t>
  </si>
  <si>
    <t>Percent Equity Currently (%)</t>
  </si>
  <si>
    <t>Bank Loan</t>
  </si>
  <si>
    <t>Blended Rate</t>
  </si>
  <si>
    <t>Equity:</t>
  </si>
  <si>
    <t>Tax Adj</t>
  </si>
  <si>
    <t xml:space="preserve">Unlevered Beta </t>
  </si>
  <si>
    <t>Common St</t>
  </si>
  <si>
    <t>Relevered Beta at 70% Debt/30% Equity</t>
  </si>
  <si>
    <t>Cost of Equity with Relevered Beta using CAPM (%)</t>
  </si>
  <si>
    <t>TOTAL CAP</t>
  </si>
  <si>
    <t>New Debt %</t>
  </si>
  <si>
    <t>New Equity %</t>
  </si>
  <si>
    <t>WACC in 2013 at 70% Debt/30% Equity</t>
  </si>
  <si>
    <t>Equipment</t>
  </si>
  <si>
    <t>Members Paying Late</t>
  </si>
  <si>
    <t>1 year</t>
  </si>
  <si>
    <t>Cost per membership</t>
  </si>
  <si>
    <t>Accounts receivable</t>
  </si>
  <si>
    <t>Year 0</t>
  </si>
  <si>
    <t>WACC</t>
  </si>
  <si>
    <t>Per Month</t>
  </si>
  <si>
    <t>Work out Equipment Cost (avg. for anytime fitness)</t>
  </si>
  <si>
    <t>Maininence:</t>
  </si>
  <si>
    <t>Contribution Margin</t>
  </si>
  <si>
    <t>Pro Forma Income Statement and Balance Sheet</t>
  </si>
  <si>
    <t>Population and Membership Fee Calculations</t>
  </si>
  <si>
    <t>Breakeven</t>
  </si>
  <si>
    <t>WACC and Loan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</si>
</sst>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\$* #,##0_);_(\$* \(#,##0\);_(\$* \-??_);_(@_)"/>
    <numFmt numFmtId="166" formatCode="0.0%"/>
    <numFmt numFmtId="167" formatCode="0.000%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2"/>
      <color theme="1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indexed="8"/>
      <name val="Calibri"/>
      <family val="2"/>
      <charset val="1"/>
    </font>
    <font>
      <sz val="11"/>
      <color indexed="8"/>
      <name val="Cambria"/>
      <family val="1"/>
      <scheme val="major"/>
    </font>
    <font>
      <b/>
      <u/>
      <sz val="11"/>
      <color indexed="8"/>
      <name val="Cambria"/>
      <family val="1"/>
      <scheme val="major"/>
    </font>
    <font>
      <u/>
      <sz val="10"/>
      <name val="Cambria"/>
      <family val="1"/>
      <scheme val="major"/>
    </font>
    <font>
      <u/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9" tint="-0.249977111117893"/>
      <name val="Calibri"/>
      <family val="2"/>
    </font>
    <font>
      <sz val="11"/>
      <color rgb="FF0000FF"/>
      <name val="Calibri"/>
      <family val="2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theme="0"/>
      <name val="Cambria"/>
      <family val="1"/>
      <scheme val="major"/>
    </font>
    <font>
      <b/>
      <sz val="11"/>
      <color rgb="FF0000FF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color rgb="FF0000FF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rgb="FF0000FF"/>
      <name val="Cambria"/>
      <family val="1"/>
      <scheme val="major"/>
    </font>
    <font>
      <sz val="11"/>
      <color indexed="8"/>
      <name val="Calibri"/>
      <family val="2"/>
    </font>
    <font>
      <sz val="11"/>
      <name val="Calibri"/>
      <family val="2"/>
    </font>
    <font>
      <sz val="8"/>
      <color theme="1"/>
      <name val="Cambria"/>
      <family val="1"/>
      <scheme val="major"/>
    </font>
    <font>
      <b/>
      <u/>
      <sz val="11"/>
      <color indexed="8"/>
      <name val="Calibri"/>
      <family val="2"/>
    </font>
    <font>
      <sz val="18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u/>
      <sz val="20"/>
      <color theme="1"/>
      <name val="Cambria"/>
      <family val="1"/>
      <scheme val="major"/>
    </font>
    <font>
      <u/>
      <sz val="18"/>
      <color theme="1"/>
      <name val="Cambria"/>
      <family val="1"/>
      <scheme val="major"/>
    </font>
    <font>
      <sz val="12"/>
      <color rgb="FF0000FF"/>
      <name val="Cambria"/>
      <family val="1"/>
      <scheme val="major"/>
    </font>
    <font>
      <u/>
      <sz val="12"/>
      <color theme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43" fontId="7" fillId="2" borderId="0" xfId="0" applyNumberFormat="1" applyFont="1" applyFill="1"/>
    <xf numFmtId="0" fontId="7" fillId="2" borderId="1" xfId="0" applyFont="1" applyFill="1" applyBorder="1"/>
    <xf numFmtId="3" fontId="7" fillId="2" borderId="1" xfId="0" applyNumberFormat="1" applyFont="1" applyFill="1" applyBorder="1"/>
    <xf numFmtId="43" fontId="7" fillId="2" borderId="1" xfId="1" applyFont="1" applyFill="1" applyBorder="1"/>
    <xf numFmtId="43" fontId="7" fillId="2" borderId="0" xfId="1" applyFont="1" applyFill="1"/>
    <xf numFmtId="43" fontId="7" fillId="2" borderId="1" xfId="0" applyNumberFormat="1" applyFont="1" applyFill="1" applyBorder="1"/>
    <xf numFmtId="44" fontId="8" fillId="2" borderId="2" xfId="2" applyFont="1" applyFill="1" applyBorder="1"/>
    <xf numFmtId="3" fontId="7" fillId="2" borderId="0" xfId="0" applyNumberFormat="1" applyFont="1" applyFill="1"/>
    <xf numFmtId="44" fontId="8" fillId="2" borderId="0" xfId="2" applyFont="1" applyFill="1"/>
    <xf numFmtId="43" fontId="7" fillId="2" borderId="0" xfId="1" applyFont="1" applyFill="1" applyBorder="1"/>
    <xf numFmtId="9" fontId="7" fillId="2" borderId="0" xfId="0" applyNumberFormat="1" applyFont="1" applyFill="1"/>
    <xf numFmtId="10" fontId="7" fillId="2" borderId="0" xfId="3" applyNumberFormat="1" applyFont="1" applyFill="1"/>
    <xf numFmtId="0" fontId="9" fillId="2" borderId="0" xfId="0" applyFont="1" applyFill="1"/>
    <xf numFmtId="0" fontId="11" fillId="2" borderId="0" xfId="14" applyFont="1" applyFill="1"/>
    <xf numFmtId="0" fontId="12" fillId="2" borderId="0" xfId="14" applyFont="1" applyFill="1" applyBorder="1" applyAlignment="1">
      <alignment horizontal="center"/>
    </xf>
    <xf numFmtId="0" fontId="13" fillId="2" borderId="0" xfId="0" applyFont="1" applyFill="1"/>
    <xf numFmtId="0" fontId="9" fillId="2" borderId="0" xfId="0" applyFont="1" applyFill="1" applyAlignment="1"/>
    <xf numFmtId="164" fontId="9" fillId="2" borderId="0" xfId="15" applyNumberFormat="1" applyFont="1" applyFill="1" applyAlignment="1"/>
    <xf numFmtId="165" fontId="9" fillId="2" borderId="0" xfId="15" applyNumberFormat="1" applyFont="1" applyFill="1" applyAlignment="1"/>
    <xf numFmtId="9" fontId="9" fillId="2" borderId="0" xfId="16" applyFont="1" applyFill="1" applyAlignment="1">
      <alignment horizontal="center"/>
    </xf>
    <xf numFmtId="0" fontId="11" fillId="2" borderId="0" xfId="14" applyFont="1" applyFill="1" applyAlignment="1"/>
    <xf numFmtId="164" fontId="11" fillId="2" borderId="0" xfId="15" applyNumberFormat="1" applyFont="1" applyFill="1" applyAlignment="1"/>
    <xf numFmtId="44" fontId="11" fillId="2" borderId="0" xfId="14" applyNumberFormat="1" applyFont="1" applyFill="1" applyAlignment="1"/>
    <xf numFmtId="165" fontId="11" fillId="2" borderId="0" xfId="14" applyNumberFormat="1" applyFont="1" applyFill="1" applyAlignment="1"/>
    <xf numFmtId="0" fontId="14" fillId="2" borderId="0" xfId="14" applyFont="1" applyFill="1"/>
    <xf numFmtId="0" fontId="15" fillId="2" borderId="0" xfId="14" applyFont="1" applyFill="1"/>
    <xf numFmtId="1" fontId="11" fillId="2" borderId="3" xfId="14" applyNumberFormat="1" applyFont="1" applyFill="1" applyBorder="1" applyAlignment="1">
      <alignment horizontal="center"/>
    </xf>
    <xf numFmtId="0" fontId="10" fillId="2" borderId="0" xfId="14" applyFill="1" applyBorder="1"/>
    <xf numFmtId="0" fontId="10" fillId="2" borderId="0" xfId="14" applyFill="1"/>
    <xf numFmtId="166" fontId="2" fillId="2" borderId="0" xfId="3" applyNumberFormat="1" applyFill="1" applyBorder="1"/>
    <xf numFmtId="165" fontId="19" fillId="2" borderId="0" xfId="14" applyNumberFormat="1" applyFont="1" applyFill="1"/>
    <xf numFmtId="166" fontId="2" fillId="2" borderId="0" xfId="3" applyNumberFormat="1" applyFill="1"/>
    <xf numFmtId="10" fontId="18" fillId="2" borderId="0" xfId="3" applyNumberFormat="1" applyFont="1" applyFill="1"/>
    <xf numFmtId="167" fontId="10" fillId="2" borderId="0" xfId="14" applyNumberFormat="1" applyFill="1"/>
    <xf numFmtId="165" fontId="19" fillId="2" borderId="1" xfId="14" applyNumberFormat="1" applyFont="1" applyFill="1" applyBorder="1"/>
    <xf numFmtId="167" fontId="10" fillId="2" borderId="1" xfId="14" applyNumberFormat="1" applyFill="1" applyBorder="1"/>
    <xf numFmtId="165" fontId="10" fillId="2" borderId="0" xfId="14" applyNumberFormat="1" applyFill="1"/>
    <xf numFmtId="167" fontId="17" fillId="2" borderId="0" xfId="14" applyNumberFormat="1" applyFont="1" applyFill="1"/>
    <xf numFmtId="2" fontId="10" fillId="2" borderId="0" xfId="14" applyNumberFormat="1" applyFill="1" applyBorder="1"/>
    <xf numFmtId="10" fontId="2" fillId="2" borderId="0" xfId="3" applyNumberFormat="1" applyFill="1" applyBorder="1"/>
    <xf numFmtId="0" fontId="20" fillId="2" borderId="0" xfId="14" applyFont="1" applyFill="1"/>
    <xf numFmtId="0" fontId="21" fillId="2" borderId="0" xfId="14" applyFont="1" applyFill="1"/>
    <xf numFmtId="9" fontId="20" fillId="2" borderId="0" xfId="3" applyFont="1" applyFill="1"/>
    <xf numFmtId="8" fontId="7" fillId="2" borderId="0" xfId="0" applyNumberFormat="1" applyFont="1" applyFill="1"/>
    <xf numFmtId="0" fontId="22" fillId="2" borderId="0" xfId="0" applyFont="1" applyFill="1"/>
    <xf numFmtId="0" fontId="5" fillId="2" borderId="0" xfId="0" applyFont="1" applyFill="1"/>
    <xf numFmtId="10" fontId="5" fillId="2" borderId="0" xfId="0" applyNumberFormat="1" applyFont="1" applyFill="1"/>
    <xf numFmtId="9" fontId="23" fillId="2" borderId="0" xfId="0" applyNumberFormat="1" applyFont="1" applyFill="1"/>
    <xf numFmtId="0" fontId="24" fillId="2" borderId="0" xfId="0" applyFont="1" applyFill="1"/>
    <xf numFmtId="3" fontId="4" fillId="2" borderId="0" xfId="0" applyNumberFormat="1" applyFont="1" applyFill="1"/>
    <xf numFmtId="6" fontId="4" fillId="2" borderId="0" xfId="0" applyNumberFormat="1" applyFont="1" applyFill="1"/>
    <xf numFmtId="43" fontId="4" fillId="2" borderId="0" xfId="1" applyFont="1" applyFill="1"/>
    <xf numFmtId="0" fontId="4" fillId="2" borderId="1" xfId="0" applyFont="1" applyFill="1" applyBorder="1"/>
    <xf numFmtId="43" fontId="4" fillId="2" borderId="1" xfId="1" applyFont="1" applyFill="1" applyBorder="1"/>
    <xf numFmtId="0" fontId="25" fillId="2" borderId="0" xfId="0" applyFont="1" applyFill="1"/>
    <xf numFmtId="9" fontId="25" fillId="2" borderId="0" xfId="0" applyNumberFormat="1" applyFont="1" applyFill="1"/>
    <xf numFmtId="6" fontId="25" fillId="2" borderId="0" xfId="0" applyNumberFormat="1" applyFont="1" applyFill="1"/>
    <xf numFmtId="3" fontId="25" fillId="2" borderId="0" xfId="0" applyNumberFormat="1" applyFont="1" applyFill="1"/>
    <xf numFmtId="44" fontId="11" fillId="2" borderId="0" xfId="14" applyNumberFormat="1" applyFont="1" applyFill="1"/>
    <xf numFmtId="165" fontId="25" fillId="2" borderId="0" xfId="14" applyNumberFormat="1" applyFont="1" applyFill="1" applyAlignment="1"/>
    <xf numFmtId="0" fontId="26" fillId="2" borderId="0" xfId="0" applyFont="1" applyFill="1" applyBorder="1" applyAlignment="1">
      <alignment horizontal="center"/>
    </xf>
    <xf numFmtId="0" fontId="25" fillId="2" borderId="0" xfId="14" applyFont="1" applyFill="1"/>
    <xf numFmtId="0" fontId="27" fillId="2" borderId="0" xfId="0" applyFont="1" applyFill="1" applyAlignment="1"/>
    <xf numFmtId="44" fontId="15" fillId="2" borderId="0" xfId="14" applyNumberFormat="1" applyFont="1" applyFill="1" applyAlignment="1"/>
    <xf numFmtId="0" fontId="27" fillId="2" borderId="0" xfId="0" applyFont="1" applyFill="1"/>
    <xf numFmtId="9" fontId="28" fillId="2" borderId="0" xfId="0" applyNumberFormat="1" applyFont="1" applyFill="1"/>
    <xf numFmtId="166" fontId="29" fillId="2" borderId="0" xfId="3" applyNumberFormat="1" applyFont="1" applyFill="1" applyBorder="1"/>
    <xf numFmtId="167" fontId="29" fillId="2" borderId="0" xfId="14" applyNumberFormat="1" applyFont="1" applyFill="1" applyBorder="1"/>
    <xf numFmtId="166" fontId="19" fillId="2" borderId="0" xfId="3" applyNumberFormat="1" applyFont="1" applyFill="1"/>
    <xf numFmtId="165" fontId="30" fillId="2" borderId="0" xfId="14" applyNumberFormat="1" applyFont="1" applyFill="1"/>
    <xf numFmtId="165" fontId="30" fillId="2" borderId="1" xfId="14" applyNumberFormat="1" applyFont="1" applyFill="1" applyBorder="1"/>
    <xf numFmtId="9" fontId="30" fillId="2" borderId="0" xfId="14" applyNumberFormat="1" applyFont="1" applyFill="1" applyBorder="1"/>
    <xf numFmtId="10" fontId="28" fillId="2" borderId="0" xfId="0" applyNumberFormat="1" applyFont="1" applyFill="1" applyAlignment="1">
      <alignment horizontal="center"/>
    </xf>
    <xf numFmtId="9" fontId="2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3" fontId="7" fillId="2" borderId="4" xfId="0" applyNumberFormat="1" applyFont="1" applyFill="1" applyBorder="1"/>
    <xf numFmtId="0" fontId="7" fillId="2" borderId="4" xfId="0" applyFont="1" applyFill="1" applyBorder="1"/>
    <xf numFmtId="0" fontId="31" fillId="2" borderId="0" xfId="0" applyFont="1" applyFill="1" applyAlignment="1">
      <alignment horizontal="right"/>
    </xf>
    <xf numFmtId="166" fontId="30" fillId="2" borderId="0" xfId="3" applyNumberFormat="1" applyFont="1" applyFill="1"/>
    <xf numFmtId="43" fontId="30" fillId="2" borderId="0" xfId="1" applyFont="1" applyFill="1"/>
    <xf numFmtId="0" fontId="17" fillId="2" borderId="0" xfId="14" applyFont="1" applyFill="1"/>
    <xf numFmtId="0" fontId="32" fillId="2" borderId="0" xfId="14" applyFont="1" applyFill="1"/>
    <xf numFmtId="9" fontId="28" fillId="2" borderId="0" xfId="0" applyNumberFormat="1" applyFont="1" applyFill="1" applyAlignment="1">
      <alignment horizontal="left"/>
    </xf>
    <xf numFmtId="0" fontId="33" fillId="2" borderId="0" xfId="0" applyFont="1" applyFill="1"/>
    <xf numFmtId="0" fontId="34" fillId="2" borderId="0" xfId="0" applyFont="1" applyFill="1"/>
    <xf numFmtId="0" fontId="36" fillId="2" borderId="0" xfId="0" applyFont="1" applyFill="1"/>
    <xf numFmtId="0" fontId="7" fillId="3" borderId="0" xfId="0" applyFont="1" applyFill="1"/>
    <xf numFmtId="0" fontId="4" fillId="3" borderId="0" xfId="0" applyFont="1" applyFill="1"/>
    <xf numFmtId="0" fontId="35" fillId="3" borderId="0" xfId="0" applyFont="1" applyFill="1"/>
    <xf numFmtId="0" fontId="9" fillId="3" borderId="0" xfId="0" applyFont="1" applyFill="1"/>
    <xf numFmtId="0" fontId="11" fillId="3" borderId="0" xfId="14" applyFont="1" applyFill="1"/>
    <xf numFmtId="0" fontId="37" fillId="2" borderId="0" xfId="0" applyFont="1" applyFill="1"/>
    <xf numFmtId="9" fontId="37" fillId="2" borderId="0" xfId="0" applyNumberFormat="1" applyFont="1" applyFill="1"/>
    <xf numFmtId="9" fontId="9" fillId="2" borderId="0" xfId="0" applyNumberFormat="1" applyFont="1" applyFill="1"/>
    <xf numFmtId="0" fontId="9" fillId="2" borderId="0" xfId="0" applyFont="1" applyFill="1" applyAlignment="1">
      <alignment horizontal="right"/>
    </xf>
    <xf numFmtId="43" fontId="37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27" fillId="2" borderId="0" xfId="0" applyFont="1" applyFill="1" applyAlignment="1">
      <alignment horizontal="left"/>
    </xf>
    <xf numFmtId="44" fontId="27" fillId="2" borderId="4" xfId="2" applyFont="1" applyFill="1" applyBorder="1"/>
    <xf numFmtId="0" fontId="33" fillId="2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3" fontId="37" fillId="2" borderId="0" xfId="0" applyNumberFormat="1" applyFont="1" applyFill="1"/>
    <xf numFmtId="0" fontId="38" fillId="2" borderId="0" xfId="4" applyFont="1" applyFill="1"/>
    <xf numFmtId="0" fontId="9" fillId="2" borderId="0" xfId="0" applyFont="1" applyFill="1" applyAlignment="1">
      <alignment vertical="center"/>
    </xf>
    <xf numFmtId="10" fontId="37" fillId="2" borderId="0" xfId="0" applyNumberFormat="1" applyFont="1" applyFill="1"/>
    <xf numFmtId="9" fontId="9" fillId="2" borderId="0" xfId="3" applyFont="1" applyFill="1"/>
    <xf numFmtId="44" fontId="37" fillId="2" borderId="0" xfId="2" applyFont="1" applyFill="1"/>
    <xf numFmtId="0" fontId="27" fillId="2" borderId="0" xfId="0" applyFont="1" applyFill="1" applyBorder="1"/>
    <xf numFmtId="43" fontId="27" fillId="2" borderId="4" xfId="0" applyNumberFormat="1" applyFont="1" applyFill="1" applyBorder="1"/>
    <xf numFmtId="0" fontId="9" fillId="2" borderId="1" xfId="0" applyFont="1" applyFill="1" applyBorder="1"/>
    <xf numFmtId="43" fontId="27" fillId="2" borderId="4" xfId="1" applyFont="1" applyFill="1" applyBorder="1"/>
  </cellXfs>
  <cellStyles count="23">
    <cellStyle name="Comma" xfId="1" builtinId="3"/>
    <cellStyle name="Currency" xfId="2" builtinId="4"/>
    <cellStyle name="Currency 2" xfId="15"/>
    <cellStyle name="Excel Built-in Normal" xfId="1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4" builtinId="8"/>
    <cellStyle name="Normal" xfId="0" builtinId="0"/>
    <cellStyle name="Percent" xfId="3" builtinId="5"/>
    <cellStyle name="Percent 2" xfId="16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-data.com/city/Arlington-Texas.html" TargetMode="External"/><Relationship Id="rId2" Type="http://schemas.openxmlformats.org/officeDocument/2006/relationships/hyperlink" Target="https://maps.google.com/maps?client=safari&amp;oe=UTF-8&amp;ie=UTF-8&amp;q=gym+arlington+texas&amp;fb=1&amp;gl=us&amp;hq=gym&amp;hnear=0x864e62d2e40898d3:0xb5ef6ac1fa05351,Arlington,+TX&amp;ei=LAwPUYzcJeGRiAKcnIB4&amp;ved=0CO0BELYD" TargetMode="External"/><Relationship Id="rId1" Type="http://schemas.openxmlformats.org/officeDocument/2006/relationships/hyperlink" Target="http://www.lisajohnsonfitness.com/only-15-percent-of-americans-belong-to-gyms-how-you-should-work-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O110"/>
  <sheetViews>
    <sheetView tabSelected="1" workbookViewId="0">
      <selection activeCell="I53" sqref="I53"/>
    </sheetView>
  </sheetViews>
  <sheetFormatPr defaultColWidth="10.875" defaultRowHeight="14.25" x14ac:dyDescent="0.2"/>
  <cols>
    <col min="1" max="2" width="10.875" style="1"/>
    <col min="3" max="3" width="15.5" style="1" customWidth="1"/>
    <col min="4" max="11" width="13.375" style="1" bestFit="1" customWidth="1"/>
    <col min="12" max="16384" width="10.875" style="1"/>
  </cols>
  <sheetData>
    <row r="1" spans="1:12" ht="25.5" x14ac:dyDescent="0.35">
      <c r="A1" s="88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91" customFormat="1" ht="8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2"/>
    </row>
    <row r="5" spans="1:12" x14ac:dyDescent="0.2">
      <c r="A5" s="3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 t="s">
        <v>14</v>
      </c>
      <c r="B6" s="2"/>
      <c r="C6" s="2"/>
      <c r="D6" s="4">
        <f>'Population and Membership fees'!B30</f>
        <v>124700.4</v>
      </c>
      <c r="E6" s="4">
        <f>'Population and Membership fees'!C30</f>
        <v>129509.32500000001</v>
      </c>
      <c r="F6" s="4">
        <f>'Population and Membership fees'!D30</f>
        <v>134318.25</v>
      </c>
      <c r="G6" s="4">
        <f>'Population and Membership fees'!E30</f>
        <v>139127.17500000002</v>
      </c>
      <c r="H6" s="4">
        <f>'Population and Membership fees'!F30</f>
        <v>143936.1</v>
      </c>
      <c r="I6" s="4">
        <f>'Population and Membership fees'!G30</f>
        <v>148745.02500000002</v>
      </c>
      <c r="J6" s="4">
        <f>'Population and Membership fees'!H30</f>
        <v>153553.95000000004</v>
      </c>
      <c r="K6" s="4">
        <f>'Population and Membership fees'!I30</f>
        <v>158362.87500000003</v>
      </c>
      <c r="L6" s="2"/>
    </row>
    <row r="7" spans="1:12" x14ac:dyDescent="0.2">
      <c r="A7" s="2" t="s">
        <v>42</v>
      </c>
      <c r="B7" s="2"/>
      <c r="C7" s="2"/>
      <c r="D7" s="5"/>
      <c r="E7" s="6">
        <v>7500</v>
      </c>
      <c r="F7" s="7">
        <f>E7*(1+0.02)</f>
        <v>7650</v>
      </c>
      <c r="G7" s="7">
        <f t="shared" ref="G7:K7" si="0">F7*(1+0.02)</f>
        <v>7803</v>
      </c>
      <c r="H7" s="7">
        <f t="shared" si="0"/>
        <v>7959.06</v>
      </c>
      <c r="I7" s="7">
        <f t="shared" si="0"/>
        <v>8118.2412000000004</v>
      </c>
      <c r="J7" s="7">
        <f t="shared" si="0"/>
        <v>8280.6060240000006</v>
      </c>
      <c r="K7" s="7">
        <f t="shared" si="0"/>
        <v>8446.2181444800008</v>
      </c>
      <c r="L7" s="2"/>
    </row>
    <row r="8" spans="1:12" x14ac:dyDescent="0.2">
      <c r="A8" s="2"/>
      <c r="B8" s="3" t="s">
        <v>72</v>
      </c>
      <c r="C8" s="2"/>
      <c r="D8" s="4">
        <f>SUM(D6:D7)</f>
        <v>124700.4</v>
      </c>
      <c r="E8" s="4">
        <f t="shared" ref="E8:K8" si="1">SUM(E6:E7)</f>
        <v>137009.32500000001</v>
      </c>
      <c r="F8" s="4">
        <f t="shared" si="1"/>
        <v>141968.25</v>
      </c>
      <c r="G8" s="4">
        <f t="shared" si="1"/>
        <v>146930.17500000002</v>
      </c>
      <c r="H8" s="4">
        <f t="shared" si="1"/>
        <v>151895.16</v>
      </c>
      <c r="I8" s="4">
        <f t="shared" si="1"/>
        <v>156863.26620000001</v>
      </c>
      <c r="J8" s="4">
        <f t="shared" si="1"/>
        <v>161834.55602400005</v>
      </c>
      <c r="K8" s="4">
        <f t="shared" si="1"/>
        <v>166809.09314448002</v>
      </c>
      <c r="L8" s="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3" t="s">
        <v>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 t="s">
        <v>33</v>
      </c>
      <c r="C11" s="2"/>
      <c r="D11" s="8">
        <f>Expenses!C19</f>
        <v>64000</v>
      </c>
      <c r="E11" s="8">
        <f>Expenses!D19</f>
        <v>65920</v>
      </c>
      <c r="F11" s="8">
        <f>Expenses!E19</f>
        <v>67897.600000000006</v>
      </c>
      <c r="G11" s="8">
        <f>Expenses!F19</f>
        <v>69934.528000000006</v>
      </c>
      <c r="H11" s="8">
        <f>Expenses!G19</f>
        <v>72032.563840000003</v>
      </c>
      <c r="I11" s="8">
        <f>Expenses!H19</f>
        <v>74193.540755200011</v>
      </c>
      <c r="J11" s="8">
        <f>Expenses!I19</f>
        <v>76419.34697785601</v>
      </c>
      <c r="K11" s="8">
        <f>Expenses!J19</f>
        <v>78711.927387191696</v>
      </c>
      <c r="L11" s="2"/>
    </row>
    <row r="12" spans="1:12" x14ac:dyDescent="0.2">
      <c r="A12" s="2"/>
      <c r="B12" s="2" t="s">
        <v>34</v>
      </c>
      <c r="C12" s="2"/>
      <c r="D12" s="8">
        <f>Expenses!C20</f>
        <v>4233</v>
      </c>
      <c r="E12" s="8">
        <f>Expenses!D20</f>
        <v>4359.99</v>
      </c>
      <c r="F12" s="8">
        <f>Expenses!E20</f>
        <v>4490.7897000000003</v>
      </c>
      <c r="G12" s="8">
        <f>Expenses!F20</f>
        <v>4625.5133910000004</v>
      </c>
      <c r="H12" s="8">
        <f>Expenses!G20</f>
        <v>4764.2787927300005</v>
      </c>
      <c r="I12" s="8">
        <f>Expenses!H20</f>
        <v>4907.2071565119004</v>
      </c>
      <c r="J12" s="8">
        <f>Expenses!I20</f>
        <v>5054.4233712072573</v>
      </c>
      <c r="K12" s="8">
        <f>Expenses!J20</f>
        <v>5206.0560723434755</v>
      </c>
      <c r="L12" s="2"/>
    </row>
    <row r="13" spans="1:12" x14ac:dyDescent="0.2">
      <c r="A13" s="2"/>
      <c r="B13" s="2" t="s">
        <v>35</v>
      </c>
      <c r="C13" s="2"/>
      <c r="D13" s="8">
        <f>Expenses!C21</f>
        <v>2500</v>
      </c>
      <c r="E13" s="8">
        <f>Expenses!D21</f>
        <v>2575</v>
      </c>
      <c r="F13" s="8">
        <f>Expenses!E21</f>
        <v>2652.25</v>
      </c>
      <c r="G13" s="8">
        <f>Expenses!F21</f>
        <v>2731.8175000000001</v>
      </c>
      <c r="H13" s="8">
        <f>Expenses!G21</f>
        <v>2813.7720250000002</v>
      </c>
      <c r="I13" s="8">
        <f>Expenses!H21</f>
        <v>2898.1851857500001</v>
      </c>
      <c r="J13" s="8">
        <f>Expenses!I21</f>
        <v>2985.1307413224999</v>
      </c>
      <c r="K13" s="8">
        <f>Expenses!J21</f>
        <v>3074.684663562175</v>
      </c>
      <c r="L13" s="2"/>
    </row>
    <row r="14" spans="1:12" x14ac:dyDescent="0.2">
      <c r="A14" s="2"/>
      <c r="B14" s="2" t="s">
        <v>36</v>
      </c>
      <c r="C14" s="2"/>
      <c r="D14" s="8">
        <f>Expenses!C22</f>
        <v>16240</v>
      </c>
      <c r="E14" s="8">
        <f>Expenses!D22</f>
        <v>16727.2</v>
      </c>
      <c r="F14" s="8">
        <f>Expenses!E22</f>
        <v>17229.016</v>
      </c>
      <c r="G14" s="8">
        <f>Expenses!F22</f>
        <v>17745.886480000001</v>
      </c>
      <c r="H14" s="8">
        <f>Expenses!G22</f>
        <v>18278.263074400002</v>
      </c>
      <c r="I14" s="8">
        <f>Expenses!H22</f>
        <v>18826.610966632001</v>
      </c>
      <c r="J14" s="8">
        <f>Expenses!I22</f>
        <v>19391.409295630961</v>
      </c>
      <c r="K14" s="8">
        <f>Expenses!J22</f>
        <v>19973.151574499891</v>
      </c>
      <c r="L14" s="2"/>
    </row>
    <row r="15" spans="1:12" x14ac:dyDescent="0.2">
      <c r="A15" s="2"/>
      <c r="B15" s="2" t="s">
        <v>37</v>
      </c>
      <c r="C15" s="2"/>
      <c r="D15" s="4">
        <f>Expenses!C30</f>
        <v>9012</v>
      </c>
      <c r="E15" s="4">
        <f>Expenses!D30</f>
        <v>9282.36</v>
      </c>
      <c r="F15" s="4">
        <f>Expenses!E30</f>
        <v>9560.8308000000015</v>
      </c>
      <c r="G15" s="4">
        <f>Expenses!F30</f>
        <v>9847.655724000002</v>
      </c>
      <c r="H15" s="4">
        <f>Expenses!G30</f>
        <v>10143.085395720002</v>
      </c>
      <c r="I15" s="4">
        <f>Expenses!H30</f>
        <v>10447.377957591603</v>
      </c>
      <c r="J15" s="4">
        <f>Expenses!I30</f>
        <v>10760.79929631935</v>
      </c>
      <c r="K15" s="4">
        <f>Expenses!J30</f>
        <v>11083.623275208931</v>
      </c>
      <c r="L15" s="2"/>
    </row>
    <row r="16" spans="1:12" x14ac:dyDescent="0.2">
      <c r="A16" s="2"/>
      <c r="B16" s="2" t="s">
        <v>40</v>
      </c>
      <c r="C16" s="2"/>
      <c r="D16" s="8">
        <f>Assets!D17</f>
        <v>0</v>
      </c>
      <c r="E16" s="8">
        <f>Assets!E17</f>
        <v>447</v>
      </c>
      <c r="F16" s="8">
        <f>Assets!F17</f>
        <v>460.40999999999997</v>
      </c>
      <c r="G16" s="8">
        <f>Assets!G17</f>
        <v>474.22230000000002</v>
      </c>
      <c r="H16" s="8">
        <f>Assets!H17</f>
        <v>488.44896900000003</v>
      </c>
      <c r="I16" s="8">
        <f>Assets!I17</f>
        <v>503.10243807000006</v>
      </c>
      <c r="J16" s="8">
        <f>Assets!J17</f>
        <v>518.19551121210009</v>
      </c>
      <c r="K16" s="8">
        <f>Assets!K17</f>
        <v>533.74137654846322</v>
      </c>
      <c r="L16" s="2"/>
    </row>
    <row r="17" spans="1:12" x14ac:dyDescent="0.2">
      <c r="A17" s="2"/>
      <c r="B17" s="2" t="s">
        <v>41</v>
      </c>
      <c r="C17" s="2"/>
      <c r="D17" s="8">
        <f>Expenses!C32</f>
        <v>10000</v>
      </c>
      <c r="E17" s="8">
        <f>Expenses!D32</f>
        <v>10300</v>
      </c>
      <c r="F17" s="8">
        <f>Expenses!E32</f>
        <v>10609</v>
      </c>
      <c r="G17" s="8">
        <f>Expenses!F32</f>
        <v>10927.27</v>
      </c>
      <c r="H17" s="8">
        <f>Expenses!G32</f>
        <v>11255.088100000001</v>
      </c>
      <c r="I17" s="8">
        <f>Expenses!H32</f>
        <v>11592.740743</v>
      </c>
      <c r="J17" s="8">
        <f>Expenses!I32</f>
        <v>11940.52296529</v>
      </c>
      <c r="K17" s="8">
        <f>Expenses!J32</f>
        <v>12298.7386542487</v>
      </c>
      <c r="L17" s="2"/>
    </row>
    <row r="18" spans="1:12" x14ac:dyDescent="0.2">
      <c r="A18" s="2"/>
      <c r="B18" s="2" t="s">
        <v>44</v>
      </c>
      <c r="C18" s="2"/>
      <c r="D18" s="8">
        <f>Expenses!C33</f>
        <v>449</v>
      </c>
      <c r="E18" s="8">
        <f>Expenses!D33</f>
        <v>462.47</v>
      </c>
      <c r="F18" s="8">
        <f>Expenses!E33</f>
        <v>476.34410000000003</v>
      </c>
      <c r="G18" s="8">
        <f>Expenses!F33</f>
        <v>490.63442300000003</v>
      </c>
      <c r="H18" s="8">
        <f>Expenses!G33</f>
        <v>505.35345569000003</v>
      </c>
      <c r="I18" s="8">
        <f>Expenses!H33</f>
        <v>520.5140593607</v>
      </c>
      <c r="J18" s="8">
        <f>Expenses!I33</f>
        <v>536.12948114152107</v>
      </c>
      <c r="K18" s="8">
        <f>Expenses!J33</f>
        <v>552.21336557576672</v>
      </c>
      <c r="L18" s="2"/>
    </row>
    <row r="19" spans="1:12" x14ac:dyDescent="0.2">
      <c r="A19" s="2"/>
      <c r="B19" s="2" t="s">
        <v>46</v>
      </c>
      <c r="C19" s="2"/>
      <c r="D19" s="13">
        <f>Expenses!C34</f>
        <v>20</v>
      </c>
      <c r="E19" s="13">
        <f>Expenses!D34</f>
        <v>20.6</v>
      </c>
      <c r="F19" s="13">
        <f>Expenses!E34</f>
        <v>21.218000000000004</v>
      </c>
      <c r="G19" s="13">
        <f>Expenses!F34</f>
        <v>21.854540000000004</v>
      </c>
      <c r="H19" s="13">
        <f>Expenses!G34</f>
        <v>22.510176200000004</v>
      </c>
      <c r="I19" s="13">
        <f>Expenses!H34</f>
        <v>23.185481486000004</v>
      </c>
      <c r="J19" s="13">
        <f>Expenses!I34</f>
        <v>23.881045930580004</v>
      </c>
      <c r="K19" s="13">
        <f>Expenses!J34</f>
        <v>24.597477308497407</v>
      </c>
      <c r="L19" s="2"/>
    </row>
    <row r="20" spans="1:12" x14ac:dyDescent="0.2">
      <c r="A20" s="2"/>
      <c r="B20" s="3" t="s">
        <v>73</v>
      </c>
      <c r="C20" s="2"/>
      <c r="D20" s="4">
        <f t="shared" ref="D20:K20" si="2">SUM(D11:D19)</f>
        <v>106454</v>
      </c>
      <c r="E20" s="4">
        <f t="shared" si="2"/>
        <v>110094.62000000001</v>
      </c>
      <c r="F20" s="4">
        <f t="shared" si="2"/>
        <v>113397.4586</v>
      </c>
      <c r="G20" s="4">
        <f t="shared" si="2"/>
        <v>116799.382358</v>
      </c>
      <c r="H20" s="4">
        <f t="shared" si="2"/>
        <v>120303.36382874001</v>
      </c>
      <c r="I20" s="4">
        <f t="shared" si="2"/>
        <v>123912.46474360221</v>
      </c>
      <c r="J20" s="4">
        <f t="shared" si="2"/>
        <v>127629.8386859103</v>
      </c>
      <c r="K20" s="4">
        <f t="shared" si="2"/>
        <v>131458.73384648759</v>
      </c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2" t="s">
        <v>15</v>
      </c>
      <c r="B22" s="2"/>
      <c r="C22" s="2"/>
      <c r="D22" s="8">
        <f>Assets!$D$13</f>
        <v>5585.5</v>
      </c>
      <c r="E22" s="8">
        <f>Assets!$D$13</f>
        <v>5585.5</v>
      </c>
      <c r="F22" s="8">
        <f>Assets!$D$13</f>
        <v>5585.5</v>
      </c>
      <c r="G22" s="8">
        <f>Assets!$D$13</f>
        <v>5585.5</v>
      </c>
      <c r="H22" s="8">
        <f>Assets!$D$13</f>
        <v>5585.5</v>
      </c>
      <c r="I22" s="8">
        <f>Assets!$D$13</f>
        <v>5585.5</v>
      </c>
      <c r="J22" s="8">
        <f>Assets!$D$13</f>
        <v>5585.5</v>
      </c>
      <c r="K22" s="8">
        <f>Assets!$D$13</f>
        <v>5585.5</v>
      </c>
      <c r="L22" s="2"/>
    </row>
    <row r="23" spans="1: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2" t="s">
        <v>16</v>
      </c>
      <c r="B24" s="2"/>
      <c r="C24" s="2"/>
      <c r="D24" s="8">
        <f>D45*'WACC &amp; Loan'!$B$5</f>
        <v>0</v>
      </c>
      <c r="E24" s="8">
        <f>E45*'WACC &amp; Loan'!$B$5</f>
        <v>0</v>
      </c>
      <c r="F24" s="8">
        <f>F45*'WACC &amp; Loan'!$B$5</f>
        <v>0</v>
      </c>
      <c r="G24" s="8">
        <f>G45*'WACC &amp; Loan'!$B$5</f>
        <v>0</v>
      </c>
      <c r="H24" s="8">
        <f>H45*'WACC &amp; Loan'!$B$5</f>
        <v>0</v>
      </c>
      <c r="I24" s="8">
        <f>I45*'WACC &amp; Loan'!$B$5</f>
        <v>0</v>
      </c>
      <c r="J24" s="8">
        <f>J45*'WACC &amp; Loan'!$B$5</f>
        <v>0</v>
      </c>
      <c r="K24" s="8">
        <f>K45*'WACC &amp; Loan'!$B$5</f>
        <v>0</v>
      </c>
      <c r="L24" s="2"/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2" t="s">
        <v>17</v>
      </c>
      <c r="B26" s="2"/>
      <c r="C26" s="2"/>
      <c r="D26" s="9">
        <f t="shared" ref="D26:K26" si="3">D8-(D20+D22+D24)</f>
        <v>12660.899999999994</v>
      </c>
      <c r="E26" s="9">
        <f t="shared" si="3"/>
        <v>21329.205000000002</v>
      </c>
      <c r="F26" s="9">
        <f t="shared" si="3"/>
        <v>22985.291400000002</v>
      </c>
      <c r="G26" s="9">
        <f t="shared" si="3"/>
        <v>24545.292642000015</v>
      </c>
      <c r="H26" s="9">
        <f t="shared" si="3"/>
        <v>26006.296171259994</v>
      </c>
      <c r="I26" s="9">
        <f t="shared" si="3"/>
        <v>27365.301456397807</v>
      </c>
      <c r="J26" s="9">
        <f t="shared" si="3"/>
        <v>28619.217338089744</v>
      </c>
      <c r="K26" s="9">
        <f t="shared" si="3"/>
        <v>29764.859297992429</v>
      </c>
      <c r="L26" s="2"/>
    </row>
    <row r="27" spans="1:12" x14ac:dyDescent="0.2">
      <c r="A27" s="2" t="s">
        <v>18</v>
      </c>
      <c r="B27" s="2"/>
      <c r="C27" s="2"/>
      <c r="D27" s="4">
        <f>IF(D26&lt;0,0,D26*'WACC &amp; Loan'!$C$25)</f>
        <v>4431.3149999999978</v>
      </c>
      <c r="E27" s="4">
        <f>IF(E26&lt;0,0,E26*'WACC &amp; Loan'!$C$25)</f>
        <v>7465.2217499999997</v>
      </c>
      <c r="F27" s="4">
        <f>IF(F26&lt;0,0,F26*'WACC &amp; Loan'!$C$25)</f>
        <v>8044.8519900000001</v>
      </c>
      <c r="G27" s="4">
        <f>IF(G26&lt;0,0,G26*'WACC &amp; Loan'!$C$25)</f>
        <v>8590.8524247000041</v>
      </c>
      <c r="H27" s="4">
        <f>IF(H26&lt;0,0,H26*'WACC &amp; Loan'!$C$25)</f>
        <v>9102.2036599409967</v>
      </c>
      <c r="I27" s="4">
        <f>IF(I26&lt;0,0,I26*'WACC &amp; Loan'!$C$25)</f>
        <v>9577.8555097392309</v>
      </c>
      <c r="J27" s="4">
        <f>IF(J26&lt;0,0,J26*'WACC &amp; Loan'!$C$25)</f>
        <v>10016.726068331409</v>
      </c>
      <c r="K27" s="4">
        <f>IF(K26&lt;0,0,K26*'WACC &amp; Loan'!$C$25)</f>
        <v>10417.70075429735</v>
      </c>
      <c r="L27" s="2"/>
    </row>
    <row r="28" spans="1:12" ht="15" thickBot="1" x14ac:dyDescent="0.25">
      <c r="A28" s="3" t="s">
        <v>19</v>
      </c>
      <c r="B28" s="2"/>
      <c r="C28" s="2"/>
      <c r="D28" s="10">
        <f>D26-D27</f>
        <v>8229.5849999999955</v>
      </c>
      <c r="E28" s="10">
        <f t="shared" ref="E28:K28" si="4">E26-E27</f>
        <v>13863.983250000001</v>
      </c>
      <c r="F28" s="10">
        <f t="shared" si="4"/>
        <v>14940.439410000003</v>
      </c>
      <c r="G28" s="10">
        <f t="shared" si="4"/>
        <v>15954.440217300011</v>
      </c>
      <c r="H28" s="10">
        <f t="shared" si="4"/>
        <v>16904.092511318995</v>
      </c>
      <c r="I28" s="10">
        <f t="shared" si="4"/>
        <v>17787.445946658576</v>
      </c>
      <c r="J28" s="10">
        <f t="shared" si="4"/>
        <v>18602.491269758335</v>
      </c>
      <c r="K28" s="10">
        <f t="shared" si="4"/>
        <v>19347.158543695077</v>
      </c>
      <c r="L28" s="2"/>
    </row>
    <row r="29" spans="1:12" ht="15" thickTop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3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3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2"/>
      <c r="B32" s="2" t="s">
        <v>22</v>
      </c>
      <c r="C32" s="2"/>
      <c r="D32" s="11">
        <v>10000</v>
      </c>
      <c r="E32" s="11">
        <v>10000</v>
      </c>
      <c r="F32" s="11">
        <v>10000</v>
      </c>
      <c r="G32" s="11">
        <v>10000</v>
      </c>
      <c r="H32" s="11">
        <v>10000</v>
      </c>
      <c r="I32" s="11">
        <v>10000</v>
      </c>
      <c r="J32" s="11">
        <v>10000</v>
      </c>
      <c r="K32" s="11">
        <v>10000</v>
      </c>
      <c r="L32" s="2"/>
    </row>
    <row r="33" spans="1:12" x14ac:dyDescent="0.2">
      <c r="A33" s="2"/>
      <c r="B33" s="2" t="s">
        <v>23</v>
      </c>
      <c r="C33" s="2"/>
      <c r="D33" s="8">
        <v>7507.2299999999977</v>
      </c>
      <c r="E33" s="8">
        <v>21709.076499999988</v>
      </c>
      <c r="F33" s="8">
        <v>12142.204399999995</v>
      </c>
      <c r="G33" s="8">
        <v>35992.247142</v>
      </c>
      <c r="H33" s="8">
        <v>42986.792171259978</v>
      </c>
      <c r="I33" s="8">
        <v>49879.338956397813</v>
      </c>
      <c r="J33" s="8">
        <v>23155.796338089742</v>
      </c>
      <c r="K33" s="8">
        <v>29836.979797992422</v>
      </c>
      <c r="L33" s="2"/>
    </row>
    <row r="34" spans="1:12" x14ac:dyDescent="0.2">
      <c r="A34" s="2"/>
      <c r="B34" s="2" t="s">
        <v>24</v>
      </c>
      <c r="C34" s="2"/>
      <c r="D34" s="8">
        <f>'Population and Membership fees'!B38</f>
        <v>1039.17</v>
      </c>
      <c r="E34" s="8">
        <f>'Population and Membership fees'!C38</f>
        <v>1091.1285000000003</v>
      </c>
      <c r="F34" s="8">
        <f>'Population and Membership fees'!D38</f>
        <v>1143.0870000000002</v>
      </c>
      <c r="G34" s="8">
        <f>'Population and Membership fees'!E38</f>
        <v>1195.0455000000002</v>
      </c>
      <c r="H34" s="8">
        <f>'Population and Membership fees'!F38</f>
        <v>1247.0040000000001</v>
      </c>
      <c r="I34" s="8">
        <f>'Population and Membership fees'!G38</f>
        <v>1298.9625000000003</v>
      </c>
      <c r="J34" s="8">
        <f>'Population and Membership fees'!H38</f>
        <v>1350.9210000000005</v>
      </c>
      <c r="K34" s="8">
        <f>'Population and Membership fees'!I38</f>
        <v>1402.8795000000007</v>
      </c>
      <c r="L34" s="2"/>
    </row>
    <row r="35" spans="1:12" x14ac:dyDescent="0.2">
      <c r="A35" s="2"/>
      <c r="B35" s="2" t="s">
        <v>56</v>
      </c>
      <c r="C35" s="2"/>
      <c r="D35" s="4">
        <f>Assets!D12</f>
        <v>44700</v>
      </c>
      <c r="E35" s="4">
        <f>Assets!E12</f>
        <v>44700</v>
      </c>
      <c r="F35" s="4">
        <f>Assets!F12</f>
        <v>44700</v>
      </c>
      <c r="G35" s="4">
        <f>Assets!G12</f>
        <v>44700</v>
      </c>
      <c r="H35" s="4">
        <f>Assets!H12</f>
        <v>44700</v>
      </c>
      <c r="I35" s="4">
        <f>Assets!I12</f>
        <v>44700</v>
      </c>
      <c r="J35" s="4">
        <f>Assets!J12</f>
        <v>44700</v>
      </c>
      <c r="K35" s="4">
        <f>Assets!K12</f>
        <v>44700</v>
      </c>
      <c r="L35" s="2"/>
    </row>
    <row r="36" spans="1:1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2"/>
      <c r="B37" s="2" t="s">
        <v>25</v>
      </c>
      <c r="C37" s="2"/>
      <c r="D37" s="2">
        <f>Assets!D13</f>
        <v>5585.5</v>
      </c>
      <c r="E37" s="2">
        <f>Assets!E13</f>
        <v>11171</v>
      </c>
      <c r="F37" s="2">
        <v>0</v>
      </c>
      <c r="G37" s="2">
        <f>Assets!G13</f>
        <v>22342</v>
      </c>
      <c r="H37" s="2">
        <f>Assets!H13</f>
        <v>27927.5</v>
      </c>
      <c r="I37" s="2">
        <f>Assets!I13</f>
        <v>33513</v>
      </c>
      <c r="J37" s="2">
        <f>Assets!J13</f>
        <v>5587.5</v>
      </c>
      <c r="K37" s="2">
        <f>Assets!K13</f>
        <v>11175</v>
      </c>
      <c r="L37" s="2"/>
    </row>
    <row r="38" spans="1:12" x14ac:dyDescent="0.2">
      <c r="A38" s="2"/>
      <c r="B38" s="2"/>
      <c r="C38" s="2"/>
      <c r="D38" s="5"/>
      <c r="E38" s="5"/>
      <c r="F38" s="5"/>
      <c r="G38" s="5"/>
      <c r="H38" s="5"/>
      <c r="I38" s="5"/>
      <c r="J38" s="5"/>
      <c r="K38" s="5"/>
      <c r="L38" s="2"/>
    </row>
    <row r="39" spans="1:12" x14ac:dyDescent="0.2">
      <c r="A39" s="3" t="s">
        <v>26</v>
      </c>
      <c r="B39" s="2"/>
      <c r="C39" s="2"/>
      <c r="D39" s="12">
        <f t="shared" ref="D39:K39" si="5">SUM(D32:D36)-D37</f>
        <v>57660.899999999994</v>
      </c>
      <c r="E39" s="12">
        <f t="shared" si="5"/>
        <v>66329.204999999987</v>
      </c>
      <c r="F39" s="12">
        <f t="shared" si="5"/>
        <v>67985.291399999987</v>
      </c>
      <c r="G39" s="12">
        <f t="shared" si="5"/>
        <v>69545.292642</v>
      </c>
      <c r="H39" s="12">
        <f t="shared" si="5"/>
        <v>71006.296171259979</v>
      </c>
      <c r="I39" s="12">
        <f t="shared" si="5"/>
        <v>72365.301456397807</v>
      </c>
      <c r="J39" s="12">
        <f t="shared" si="5"/>
        <v>73619.217338089744</v>
      </c>
      <c r="K39" s="12">
        <f t="shared" si="5"/>
        <v>74764.859297992429</v>
      </c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3" t="s">
        <v>27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 t="s">
        <v>28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 t="s">
        <v>29</v>
      </c>
      <c r="C43" s="2"/>
      <c r="D43" s="4">
        <f t="shared" ref="D43:K43" si="6">D27</f>
        <v>4431.3149999999978</v>
      </c>
      <c r="E43" s="4">
        <f t="shared" si="6"/>
        <v>7465.2217499999997</v>
      </c>
      <c r="F43" s="4">
        <f t="shared" si="6"/>
        <v>8044.8519900000001</v>
      </c>
      <c r="G43" s="4">
        <f t="shared" si="6"/>
        <v>8590.8524247000041</v>
      </c>
      <c r="H43" s="4">
        <f t="shared" si="6"/>
        <v>9102.2036599409967</v>
      </c>
      <c r="I43" s="4">
        <f t="shared" si="6"/>
        <v>9577.8555097392309</v>
      </c>
      <c r="J43" s="4">
        <f t="shared" si="6"/>
        <v>10016.726068331409</v>
      </c>
      <c r="K43" s="4">
        <f t="shared" si="6"/>
        <v>10417.70075429735</v>
      </c>
      <c r="L43" s="2"/>
    </row>
    <row r="44" spans="1:1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">
      <c r="A45" s="2"/>
      <c r="B45" s="2" t="s">
        <v>30</v>
      </c>
      <c r="C45" s="2"/>
      <c r="D45" s="8"/>
      <c r="E45" s="2"/>
      <c r="F45" s="8"/>
      <c r="G45" s="2"/>
      <c r="H45" s="2"/>
      <c r="I45" s="8"/>
      <c r="J45" s="2"/>
      <c r="K45" s="2"/>
      <c r="L45" s="2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">
      <c r="A47" s="2"/>
      <c r="B47" s="2" t="s">
        <v>75</v>
      </c>
      <c r="C47" s="2"/>
      <c r="D47" s="8">
        <v>45000</v>
      </c>
      <c r="E47" s="8">
        <f>$D$47</f>
        <v>45000</v>
      </c>
      <c r="F47" s="8">
        <f t="shared" ref="F47:K47" si="7">$D$47</f>
        <v>45000</v>
      </c>
      <c r="G47" s="8">
        <f t="shared" si="7"/>
        <v>45000</v>
      </c>
      <c r="H47" s="8">
        <f t="shared" si="7"/>
        <v>45000</v>
      </c>
      <c r="I47" s="8">
        <f t="shared" si="7"/>
        <v>45000</v>
      </c>
      <c r="J47" s="8">
        <f t="shared" si="7"/>
        <v>45000</v>
      </c>
      <c r="K47" s="8">
        <f t="shared" si="7"/>
        <v>45000</v>
      </c>
      <c r="L47" s="2"/>
    </row>
    <row r="48" spans="1:12" x14ac:dyDescent="0.2">
      <c r="A48" s="2"/>
      <c r="B48" s="2" t="s">
        <v>74</v>
      </c>
      <c r="C48" s="2"/>
      <c r="D48" s="4">
        <f t="shared" ref="D48:K48" si="8">D28*0.2</f>
        <v>1645.9169999999992</v>
      </c>
      <c r="E48" s="4">
        <f t="shared" si="8"/>
        <v>2772.7966500000002</v>
      </c>
      <c r="F48" s="4">
        <f t="shared" si="8"/>
        <v>2988.0878820000007</v>
      </c>
      <c r="G48" s="4">
        <f t="shared" si="8"/>
        <v>3190.8880434600023</v>
      </c>
      <c r="H48" s="4">
        <f t="shared" si="8"/>
        <v>3380.818502263799</v>
      </c>
      <c r="I48" s="4">
        <f t="shared" si="8"/>
        <v>3557.4891893317154</v>
      </c>
      <c r="J48" s="4">
        <f t="shared" si="8"/>
        <v>3720.4982539516673</v>
      </c>
      <c r="K48" s="4">
        <f t="shared" si="8"/>
        <v>3869.4317087390154</v>
      </c>
      <c r="L48" s="2"/>
    </row>
    <row r="49" spans="1:15" x14ac:dyDescent="0.2">
      <c r="A49" s="2"/>
      <c r="B49" s="2" t="s">
        <v>31</v>
      </c>
      <c r="C49" s="2"/>
      <c r="D49" s="4">
        <f t="shared" ref="D49:K49" si="9">D28-D48</f>
        <v>6583.667999999996</v>
      </c>
      <c r="E49" s="4">
        <f t="shared" si="9"/>
        <v>11091.186600000001</v>
      </c>
      <c r="F49" s="4">
        <f t="shared" si="9"/>
        <v>11952.351528000003</v>
      </c>
      <c r="G49" s="4">
        <f t="shared" si="9"/>
        <v>12763.552173840009</v>
      </c>
      <c r="H49" s="4">
        <f t="shared" si="9"/>
        <v>13523.274009055196</v>
      </c>
      <c r="I49" s="4">
        <f t="shared" si="9"/>
        <v>14229.956757326861</v>
      </c>
      <c r="J49" s="4">
        <f t="shared" si="9"/>
        <v>14881.993015806667</v>
      </c>
      <c r="K49" s="4">
        <f t="shared" si="9"/>
        <v>15477.726834956062</v>
      </c>
      <c r="L49" s="2"/>
    </row>
    <row r="50" spans="1:15" x14ac:dyDescent="0.2">
      <c r="A50" s="2"/>
      <c r="B50" s="2"/>
      <c r="C50" s="2"/>
      <c r="D50" s="5"/>
      <c r="E50" s="5"/>
      <c r="F50" s="5"/>
      <c r="G50" s="5"/>
      <c r="H50" s="5"/>
      <c r="I50" s="5"/>
      <c r="J50" s="5"/>
      <c r="K50" s="5"/>
      <c r="L50" s="2"/>
    </row>
    <row r="51" spans="1:15" x14ac:dyDescent="0.2">
      <c r="A51" s="3" t="s">
        <v>32</v>
      </c>
      <c r="B51" s="2"/>
      <c r="C51" s="2"/>
      <c r="D51" s="12">
        <f>SUM(D42:D49)</f>
        <v>57660.899999999994</v>
      </c>
      <c r="E51" s="12">
        <f t="shared" ref="E51:K51" si="10">SUM(E42:E49)</f>
        <v>66329.205000000002</v>
      </c>
      <c r="F51" s="12">
        <f t="shared" si="10"/>
        <v>67985.291400000002</v>
      </c>
      <c r="G51" s="12">
        <f t="shared" si="10"/>
        <v>69545.292642000015</v>
      </c>
      <c r="H51" s="12">
        <f t="shared" si="10"/>
        <v>71006.296171259994</v>
      </c>
      <c r="I51" s="12">
        <f t="shared" si="10"/>
        <v>72365.301456397807</v>
      </c>
      <c r="J51" s="12">
        <f t="shared" si="10"/>
        <v>73619.217338089744</v>
      </c>
      <c r="K51" s="12">
        <f t="shared" si="10"/>
        <v>74764.859297992429</v>
      </c>
      <c r="L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5" x14ac:dyDescent="0.2">
      <c r="A53" s="2"/>
      <c r="B53" s="2" t="s">
        <v>76</v>
      </c>
      <c r="C53" s="2"/>
      <c r="D53" s="4">
        <f>D39-D51</f>
        <v>0</v>
      </c>
      <c r="E53" s="4">
        <f t="shared" ref="E53:K53" si="11">E39-E51</f>
        <v>0</v>
      </c>
      <c r="F53" s="4">
        <f t="shared" si="11"/>
        <v>0</v>
      </c>
      <c r="G53" s="4">
        <f t="shared" si="11"/>
        <v>0</v>
      </c>
      <c r="H53" s="4">
        <f t="shared" si="11"/>
        <v>0</v>
      </c>
      <c r="I53" s="4">
        <f t="shared" si="11"/>
        <v>0</v>
      </c>
      <c r="J53" s="4">
        <f t="shared" si="11"/>
        <v>0</v>
      </c>
      <c r="K53" s="4">
        <f t="shared" si="11"/>
        <v>0</v>
      </c>
      <c r="L53" s="2"/>
    </row>
    <row r="54" spans="1:15" x14ac:dyDescent="0.2">
      <c r="A54" s="2"/>
      <c r="B54" s="2">
        <f>COUNTA(D53:O53)</f>
        <v>8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5" x14ac:dyDescent="0.2">
      <c r="A57" s="44" t="s">
        <v>109</v>
      </c>
      <c r="B57" s="44"/>
      <c r="C57" s="2"/>
      <c r="D57" s="48">
        <v>0</v>
      </c>
      <c r="E57" s="48">
        <v>1</v>
      </c>
      <c r="F57" s="48">
        <v>2</v>
      </c>
      <c r="G57" s="48">
        <v>3</v>
      </c>
      <c r="H57" s="48">
        <v>4</v>
      </c>
      <c r="I57" s="48">
        <v>5</v>
      </c>
      <c r="J57" s="48">
        <v>6</v>
      </c>
      <c r="K57" s="48">
        <v>7</v>
      </c>
      <c r="L57" s="48">
        <v>8</v>
      </c>
      <c r="M57" s="2"/>
      <c r="N57" s="2"/>
      <c r="O57" s="2"/>
    </row>
    <row r="58" spans="1:15" x14ac:dyDescent="0.2">
      <c r="A58" s="45" t="s">
        <v>110</v>
      </c>
      <c r="B58" s="44"/>
      <c r="C58" s="2"/>
      <c r="D58" s="3" t="s">
        <v>165</v>
      </c>
      <c r="E58" s="3">
        <f t="shared" ref="E58:L58" si="12">D4</f>
        <v>2013</v>
      </c>
      <c r="F58" s="3">
        <f t="shared" si="12"/>
        <v>2014</v>
      </c>
      <c r="G58" s="3">
        <f t="shared" si="12"/>
        <v>2015</v>
      </c>
      <c r="H58" s="3">
        <f t="shared" si="12"/>
        <v>2016</v>
      </c>
      <c r="I58" s="3">
        <f t="shared" si="12"/>
        <v>2017</v>
      </c>
      <c r="J58" s="3">
        <f t="shared" si="12"/>
        <v>2018</v>
      </c>
      <c r="K58" s="3">
        <f t="shared" si="12"/>
        <v>2019</v>
      </c>
      <c r="L58" s="3">
        <f t="shared" si="12"/>
        <v>2020</v>
      </c>
      <c r="M58" s="2"/>
      <c r="N58" s="2"/>
      <c r="O58" s="2"/>
    </row>
    <row r="59" spans="1:15" x14ac:dyDescent="0.2">
      <c r="A59" s="44"/>
      <c r="B59" s="44" t="s">
        <v>111</v>
      </c>
      <c r="C59" s="2"/>
      <c r="D59" s="2"/>
      <c r="E59" s="4">
        <f t="shared" ref="E59:L59" si="13">D8-D20</f>
        <v>18246.399999999994</v>
      </c>
      <c r="F59" s="4">
        <f t="shared" si="13"/>
        <v>26914.705000000002</v>
      </c>
      <c r="G59" s="4">
        <f t="shared" si="13"/>
        <v>28570.791400000002</v>
      </c>
      <c r="H59" s="4">
        <f t="shared" si="13"/>
        <v>30130.792642000015</v>
      </c>
      <c r="I59" s="4">
        <f t="shared" si="13"/>
        <v>31591.796171259994</v>
      </c>
      <c r="J59" s="4">
        <f t="shared" si="13"/>
        <v>32950.801456397807</v>
      </c>
      <c r="K59" s="4">
        <f t="shared" si="13"/>
        <v>34204.717338089744</v>
      </c>
      <c r="L59" s="4">
        <f t="shared" si="13"/>
        <v>35350.359297992429</v>
      </c>
      <c r="M59" s="2"/>
      <c r="N59" s="2"/>
      <c r="O59" s="2"/>
    </row>
    <row r="60" spans="1:15" x14ac:dyDescent="0.2">
      <c r="A60" s="44"/>
      <c r="B60" s="44" t="s">
        <v>112</v>
      </c>
      <c r="C60" s="2"/>
      <c r="D60" s="2"/>
      <c r="E60" s="4">
        <f t="shared" ref="E60:L60" si="14">D22</f>
        <v>5585.5</v>
      </c>
      <c r="F60" s="4">
        <f t="shared" si="14"/>
        <v>5585.5</v>
      </c>
      <c r="G60" s="4">
        <f t="shared" si="14"/>
        <v>5585.5</v>
      </c>
      <c r="H60" s="4">
        <f t="shared" si="14"/>
        <v>5585.5</v>
      </c>
      <c r="I60" s="4">
        <f t="shared" si="14"/>
        <v>5585.5</v>
      </c>
      <c r="J60" s="4">
        <f t="shared" si="14"/>
        <v>5585.5</v>
      </c>
      <c r="K60" s="4">
        <f t="shared" si="14"/>
        <v>5585.5</v>
      </c>
      <c r="L60" s="4">
        <f t="shared" si="14"/>
        <v>5585.5</v>
      </c>
      <c r="M60" s="2"/>
      <c r="N60" s="2"/>
      <c r="O60" s="2"/>
    </row>
    <row r="61" spans="1:15" x14ac:dyDescent="0.2">
      <c r="A61" s="44"/>
      <c r="B61" s="44" t="s">
        <v>113</v>
      </c>
      <c r="C61" s="2"/>
      <c r="D61" s="2"/>
      <c r="E61" s="4">
        <f>E59-E60</f>
        <v>12660.899999999994</v>
      </c>
      <c r="F61" s="4">
        <f t="shared" ref="F61:L61" si="15">F59-F60</f>
        <v>21329.205000000002</v>
      </c>
      <c r="G61" s="4">
        <f t="shared" si="15"/>
        <v>22985.291400000002</v>
      </c>
      <c r="H61" s="4">
        <f t="shared" si="15"/>
        <v>24545.292642000015</v>
      </c>
      <c r="I61" s="4">
        <f t="shared" si="15"/>
        <v>26006.296171259994</v>
      </c>
      <c r="J61" s="4">
        <f t="shared" si="15"/>
        <v>27365.301456397807</v>
      </c>
      <c r="K61" s="4">
        <f t="shared" si="15"/>
        <v>28619.217338089744</v>
      </c>
      <c r="L61" s="4">
        <f t="shared" si="15"/>
        <v>29764.859297992429</v>
      </c>
      <c r="M61" s="2"/>
      <c r="N61" s="2"/>
      <c r="O61" s="2"/>
    </row>
    <row r="62" spans="1:15" x14ac:dyDescent="0.2">
      <c r="A62" s="44"/>
      <c r="B62" s="44" t="s">
        <v>114</v>
      </c>
      <c r="C62" s="2"/>
      <c r="D62" s="2"/>
      <c r="E62" s="4">
        <f>E61*0.35</f>
        <v>4431.3149999999978</v>
      </c>
      <c r="F62" s="4">
        <f t="shared" ref="F62:L62" si="16">F61*0.35</f>
        <v>7465.2217499999997</v>
      </c>
      <c r="G62" s="4">
        <f t="shared" si="16"/>
        <v>8044.8519900000001</v>
      </c>
      <c r="H62" s="4">
        <f t="shared" si="16"/>
        <v>8590.8524247000041</v>
      </c>
      <c r="I62" s="4">
        <f t="shared" si="16"/>
        <v>9102.2036599409967</v>
      </c>
      <c r="J62" s="4">
        <f t="shared" si="16"/>
        <v>9577.8555097392309</v>
      </c>
      <c r="K62" s="4">
        <f t="shared" si="16"/>
        <v>10016.726068331409</v>
      </c>
      <c r="L62" s="4">
        <f t="shared" si="16"/>
        <v>10417.70075429735</v>
      </c>
      <c r="M62" s="2"/>
      <c r="N62" s="2"/>
      <c r="O62" s="2"/>
    </row>
    <row r="63" spans="1:15" x14ac:dyDescent="0.2">
      <c r="A63" s="44"/>
      <c r="B63" s="44" t="s">
        <v>115</v>
      </c>
      <c r="C63" s="2"/>
      <c r="D63" s="2"/>
      <c r="E63" s="4">
        <f>E60</f>
        <v>5585.5</v>
      </c>
      <c r="F63" s="4">
        <f t="shared" ref="F63:L63" si="17">F60</f>
        <v>5585.5</v>
      </c>
      <c r="G63" s="4">
        <f t="shared" si="17"/>
        <v>5585.5</v>
      </c>
      <c r="H63" s="4">
        <f t="shared" si="17"/>
        <v>5585.5</v>
      </c>
      <c r="I63" s="4">
        <f t="shared" si="17"/>
        <v>5585.5</v>
      </c>
      <c r="J63" s="4">
        <f t="shared" si="17"/>
        <v>5585.5</v>
      </c>
      <c r="K63" s="4">
        <f t="shared" si="17"/>
        <v>5585.5</v>
      </c>
      <c r="L63" s="4">
        <f t="shared" si="17"/>
        <v>5585.5</v>
      </c>
      <c r="M63" s="2"/>
      <c r="N63" s="2"/>
      <c r="O63" s="2"/>
    </row>
    <row r="64" spans="1:15" x14ac:dyDescent="0.2">
      <c r="A64" s="44"/>
      <c r="B64" s="44" t="s">
        <v>116</v>
      </c>
      <c r="C64" s="2"/>
      <c r="D64" s="2"/>
      <c r="E64" s="4">
        <f>E61-E62+E63</f>
        <v>13815.084999999995</v>
      </c>
      <c r="F64" s="4">
        <f t="shared" ref="F64:L64" si="18">F61-F62+F63</f>
        <v>19449.483250000001</v>
      </c>
      <c r="G64" s="4">
        <f t="shared" si="18"/>
        <v>20525.939410000003</v>
      </c>
      <c r="H64" s="4">
        <f t="shared" si="18"/>
        <v>21539.940217300013</v>
      </c>
      <c r="I64" s="4">
        <f t="shared" si="18"/>
        <v>22489.592511318995</v>
      </c>
      <c r="J64" s="4">
        <f t="shared" si="18"/>
        <v>23372.945946658576</v>
      </c>
      <c r="K64" s="4">
        <f t="shared" si="18"/>
        <v>24187.991269758335</v>
      </c>
      <c r="L64" s="4">
        <f t="shared" si="18"/>
        <v>24932.658543695077</v>
      </c>
      <c r="M64" s="2"/>
      <c r="N64" s="2"/>
      <c r="O64" s="2"/>
    </row>
    <row r="65" spans="1:15" x14ac:dyDescent="0.2">
      <c r="A65" s="44"/>
      <c r="B65" s="4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45" t="s">
        <v>117</v>
      </c>
      <c r="B66" s="4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44"/>
      <c r="B67" s="44" t="s">
        <v>160</v>
      </c>
      <c r="C67" s="2"/>
      <c r="D67" s="4">
        <f>-D35</f>
        <v>-44700</v>
      </c>
      <c r="E67" s="4"/>
      <c r="F67" s="4"/>
      <c r="G67" s="4"/>
      <c r="H67" s="4"/>
      <c r="I67" s="4"/>
      <c r="J67" s="4">
        <f>-Expenses!H35</f>
        <v>-44700</v>
      </c>
      <c r="K67" s="4"/>
      <c r="L67" s="4"/>
      <c r="M67" s="2"/>
      <c r="N67" s="2"/>
      <c r="O67" s="2"/>
    </row>
    <row r="68" spans="1:15" x14ac:dyDescent="0.2">
      <c r="A68" s="44"/>
      <c r="B68" s="44" t="s">
        <v>118</v>
      </c>
      <c r="C68" s="2"/>
      <c r="D68" s="2"/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/>
      <c r="N68" s="2"/>
      <c r="O68" s="2"/>
    </row>
    <row r="69" spans="1:15" x14ac:dyDescent="0.2">
      <c r="A69" s="44"/>
      <c r="B69" s="44" t="s">
        <v>119</v>
      </c>
      <c r="C69" s="2"/>
      <c r="D69" s="2"/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/>
      <c r="N69" s="2"/>
      <c r="O69" s="2"/>
    </row>
    <row r="70" spans="1:15" x14ac:dyDescent="0.2">
      <c r="A70" s="44"/>
      <c r="B70" s="4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45" t="s">
        <v>120</v>
      </c>
      <c r="B71" s="4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44" t="s">
        <v>121</v>
      </c>
      <c r="B72" s="44" t="s">
        <v>24</v>
      </c>
      <c r="C72" s="2"/>
      <c r="D72" s="2"/>
      <c r="E72" s="4">
        <f>-(D34)</f>
        <v>-1039.17</v>
      </c>
      <c r="F72" s="4">
        <f>(D34-E34)</f>
        <v>-51.958500000000186</v>
      </c>
      <c r="G72" s="4">
        <f t="shared" ref="G72:L72" si="19">(E34-F34)</f>
        <v>-51.958499999999958</v>
      </c>
      <c r="H72" s="4">
        <f t="shared" si="19"/>
        <v>-51.958499999999958</v>
      </c>
      <c r="I72" s="4">
        <f t="shared" si="19"/>
        <v>-51.958499999999958</v>
      </c>
      <c r="J72" s="4">
        <f t="shared" si="19"/>
        <v>-51.958500000000186</v>
      </c>
      <c r="K72" s="4">
        <f t="shared" si="19"/>
        <v>-51.958500000000186</v>
      </c>
      <c r="L72" s="4">
        <f t="shared" si="19"/>
        <v>-51.958500000000186</v>
      </c>
      <c r="M72" s="2"/>
      <c r="N72" s="2"/>
      <c r="O72" s="2"/>
    </row>
    <row r="73" spans="1:15" x14ac:dyDescent="0.2">
      <c r="A73" s="44" t="s">
        <v>121</v>
      </c>
      <c r="B73" s="44" t="s">
        <v>122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44" t="s">
        <v>123</v>
      </c>
      <c r="B74" s="44" t="s">
        <v>124</v>
      </c>
      <c r="C74" s="2"/>
      <c r="D74" s="2"/>
      <c r="E74" s="4">
        <f>E62</f>
        <v>4431.3149999999978</v>
      </c>
      <c r="F74" s="4">
        <f t="shared" ref="F74:L74" si="20">F62</f>
        <v>7465.2217499999997</v>
      </c>
      <c r="G74" s="4">
        <f t="shared" si="20"/>
        <v>8044.8519900000001</v>
      </c>
      <c r="H74" s="4">
        <f t="shared" si="20"/>
        <v>8590.8524247000041</v>
      </c>
      <c r="I74" s="4">
        <f t="shared" si="20"/>
        <v>9102.2036599409967</v>
      </c>
      <c r="J74" s="4">
        <f t="shared" si="20"/>
        <v>9577.8555097392309</v>
      </c>
      <c r="K74" s="4">
        <f t="shared" si="20"/>
        <v>10016.726068331409</v>
      </c>
      <c r="L74" s="4">
        <f t="shared" si="20"/>
        <v>10417.70075429735</v>
      </c>
      <c r="M74" s="2"/>
      <c r="N74" s="2"/>
      <c r="O74" s="2"/>
    </row>
    <row r="75" spans="1:15" x14ac:dyDescent="0.2">
      <c r="A75" s="44" t="s">
        <v>123</v>
      </c>
      <c r="B75" s="44" t="s">
        <v>125</v>
      </c>
      <c r="C75" s="2"/>
      <c r="D75" s="2"/>
      <c r="E75" s="2">
        <f t="shared" ref="E75:L75" si="21">D42</f>
        <v>0</v>
      </c>
      <c r="F75" s="2">
        <f t="shared" si="21"/>
        <v>0</v>
      </c>
      <c r="G75" s="2">
        <f t="shared" si="21"/>
        <v>0</v>
      </c>
      <c r="H75" s="2">
        <f t="shared" si="21"/>
        <v>0</v>
      </c>
      <c r="I75" s="2">
        <f t="shared" si="21"/>
        <v>0</v>
      </c>
      <c r="J75" s="2">
        <f t="shared" si="21"/>
        <v>0</v>
      </c>
      <c r="K75" s="2">
        <f t="shared" si="21"/>
        <v>0</v>
      </c>
      <c r="L75" s="2">
        <f t="shared" si="21"/>
        <v>0</v>
      </c>
      <c r="M75" s="2"/>
      <c r="N75" s="2"/>
      <c r="O75" s="2"/>
    </row>
    <row r="76" spans="1:15" x14ac:dyDescent="0.2">
      <c r="A76" s="44"/>
      <c r="B76" s="4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45" t="s">
        <v>126</v>
      </c>
      <c r="B77" s="4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44" t="s">
        <v>123</v>
      </c>
      <c r="B78" s="44" t="s">
        <v>24</v>
      </c>
      <c r="C78" s="2"/>
      <c r="D78" s="2"/>
      <c r="E78" s="4"/>
      <c r="F78" s="4"/>
      <c r="G78" s="4"/>
      <c r="H78" s="4"/>
      <c r="I78" s="4"/>
      <c r="J78" s="4"/>
      <c r="K78" s="4"/>
      <c r="L78" s="4">
        <f t="shared" ref="L78" si="22">K34</f>
        <v>1402.8795000000007</v>
      </c>
      <c r="M78" s="2"/>
      <c r="N78" s="2"/>
      <c r="O78" s="2"/>
    </row>
    <row r="79" spans="1:15" x14ac:dyDescent="0.2">
      <c r="A79" s="44" t="s">
        <v>123</v>
      </c>
      <c r="B79" s="44" t="s">
        <v>122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44" t="s">
        <v>121</v>
      </c>
      <c r="B80" s="44" t="s">
        <v>124</v>
      </c>
      <c r="C80" s="2"/>
      <c r="D80" s="2"/>
      <c r="E80" s="4"/>
      <c r="F80" s="4"/>
      <c r="G80" s="4"/>
      <c r="H80" s="4"/>
      <c r="I80" s="4"/>
      <c r="J80" s="4"/>
      <c r="K80" s="4"/>
      <c r="L80" s="4">
        <f t="shared" ref="L80" si="23">-K43</f>
        <v>-10417.70075429735</v>
      </c>
      <c r="M80" s="2"/>
      <c r="N80" s="2"/>
      <c r="O80" s="2"/>
    </row>
    <row r="81" spans="1:15" x14ac:dyDescent="0.2">
      <c r="A81" s="44" t="s">
        <v>121</v>
      </c>
      <c r="B81" s="44" t="s">
        <v>125</v>
      </c>
      <c r="C81" s="2"/>
      <c r="D81" s="2"/>
      <c r="E81" s="2"/>
      <c r="F81" s="2"/>
      <c r="G81" s="2"/>
      <c r="H81" s="2"/>
      <c r="I81" s="2"/>
      <c r="J81" s="2"/>
      <c r="K81" s="2"/>
      <c r="L81" s="2">
        <f t="shared" ref="L81" si="24">-K42</f>
        <v>0</v>
      </c>
      <c r="M81" s="2"/>
      <c r="N81" s="2"/>
      <c r="O81" s="2"/>
    </row>
    <row r="82" spans="1:15" x14ac:dyDescent="0.2">
      <c r="A82" s="44"/>
      <c r="B82" s="4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45" t="s">
        <v>127</v>
      </c>
      <c r="B83" s="44"/>
      <c r="C83" s="2"/>
      <c r="D83" s="4">
        <f>SUM(D64:D81)</f>
        <v>-44700</v>
      </c>
      <c r="E83" s="4">
        <f>SUM(E64:E81)</f>
        <v>17207.229999999992</v>
      </c>
      <c r="F83" s="4">
        <f t="shared" ref="F83:L83" si="25">SUM(F64:F81)</f>
        <v>26862.746500000001</v>
      </c>
      <c r="G83" s="4">
        <f t="shared" si="25"/>
        <v>28518.832900000001</v>
      </c>
      <c r="H83" s="4">
        <f t="shared" si="25"/>
        <v>30078.834142000014</v>
      </c>
      <c r="I83" s="4">
        <f t="shared" si="25"/>
        <v>31539.837671259993</v>
      </c>
      <c r="J83" s="4">
        <f t="shared" si="25"/>
        <v>-11801.157043602194</v>
      </c>
      <c r="K83" s="4">
        <f t="shared" si="25"/>
        <v>34152.758838089743</v>
      </c>
      <c r="L83" s="4">
        <f t="shared" si="25"/>
        <v>26283.579543695079</v>
      </c>
      <c r="M83" s="2"/>
      <c r="N83" s="2"/>
      <c r="O83" s="2"/>
    </row>
    <row r="84" spans="1:15" x14ac:dyDescent="0.2">
      <c r="A84" s="44"/>
      <c r="B84" s="4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44" t="s">
        <v>166</v>
      </c>
      <c r="B85" s="46">
        <f>'WACC &amp; Loan'!C30</f>
        <v>9.4912715402766218E-2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44" t="s">
        <v>128</v>
      </c>
      <c r="B86" s="44"/>
      <c r="C86" s="2"/>
      <c r="D86" s="47">
        <f>-PV($B$85,D57,,D83)</f>
        <v>-44700</v>
      </c>
      <c r="E86" s="47">
        <f t="shared" ref="E86:L86" si="26">-PV($B$85,E57,,E83)</f>
        <v>15715.618019533431</v>
      </c>
      <c r="F86" s="47">
        <f t="shared" si="26"/>
        <v>22407.39732408545</v>
      </c>
      <c r="G86" s="47">
        <f t="shared" si="26"/>
        <v>21726.674127963957</v>
      </c>
      <c r="H86" s="47">
        <f t="shared" si="26"/>
        <v>20928.736091664665</v>
      </c>
      <c r="I86" s="47">
        <f t="shared" si="26"/>
        <v>20042.964493870288</v>
      </c>
      <c r="J86" s="47">
        <f t="shared" si="26"/>
        <v>-6849.3221585737228</v>
      </c>
      <c r="K86" s="47">
        <f t="shared" si="26"/>
        <v>18103.781366526884</v>
      </c>
      <c r="L86" s="47">
        <f t="shared" si="26"/>
        <v>12724.728257532479</v>
      </c>
      <c r="M86" s="2"/>
      <c r="N86" s="2"/>
      <c r="O86" s="2"/>
    </row>
    <row r="87" spans="1:15" x14ac:dyDescent="0.2">
      <c r="A87" s="44"/>
      <c r="B87" s="4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44" t="s">
        <v>129</v>
      </c>
      <c r="B88" s="44"/>
      <c r="C88" s="2"/>
      <c r="D88" s="47">
        <f>SUM(D86:L86)</f>
        <v>80100.577522603431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44" t="s">
        <v>130</v>
      </c>
      <c r="B89" s="44"/>
      <c r="C89" s="2"/>
      <c r="D89" s="14">
        <f>IRR(D86:L86)</f>
        <v>0.36155123427041169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47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</sheetData>
  <phoneticPr fontId="16" type="noConversion"/>
  <pageMargins left="0.75" right="0.75" top="1" bottom="1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I39"/>
  <sheetViews>
    <sheetView workbookViewId="0">
      <selection activeCell="A7" sqref="A7"/>
    </sheetView>
  </sheetViews>
  <sheetFormatPr defaultColWidth="11" defaultRowHeight="15.75" x14ac:dyDescent="0.25"/>
  <cols>
    <col min="1" max="1" width="32" style="16" bestFit="1" customWidth="1"/>
    <col min="2" max="9" width="12.875" style="16" bestFit="1" customWidth="1"/>
    <col min="10" max="16384" width="11" style="16"/>
  </cols>
  <sheetData>
    <row r="1" spans="1:7" ht="27" customHeight="1" x14ac:dyDescent="0.25">
      <c r="A1" s="104" t="s">
        <v>172</v>
      </c>
    </row>
    <row r="2" spans="1:7" s="93" customFormat="1" ht="5.25" customHeight="1" x14ac:dyDescent="0.25">
      <c r="A2" s="105"/>
    </row>
    <row r="3" spans="1:7" ht="8.25" customHeight="1" x14ac:dyDescent="0.25">
      <c r="A3" s="106"/>
    </row>
    <row r="4" spans="1:7" x14ac:dyDescent="0.25">
      <c r="A4" s="68" t="s">
        <v>0</v>
      </c>
      <c r="B4" s="107">
        <v>373698</v>
      </c>
      <c r="C4" s="16" t="s">
        <v>6</v>
      </c>
    </row>
    <row r="5" spans="1:7" x14ac:dyDescent="0.25">
      <c r="A5" s="68" t="s">
        <v>5</v>
      </c>
      <c r="B5" s="96">
        <v>0.15</v>
      </c>
      <c r="C5" s="108" t="s">
        <v>6</v>
      </c>
    </row>
    <row r="6" spans="1:7" x14ac:dyDescent="0.25">
      <c r="A6" s="68" t="s">
        <v>7</v>
      </c>
      <c r="B6" s="95">
        <f>B4*B5</f>
        <v>56054.7</v>
      </c>
    </row>
    <row r="7" spans="1:7" x14ac:dyDescent="0.25">
      <c r="A7" s="68" t="s">
        <v>8</v>
      </c>
      <c r="B7" s="95">
        <v>39</v>
      </c>
      <c r="C7" s="108" t="s">
        <v>6</v>
      </c>
    </row>
    <row r="8" spans="1:7" x14ac:dyDescent="0.25">
      <c r="A8" s="68" t="s">
        <v>9</v>
      </c>
      <c r="B8" s="95">
        <f>B6/B7</f>
        <v>1437.3</v>
      </c>
    </row>
    <row r="9" spans="1:7" x14ac:dyDescent="0.25">
      <c r="A9" s="68" t="s">
        <v>43</v>
      </c>
      <c r="B9" s="95">
        <v>737</v>
      </c>
      <c r="G9" s="109"/>
    </row>
    <row r="13" spans="1:7" x14ac:dyDescent="0.25">
      <c r="A13" s="16" t="s">
        <v>11</v>
      </c>
      <c r="B13" s="110">
        <v>0.10199999999999999</v>
      </c>
      <c r="C13" s="108" t="s">
        <v>6</v>
      </c>
    </row>
    <row r="14" spans="1:7" x14ac:dyDescent="0.25">
      <c r="A14" s="16" t="s">
        <v>12</v>
      </c>
      <c r="B14" s="111">
        <f>B13/10</f>
        <v>1.0199999999999999E-2</v>
      </c>
    </row>
    <row r="18" spans="1:9" x14ac:dyDescent="0.25">
      <c r="A18" s="16" t="s">
        <v>1</v>
      </c>
      <c r="B18" s="16" t="s">
        <v>167</v>
      </c>
      <c r="C18" s="16" t="s">
        <v>4</v>
      </c>
      <c r="D18" s="16" t="s">
        <v>10</v>
      </c>
      <c r="G18" s="97"/>
    </row>
    <row r="19" spans="1:9" x14ac:dyDescent="0.25">
      <c r="A19" s="16" t="s">
        <v>2</v>
      </c>
      <c r="B19" s="112">
        <v>33</v>
      </c>
      <c r="C19" s="16">
        <f>39/12</f>
        <v>3.25</v>
      </c>
      <c r="D19" s="96">
        <v>0.75</v>
      </c>
    </row>
    <row r="20" spans="1:9" x14ac:dyDescent="0.25">
      <c r="A20" s="16" t="s">
        <v>3</v>
      </c>
      <c r="B20" s="112">
        <v>29</v>
      </c>
      <c r="C20" s="16">
        <f>39/12</f>
        <v>3.25</v>
      </c>
      <c r="D20" s="96">
        <v>0.25</v>
      </c>
    </row>
    <row r="23" spans="1:9" x14ac:dyDescent="0.25">
      <c r="B23" s="52">
        <v>2013</v>
      </c>
      <c r="C23" s="52">
        <v>2014</v>
      </c>
      <c r="D23" s="52">
        <v>2015</v>
      </c>
      <c r="E23" s="52">
        <v>2016</v>
      </c>
      <c r="F23" s="52">
        <v>2017</v>
      </c>
      <c r="G23" s="52">
        <v>2018</v>
      </c>
      <c r="H23" s="52">
        <v>2019</v>
      </c>
      <c r="I23" s="52">
        <v>2020</v>
      </c>
    </row>
    <row r="24" spans="1:9" x14ac:dyDescent="0.25">
      <c r="A24" s="68" t="s">
        <v>78</v>
      </c>
      <c r="B24" s="51">
        <v>0.6</v>
      </c>
      <c r="C24" s="50">
        <f>B24-2%</f>
        <v>0.57999999999999996</v>
      </c>
      <c r="D24" s="50">
        <f t="shared" ref="D24:I24" si="0">C24-2%</f>
        <v>0.55999999999999994</v>
      </c>
      <c r="E24" s="50">
        <f t="shared" si="0"/>
        <v>0.53999999999999992</v>
      </c>
      <c r="F24" s="50">
        <f t="shared" si="0"/>
        <v>0.51999999999999991</v>
      </c>
      <c r="G24" s="50">
        <f t="shared" si="0"/>
        <v>0.49999999999999989</v>
      </c>
      <c r="H24" s="50">
        <f t="shared" si="0"/>
        <v>0.47999999999999987</v>
      </c>
      <c r="I24" s="50">
        <f t="shared" si="0"/>
        <v>0.45999999999999985</v>
      </c>
    </row>
    <row r="25" spans="1:9" x14ac:dyDescent="0.25">
      <c r="A25" s="68" t="s">
        <v>77</v>
      </c>
      <c r="B25" s="49">
        <f>$B$9*(1-B24)</f>
        <v>294.8</v>
      </c>
      <c r="C25" s="49">
        <f t="shared" ref="C25:I25" si="1">$B$9*(1-C24)</f>
        <v>309.54000000000002</v>
      </c>
      <c r="D25" s="49">
        <f t="shared" si="1"/>
        <v>324.28000000000003</v>
      </c>
      <c r="E25" s="49">
        <f t="shared" si="1"/>
        <v>339.02000000000004</v>
      </c>
      <c r="F25" s="49">
        <f t="shared" si="1"/>
        <v>353.76000000000005</v>
      </c>
      <c r="G25" s="49">
        <f t="shared" si="1"/>
        <v>368.50000000000006</v>
      </c>
      <c r="H25" s="49">
        <f t="shared" si="1"/>
        <v>383.24000000000012</v>
      </c>
      <c r="I25" s="49">
        <f t="shared" si="1"/>
        <v>397.98000000000013</v>
      </c>
    </row>
    <row r="26" spans="1:9" x14ac:dyDescent="0.25">
      <c r="A26" s="98" t="s">
        <v>2</v>
      </c>
      <c r="B26" s="100">
        <f>(B$25*($B$19+$C$19)*$D$19)*12</f>
        <v>96178.5</v>
      </c>
      <c r="C26" s="100">
        <f t="shared" ref="C26:I26" si="2">(C$25*($B$19+$C$19)*$D$19)*12</f>
        <v>100987.42500000002</v>
      </c>
      <c r="D26" s="100">
        <f t="shared" si="2"/>
        <v>105796.35</v>
      </c>
      <c r="E26" s="100">
        <f t="shared" si="2"/>
        <v>110605.27500000001</v>
      </c>
      <c r="F26" s="100">
        <f t="shared" si="2"/>
        <v>115414.20000000001</v>
      </c>
      <c r="G26" s="100">
        <f t="shared" si="2"/>
        <v>120223.12500000003</v>
      </c>
      <c r="H26" s="100">
        <f t="shared" si="2"/>
        <v>125032.05000000005</v>
      </c>
      <c r="I26" s="100">
        <f t="shared" si="2"/>
        <v>129840.97500000003</v>
      </c>
    </row>
    <row r="27" spans="1:9" x14ac:dyDescent="0.25">
      <c r="A27" s="98" t="s">
        <v>3</v>
      </c>
      <c r="B27" s="100">
        <f>($B$25*($B$20+$C$20)*$D$20)*12</f>
        <v>28521.9</v>
      </c>
      <c r="C27" s="100">
        <f t="shared" ref="C27:I27" si="3">($B$25*($B$20+$C$20)*$D$20)*12</f>
        <v>28521.9</v>
      </c>
      <c r="D27" s="100">
        <f t="shared" si="3"/>
        <v>28521.9</v>
      </c>
      <c r="E27" s="100">
        <f t="shared" si="3"/>
        <v>28521.9</v>
      </c>
      <c r="F27" s="100">
        <f t="shared" si="3"/>
        <v>28521.9</v>
      </c>
      <c r="G27" s="100">
        <f t="shared" si="3"/>
        <v>28521.9</v>
      </c>
      <c r="H27" s="100">
        <f t="shared" si="3"/>
        <v>28521.9</v>
      </c>
      <c r="I27" s="100">
        <f t="shared" si="3"/>
        <v>28521.9</v>
      </c>
    </row>
    <row r="28" spans="1:9" hidden="1" x14ac:dyDescent="0.25">
      <c r="A28" s="16" t="s">
        <v>65</v>
      </c>
    </row>
    <row r="30" spans="1:9" ht="16.5" thickBot="1" x14ac:dyDescent="0.3">
      <c r="A30" s="113" t="s">
        <v>55</v>
      </c>
      <c r="B30" s="114">
        <f>SUM(B26:B29)</f>
        <v>124700.4</v>
      </c>
      <c r="C30" s="114">
        <f t="shared" ref="C30:I30" si="4">SUM(C26:C29)</f>
        <v>129509.32500000001</v>
      </c>
      <c r="D30" s="114">
        <f t="shared" si="4"/>
        <v>134318.25</v>
      </c>
      <c r="E30" s="114">
        <f t="shared" si="4"/>
        <v>139127.17500000002</v>
      </c>
      <c r="F30" s="114">
        <f t="shared" si="4"/>
        <v>143936.1</v>
      </c>
      <c r="G30" s="114">
        <f t="shared" si="4"/>
        <v>148745.02500000002</v>
      </c>
      <c r="H30" s="114">
        <f t="shared" si="4"/>
        <v>153553.95000000004</v>
      </c>
      <c r="I30" s="114">
        <f t="shared" si="4"/>
        <v>158362.87500000003</v>
      </c>
    </row>
    <row r="31" spans="1:9" ht="16.5" thickTop="1" x14ac:dyDescent="0.25"/>
    <row r="32" spans="1:9" x14ac:dyDescent="0.25">
      <c r="A32" s="68" t="s">
        <v>161</v>
      </c>
      <c r="B32" s="16">
        <f>B25*0.1</f>
        <v>29.480000000000004</v>
      </c>
      <c r="C32" s="16">
        <f t="shared" ref="C32:I32" si="5">C25*0.1</f>
        <v>30.954000000000004</v>
      </c>
      <c r="D32" s="16">
        <f t="shared" si="5"/>
        <v>32.428000000000004</v>
      </c>
      <c r="E32" s="16">
        <f t="shared" si="5"/>
        <v>33.902000000000008</v>
      </c>
      <c r="F32" s="16">
        <f t="shared" si="5"/>
        <v>35.376000000000005</v>
      </c>
      <c r="G32" s="16">
        <f t="shared" si="5"/>
        <v>36.850000000000009</v>
      </c>
      <c r="H32" s="16">
        <f t="shared" si="5"/>
        <v>38.324000000000012</v>
      </c>
      <c r="I32" s="16">
        <f t="shared" si="5"/>
        <v>39.798000000000016</v>
      </c>
    </row>
    <row r="33" spans="1:9" x14ac:dyDescent="0.25">
      <c r="A33" s="98" t="s">
        <v>162</v>
      </c>
      <c r="B33" s="16">
        <f>B32*0.75</f>
        <v>22.110000000000003</v>
      </c>
      <c r="C33" s="16">
        <f t="shared" ref="C33:I33" si="6">C32*0.75</f>
        <v>23.215500000000002</v>
      </c>
      <c r="D33" s="16">
        <f t="shared" si="6"/>
        <v>24.321000000000005</v>
      </c>
      <c r="E33" s="16">
        <f t="shared" si="6"/>
        <v>25.426500000000004</v>
      </c>
      <c r="F33" s="16">
        <f t="shared" si="6"/>
        <v>26.532000000000004</v>
      </c>
      <c r="G33" s="16">
        <f t="shared" si="6"/>
        <v>27.637500000000006</v>
      </c>
      <c r="H33" s="16">
        <f t="shared" si="6"/>
        <v>28.743000000000009</v>
      </c>
      <c r="I33" s="16">
        <f t="shared" si="6"/>
        <v>29.848500000000012</v>
      </c>
    </row>
    <row r="34" spans="1:9" x14ac:dyDescent="0.25">
      <c r="A34" s="98" t="s">
        <v>3</v>
      </c>
      <c r="B34" s="16">
        <f>B32*0.25</f>
        <v>7.370000000000001</v>
      </c>
      <c r="C34" s="16">
        <f t="shared" ref="C34:I34" si="7">C32*0.25</f>
        <v>7.738500000000001</v>
      </c>
      <c r="D34" s="16">
        <f t="shared" si="7"/>
        <v>8.1070000000000011</v>
      </c>
      <c r="E34" s="16">
        <f t="shared" si="7"/>
        <v>8.475500000000002</v>
      </c>
      <c r="F34" s="16">
        <f t="shared" si="7"/>
        <v>8.8440000000000012</v>
      </c>
      <c r="G34" s="16">
        <f t="shared" si="7"/>
        <v>9.2125000000000021</v>
      </c>
      <c r="H34" s="16">
        <f t="shared" si="7"/>
        <v>9.5810000000000031</v>
      </c>
      <c r="I34" s="16">
        <f t="shared" si="7"/>
        <v>9.949500000000004</v>
      </c>
    </row>
    <row r="35" spans="1:9" x14ac:dyDescent="0.25">
      <c r="A35" s="68" t="s">
        <v>163</v>
      </c>
    </row>
    <row r="36" spans="1:9" x14ac:dyDescent="0.25">
      <c r="A36" s="98" t="s">
        <v>162</v>
      </c>
      <c r="B36" s="16">
        <f>$B$19+$C$19</f>
        <v>36.25</v>
      </c>
      <c r="C36" s="16">
        <f t="shared" ref="C36:I36" si="8">$B$19+$C$19</f>
        <v>36.25</v>
      </c>
      <c r="D36" s="16">
        <f t="shared" si="8"/>
        <v>36.25</v>
      </c>
      <c r="E36" s="16">
        <f t="shared" si="8"/>
        <v>36.25</v>
      </c>
      <c r="F36" s="16">
        <f t="shared" si="8"/>
        <v>36.25</v>
      </c>
      <c r="G36" s="16">
        <f t="shared" si="8"/>
        <v>36.25</v>
      </c>
      <c r="H36" s="16">
        <f t="shared" si="8"/>
        <v>36.25</v>
      </c>
      <c r="I36" s="16">
        <f t="shared" si="8"/>
        <v>36.25</v>
      </c>
    </row>
    <row r="37" spans="1:9" x14ac:dyDescent="0.25">
      <c r="A37" s="98" t="s">
        <v>3</v>
      </c>
      <c r="B37" s="115">
        <f>$B$20+$C$20</f>
        <v>32.25</v>
      </c>
      <c r="C37" s="115">
        <f t="shared" ref="C37:I37" si="9">$B$20+$C$20</f>
        <v>32.25</v>
      </c>
      <c r="D37" s="115">
        <f t="shared" si="9"/>
        <v>32.25</v>
      </c>
      <c r="E37" s="115">
        <f t="shared" si="9"/>
        <v>32.25</v>
      </c>
      <c r="F37" s="115">
        <f t="shared" si="9"/>
        <v>32.25</v>
      </c>
      <c r="G37" s="115">
        <f t="shared" si="9"/>
        <v>32.25</v>
      </c>
      <c r="H37" s="115">
        <f t="shared" si="9"/>
        <v>32.25</v>
      </c>
      <c r="I37" s="115">
        <f t="shared" si="9"/>
        <v>32.25</v>
      </c>
    </row>
    <row r="38" spans="1:9" ht="16.5" thickBot="1" x14ac:dyDescent="0.3">
      <c r="A38" s="68" t="s">
        <v>164</v>
      </c>
      <c r="B38" s="116">
        <f>(B33*B36)+(B37*B34)</f>
        <v>1039.17</v>
      </c>
      <c r="C38" s="116">
        <f t="shared" ref="C38:I38" si="10">(C33*C36)+(C37*C34)</f>
        <v>1091.1285000000003</v>
      </c>
      <c r="D38" s="116">
        <f t="shared" si="10"/>
        <v>1143.0870000000002</v>
      </c>
      <c r="E38" s="116">
        <f t="shared" si="10"/>
        <v>1195.0455000000002</v>
      </c>
      <c r="F38" s="116">
        <f t="shared" si="10"/>
        <v>1247.0040000000001</v>
      </c>
      <c r="G38" s="116">
        <f t="shared" si="10"/>
        <v>1298.9625000000003</v>
      </c>
      <c r="H38" s="116">
        <f t="shared" si="10"/>
        <v>1350.9210000000005</v>
      </c>
      <c r="I38" s="116">
        <f t="shared" si="10"/>
        <v>1402.8795000000007</v>
      </c>
    </row>
    <row r="39" spans="1:9" ht="16.5" thickTop="1" x14ac:dyDescent="0.25"/>
  </sheetData>
  <phoneticPr fontId="16" type="noConversion"/>
  <hyperlinks>
    <hyperlink ref="C5" r:id="rId1"/>
    <hyperlink ref="C7" r:id="rId2"/>
    <hyperlink ref="C13" r:id="rId3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O35"/>
  <sheetViews>
    <sheetView workbookViewId="0">
      <selection activeCell="A35" sqref="A35:J35"/>
    </sheetView>
  </sheetViews>
  <sheetFormatPr defaultColWidth="10.875" defaultRowHeight="14.25" x14ac:dyDescent="0.2"/>
  <cols>
    <col min="1" max="1" width="20.5" style="1" bestFit="1" customWidth="1"/>
    <col min="2" max="2" width="15.625" style="1" bestFit="1" customWidth="1"/>
    <col min="3" max="10" width="10.875" style="1"/>
    <col min="11" max="11" width="19.875" style="1" bestFit="1" customWidth="1"/>
    <col min="12" max="16384" width="10.875" style="1"/>
  </cols>
  <sheetData>
    <row r="1" spans="1:15" ht="22.5" x14ac:dyDescent="0.3">
      <c r="A1" s="89" t="s">
        <v>48</v>
      </c>
    </row>
    <row r="2" spans="1:15" s="91" customFormat="1" ht="5.25" customHeight="1" x14ac:dyDescent="0.2"/>
    <row r="4" spans="1:15" x14ac:dyDescent="0.2">
      <c r="F4" s="1" t="s">
        <v>45</v>
      </c>
      <c r="H4" s="59">
        <v>0.03</v>
      </c>
      <c r="J4" s="1" t="s">
        <v>53</v>
      </c>
      <c r="K4" s="58">
        <v>16</v>
      </c>
      <c r="M4" s="1" t="s">
        <v>69</v>
      </c>
      <c r="O4" s="58">
        <v>7.25</v>
      </c>
    </row>
    <row r="5" spans="1:15" x14ac:dyDescent="0.2">
      <c r="F5" s="1" t="s">
        <v>49</v>
      </c>
      <c r="H5" s="61">
        <v>4000</v>
      </c>
      <c r="M5" s="1" t="s">
        <v>70</v>
      </c>
      <c r="O5" s="58">
        <v>40</v>
      </c>
    </row>
    <row r="6" spans="1:15" x14ac:dyDescent="0.2">
      <c r="F6" s="1" t="s">
        <v>50</v>
      </c>
      <c r="H6" s="58">
        <v>365</v>
      </c>
      <c r="M6" s="1" t="s">
        <v>71</v>
      </c>
      <c r="O6" s="58">
        <v>56</v>
      </c>
    </row>
    <row r="7" spans="1:15" x14ac:dyDescent="0.2">
      <c r="F7" s="1" t="s">
        <v>51</v>
      </c>
      <c r="H7" s="58">
        <v>24</v>
      </c>
      <c r="M7" s="1" t="s">
        <v>55</v>
      </c>
      <c r="O7" s="1">
        <f>O4*O5*O6</f>
        <v>16240</v>
      </c>
    </row>
    <row r="8" spans="1:15" x14ac:dyDescent="0.2">
      <c r="F8" s="1" t="s">
        <v>52</v>
      </c>
      <c r="H8" s="58">
        <v>0.1</v>
      </c>
    </row>
    <row r="9" spans="1:15" x14ac:dyDescent="0.2">
      <c r="F9" s="1" t="s">
        <v>54</v>
      </c>
      <c r="H9" s="58">
        <v>18.899999999999999</v>
      </c>
      <c r="K9" s="49" t="s">
        <v>39</v>
      </c>
    </row>
    <row r="10" spans="1:15" x14ac:dyDescent="0.2">
      <c r="F10" s="1" t="s">
        <v>88</v>
      </c>
      <c r="H10" s="1">
        <f>(H5*H9)*H8</f>
        <v>7560</v>
      </c>
      <c r="K10" s="1" t="s">
        <v>83</v>
      </c>
      <c r="L10" s="60">
        <v>80</v>
      </c>
    </row>
    <row r="11" spans="1:15" x14ac:dyDescent="0.2">
      <c r="A11" s="1" t="s">
        <v>40</v>
      </c>
      <c r="F11" s="1" t="s">
        <v>89</v>
      </c>
      <c r="H11" s="1">
        <f>$H$10*I11</f>
        <v>5670</v>
      </c>
      <c r="I11" s="59">
        <v>0.75</v>
      </c>
      <c r="K11" s="1" t="s">
        <v>84</v>
      </c>
      <c r="L11" s="58">
        <v>0.05</v>
      </c>
    </row>
    <row r="12" spans="1:15" x14ac:dyDescent="0.2">
      <c r="A12" s="1" t="s">
        <v>41</v>
      </c>
      <c r="F12" s="1" t="s">
        <v>90</v>
      </c>
      <c r="H12" s="1">
        <f>$H$10*I12</f>
        <v>1890</v>
      </c>
      <c r="I12" s="59">
        <v>0.25</v>
      </c>
      <c r="K12" s="1" t="s">
        <v>85</v>
      </c>
      <c r="L12" s="1">
        <v>2120</v>
      </c>
      <c r="N12" s="1">
        <f>106/L11</f>
        <v>2120</v>
      </c>
    </row>
    <row r="13" spans="1:15" x14ac:dyDescent="0.2">
      <c r="A13" s="1" t="s">
        <v>44</v>
      </c>
      <c r="C13" s="58">
        <v>449</v>
      </c>
      <c r="K13" s="1" t="s">
        <v>86</v>
      </c>
      <c r="L13" s="1">
        <f>(L11*L12)</f>
        <v>106</v>
      </c>
    </row>
    <row r="14" spans="1:15" x14ac:dyDescent="0.2">
      <c r="A14" s="1" t="s">
        <v>46</v>
      </c>
      <c r="C14" s="58">
        <v>20</v>
      </c>
      <c r="K14" s="1" t="s">
        <v>87</v>
      </c>
      <c r="L14" s="1">
        <f>L13*12</f>
        <v>1272</v>
      </c>
    </row>
    <row r="18" spans="1:10" x14ac:dyDescent="0.2">
      <c r="C18" s="49">
        <v>2013</v>
      </c>
      <c r="D18" s="49">
        <v>2014</v>
      </c>
      <c r="E18" s="49">
        <v>2015</v>
      </c>
      <c r="F18" s="49">
        <v>2016</v>
      </c>
      <c r="G18" s="49">
        <v>2017</v>
      </c>
      <c r="H18" s="49">
        <v>2018</v>
      </c>
      <c r="I18" s="49">
        <v>2019</v>
      </c>
      <c r="J18" s="49">
        <v>2020</v>
      </c>
    </row>
    <row r="19" spans="1:10" x14ac:dyDescent="0.2">
      <c r="A19" s="1" t="s">
        <v>33</v>
      </c>
      <c r="C19" s="1">
        <f>H5*K4</f>
        <v>64000</v>
      </c>
      <c r="D19" s="55">
        <f t="shared" ref="D19:J22" si="0">C19*(1+$H$4)</f>
        <v>65920</v>
      </c>
      <c r="E19" s="55">
        <f t="shared" si="0"/>
        <v>67897.600000000006</v>
      </c>
      <c r="F19" s="55">
        <f t="shared" si="0"/>
        <v>69934.528000000006</v>
      </c>
      <c r="G19" s="55">
        <f t="shared" si="0"/>
        <v>72032.563840000003</v>
      </c>
      <c r="H19" s="55">
        <f t="shared" si="0"/>
        <v>74193.540755200011</v>
      </c>
      <c r="I19" s="55">
        <f t="shared" si="0"/>
        <v>76419.34697785601</v>
      </c>
      <c r="J19" s="55">
        <f t="shared" si="0"/>
        <v>78711.927387191696</v>
      </c>
    </row>
    <row r="20" spans="1:10" x14ac:dyDescent="0.2">
      <c r="A20" s="1" t="s">
        <v>34</v>
      </c>
      <c r="C20" s="1">
        <v>4233</v>
      </c>
      <c r="D20" s="55">
        <f t="shared" si="0"/>
        <v>4359.99</v>
      </c>
      <c r="E20" s="55">
        <f t="shared" si="0"/>
        <v>4490.7897000000003</v>
      </c>
      <c r="F20" s="55">
        <f t="shared" si="0"/>
        <v>4625.5133910000004</v>
      </c>
      <c r="G20" s="55">
        <f t="shared" si="0"/>
        <v>4764.2787927300005</v>
      </c>
      <c r="H20" s="55">
        <f t="shared" si="0"/>
        <v>4907.2071565119004</v>
      </c>
      <c r="I20" s="55">
        <f t="shared" si="0"/>
        <v>5054.4233712072573</v>
      </c>
      <c r="J20" s="55">
        <f t="shared" si="0"/>
        <v>5206.0560723434755</v>
      </c>
    </row>
    <row r="21" spans="1:10" x14ac:dyDescent="0.2">
      <c r="A21" s="1" t="s">
        <v>35</v>
      </c>
      <c r="C21" s="1">
        <v>2500</v>
      </c>
      <c r="D21" s="55">
        <f t="shared" si="0"/>
        <v>2575</v>
      </c>
      <c r="E21" s="55">
        <f t="shared" si="0"/>
        <v>2652.25</v>
      </c>
      <c r="F21" s="55">
        <f t="shared" si="0"/>
        <v>2731.8175000000001</v>
      </c>
      <c r="G21" s="55">
        <f t="shared" si="0"/>
        <v>2813.7720250000002</v>
      </c>
      <c r="H21" s="55">
        <f t="shared" si="0"/>
        <v>2898.1851857500001</v>
      </c>
      <c r="I21" s="55">
        <f t="shared" si="0"/>
        <v>2985.1307413224999</v>
      </c>
      <c r="J21" s="55">
        <f t="shared" si="0"/>
        <v>3074.684663562175</v>
      </c>
    </row>
    <row r="22" spans="1:10" x14ac:dyDescent="0.2">
      <c r="A22" s="1" t="s">
        <v>36</v>
      </c>
      <c r="C22" s="1">
        <f>O7</f>
        <v>16240</v>
      </c>
      <c r="D22" s="55">
        <f t="shared" si="0"/>
        <v>16727.2</v>
      </c>
      <c r="E22" s="55">
        <f t="shared" si="0"/>
        <v>17229.016</v>
      </c>
      <c r="F22" s="55">
        <f t="shared" si="0"/>
        <v>17745.886480000001</v>
      </c>
      <c r="G22" s="55">
        <f t="shared" si="0"/>
        <v>18278.263074400002</v>
      </c>
      <c r="H22" s="55">
        <f t="shared" si="0"/>
        <v>18826.610966632001</v>
      </c>
      <c r="I22" s="55">
        <f t="shared" si="0"/>
        <v>19391.409295630961</v>
      </c>
      <c r="J22" s="55">
        <f t="shared" si="0"/>
        <v>19973.151574499891</v>
      </c>
    </row>
    <row r="23" spans="1:10" x14ac:dyDescent="0.2">
      <c r="A23" s="1" t="s">
        <v>37</v>
      </c>
    </row>
    <row r="24" spans="1:10" x14ac:dyDescent="0.2">
      <c r="B24" s="1" t="s">
        <v>38</v>
      </c>
      <c r="C24" s="1">
        <v>60</v>
      </c>
      <c r="D24" s="55">
        <f t="shared" ref="D24:J29" si="1">C24*(1+$H$4)</f>
        <v>61.800000000000004</v>
      </c>
      <c r="E24" s="55">
        <f t="shared" si="1"/>
        <v>63.654000000000003</v>
      </c>
      <c r="F24" s="55">
        <f t="shared" si="1"/>
        <v>65.56362</v>
      </c>
      <c r="G24" s="55">
        <f t="shared" si="1"/>
        <v>67.530528599999997</v>
      </c>
      <c r="H24" s="55">
        <f t="shared" si="1"/>
        <v>69.556444458000001</v>
      </c>
      <c r="I24" s="55">
        <f t="shared" si="1"/>
        <v>71.643137791740003</v>
      </c>
      <c r="J24" s="55">
        <f t="shared" si="1"/>
        <v>73.79243192549221</v>
      </c>
    </row>
    <row r="25" spans="1:10" x14ac:dyDescent="0.2">
      <c r="B25" s="1" t="s">
        <v>47</v>
      </c>
      <c r="C25" s="1">
        <v>40</v>
      </c>
      <c r="D25" s="55">
        <f t="shared" si="1"/>
        <v>41.2</v>
      </c>
      <c r="E25" s="55">
        <f t="shared" si="1"/>
        <v>42.436000000000007</v>
      </c>
      <c r="F25" s="55">
        <f t="shared" si="1"/>
        <v>43.709080000000007</v>
      </c>
      <c r="G25" s="55">
        <f t="shared" si="1"/>
        <v>45.020352400000007</v>
      </c>
      <c r="H25" s="55">
        <f t="shared" si="1"/>
        <v>46.370962972000008</v>
      </c>
      <c r="I25" s="55">
        <f t="shared" si="1"/>
        <v>47.762091861160009</v>
      </c>
      <c r="J25" s="55">
        <f t="shared" si="1"/>
        <v>49.194954616994814</v>
      </c>
    </row>
    <row r="26" spans="1:10" x14ac:dyDescent="0.2">
      <c r="B26" s="1" t="s">
        <v>79</v>
      </c>
      <c r="C26" s="54">
        <f>L10</f>
        <v>80</v>
      </c>
      <c r="D26" s="55">
        <f t="shared" si="1"/>
        <v>82.4</v>
      </c>
      <c r="E26" s="55">
        <f t="shared" si="1"/>
        <v>84.872000000000014</v>
      </c>
      <c r="F26" s="55">
        <f t="shared" si="1"/>
        <v>87.418160000000015</v>
      </c>
      <c r="G26" s="55">
        <f t="shared" si="1"/>
        <v>90.040704800000015</v>
      </c>
      <c r="H26" s="55">
        <f t="shared" si="1"/>
        <v>92.741925944000016</v>
      </c>
      <c r="I26" s="55">
        <f t="shared" si="1"/>
        <v>95.524183722320018</v>
      </c>
      <c r="J26" s="55">
        <f t="shared" si="1"/>
        <v>98.389909233989627</v>
      </c>
    </row>
    <row r="27" spans="1:10" x14ac:dyDescent="0.2">
      <c r="B27" s="1" t="s">
        <v>80</v>
      </c>
      <c r="C27" s="1">
        <f>L14</f>
        <v>1272</v>
      </c>
      <c r="D27" s="55">
        <f t="shared" si="1"/>
        <v>1310.1600000000001</v>
      </c>
      <c r="E27" s="55">
        <f t="shared" si="1"/>
        <v>1349.4648000000002</v>
      </c>
      <c r="F27" s="55">
        <f t="shared" si="1"/>
        <v>1389.9487440000003</v>
      </c>
      <c r="G27" s="55">
        <f t="shared" si="1"/>
        <v>1431.6472063200004</v>
      </c>
      <c r="H27" s="55">
        <f t="shared" si="1"/>
        <v>1474.5966225096004</v>
      </c>
      <c r="I27" s="55">
        <f t="shared" si="1"/>
        <v>1518.8345211848884</v>
      </c>
      <c r="J27" s="55">
        <f t="shared" si="1"/>
        <v>1564.3995568204352</v>
      </c>
    </row>
    <row r="28" spans="1:10" x14ac:dyDescent="0.2">
      <c r="B28" s="1" t="s">
        <v>81</v>
      </c>
      <c r="C28" s="1">
        <f>H11</f>
        <v>5670</v>
      </c>
      <c r="D28" s="55">
        <f t="shared" si="1"/>
        <v>5840.1</v>
      </c>
      <c r="E28" s="55">
        <f t="shared" si="1"/>
        <v>6015.3030000000008</v>
      </c>
      <c r="F28" s="55">
        <f t="shared" si="1"/>
        <v>6195.7620900000011</v>
      </c>
      <c r="G28" s="55">
        <f t="shared" si="1"/>
        <v>6381.6349527000011</v>
      </c>
      <c r="H28" s="55">
        <f t="shared" si="1"/>
        <v>6573.0840012810013</v>
      </c>
      <c r="I28" s="55">
        <f t="shared" si="1"/>
        <v>6770.2765213194316</v>
      </c>
      <c r="J28" s="55">
        <f t="shared" si="1"/>
        <v>6973.3848169590146</v>
      </c>
    </row>
    <row r="29" spans="1:10" x14ac:dyDescent="0.2">
      <c r="B29" s="1" t="s">
        <v>82</v>
      </c>
      <c r="C29" s="56">
        <f>H12</f>
        <v>1890</v>
      </c>
      <c r="D29" s="57">
        <f t="shared" si="1"/>
        <v>1946.7</v>
      </c>
      <c r="E29" s="57">
        <f t="shared" si="1"/>
        <v>2005.1010000000001</v>
      </c>
      <c r="F29" s="57">
        <f t="shared" si="1"/>
        <v>2065.2540300000001</v>
      </c>
      <c r="G29" s="57">
        <f t="shared" si="1"/>
        <v>2127.2116509000002</v>
      </c>
      <c r="H29" s="57">
        <f t="shared" si="1"/>
        <v>2191.0280004270003</v>
      </c>
      <c r="I29" s="57">
        <f t="shared" si="1"/>
        <v>2256.7588404398102</v>
      </c>
      <c r="J29" s="57">
        <f t="shared" si="1"/>
        <v>2324.4616056530044</v>
      </c>
    </row>
    <row r="30" spans="1:10" x14ac:dyDescent="0.2">
      <c r="B30" s="49" t="s">
        <v>55</v>
      </c>
      <c r="C30" s="55">
        <f t="shared" ref="C30:J30" si="2">SUM(C24:C29)</f>
        <v>9012</v>
      </c>
      <c r="D30" s="55">
        <f t="shared" si="2"/>
        <v>9282.36</v>
      </c>
      <c r="E30" s="55">
        <f t="shared" si="2"/>
        <v>9560.8308000000015</v>
      </c>
      <c r="F30" s="55">
        <f t="shared" si="2"/>
        <v>9847.655724000002</v>
      </c>
      <c r="G30" s="55">
        <f t="shared" si="2"/>
        <v>10143.085395720002</v>
      </c>
      <c r="H30" s="55">
        <f t="shared" si="2"/>
        <v>10447.377957591603</v>
      </c>
      <c r="I30" s="55">
        <f t="shared" si="2"/>
        <v>10760.79929631935</v>
      </c>
      <c r="J30" s="55">
        <f t="shared" si="2"/>
        <v>11083.623275208931</v>
      </c>
    </row>
    <row r="31" spans="1:10" x14ac:dyDescent="0.2">
      <c r="A31" s="1" t="s">
        <v>40</v>
      </c>
    </row>
    <row r="32" spans="1:10" x14ac:dyDescent="0.2">
      <c r="A32" s="1" t="s">
        <v>41</v>
      </c>
      <c r="C32" s="1">
        <v>10000</v>
      </c>
      <c r="D32" s="55">
        <f t="shared" ref="D32:J34" si="3">C32*(1+$H$4)</f>
        <v>10300</v>
      </c>
      <c r="E32" s="55">
        <f t="shared" si="3"/>
        <v>10609</v>
      </c>
      <c r="F32" s="55">
        <f t="shared" si="3"/>
        <v>10927.27</v>
      </c>
      <c r="G32" s="55">
        <f t="shared" si="3"/>
        <v>11255.088100000001</v>
      </c>
      <c r="H32" s="55">
        <f t="shared" si="3"/>
        <v>11592.740743</v>
      </c>
      <c r="I32" s="55">
        <f t="shared" si="3"/>
        <v>11940.52296529</v>
      </c>
      <c r="J32" s="55">
        <f t="shared" si="3"/>
        <v>12298.7386542487</v>
      </c>
    </row>
    <row r="33" spans="1:10" x14ac:dyDescent="0.2">
      <c r="A33" s="1" t="s">
        <v>44</v>
      </c>
      <c r="C33" s="1">
        <f>C13</f>
        <v>449</v>
      </c>
      <c r="D33" s="55">
        <f t="shared" si="3"/>
        <v>462.47</v>
      </c>
      <c r="E33" s="55">
        <f t="shared" si="3"/>
        <v>476.34410000000003</v>
      </c>
      <c r="F33" s="55">
        <f t="shared" si="3"/>
        <v>490.63442300000003</v>
      </c>
      <c r="G33" s="55">
        <f t="shared" si="3"/>
        <v>505.35345569000003</v>
      </c>
      <c r="H33" s="55">
        <f t="shared" si="3"/>
        <v>520.5140593607</v>
      </c>
      <c r="I33" s="55">
        <f t="shared" si="3"/>
        <v>536.12948114152107</v>
      </c>
      <c r="J33" s="55">
        <f t="shared" si="3"/>
        <v>552.21336557576672</v>
      </c>
    </row>
    <row r="34" spans="1:10" x14ac:dyDescent="0.2">
      <c r="A34" s="1" t="s">
        <v>46</v>
      </c>
      <c r="C34" s="1">
        <f>C14</f>
        <v>20</v>
      </c>
      <c r="D34" s="55">
        <f t="shared" si="3"/>
        <v>20.6</v>
      </c>
      <c r="E34" s="55">
        <f t="shared" si="3"/>
        <v>21.218000000000004</v>
      </c>
      <c r="F34" s="55">
        <f t="shared" si="3"/>
        <v>21.854540000000004</v>
      </c>
      <c r="G34" s="55">
        <f t="shared" si="3"/>
        <v>22.510176200000004</v>
      </c>
      <c r="H34" s="55">
        <f t="shared" si="3"/>
        <v>23.185481486000004</v>
      </c>
      <c r="I34" s="55">
        <f t="shared" si="3"/>
        <v>23.881045930580004</v>
      </c>
      <c r="J34" s="55">
        <f t="shared" si="3"/>
        <v>24.597477308497407</v>
      </c>
    </row>
    <row r="35" spans="1:10" x14ac:dyDescent="0.2">
      <c r="A35" s="1" t="s">
        <v>91</v>
      </c>
      <c r="E35" s="54"/>
      <c r="H35" s="53">
        <v>44700</v>
      </c>
    </row>
  </sheetData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K18"/>
  <sheetViews>
    <sheetView workbookViewId="0">
      <selection activeCell="A12" sqref="A12:J12"/>
    </sheetView>
  </sheetViews>
  <sheetFormatPr defaultColWidth="11" defaultRowHeight="15.75" x14ac:dyDescent="0.25"/>
  <cols>
    <col min="1" max="1" width="27.375" style="16" customWidth="1"/>
    <col min="2" max="2" width="6.875" style="16" customWidth="1"/>
    <col min="3" max="3" width="10.625" style="16" customWidth="1"/>
    <col min="4" max="4" width="24.125" style="16" customWidth="1"/>
    <col min="5" max="9" width="11.5" style="16" bestFit="1" customWidth="1"/>
    <col min="10" max="10" width="12.5" style="16" bestFit="1" customWidth="1"/>
    <col min="11" max="11" width="12.125" style="16" bestFit="1" customWidth="1"/>
    <col min="12" max="16384" width="11" style="16"/>
  </cols>
  <sheetData>
    <row r="1" spans="1:11" ht="25.5" x14ac:dyDescent="0.35">
      <c r="A1" s="88" t="s">
        <v>21</v>
      </c>
    </row>
    <row r="2" spans="1:11" s="93" customFormat="1" ht="6.75" customHeight="1" x14ac:dyDescent="0.25"/>
    <row r="3" spans="1:11" x14ac:dyDescent="0.25">
      <c r="D3" s="16" t="s">
        <v>58</v>
      </c>
      <c r="G3" s="16" t="s">
        <v>64</v>
      </c>
    </row>
    <row r="4" spans="1:11" x14ac:dyDescent="0.25">
      <c r="D4" s="16" t="s">
        <v>59</v>
      </c>
      <c r="E4" s="95">
        <v>3</v>
      </c>
      <c r="F4" s="95"/>
      <c r="G4" s="96">
        <v>0.01</v>
      </c>
      <c r="J4" s="16" t="s">
        <v>45</v>
      </c>
      <c r="K4" s="97">
        <f>Expenses!H4</f>
        <v>0.03</v>
      </c>
    </row>
    <row r="5" spans="1:11" x14ac:dyDescent="0.25">
      <c r="D5" s="16" t="s">
        <v>60</v>
      </c>
      <c r="E5" s="95">
        <v>5</v>
      </c>
      <c r="F5" s="95"/>
      <c r="G5" s="96">
        <v>0.01</v>
      </c>
      <c r="J5" s="16" t="s">
        <v>66</v>
      </c>
      <c r="K5" s="95">
        <v>8</v>
      </c>
    </row>
    <row r="6" spans="1:11" x14ac:dyDescent="0.25">
      <c r="J6" s="16" t="s">
        <v>67</v>
      </c>
      <c r="K6" s="95">
        <v>0</v>
      </c>
    </row>
    <row r="7" spans="1:11" x14ac:dyDescent="0.25">
      <c r="D7" s="98" t="s">
        <v>168</v>
      </c>
      <c r="E7" s="99">
        <v>44700</v>
      </c>
    </row>
    <row r="8" spans="1:11" x14ac:dyDescent="0.25">
      <c r="D8" s="16" t="s">
        <v>59</v>
      </c>
      <c r="E8" s="100">
        <f>E7*(2/3)</f>
        <v>29800</v>
      </c>
    </row>
    <row r="9" spans="1:11" x14ac:dyDescent="0.25">
      <c r="D9" s="16" t="s">
        <v>61</v>
      </c>
      <c r="E9" s="100">
        <f>E7*(1/3)</f>
        <v>14900</v>
      </c>
    </row>
    <row r="11" spans="1:11" x14ac:dyDescent="0.25">
      <c r="D11" s="49">
        <v>2013</v>
      </c>
      <c r="E11" s="49">
        <v>2014</v>
      </c>
      <c r="F11" s="49">
        <v>2015</v>
      </c>
      <c r="G11" s="49">
        <v>2016</v>
      </c>
      <c r="H11" s="49">
        <v>2017</v>
      </c>
      <c r="I11" s="49">
        <v>2018</v>
      </c>
      <c r="J11" s="49">
        <v>2019</v>
      </c>
      <c r="K11" s="49">
        <v>2020</v>
      </c>
    </row>
    <row r="12" spans="1:11" x14ac:dyDescent="0.25">
      <c r="B12" s="68" t="s">
        <v>21</v>
      </c>
      <c r="C12" s="68"/>
      <c r="D12" s="101">
        <f>SUM(E8:E9)</f>
        <v>44700</v>
      </c>
      <c r="E12" s="101">
        <f t="shared" ref="E12:K12" si="0">$D$12</f>
        <v>44700</v>
      </c>
      <c r="F12" s="101">
        <f t="shared" si="0"/>
        <v>44700</v>
      </c>
      <c r="G12" s="101">
        <f t="shared" si="0"/>
        <v>44700</v>
      </c>
      <c r="H12" s="101">
        <f t="shared" si="0"/>
        <v>44700</v>
      </c>
      <c r="I12" s="101">
        <f t="shared" si="0"/>
        <v>44700</v>
      </c>
      <c r="J12" s="101">
        <f t="shared" si="0"/>
        <v>44700</v>
      </c>
      <c r="K12" s="101">
        <f t="shared" si="0"/>
        <v>44700</v>
      </c>
    </row>
    <row r="13" spans="1:11" x14ac:dyDescent="0.25">
      <c r="B13" s="68" t="s">
        <v>62</v>
      </c>
      <c r="C13" s="68"/>
      <c r="D13" s="16">
        <f>(D12-K6)/K5-2</f>
        <v>5585.5</v>
      </c>
      <c r="E13" s="16">
        <f>D13+$D$13</f>
        <v>11171</v>
      </c>
      <c r="F13" s="16">
        <f>E13+$D$13</f>
        <v>16756.5</v>
      </c>
      <c r="G13" s="16">
        <f>F13+$D$13</f>
        <v>22342</v>
      </c>
      <c r="H13" s="16">
        <f>G13+$D$13</f>
        <v>27927.5</v>
      </c>
      <c r="I13" s="16">
        <f>H13+$D$13</f>
        <v>33513</v>
      </c>
      <c r="J13" s="16">
        <f>(J12-K6)/K5</f>
        <v>5587.5</v>
      </c>
      <c r="K13" s="16">
        <f>J13+$J$13</f>
        <v>11175</v>
      </c>
    </row>
    <row r="14" spans="1:11" x14ac:dyDescent="0.25">
      <c r="B14" s="68" t="s">
        <v>169</v>
      </c>
      <c r="C14" s="68"/>
    </row>
    <row r="15" spans="1:11" x14ac:dyDescent="0.25">
      <c r="B15" s="68"/>
      <c r="C15" s="102" t="s">
        <v>59</v>
      </c>
      <c r="D15" s="95">
        <v>0</v>
      </c>
      <c r="E15" s="101">
        <f>E8*$G$4</f>
        <v>298</v>
      </c>
      <c r="F15" s="100">
        <f t="shared" ref="F15:J16" si="1">E15*(1+$K$4)</f>
        <v>306.94</v>
      </c>
      <c r="G15" s="100">
        <f t="shared" si="1"/>
        <v>316.14820000000003</v>
      </c>
      <c r="H15" s="100">
        <f t="shared" si="1"/>
        <v>325.63264600000002</v>
      </c>
      <c r="I15" s="100">
        <f t="shared" si="1"/>
        <v>335.40162538000004</v>
      </c>
      <c r="J15" s="100">
        <f t="shared" si="1"/>
        <v>345.46367414140008</v>
      </c>
      <c r="K15" s="100">
        <f>J15*(1+$K$4)</f>
        <v>355.82758436564211</v>
      </c>
    </row>
    <row r="16" spans="1:11" x14ac:dyDescent="0.25">
      <c r="B16" s="68"/>
      <c r="C16" s="102" t="s">
        <v>63</v>
      </c>
      <c r="D16" s="95">
        <v>0</v>
      </c>
      <c r="E16" s="101">
        <f>E9*$G$4</f>
        <v>149</v>
      </c>
      <c r="F16" s="100">
        <f t="shared" si="1"/>
        <v>153.47</v>
      </c>
      <c r="G16" s="100">
        <f t="shared" si="1"/>
        <v>158.07410000000002</v>
      </c>
      <c r="H16" s="100">
        <f t="shared" si="1"/>
        <v>162.81632300000001</v>
      </c>
      <c r="I16" s="100">
        <f t="shared" si="1"/>
        <v>167.70081269000002</v>
      </c>
      <c r="J16" s="100">
        <f t="shared" si="1"/>
        <v>172.73183707070004</v>
      </c>
      <c r="K16" s="100">
        <f>J16*(1+$K$4)</f>
        <v>177.91379218282106</v>
      </c>
    </row>
    <row r="17" spans="2:11" ht="16.5" thickBot="1" x14ac:dyDescent="0.3">
      <c r="B17" s="68" t="s">
        <v>68</v>
      </c>
      <c r="C17" s="68"/>
      <c r="D17" s="103">
        <f>SUM(D15:D16)</f>
        <v>0</v>
      </c>
      <c r="E17" s="103">
        <f t="shared" ref="E17:J17" si="2">SUM(E15:E16)</f>
        <v>447</v>
      </c>
      <c r="F17" s="103">
        <f t="shared" si="2"/>
        <v>460.40999999999997</v>
      </c>
      <c r="G17" s="103">
        <f t="shared" si="2"/>
        <v>474.22230000000002</v>
      </c>
      <c r="H17" s="103">
        <f t="shared" si="2"/>
        <v>488.44896900000003</v>
      </c>
      <c r="I17" s="103">
        <f t="shared" si="2"/>
        <v>503.10243807000006</v>
      </c>
      <c r="J17" s="103">
        <f t="shared" si="2"/>
        <v>518.19551121210009</v>
      </c>
      <c r="K17" s="103">
        <f>SUM(K15:K16)</f>
        <v>533.74137654846322</v>
      </c>
    </row>
    <row r="18" spans="2:11" ht="16.5" thickTop="1" x14ac:dyDescent="0.25"/>
  </sheetData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G33"/>
  <sheetViews>
    <sheetView workbookViewId="0"/>
  </sheetViews>
  <sheetFormatPr defaultColWidth="8.875" defaultRowHeight="15.75" x14ac:dyDescent="0.25"/>
  <cols>
    <col min="1" max="1" width="8.875" style="16"/>
    <col min="2" max="2" width="23.5" style="16" bestFit="1" customWidth="1"/>
    <col min="3" max="3" width="13.125" style="16" customWidth="1"/>
    <col min="4" max="4" width="9.625" style="16" bestFit="1" customWidth="1"/>
    <col min="5" max="16384" width="8.875" style="16"/>
  </cols>
  <sheetData>
    <row r="1" spans="1:7" ht="25.5" x14ac:dyDescent="0.35">
      <c r="A1" s="88" t="s">
        <v>173</v>
      </c>
      <c r="C1" s="17"/>
      <c r="D1" s="17"/>
      <c r="E1" s="17"/>
      <c r="F1" s="17"/>
      <c r="G1" s="17"/>
    </row>
    <row r="2" spans="1:7" s="93" customFormat="1" ht="6" customHeight="1" x14ac:dyDescent="0.35">
      <c r="A2" s="92"/>
      <c r="C2" s="94"/>
      <c r="D2" s="94"/>
      <c r="E2" s="94"/>
      <c r="F2" s="94"/>
      <c r="G2" s="94"/>
    </row>
    <row r="3" spans="1:7" x14ac:dyDescent="0.25">
      <c r="C3" s="64" t="s">
        <v>55</v>
      </c>
      <c r="D3" s="18" t="s">
        <v>101</v>
      </c>
      <c r="E3" s="17"/>
      <c r="F3" s="17"/>
      <c r="G3" s="17"/>
    </row>
    <row r="4" spans="1:7" x14ac:dyDescent="0.25">
      <c r="A4" s="19" t="s">
        <v>102</v>
      </c>
      <c r="D4" s="17"/>
      <c r="E4" s="17"/>
      <c r="F4" s="17"/>
      <c r="G4" s="17"/>
    </row>
    <row r="5" spans="1:7" x14ac:dyDescent="0.25">
      <c r="B5" s="16" t="s">
        <v>103</v>
      </c>
      <c r="C5" s="20"/>
      <c r="D5" s="21">
        <f>AVERAGE('Population and Membership fees'!B36:B37)*12</f>
        <v>411</v>
      </c>
      <c r="E5" s="62"/>
      <c r="F5" s="17"/>
      <c r="G5" s="62"/>
    </row>
    <row r="6" spans="1:7" x14ac:dyDescent="0.25">
      <c r="C6" s="20"/>
      <c r="D6" s="22"/>
      <c r="E6" s="17"/>
      <c r="F6" s="17"/>
      <c r="G6" s="17"/>
    </row>
    <row r="7" spans="1:7" x14ac:dyDescent="0.25">
      <c r="A7" s="19" t="s">
        <v>104</v>
      </c>
      <c r="C7" s="20"/>
      <c r="D7" s="22"/>
      <c r="E7" s="17"/>
      <c r="F7" s="17"/>
      <c r="G7" s="17"/>
    </row>
    <row r="8" spans="1:7" x14ac:dyDescent="0.25">
      <c r="B8" s="20" t="s">
        <v>33</v>
      </c>
      <c r="C8" s="20"/>
      <c r="D8" s="22"/>
      <c r="E8" s="17"/>
      <c r="F8" s="17"/>
      <c r="G8" s="17"/>
    </row>
    <row r="9" spans="1:7" x14ac:dyDescent="0.25">
      <c r="B9" s="20" t="s">
        <v>34</v>
      </c>
      <c r="C9" s="20"/>
      <c r="D9" s="22"/>
      <c r="E9" s="23"/>
      <c r="F9" s="17"/>
      <c r="G9" s="17"/>
    </row>
    <row r="10" spans="1:7" x14ac:dyDescent="0.25">
      <c r="A10" s="17"/>
      <c r="B10" s="20" t="s">
        <v>35</v>
      </c>
      <c r="C10" s="24"/>
      <c r="D10" s="24"/>
      <c r="E10" s="17"/>
      <c r="F10" s="17"/>
      <c r="G10" s="17"/>
    </row>
    <row r="11" spans="1:7" x14ac:dyDescent="0.25">
      <c r="A11" s="17"/>
      <c r="B11" s="20" t="s">
        <v>36</v>
      </c>
      <c r="C11" s="24"/>
      <c r="D11" s="24"/>
      <c r="E11" s="17"/>
      <c r="F11" s="17"/>
      <c r="G11" s="17"/>
    </row>
    <row r="12" spans="1:7" x14ac:dyDescent="0.25">
      <c r="A12" s="17"/>
      <c r="B12" s="20" t="s">
        <v>37</v>
      </c>
      <c r="C12" s="25">
        <f>Expenses!C27+Expenses!C29</f>
        <v>3162</v>
      </c>
      <c r="D12" s="26">
        <f>C12/'Population and Membership fees'!B25</f>
        <v>10.725915875169607</v>
      </c>
      <c r="E12" s="17"/>
      <c r="F12" s="17"/>
      <c r="G12" s="17"/>
    </row>
    <row r="13" spans="1:7" x14ac:dyDescent="0.25">
      <c r="A13" s="17"/>
      <c r="B13" s="20" t="s">
        <v>40</v>
      </c>
      <c r="C13" s="24"/>
      <c r="D13" s="24"/>
      <c r="E13" s="17"/>
      <c r="F13" s="17"/>
      <c r="G13" s="17"/>
    </row>
    <row r="14" spans="1:7" x14ac:dyDescent="0.25">
      <c r="A14" s="17"/>
      <c r="B14" s="20" t="s">
        <v>41</v>
      </c>
      <c r="C14" s="24"/>
      <c r="D14" s="24"/>
      <c r="E14" s="17"/>
      <c r="F14" s="17"/>
      <c r="G14" s="17"/>
    </row>
    <row r="15" spans="1:7" x14ac:dyDescent="0.25">
      <c r="A15" s="17"/>
      <c r="B15" s="20" t="s">
        <v>44</v>
      </c>
      <c r="C15" s="24"/>
      <c r="D15" s="27"/>
      <c r="E15" s="17"/>
      <c r="F15" s="17"/>
      <c r="G15" s="17"/>
    </row>
    <row r="16" spans="1:7" x14ac:dyDescent="0.25">
      <c r="A16" s="17"/>
      <c r="B16" s="20" t="s">
        <v>46</v>
      </c>
      <c r="C16" s="24"/>
      <c r="D16" s="24"/>
      <c r="E16" s="17"/>
      <c r="F16" s="17"/>
      <c r="G16" s="17"/>
    </row>
    <row r="17" spans="1:7" x14ac:dyDescent="0.25">
      <c r="A17" s="17"/>
      <c r="B17" s="20"/>
      <c r="C17" s="24"/>
      <c r="D17" s="24"/>
      <c r="E17" s="17"/>
      <c r="F17" s="17"/>
      <c r="G17" s="17"/>
    </row>
    <row r="18" spans="1:7" x14ac:dyDescent="0.25">
      <c r="A18" s="17"/>
      <c r="B18" s="66" t="s">
        <v>170</v>
      </c>
      <c r="C18" s="24"/>
      <c r="D18" s="67">
        <f>D5-D12</f>
        <v>400.27408412483038</v>
      </c>
      <c r="E18" s="17"/>
      <c r="F18" s="17"/>
      <c r="G18" s="17"/>
    </row>
    <row r="19" spans="1:7" x14ac:dyDescent="0.25">
      <c r="A19" s="28" t="s">
        <v>105</v>
      </c>
      <c r="B19" s="20"/>
      <c r="C19" s="24"/>
      <c r="D19" s="24"/>
      <c r="E19" s="17"/>
      <c r="F19" s="17"/>
      <c r="G19" s="17"/>
    </row>
    <row r="20" spans="1:7" x14ac:dyDescent="0.25">
      <c r="A20" s="17"/>
      <c r="B20" s="20" t="s">
        <v>33</v>
      </c>
      <c r="C20" s="27">
        <f>'Pro Forma'!D11</f>
        <v>64000</v>
      </c>
      <c r="D20" s="24"/>
      <c r="E20" s="17"/>
      <c r="F20" s="17"/>
      <c r="G20" s="17"/>
    </row>
    <row r="21" spans="1:7" x14ac:dyDescent="0.25">
      <c r="A21" s="17"/>
      <c r="B21" s="20" t="s">
        <v>34</v>
      </c>
      <c r="C21" s="27">
        <f>'Pro Forma'!D12</f>
        <v>4233</v>
      </c>
      <c r="D21" s="24"/>
      <c r="E21" s="17"/>
      <c r="F21" s="17"/>
      <c r="G21" s="17"/>
    </row>
    <row r="22" spans="1:7" x14ac:dyDescent="0.25">
      <c r="A22" s="17"/>
      <c r="B22" s="20" t="s">
        <v>35</v>
      </c>
      <c r="C22" s="27">
        <f>'Pro Forma'!D13</f>
        <v>2500</v>
      </c>
      <c r="D22" s="24"/>
      <c r="E22" s="17"/>
      <c r="F22" s="17"/>
      <c r="G22" s="17"/>
    </row>
    <row r="23" spans="1:7" x14ac:dyDescent="0.25">
      <c r="A23" s="17"/>
      <c r="B23" s="20" t="s">
        <v>36</v>
      </c>
      <c r="C23" s="27">
        <f>'Pro Forma'!D14</f>
        <v>16240</v>
      </c>
      <c r="D23" s="24"/>
      <c r="E23" s="17"/>
      <c r="F23" s="17"/>
      <c r="G23" s="17"/>
    </row>
    <row r="24" spans="1:7" x14ac:dyDescent="0.25">
      <c r="A24" s="17"/>
      <c r="B24" s="20" t="s">
        <v>37</v>
      </c>
      <c r="C24" s="27">
        <f>'Pro Forma'!D15</f>
        <v>9012</v>
      </c>
      <c r="D24" s="24"/>
      <c r="E24" s="17"/>
      <c r="F24" s="17"/>
      <c r="G24" s="17"/>
    </row>
    <row r="25" spans="1:7" x14ac:dyDescent="0.25">
      <c r="A25" s="17"/>
      <c r="B25" s="20" t="s">
        <v>40</v>
      </c>
      <c r="C25" s="27">
        <f>'Pro Forma'!D16</f>
        <v>0</v>
      </c>
      <c r="D25" s="24"/>
    </row>
    <row r="26" spans="1:7" x14ac:dyDescent="0.25">
      <c r="A26" s="17"/>
      <c r="B26" s="20" t="s">
        <v>41</v>
      </c>
      <c r="C26" s="27">
        <f>'Pro Forma'!D17</f>
        <v>10000</v>
      </c>
      <c r="D26" s="24"/>
      <c r="E26" s="17"/>
      <c r="F26" s="17"/>
      <c r="G26" s="17"/>
    </row>
    <row r="27" spans="1:7" x14ac:dyDescent="0.25">
      <c r="A27" s="17"/>
      <c r="B27" s="20" t="s">
        <v>106</v>
      </c>
      <c r="C27" s="63">
        <v>0</v>
      </c>
      <c r="D27" s="24"/>
      <c r="E27" s="65" t="s">
        <v>107</v>
      </c>
      <c r="F27" s="65"/>
      <c r="G27" s="65"/>
    </row>
    <row r="28" spans="1:7" x14ac:dyDescent="0.25">
      <c r="A28" s="17"/>
      <c r="B28" s="20" t="s">
        <v>44</v>
      </c>
      <c r="C28" s="27">
        <f>'Pro Forma'!D18</f>
        <v>449</v>
      </c>
      <c r="D28" s="24"/>
      <c r="E28" s="17"/>
      <c r="F28" s="17"/>
      <c r="G28" s="17"/>
    </row>
    <row r="29" spans="1:7" x14ac:dyDescent="0.25">
      <c r="A29" s="17"/>
      <c r="B29" s="20" t="s">
        <v>46</v>
      </c>
      <c r="C29" s="27">
        <f>'Pro Forma'!D19</f>
        <v>20</v>
      </c>
      <c r="D29" s="24"/>
      <c r="E29" s="17"/>
      <c r="F29" s="17"/>
      <c r="G29" s="17"/>
    </row>
    <row r="30" spans="1:7" x14ac:dyDescent="0.25">
      <c r="A30" s="17"/>
      <c r="B30" s="20" t="s">
        <v>55</v>
      </c>
      <c r="C30" s="27">
        <f>SUM(C20:C29)</f>
        <v>106454</v>
      </c>
      <c r="D30" s="24"/>
      <c r="E30" s="17"/>
      <c r="F30" s="17"/>
      <c r="G30" s="17"/>
    </row>
    <row r="31" spans="1:7" ht="16.5" thickBot="1" x14ac:dyDescent="0.3">
      <c r="A31" s="17"/>
      <c r="B31" s="20"/>
      <c r="C31" s="27"/>
      <c r="D31" s="24"/>
      <c r="E31" s="17"/>
      <c r="F31" s="17"/>
      <c r="G31" s="17"/>
    </row>
    <row r="32" spans="1:7" ht="16.5" thickBot="1" x14ac:dyDescent="0.3">
      <c r="A32" s="17"/>
      <c r="B32" s="29" t="s">
        <v>108</v>
      </c>
      <c r="C32" s="24"/>
      <c r="D32" s="30">
        <f>C30/D18</f>
        <v>265.95276642192255</v>
      </c>
      <c r="E32" s="17" t="str">
        <f>B5</f>
        <v>Gym Memberships</v>
      </c>
      <c r="F32" s="17"/>
      <c r="G32" s="17"/>
    </row>
    <row r="33" spans="1:7" x14ac:dyDescent="0.25">
      <c r="A33" s="17"/>
      <c r="B33" s="17"/>
      <c r="C33" s="24"/>
      <c r="D33" s="24"/>
      <c r="E33" s="17"/>
      <c r="F33" s="17"/>
      <c r="G33" s="17"/>
    </row>
  </sheetData>
  <phoneticPr fontId="1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M39"/>
  <sheetViews>
    <sheetView topLeftCell="A14" zoomScale="150" zoomScaleNormal="150" zoomScalePageLayoutView="150" workbookViewId="0">
      <selection activeCell="A4" sqref="A4"/>
    </sheetView>
  </sheetViews>
  <sheetFormatPr defaultColWidth="10.875" defaultRowHeight="12.75" x14ac:dyDescent="0.2"/>
  <cols>
    <col min="1" max="1" width="13.5" style="2" bestFit="1" customWidth="1"/>
    <col min="2" max="2" width="12.875" style="2" customWidth="1"/>
    <col min="3" max="3" width="12" style="2" bestFit="1" customWidth="1"/>
    <col min="4" max="4" width="11.375" style="2" bestFit="1" customWidth="1"/>
    <col min="5" max="5" width="11" style="2" bestFit="1" customWidth="1"/>
    <col min="6" max="6" width="14.875" style="2" bestFit="1" customWidth="1"/>
    <col min="7" max="16384" width="10.875" style="2"/>
  </cols>
  <sheetData>
    <row r="1" spans="1:10" ht="22.5" x14ac:dyDescent="0.3">
      <c r="A1" s="87" t="s">
        <v>174</v>
      </c>
    </row>
    <row r="2" spans="1:10" s="90" customFormat="1" ht="6" customHeight="1" x14ac:dyDescent="0.2"/>
    <row r="3" spans="1:10" x14ac:dyDescent="0.2">
      <c r="E3" s="3" t="s">
        <v>94</v>
      </c>
      <c r="F3" s="86">
        <v>0.35</v>
      </c>
    </row>
    <row r="4" spans="1:10" x14ac:dyDescent="0.2">
      <c r="B4" s="78" t="s">
        <v>93</v>
      </c>
    </row>
    <row r="5" spans="1:10" x14ac:dyDescent="0.2">
      <c r="A5" s="3" t="s">
        <v>57</v>
      </c>
      <c r="B5" s="76">
        <v>9.2499999999999999E-2</v>
      </c>
    </row>
    <row r="6" spans="1:10" x14ac:dyDescent="0.2">
      <c r="A6" s="3" t="s">
        <v>92</v>
      </c>
      <c r="B6" s="77">
        <v>0.12</v>
      </c>
    </row>
    <row r="7" spans="1:10" x14ac:dyDescent="0.2">
      <c r="D7" s="2" t="s">
        <v>97</v>
      </c>
      <c r="E7" s="2" t="s">
        <v>96</v>
      </c>
      <c r="H7" s="2" t="s">
        <v>131</v>
      </c>
      <c r="J7" s="69">
        <v>0.12</v>
      </c>
    </row>
    <row r="8" spans="1:10" x14ac:dyDescent="0.2">
      <c r="B8" s="3" t="s">
        <v>75</v>
      </c>
      <c r="D8" s="8">
        <f>'Pro Forma'!D47</f>
        <v>45000</v>
      </c>
      <c r="E8" s="15">
        <f>D8/$D$10</f>
        <v>1</v>
      </c>
      <c r="H8" s="2" t="s">
        <v>133</v>
      </c>
      <c r="J8" s="69">
        <v>1.8599999999999998E-2</v>
      </c>
    </row>
    <row r="9" spans="1:10" x14ac:dyDescent="0.2">
      <c r="B9" s="3" t="s">
        <v>30</v>
      </c>
      <c r="D9" s="8">
        <f>'Pro Forma'!F45</f>
        <v>0</v>
      </c>
      <c r="E9" s="15">
        <f>D9/$D$10</f>
        <v>0</v>
      </c>
      <c r="H9" s="2" t="s">
        <v>132</v>
      </c>
      <c r="J9" s="69">
        <v>8.5599999999999996E-2</v>
      </c>
    </row>
    <row r="10" spans="1:10" ht="13.5" thickBot="1" x14ac:dyDescent="0.25">
      <c r="B10" s="3" t="s">
        <v>95</v>
      </c>
      <c r="D10" s="79">
        <f>SUM(D8:D9)</f>
        <v>45000</v>
      </c>
      <c r="E10" s="80"/>
    </row>
    <row r="11" spans="1:10" ht="13.5" thickTop="1" x14ac:dyDescent="0.2">
      <c r="H11" s="2" t="s">
        <v>135</v>
      </c>
      <c r="J11" s="8">
        <f>(J7-J8)/J9</f>
        <v>1.1845794392523363</v>
      </c>
    </row>
    <row r="12" spans="1:10" x14ac:dyDescent="0.2">
      <c r="B12" s="3" t="s">
        <v>99</v>
      </c>
      <c r="C12" s="15">
        <f>((E8*B6)*(1-F3))</f>
        <v>7.8E-2</v>
      </c>
      <c r="H12" s="81" t="s">
        <v>134</v>
      </c>
    </row>
    <row r="13" spans="1:10" x14ac:dyDescent="0.2">
      <c r="B13" s="3" t="s">
        <v>100</v>
      </c>
      <c r="C13" s="15">
        <f>((E9*B5))</f>
        <v>0</v>
      </c>
    </row>
    <row r="14" spans="1:10" x14ac:dyDescent="0.2">
      <c r="B14" s="3" t="s">
        <v>98</v>
      </c>
      <c r="C14" s="15">
        <f>((E8*B6)*(1-F3))+((E9*B5))</f>
        <v>7.8E-2</v>
      </c>
    </row>
    <row r="22" spans="1:13" ht="15" x14ac:dyDescent="0.25">
      <c r="A22" s="31" t="s">
        <v>136</v>
      </c>
      <c r="B22" s="31"/>
      <c r="C22" s="70">
        <f>G22+G24*(G23-G22)</f>
        <v>9.7966822429906536E-2</v>
      </c>
      <c r="D22" s="32"/>
      <c r="E22" s="32"/>
      <c r="F22" s="32" t="s">
        <v>137</v>
      </c>
      <c r="G22" s="82">
        <f>J8</f>
        <v>1.8599999999999998E-2</v>
      </c>
      <c r="H22" s="32"/>
      <c r="I22" s="32"/>
      <c r="J22" s="32"/>
      <c r="K22" s="32"/>
      <c r="L22" s="32"/>
      <c r="M22" s="32"/>
    </row>
    <row r="23" spans="1:13" ht="15" x14ac:dyDescent="0.25">
      <c r="A23" s="31"/>
      <c r="B23" s="31"/>
      <c r="C23" s="31"/>
      <c r="D23" s="32"/>
      <c r="E23" s="32"/>
      <c r="F23" s="32" t="s">
        <v>138</v>
      </c>
      <c r="G23" s="82">
        <f>J9</f>
        <v>8.5599999999999996E-2</v>
      </c>
      <c r="H23" s="32"/>
      <c r="I23" s="32"/>
      <c r="J23" s="32"/>
      <c r="K23" s="32"/>
      <c r="L23" s="32"/>
      <c r="M23" s="32"/>
    </row>
    <row r="24" spans="1:13" ht="15" x14ac:dyDescent="0.25">
      <c r="A24" s="31" t="s">
        <v>139</v>
      </c>
      <c r="B24" s="31"/>
      <c r="C24" s="71">
        <f>K29</f>
        <v>9.2499999999999999E-2</v>
      </c>
      <c r="D24" s="32"/>
      <c r="E24" s="32"/>
      <c r="F24" s="32" t="s">
        <v>135</v>
      </c>
      <c r="G24" s="83">
        <f>J11</f>
        <v>1.1845794392523363</v>
      </c>
      <c r="H24" s="32"/>
      <c r="I24" s="32"/>
      <c r="J24" s="32"/>
      <c r="K24" s="32"/>
      <c r="L24" s="32"/>
      <c r="M24" s="32"/>
    </row>
    <row r="25" spans="1:13" ht="15" x14ac:dyDescent="0.25">
      <c r="A25" s="31" t="s">
        <v>140</v>
      </c>
      <c r="B25" s="31"/>
      <c r="C25" s="75">
        <f>F3</f>
        <v>0.35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" x14ac:dyDescent="0.25">
      <c r="A26" s="31"/>
      <c r="B26" s="31"/>
      <c r="C26" s="31"/>
      <c r="D26" s="32"/>
      <c r="E26" s="32"/>
      <c r="F26" s="84" t="s">
        <v>141</v>
      </c>
      <c r="G26" s="85" t="s">
        <v>97</v>
      </c>
      <c r="H26" s="85" t="s">
        <v>142</v>
      </c>
      <c r="I26" s="84"/>
      <c r="J26" s="85" t="s">
        <v>143</v>
      </c>
      <c r="K26" s="85" t="s">
        <v>144</v>
      </c>
      <c r="L26" s="32"/>
      <c r="M26" s="32"/>
    </row>
    <row r="27" spans="1:13" ht="15.75" x14ac:dyDescent="0.25">
      <c r="A27" s="31" t="s">
        <v>145</v>
      </c>
      <c r="B27" s="31"/>
      <c r="C27" s="33">
        <f>G29/G36</f>
        <v>8.070718667943054E-2</v>
      </c>
      <c r="D27" s="32"/>
      <c r="E27" s="32"/>
      <c r="F27" s="32" t="s">
        <v>146</v>
      </c>
      <c r="G27" s="34">
        <v>0</v>
      </c>
      <c r="H27" s="35">
        <f>G27/G29</f>
        <v>0</v>
      </c>
      <c r="I27" s="32"/>
      <c r="J27" s="36">
        <v>0</v>
      </c>
      <c r="K27" s="37">
        <f>H27*J27</f>
        <v>0</v>
      </c>
      <c r="L27" s="32"/>
      <c r="M27" s="32"/>
    </row>
    <row r="28" spans="1:13" ht="15.75" x14ac:dyDescent="0.25">
      <c r="A28" s="31" t="s">
        <v>147</v>
      </c>
      <c r="B28" s="31"/>
      <c r="C28" s="33">
        <f>G34/G36</f>
        <v>0.91929281332056945</v>
      </c>
      <c r="D28" s="32"/>
      <c r="E28" s="32"/>
      <c r="F28" s="32" t="s">
        <v>148</v>
      </c>
      <c r="G28" s="38">
        <v>5000</v>
      </c>
      <c r="H28" s="35">
        <f>G28/G29</f>
        <v>1</v>
      </c>
      <c r="I28" s="32"/>
      <c r="J28" s="36">
        <f>B5</f>
        <v>9.2499999999999999E-2</v>
      </c>
      <c r="K28" s="39">
        <f>H28*J28</f>
        <v>9.2499999999999999E-2</v>
      </c>
      <c r="L28" s="32"/>
      <c r="M28" s="32"/>
    </row>
    <row r="29" spans="1:13" ht="15" x14ac:dyDescent="0.25">
      <c r="A29" s="31"/>
      <c r="B29" s="31"/>
      <c r="C29" s="31"/>
      <c r="D29" s="32"/>
      <c r="E29" s="32"/>
      <c r="F29" s="32"/>
      <c r="G29" s="40">
        <f>SUM(G27:G28)</f>
        <v>5000</v>
      </c>
      <c r="H29" s="32"/>
      <c r="I29" s="32"/>
      <c r="J29" s="32"/>
      <c r="K29" s="41">
        <f>SUM(K27:K28)</f>
        <v>9.2499999999999999E-2</v>
      </c>
      <c r="L29" s="32" t="s">
        <v>149</v>
      </c>
      <c r="M29" s="32"/>
    </row>
    <row r="30" spans="1:13" ht="15.75" x14ac:dyDescent="0.25">
      <c r="A30" s="31" t="str">
        <f>"Current WACC in " &amp;"A29" &amp; " (%)"</f>
        <v>Current WACC in A29 (%)</v>
      </c>
      <c r="B30" s="31"/>
      <c r="C30" s="33">
        <f>C27*C24*(1-C25)+C28*C22</f>
        <v>9.4912715402766218E-2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.75" x14ac:dyDescent="0.25">
      <c r="A31" s="31"/>
      <c r="B31" s="31"/>
      <c r="C31" s="31"/>
      <c r="D31" s="32"/>
      <c r="E31" s="32"/>
      <c r="F31" s="32" t="s">
        <v>150</v>
      </c>
      <c r="G31" s="32"/>
      <c r="H31" s="32"/>
      <c r="I31" s="32"/>
      <c r="J31" s="32" t="s">
        <v>151</v>
      </c>
      <c r="K31" s="35">
        <f>K29*(1-C25)</f>
        <v>6.0124999999999998E-2</v>
      </c>
      <c r="L31" s="32"/>
      <c r="M31" s="32"/>
    </row>
    <row r="32" spans="1:13" ht="15" x14ac:dyDescent="0.25">
      <c r="A32" s="31" t="s">
        <v>152</v>
      </c>
      <c r="B32" s="31"/>
      <c r="C32" s="42">
        <f>G24/(1+(1-C25)*(C27/C28))</f>
        <v>1.1206303894252789</v>
      </c>
      <c r="D32" s="32"/>
      <c r="E32" s="32"/>
      <c r="F32" s="32" t="s">
        <v>153</v>
      </c>
      <c r="G32" s="73">
        <f>D8</f>
        <v>45000</v>
      </c>
      <c r="H32" s="32"/>
      <c r="I32" s="32"/>
      <c r="J32" s="32"/>
      <c r="K32" s="32"/>
      <c r="L32" s="32"/>
      <c r="M32" s="32"/>
    </row>
    <row r="33" spans="1:13" ht="15" x14ac:dyDescent="0.25">
      <c r="A33" s="31" t="s">
        <v>154</v>
      </c>
      <c r="B33" s="31"/>
      <c r="C33" s="42">
        <f>C32*(1+(1-C25)*(G38/G39))</f>
        <v>4.0342694019310041</v>
      </c>
      <c r="D33" s="32"/>
      <c r="E33" s="32"/>
      <c r="F33" s="32" t="s">
        <v>31</v>
      </c>
      <c r="G33" s="74">
        <f>'Pro Forma'!F49</f>
        <v>11952.351528000003</v>
      </c>
      <c r="H33" s="32"/>
      <c r="I33" s="32"/>
      <c r="J33" s="32"/>
      <c r="K33" s="32"/>
      <c r="L33" s="32"/>
      <c r="M33" s="32"/>
    </row>
    <row r="34" spans="1:13" ht="15" x14ac:dyDescent="0.25">
      <c r="A34" s="31"/>
      <c r="B34" s="31"/>
      <c r="C34" s="31"/>
      <c r="D34" s="32"/>
      <c r="E34" s="32"/>
      <c r="F34" s="32"/>
      <c r="G34" s="40">
        <f>SUM(G32:G33)</f>
        <v>56952.351527999999</v>
      </c>
      <c r="H34" s="32"/>
      <c r="I34" s="32"/>
      <c r="J34" s="32"/>
      <c r="K34" s="32"/>
      <c r="L34" s="32"/>
      <c r="M34" s="32"/>
    </row>
    <row r="35" spans="1:13" ht="15.75" x14ac:dyDescent="0.25">
      <c r="A35" s="31" t="s">
        <v>155</v>
      </c>
      <c r="B35" s="31"/>
      <c r="C35" s="33">
        <f>G22+C33*(G23-G22)</f>
        <v>0.28889604992937729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5" x14ac:dyDescent="0.25">
      <c r="A36" s="31"/>
      <c r="B36" s="31"/>
      <c r="C36" s="31"/>
      <c r="D36" s="32"/>
      <c r="E36" s="32"/>
      <c r="F36" s="32" t="s">
        <v>156</v>
      </c>
      <c r="G36" s="40">
        <f>G29+G34</f>
        <v>61952.351527999999</v>
      </c>
      <c r="H36" s="32"/>
      <c r="I36" s="32"/>
      <c r="J36" s="32"/>
      <c r="K36" s="32"/>
      <c r="L36" s="32"/>
      <c r="M36" s="32"/>
    </row>
    <row r="37" spans="1:13" ht="15.75" x14ac:dyDescent="0.25">
      <c r="A37" s="31" t="s">
        <v>159</v>
      </c>
      <c r="B37" s="31"/>
      <c r="C37" s="43">
        <f>G38*C24*(1-C25)+G39*C35</f>
        <v>0.10587920998587547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5" x14ac:dyDescent="0.25">
      <c r="A38" s="32"/>
      <c r="B38" s="32"/>
      <c r="C38" s="32"/>
      <c r="D38" s="32"/>
      <c r="E38" s="32"/>
      <c r="F38" s="32" t="s">
        <v>157</v>
      </c>
      <c r="G38" s="72">
        <v>0.8</v>
      </c>
      <c r="H38" s="32"/>
      <c r="I38" s="32"/>
      <c r="J38" s="32"/>
      <c r="K38" s="32"/>
      <c r="L38" s="32"/>
      <c r="M38" s="32"/>
    </row>
    <row r="39" spans="1:13" ht="15" x14ac:dyDescent="0.25">
      <c r="A39" s="32"/>
      <c r="B39" s="32"/>
      <c r="C39" s="32"/>
      <c r="D39" s="32"/>
      <c r="E39" s="32"/>
      <c r="F39" s="32" t="s">
        <v>158</v>
      </c>
      <c r="G39" s="72">
        <v>0.2</v>
      </c>
      <c r="H39" s="32"/>
      <c r="I39" s="32"/>
      <c r="J39" s="32"/>
      <c r="K39" s="32"/>
      <c r="L39" s="32"/>
      <c r="M39" s="32"/>
    </row>
  </sheetData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 Forma</vt:lpstr>
      <vt:lpstr>Population and Membership fees</vt:lpstr>
      <vt:lpstr>Expenses</vt:lpstr>
      <vt:lpstr>Assets</vt:lpstr>
      <vt:lpstr>Breakeven</vt:lpstr>
      <vt:lpstr>WACC &amp; Loan</vt:lpstr>
      <vt:lpstr>Counter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2013-12-05T20:38:44Z</dcterms:created>
  <dcterms:modified xsi:type="dcterms:W3CDTF">2019-08-14T21:44:48Z</dcterms:modified>
</cp:coreProperties>
</file>