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240" yWindow="105" windowWidth="20730" windowHeight="11760"/>
  </bookViews>
  <sheets>
    <sheet name="Forecast" sheetId="1" r:id="rId1"/>
    <sheet name="Mortgage" sheetId="2" r:id="rId2"/>
    <sheet name="Free Cash Flow" sheetId="3" r:id="rId3"/>
  </sheets>
  <externalReferences>
    <externalReference r:id="rId4"/>
  </externalReferences>
  <definedNames>
    <definedName name="Beg_Bal" localSheetId="1">Mortgage!$C$18:$C$377</definedName>
    <definedName name="Extra_Pay" localSheetId="1">Mortgage!$E$18:$E$377</definedName>
    <definedName name="Int" localSheetId="1">Mortgage!$H$18:$H$377</definedName>
    <definedName name="Interest_Rate" localSheetId="1">Mortgage!$D$5</definedName>
    <definedName name="Loan_Amount" localSheetId="1">Mortgage!$D$4</definedName>
    <definedName name="Loan_Start" localSheetId="1">Mortgage!$D$7</definedName>
    <definedName name="Loan_Years" localSheetId="1">Mortgage!$D$6</definedName>
    <definedName name="Number_of_Payments" localSheetId="1">MATCH(0.01,'[1]Loan Calculator '!End_Bal,-1)+1</definedName>
    <definedName name="Pay_Num" localSheetId="1">Mortgage!$A$18:$A$377</definedName>
    <definedName name="Princ" localSheetId="1">Mortgage!$G$18:$G$377</definedName>
    <definedName name="Sched_Pay" localSheetId="1">Mortgage!$D$18:$D$377</definedName>
    <definedName name="Scheduled_Extra_Payments" localSheetId="1">Mortgage!$D$8</definedName>
    <definedName name="Scheduled_Monthly_Payment" localSheetId="1">Mortgage!$D$11</definedName>
    <definedName name="Total_Pay" localSheetId="1">Mortgage!$F$18:$F$377</definedName>
    <definedName name="Values_Entered" localSheetId="1">IF('[1]Loan Calculator '!Loan_Amount*'[1]Loan Calculator '!Interest_Rate*'[1]Loan Calculator '!Loan_Years*'[1]Loan Calculator '!Loan_Start&gt;0,1,0)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4" i="1" l="1"/>
  <c r="G52" i="1"/>
  <c r="K60" i="3"/>
  <c r="K62" i="3" s="1"/>
  <c r="K61" i="3"/>
  <c r="C58" i="3"/>
  <c r="D25" i="3" l="1"/>
  <c r="E25" i="3"/>
  <c r="F25" i="3"/>
  <c r="G25" i="3"/>
  <c r="H25" i="3"/>
  <c r="I25" i="3"/>
  <c r="J25" i="3"/>
  <c r="K25" i="3"/>
  <c r="D26" i="3"/>
  <c r="E26" i="3"/>
  <c r="F26" i="3"/>
  <c r="G26" i="3"/>
  <c r="H26" i="3"/>
  <c r="I26" i="3"/>
  <c r="J26" i="3"/>
  <c r="K26" i="3"/>
  <c r="D27" i="3"/>
  <c r="E27" i="3"/>
  <c r="F27" i="3"/>
  <c r="G27" i="3"/>
  <c r="H27" i="3"/>
  <c r="I27" i="3"/>
  <c r="J27" i="3"/>
  <c r="K27" i="3"/>
  <c r="D28" i="3"/>
  <c r="E28" i="3"/>
  <c r="F28" i="3"/>
  <c r="G28" i="3"/>
  <c r="H28" i="3"/>
  <c r="I28" i="3"/>
  <c r="J28" i="3"/>
  <c r="K28" i="3"/>
  <c r="D29" i="3"/>
  <c r="E29" i="3"/>
  <c r="F29" i="3"/>
  <c r="G29" i="3"/>
  <c r="H29" i="3"/>
  <c r="I29" i="3"/>
  <c r="J29" i="3"/>
  <c r="K29" i="3"/>
  <c r="D30" i="3"/>
  <c r="E30" i="3"/>
  <c r="F30" i="3"/>
  <c r="G30" i="3"/>
  <c r="H30" i="3"/>
  <c r="I30" i="3"/>
  <c r="J30" i="3"/>
  <c r="K30" i="3"/>
  <c r="D32" i="3"/>
  <c r="E32" i="3"/>
  <c r="F32" i="3"/>
  <c r="G32" i="3"/>
  <c r="H32" i="3"/>
  <c r="I32" i="3"/>
  <c r="J32" i="3"/>
  <c r="K32" i="3"/>
  <c r="D33" i="3"/>
  <c r="E33" i="3"/>
  <c r="F33" i="3"/>
  <c r="G33" i="3"/>
  <c r="H33" i="3"/>
  <c r="I33" i="3"/>
  <c r="J33" i="3"/>
  <c r="K33" i="3"/>
  <c r="D34" i="3"/>
  <c r="E34" i="3"/>
  <c r="F34" i="3"/>
  <c r="G34" i="3"/>
  <c r="H34" i="3"/>
  <c r="I34" i="3"/>
  <c r="J34" i="3"/>
  <c r="K34" i="3"/>
  <c r="D35" i="3"/>
  <c r="E35" i="3"/>
  <c r="F35" i="3"/>
  <c r="G35" i="3"/>
  <c r="H35" i="3"/>
  <c r="I35" i="3"/>
  <c r="J35" i="3"/>
  <c r="K35" i="3"/>
  <c r="D36" i="3"/>
  <c r="E36" i="3"/>
  <c r="F36" i="3"/>
  <c r="G36" i="3"/>
  <c r="H36" i="3"/>
  <c r="I36" i="3"/>
  <c r="J36" i="3"/>
  <c r="K36" i="3"/>
  <c r="D37" i="3"/>
  <c r="E37" i="3"/>
  <c r="F37" i="3"/>
  <c r="G37" i="3"/>
  <c r="H37" i="3"/>
  <c r="I37" i="3"/>
  <c r="J37" i="3"/>
  <c r="K37" i="3"/>
  <c r="D38" i="3"/>
  <c r="E38" i="3"/>
  <c r="F38" i="3"/>
  <c r="G38" i="3"/>
  <c r="H38" i="3"/>
  <c r="I38" i="3"/>
  <c r="J38" i="3"/>
  <c r="K38" i="3"/>
  <c r="D39" i="3"/>
  <c r="E39" i="3"/>
  <c r="F39" i="3"/>
  <c r="G39" i="3"/>
  <c r="H39" i="3"/>
  <c r="I39" i="3"/>
  <c r="J39" i="3"/>
  <c r="K39" i="3"/>
  <c r="D40" i="3"/>
  <c r="E40" i="3"/>
  <c r="F40" i="3"/>
  <c r="G40" i="3"/>
  <c r="H40" i="3"/>
  <c r="I40" i="3"/>
  <c r="J40" i="3"/>
  <c r="K40" i="3"/>
  <c r="D41" i="3"/>
  <c r="E41" i="3"/>
  <c r="F41" i="3"/>
  <c r="G41" i="3"/>
  <c r="H41" i="3"/>
  <c r="I41" i="3"/>
  <c r="J41" i="3"/>
  <c r="K41" i="3"/>
  <c r="D42" i="3"/>
  <c r="E42" i="3"/>
  <c r="F42" i="3"/>
  <c r="G42" i="3"/>
  <c r="H42" i="3"/>
  <c r="I42" i="3"/>
  <c r="J42" i="3"/>
  <c r="K42" i="3"/>
  <c r="D43" i="3"/>
  <c r="E43" i="3"/>
  <c r="F43" i="3"/>
  <c r="G43" i="3"/>
  <c r="H43" i="3"/>
  <c r="I43" i="3"/>
  <c r="J43" i="3"/>
  <c r="K43" i="3"/>
  <c r="E24" i="3"/>
  <c r="F24" i="3"/>
  <c r="G24" i="3"/>
  <c r="H24" i="3"/>
  <c r="I24" i="3"/>
  <c r="J24" i="3"/>
  <c r="K24" i="3"/>
  <c r="D24" i="3"/>
  <c r="D4" i="3"/>
  <c r="E4" i="3"/>
  <c r="F4" i="3"/>
  <c r="G4" i="3"/>
  <c r="H4" i="3"/>
  <c r="I4" i="3"/>
  <c r="J4" i="3"/>
  <c r="K4" i="3"/>
  <c r="D5" i="3"/>
  <c r="E5" i="3"/>
  <c r="F5" i="3"/>
  <c r="G5" i="3"/>
  <c r="H5" i="3"/>
  <c r="I5" i="3"/>
  <c r="J5" i="3"/>
  <c r="K5" i="3"/>
  <c r="D6" i="3"/>
  <c r="E6" i="3"/>
  <c r="F6" i="3"/>
  <c r="G6" i="3"/>
  <c r="H6" i="3"/>
  <c r="I6" i="3"/>
  <c r="J6" i="3"/>
  <c r="K6" i="3"/>
  <c r="D7" i="3"/>
  <c r="E7" i="3"/>
  <c r="F7" i="3"/>
  <c r="G7" i="3"/>
  <c r="H7" i="3"/>
  <c r="I7" i="3"/>
  <c r="J7" i="3"/>
  <c r="K7" i="3"/>
  <c r="D8" i="3"/>
  <c r="E8" i="3"/>
  <c r="F8" i="3"/>
  <c r="G8" i="3"/>
  <c r="H8" i="3"/>
  <c r="I8" i="3"/>
  <c r="J8" i="3"/>
  <c r="K8" i="3"/>
  <c r="D9" i="3"/>
  <c r="E9" i="3"/>
  <c r="F9" i="3"/>
  <c r="G9" i="3"/>
  <c r="H9" i="3"/>
  <c r="I9" i="3"/>
  <c r="J9" i="3"/>
  <c r="K9" i="3"/>
  <c r="D10" i="3"/>
  <c r="E10" i="3"/>
  <c r="F10" i="3"/>
  <c r="G10" i="3"/>
  <c r="H10" i="3"/>
  <c r="I10" i="3"/>
  <c r="J10" i="3"/>
  <c r="K10" i="3"/>
  <c r="D11" i="3"/>
  <c r="E11" i="3"/>
  <c r="F11" i="3"/>
  <c r="G11" i="3"/>
  <c r="H11" i="3"/>
  <c r="I11" i="3"/>
  <c r="J11" i="3"/>
  <c r="K11" i="3"/>
  <c r="D12" i="3"/>
  <c r="E12" i="3"/>
  <c r="F12" i="3"/>
  <c r="G12" i="3"/>
  <c r="H12" i="3"/>
  <c r="I12" i="3"/>
  <c r="J12" i="3"/>
  <c r="K12" i="3"/>
  <c r="D13" i="3"/>
  <c r="E13" i="3"/>
  <c r="F13" i="3"/>
  <c r="G13" i="3"/>
  <c r="H13" i="3"/>
  <c r="I13" i="3"/>
  <c r="J13" i="3"/>
  <c r="K13" i="3"/>
  <c r="D14" i="3"/>
  <c r="E14" i="3"/>
  <c r="F14" i="3"/>
  <c r="G14" i="3"/>
  <c r="H14" i="3"/>
  <c r="I14" i="3"/>
  <c r="J14" i="3"/>
  <c r="K14" i="3"/>
  <c r="D15" i="3"/>
  <c r="E15" i="3"/>
  <c r="F15" i="3"/>
  <c r="G15" i="3"/>
  <c r="H15" i="3"/>
  <c r="I15" i="3"/>
  <c r="J15" i="3"/>
  <c r="K15" i="3"/>
  <c r="D16" i="3"/>
  <c r="E16" i="3"/>
  <c r="F16" i="3"/>
  <c r="G16" i="3"/>
  <c r="H16" i="3"/>
  <c r="I16" i="3"/>
  <c r="J16" i="3"/>
  <c r="K16" i="3"/>
  <c r="D17" i="3"/>
  <c r="E17" i="3"/>
  <c r="F17" i="3"/>
  <c r="G17" i="3"/>
  <c r="H17" i="3"/>
  <c r="I17" i="3"/>
  <c r="J17" i="3"/>
  <c r="K17" i="3"/>
  <c r="D18" i="3"/>
  <c r="E18" i="3"/>
  <c r="F18" i="3"/>
  <c r="G18" i="3"/>
  <c r="H18" i="3"/>
  <c r="I18" i="3"/>
  <c r="J18" i="3"/>
  <c r="K18" i="3"/>
  <c r="D19" i="3"/>
  <c r="E19" i="3"/>
  <c r="F19" i="3"/>
  <c r="G19" i="3"/>
  <c r="H19" i="3"/>
  <c r="I19" i="3"/>
  <c r="J19" i="3"/>
  <c r="K19" i="3"/>
  <c r="D20" i="3"/>
  <c r="E20" i="3"/>
  <c r="F20" i="3"/>
  <c r="G20" i="3"/>
  <c r="H20" i="3"/>
  <c r="I20" i="3"/>
  <c r="J20" i="3"/>
  <c r="K20" i="3"/>
  <c r="E3" i="3"/>
  <c r="F3" i="3"/>
  <c r="G3" i="3"/>
  <c r="H3" i="3"/>
  <c r="I3" i="3"/>
  <c r="J3" i="3"/>
  <c r="K3" i="3"/>
  <c r="D3" i="3"/>
  <c r="G16" i="1" l="1"/>
  <c r="B23" i="1"/>
  <c r="B25" i="1"/>
  <c r="B27" i="1"/>
  <c r="B31" i="1"/>
  <c r="G8" i="1" s="1"/>
  <c r="E3" i="1"/>
  <c r="G3" i="1" s="1"/>
  <c r="E4" i="1"/>
  <c r="G4" i="1" s="1"/>
  <c r="H4" i="1" s="1"/>
  <c r="I4" i="1" s="1"/>
  <c r="J4" i="1" s="1"/>
  <c r="K4" i="1" s="1"/>
  <c r="L4" i="1" s="1"/>
  <c r="M4" i="1" s="1"/>
  <c r="N4" i="1" s="1"/>
  <c r="A18" i="2"/>
  <c r="G28" i="1"/>
  <c r="G29" i="1"/>
  <c r="D4" i="2"/>
  <c r="C18" i="2"/>
  <c r="H18" i="2"/>
  <c r="A19" i="2"/>
  <c r="D11" i="2"/>
  <c r="D18" i="2"/>
  <c r="E18" i="2"/>
  <c r="F18" i="2"/>
  <c r="G18" i="2"/>
  <c r="I18" i="2"/>
  <c r="C19" i="2"/>
  <c r="H19" i="2"/>
  <c r="A20" i="2"/>
  <c r="D19" i="2"/>
  <c r="E19" i="2"/>
  <c r="F19" i="2"/>
  <c r="G19" i="2"/>
  <c r="I19" i="2"/>
  <c r="C20" i="2"/>
  <c r="H20" i="2"/>
  <c r="A21" i="2"/>
  <c r="D20" i="2"/>
  <c r="E20" i="2"/>
  <c r="F20" i="2"/>
  <c r="G20" i="2"/>
  <c r="I20" i="2"/>
  <c r="C21" i="2"/>
  <c r="H21" i="2"/>
  <c r="A22" i="2"/>
  <c r="D21" i="2"/>
  <c r="E21" i="2"/>
  <c r="F21" i="2"/>
  <c r="G21" i="2"/>
  <c r="I21" i="2"/>
  <c r="C22" i="2"/>
  <c r="H22" i="2"/>
  <c r="A23" i="2"/>
  <c r="D22" i="2"/>
  <c r="E22" i="2"/>
  <c r="F22" i="2"/>
  <c r="G22" i="2"/>
  <c r="I22" i="2"/>
  <c r="C23" i="2"/>
  <c r="H23" i="2"/>
  <c r="A24" i="2"/>
  <c r="D23" i="2"/>
  <c r="E23" i="2"/>
  <c r="F23" i="2"/>
  <c r="G23" i="2"/>
  <c r="I23" i="2"/>
  <c r="C24" i="2"/>
  <c r="H24" i="2"/>
  <c r="A25" i="2"/>
  <c r="D24" i="2"/>
  <c r="E24" i="2"/>
  <c r="F24" i="2"/>
  <c r="G24" i="2"/>
  <c r="I24" i="2"/>
  <c r="C25" i="2"/>
  <c r="H25" i="2"/>
  <c r="A26" i="2"/>
  <c r="D25" i="2"/>
  <c r="E25" i="2"/>
  <c r="F25" i="2"/>
  <c r="G25" i="2"/>
  <c r="I25" i="2"/>
  <c r="C26" i="2"/>
  <c r="H26" i="2"/>
  <c r="A27" i="2"/>
  <c r="D26" i="2"/>
  <c r="E26" i="2"/>
  <c r="F26" i="2"/>
  <c r="G26" i="2"/>
  <c r="I26" i="2"/>
  <c r="C27" i="2"/>
  <c r="H27" i="2"/>
  <c r="A28" i="2"/>
  <c r="D27" i="2"/>
  <c r="E27" i="2"/>
  <c r="F27" i="2"/>
  <c r="G27" i="2"/>
  <c r="I27" i="2"/>
  <c r="C28" i="2"/>
  <c r="H28" i="2"/>
  <c r="A29" i="2"/>
  <c r="D28" i="2"/>
  <c r="E28" i="2"/>
  <c r="F28" i="2"/>
  <c r="G28" i="2"/>
  <c r="I28" i="2"/>
  <c r="C29" i="2"/>
  <c r="H29" i="2"/>
  <c r="K29" i="2"/>
  <c r="G11" i="1"/>
  <c r="B3" i="1"/>
  <c r="G12" i="1"/>
  <c r="G13" i="1"/>
  <c r="B4" i="1"/>
  <c r="B43" i="1"/>
  <c r="G15" i="1"/>
  <c r="D29" i="2"/>
  <c r="E29" i="2"/>
  <c r="F29" i="2"/>
  <c r="G29" i="2"/>
  <c r="I29" i="2"/>
  <c r="J29" i="2"/>
  <c r="G34" i="1"/>
  <c r="G30" i="1"/>
  <c r="B38" i="1"/>
  <c r="C78" i="3"/>
  <c r="D66" i="3"/>
  <c r="D67" i="3"/>
  <c r="D49" i="3"/>
  <c r="D50" i="3"/>
  <c r="D69" i="3"/>
  <c r="E66" i="3"/>
  <c r="E67" i="3"/>
  <c r="E49" i="3"/>
  <c r="E50" i="3"/>
  <c r="E51" i="3"/>
  <c r="E52" i="3" s="1"/>
  <c r="E69" i="3"/>
  <c r="F66" i="3"/>
  <c r="F67" i="3"/>
  <c r="F49" i="3"/>
  <c r="F50" i="3"/>
  <c r="F69" i="3"/>
  <c r="G66" i="3"/>
  <c r="G67" i="3"/>
  <c r="G49" i="3"/>
  <c r="G50" i="3"/>
  <c r="G51" i="3" s="1"/>
  <c r="G52" i="3" s="1"/>
  <c r="G69" i="3"/>
  <c r="H66" i="3"/>
  <c r="H67" i="3"/>
  <c r="H49" i="3"/>
  <c r="H50" i="3"/>
  <c r="H69" i="3"/>
  <c r="I66" i="3"/>
  <c r="I67" i="3"/>
  <c r="I49" i="3"/>
  <c r="I50" i="3"/>
  <c r="I51" i="3" s="1"/>
  <c r="I52" i="3" s="1"/>
  <c r="I69" i="3"/>
  <c r="J66" i="3"/>
  <c r="J67" i="3"/>
  <c r="J49" i="3"/>
  <c r="J50" i="3"/>
  <c r="J69" i="3"/>
  <c r="K50" i="3"/>
  <c r="K53" i="3" s="1"/>
  <c r="K66" i="3"/>
  <c r="K67" i="3"/>
  <c r="K49" i="3"/>
  <c r="K69" i="3"/>
  <c r="K72" i="3"/>
  <c r="K73" i="3"/>
  <c r="K75" i="3"/>
  <c r="G55" i="1"/>
  <c r="H8" i="1"/>
  <c r="A30" i="2"/>
  <c r="C30" i="2"/>
  <c r="H30" i="2"/>
  <c r="A31" i="2"/>
  <c r="D30" i="2"/>
  <c r="E30" i="2"/>
  <c r="F30" i="2"/>
  <c r="G30" i="2"/>
  <c r="I30" i="2"/>
  <c r="C31" i="2"/>
  <c r="H31" i="2"/>
  <c r="A32" i="2"/>
  <c r="D31" i="2"/>
  <c r="E31" i="2"/>
  <c r="F31" i="2"/>
  <c r="G31" i="2"/>
  <c r="I31" i="2"/>
  <c r="C32" i="2"/>
  <c r="H32" i="2"/>
  <c r="A33" i="2"/>
  <c r="D32" i="2"/>
  <c r="E32" i="2"/>
  <c r="F32" i="2"/>
  <c r="G32" i="2"/>
  <c r="I32" i="2"/>
  <c r="C33" i="2"/>
  <c r="H33" i="2"/>
  <c r="A34" i="2"/>
  <c r="D33" i="2"/>
  <c r="E33" i="2"/>
  <c r="F33" i="2"/>
  <c r="G33" i="2"/>
  <c r="I33" i="2"/>
  <c r="C34" i="2"/>
  <c r="H34" i="2"/>
  <c r="A35" i="2"/>
  <c r="D34" i="2"/>
  <c r="E34" i="2"/>
  <c r="F34" i="2"/>
  <c r="G34" i="2"/>
  <c r="I34" i="2"/>
  <c r="C35" i="2"/>
  <c r="H35" i="2"/>
  <c r="A36" i="2"/>
  <c r="D35" i="2"/>
  <c r="E35" i="2"/>
  <c r="F35" i="2"/>
  <c r="G35" i="2"/>
  <c r="I35" i="2"/>
  <c r="C36" i="2"/>
  <c r="H36" i="2"/>
  <c r="A37" i="2"/>
  <c r="D36" i="2"/>
  <c r="E36" i="2"/>
  <c r="F36" i="2"/>
  <c r="G36" i="2"/>
  <c r="I36" i="2"/>
  <c r="C37" i="2"/>
  <c r="H37" i="2"/>
  <c r="A38" i="2"/>
  <c r="D37" i="2"/>
  <c r="E37" i="2"/>
  <c r="F37" i="2"/>
  <c r="G37" i="2"/>
  <c r="I37" i="2"/>
  <c r="C38" i="2"/>
  <c r="H38" i="2"/>
  <c r="A39" i="2"/>
  <c r="D38" i="2"/>
  <c r="E38" i="2"/>
  <c r="F38" i="2"/>
  <c r="G38" i="2"/>
  <c r="I38" i="2"/>
  <c r="C39" i="2"/>
  <c r="H39" i="2"/>
  <c r="A40" i="2"/>
  <c r="D39" i="2"/>
  <c r="E39" i="2"/>
  <c r="F39" i="2"/>
  <c r="G39" i="2"/>
  <c r="I39" i="2"/>
  <c r="C40" i="2"/>
  <c r="H40" i="2"/>
  <c r="A41" i="2"/>
  <c r="D40" i="2"/>
  <c r="E40" i="2"/>
  <c r="F40" i="2"/>
  <c r="G40" i="2"/>
  <c r="I40" i="2"/>
  <c r="C41" i="2"/>
  <c r="H41" i="2"/>
  <c r="K41" i="2"/>
  <c r="H11" i="1"/>
  <c r="H12" i="1"/>
  <c r="H13" i="1"/>
  <c r="H15" i="1"/>
  <c r="H16" i="1"/>
  <c r="I8" i="1"/>
  <c r="A42" i="2"/>
  <c r="D41" i="2"/>
  <c r="E41" i="2"/>
  <c r="F41" i="2"/>
  <c r="G41" i="2"/>
  <c r="I41" i="2"/>
  <c r="C42" i="2"/>
  <c r="H42" i="2"/>
  <c r="A43" i="2"/>
  <c r="D42" i="2"/>
  <c r="E42" i="2"/>
  <c r="F42" i="2"/>
  <c r="G42" i="2"/>
  <c r="I42" i="2"/>
  <c r="C43" i="2"/>
  <c r="H43" i="2"/>
  <c r="A44" i="2"/>
  <c r="D43" i="2"/>
  <c r="E43" i="2"/>
  <c r="F43" i="2"/>
  <c r="G43" i="2"/>
  <c r="I43" i="2"/>
  <c r="C44" i="2"/>
  <c r="H44" i="2"/>
  <c r="A45" i="2"/>
  <c r="D44" i="2"/>
  <c r="E44" i="2"/>
  <c r="F44" i="2"/>
  <c r="G44" i="2"/>
  <c r="I44" i="2"/>
  <c r="C45" i="2"/>
  <c r="H45" i="2"/>
  <c r="A46" i="2"/>
  <c r="D45" i="2"/>
  <c r="E45" i="2"/>
  <c r="F45" i="2"/>
  <c r="G45" i="2"/>
  <c r="I45" i="2"/>
  <c r="C46" i="2"/>
  <c r="H46" i="2"/>
  <c r="A47" i="2"/>
  <c r="D46" i="2"/>
  <c r="E46" i="2"/>
  <c r="F46" i="2"/>
  <c r="G46" i="2"/>
  <c r="I46" i="2"/>
  <c r="C47" i="2"/>
  <c r="H47" i="2"/>
  <c r="A48" i="2"/>
  <c r="D47" i="2"/>
  <c r="E47" i="2"/>
  <c r="F47" i="2"/>
  <c r="G47" i="2"/>
  <c r="I47" i="2"/>
  <c r="C48" i="2"/>
  <c r="H48" i="2"/>
  <c r="A49" i="2"/>
  <c r="D48" i="2"/>
  <c r="E48" i="2"/>
  <c r="F48" i="2"/>
  <c r="G48" i="2"/>
  <c r="I48" i="2"/>
  <c r="C49" i="2"/>
  <c r="H49" i="2"/>
  <c r="A50" i="2"/>
  <c r="D49" i="2"/>
  <c r="E49" i="2"/>
  <c r="F49" i="2"/>
  <c r="G49" i="2"/>
  <c r="I49" i="2"/>
  <c r="C50" i="2"/>
  <c r="H50" i="2"/>
  <c r="A51" i="2"/>
  <c r="D50" i="2"/>
  <c r="E50" i="2"/>
  <c r="F50" i="2"/>
  <c r="G50" i="2"/>
  <c r="I50" i="2"/>
  <c r="C51" i="2"/>
  <c r="H51" i="2"/>
  <c r="A52" i="2"/>
  <c r="D51" i="2"/>
  <c r="E51" i="2"/>
  <c r="F51" i="2"/>
  <c r="G51" i="2"/>
  <c r="I51" i="2"/>
  <c r="C52" i="2"/>
  <c r="H52" i="2"/>
  <c r="A53" i="2"/>
  <c r="D52" i="2"/>
  <c r="E52" i="2"/>
  <c r="F52" i="2"/>
  <c r="G52" i="2"/>
  <c r="I52" i="2"/>
  <c r="C53" i="2"/>
  <c r="H53" i="2"/>
  <c r="K53" i="2"/>
  <c r="I11" i="1"/>
  <c r="I12" i="1"/>
  <c r="I13" i="1"/>
  <c r="I15" i="1"/>
  <c r="I16" i="1"/>
  <c r="J8" i="1"/>
  <c r="A54" i="2"/>
  <c r="D53" i="2"/>
  <c r="E53" i="2"/>
  <c r="F53" i="2"/>
  <c r="G53" i="2"/>
  <c r="I53" i="2"/>
  <c r="C54" i="2"/>
  <c r="H54" i="2"/>
  <c r="A55" i="2"/>
  <c r="D54" i="2"/>
  <c r="E54" i="2"/>
  <c r="F54" i="2"/>
  <c r="G54" i="2"/>
  <c r="I54" i="2"/>
  <c r="C55" i="2"/>
  <c r="H55" i="2"/>
  <c r="A56" i="2"/>
  <c r="D55" i="2"/>
  <c r="E55" i="2"/>
  <c r="F55" i="2"/>
  <c r="G55" i="2"/>
  <c r="I55" i="2"/>
  <c r="C56" i="2"/>
  <c r="H56" i="2"/>
  <c r="A57" i="2"/>
  <c r="D56" i="2"/>
  <c r="E56" i="2"/>
  <c r="F56" i="2"/>
  <c r="G56" i="2"/>
  <c r="I56" i="2"/>
  <c r="C57" i="2"/>
  <c r="H57" i="2"/>
  <c r="A58" i="2"/>
  <c r="D57" i="2"/>
  <c r="E57" i="2"/>
  <c r="F57" i="2"/>
  <c r="G57" i="2"/>
  <c r="I57" i="2"/>
  <c r="C58" i="2"/>
  <c r="H58" i="2"/>
  <c r="A59" i="2"/>
  <c r="D58" i="2"/>
  <c r="E58" i="2"/>
  <c r="F58" i="2"/>
  <c r="G58" i="2"/>
  <c r="I58" i="2"/>
  <c r="C59" i="2"/>
  <c r="H59" i="2"/>
  <c r="A60" i="2"/>
  <c r="D59" i="2"/>
  <c r="E59" i="2"/>
  <c r="F59" i="2"/>
  <c r="G59" i="2"/>
  <c r="I59" i="2"/>
  <c r="C60" i="2"/>
  <c r="H60" i="2"/>
  <c r="A61" i="2"/>
  <c r="D60" i="2"/>
  <c r="E60" i="2"/>
  <c r="F60" i="2"/>
  <c r="G60" i="2"/>
  <c r="I60" i="2"/>
  <c r="C61" i="2"/>
  <c r="H61" i="2"/>
  <c r="A62" i="2"/>
  <c r="D61" i="2"/>
  <c r="E61" i="2"/>
  <c r="F61" i="2"/>
  <c r="G61" i="2"/>
  <c r="I61" i="2"/>
  <c r="C62" i="2"/>
  <c r="H62" i="2"/>
  <c r="A63" i="2"/>
  <c r="D62" i="2"/>
  <c r="E62" i="2"/>
  <c r="F62" i="2"/>
  <c r="G62" i="2"/>
  <c r="I62" i="2"/>
  <c r="C63" i="2"/>
  <c r="H63" i="2"/>
  <c r="A64" i="2"/>
  <c r="D63" i="2"/>
  <c r="E63" i="2"/>
  <c r="F63" i="2"/>
  <c r="G63" i="2"/>
  <c r="I63" i="2"/>
  <c r="C64" i="2"/>
  <c r="H64" i="2"/>
  <c r="A65" i="2"/>
  <c r="D64" i="2"/>
  <c r="E64" i="2"/>
  <c r="F64" i="2"/>
  <c r="G64" i="2"/>
  <c r="I64" i="2"/>
  <c r="C65" i="2"/>
  <c r="H65" i="2"/>
  <c r="K65" i="2"/>
  <c r="J11" i="1"/>
  <c r="J12" i="1"/>
  <c r="J13" i="1"/>
  <c r="J15" i="1"/>
  <c r="J16" i="1"/>
  <c r="K8" i="1"/>
  <c r="A66" i="2"/>
  <c r="D65" i="2"/>
  <c r="E65" i="2"/>
  <c r="F65" i="2"/>
  <c r="G65" i="2"/>
  <c r="I65" i="2"/>
  <c r="C66" i="2"/>
  <c r="H66" i="2"/>
  <c r="A67" i="2"/>
  <c r="D66" i="2"/>
  <c r="E66" i="2"/>
  <c r="F66" i="2"/>
  <c r="G66" i="2"/>
  <c r="I66" i="2"/>
  <c r="C67" i="2"/>
  <c r="H67" i="2"/>
  <c r="A68" i="2"/>
  <c r="D67" i="2"/>
  <c r="E67" i="2"/>
  <c r="F67" i="2"/>
  <c r="G67" i="2"/>
  <c r="I67" i="2"/>
  <c r="C68" i="2"/>
  <c r="H68" i="2"/>
  <c r="A69" i="2"/>
  <c r="D68" i="2"/>
  <c r="E68" i="2"/>
  <c r="F68" i="2"/>
  <c r="G68" i="2"/>
  <c r="I68" i="2"/>
  <c r="C69" i="2"/>
  <c r="H69" i="2"/>
  <c r="A70" i="2"/>
  <c r="D69" i="2"/>
  <c r="E69" i="2"/>
  <c r="F69" i="2"/>
  <c r="G69" i="2"/>
  <c r="I69" i="2"/>
  <c r="C70" i="2"/>
  <c r="H70" i="2"/>
  <c r="A71" i="2"/>
  <c r="D70" i="2"/>
  <c r="E70" i="2"/>
  <c r="F70" i="2"/>
  <c r="G70" i="2"/>
  <c r="I70" i="2"/>
  <c r="C71" i="2"/>
  <c r="H71" i="2"/>
  <c r="A72" i="2"/>
  <c r="D71" i="2"/>
  <c r="E71" i="2"/>
  <c r="F71" i="2"/>
  <c r="G71" i="2"/>
  <c r="I71" i="2"/>
  <c r="C72" i="2"/>
  <c r="H72" i="2"/>
  <c r="A73" i="2"/>
  <c r="D72" i="2"/>
  <c r="E72" i="2"/>
  <c r="F72" i="2"/>
  <c r="G72" i="2"/>
  <c r="I72" i="2"/>
  <c r="C73" i="2"/>
  <c r="H73" i="2"/>
  <c r="A74" i="2"/>
  <c r="D73" i="2"/>
  <c r="E73" i="2"/>
  <c r="F73" i="2"/>
  <c r="G73" i="2"/>
  <c r="I73" i="2"/>
  <c r="C74" i="2"/>
  <c r="H74" i="2"/>
  <c r="A75" i="2"/>
  <c r="D74" i="2"/>
  <c r="E74" i="2"/>
  <c r="F74" i="2"/>
  <c r="G74" i="2"/>
  <c r="I74" i="2"/>
  <c r="C75" i="2"/>
  <c r="H75" i="2"/>
  <c r="A76" i="2"/>
  <c r="D75" i="2"/>
  <c r="E75" i="2"/>
  <c r="F75" i="2"/>
  <c r="G75" i="2"/>
  <c r="I75" i="2"/>
  <c r="C76" i="2"/>
  <c r="H76" i="2"/>
  <c r="A77" i="2"/>
  <c r="D76" i="2"/>
  <c r="E76" i="2"/>
  <c r="F76" i="2"/>
  <c r="G76" i="2"/>
  <c r="I76" i="2"/>
  <c r="C77" i="2"/>
  <c r="H77" i="2"/>
  <c r="K77" i="2"/>
  <c r="K11" i="1"/>
  <c r="K12" i="1"/>
  <c r="K13" i="1"/>
  <c r="K15" i="1"/>
  <c r="K16" i="1"/>
  <c r="L8" i="1"/>
  <c r="A78" i="2"/>
  <c r="D77" i="2"/>
  <c r="E77" i="2"/>
  <c r="F77" i="2"/>
  <c r="G77" i="2"/>
  <c r="I77" i="2"/>
  <c r="C78" i="2"/>
  <c r="H78" i="2"/>
  <c r="A79" i="2"/>
  <c r="D78" i="2"/>
  <c r="E78" i="2"/>
  <c r="F78" i="2"/>
  <c r="G78" i="2"/>
  <c r="I78" i="2"/>
  <c r="C79" i="2"/>
  <c r="H79" i="2"/>
  <c r="A80" i="2"/>
  <c r="D79" i="2"/>
  <c r="E79" i="2"/>
  <c r="F79" i="2"/>
  <c r="G79" i="2"/>
  <c r="I79" i="2"/>
  <c r="C80" i="2"/>
  <c r="H80" i="2"/>
  <c r="A81" i="2"/>
  <c r="D80" i="2"/>
  <c r="E80" i="2"/>
  <c r="F80" i="2"/>
  <c r="G80" i="2"/>
  <c r="I80" i="2"/>
  <c r="C81" i="2"/>
  <c r="H81" i="2"/>
  <c r="A82" i="2"/>
  <c r="D81" i="2"/>
  <c r="E81" i="2"/>
  <c r="F81" i="2"/>
  <c r="G81" i="2"/>
  <c r="I81" i="2"/>
  <c r="C82" i="2"/>
  <c r="H82" i="2"/>
  <c r="A83" i="2"/>
  <c r="D82" i="2"/>
  <c r="E82" i="2"/>
  <c r="F82" i="2"/>
  <c r="G82" i="2"/>
  <c r="I82" i="2"/>
  <c r="C83" i="2"/>
  <c r="H83" i="2"/>
  <c r="A84" i="2"/>
  <c r="D83" i="2"/>
  <c r="E83" i="2"/>
  <c r="F83" i="2"/>
  <c r="G83" i="2"/>
  <c r="I83" i="2"/>
  <c r="C84" i="2"/>
  <c r="H84" i="2"/>
  <c r="A85" i="2"/>
  <c r="D84" i="2"/>
  <c r="E84" i="2"/>
  <c r="F84" i="2"/>
  <c r="G84" i="2"/>
  <c r="I84" i="2"/>
  <c r="C85" i="2"/>
  <c r="H85" i="2"/>
  <c r="A86" i="2"/>
  <c r="D85" i="2"/>
  <c r="E85" i="2"/>
  <c r="F85" i="2"/>
  <c r="G85" i="2"/>
  <c r="I85" i="2"/>
  <c r="C86" i="2"/>
  <c r="H86" i="2"/>
  <c r="A87" i="2"/>
  <c r="D86" i="2"/>
  <c r="E86" i="2"/>
  <c r="F86" i="2"/>
  <c r="G86" i="2"/>
  <c r="I86" i="2"/>
  <c r="C87" i="2"/>
  <c r="H87" i="2"/>
  <c r="A88" i="2"/>
  <c r="D87" i="2"/>
  <c r="E87" i="2"/>
  <c r="F87" i="2"/>
  <c r="G87" i="2"/>
  <c r="I87" i="2"/>
  <c r="C88" i="2"/>
  <c r="H88" i="2"/>
  <c r="A89" i="2"/>
  <c r="D88" i="2"/>
  <c r="E88" i="2"/>
  <c r="F88" i="2"/>
  <c r="G88" i="2"/>
  <c r="I88" i="2"/>
  <c r="C89" i="2"/>
  <c r="H89" i="2"/>
  <c r="K89" i="2"/>
  <c r="L11" i="1"/>
  <c r="L12" i="1"/>
  <c r="L13" i="1"/>
  <c r="L15" i="1"/>
  <c r="L16" i="1"/>
  <c r="M8" i="1"/>
  <c r="A90" i="2"/>
  <c r="D89" i="2"/>
  <c r="E89" i="2"/>
  <c r="F89" i="2"/>
  <c r="G89" i="2"/>
  <c r="I89" i="2"/>
  <c r="C90" i="2"/>
  <c r="H90" i="2"/>
  <c r="A91" i="2"/>
  <c r="D90" i="2"/>
  <c r="E90" i="2"/>
  <c r="F90" i="2"/>
  <c r="G90" i="2"/>
  <c r="I90" i="2"/>
  <c r="C91" i="2"/>
  <c r="H91" i="2"/>
  <c r="A92" i="2"/>
  <c r="D91" i="2"/>
  <c r="E91" i="2"/>
  <c r="F91" i="2"/>
  <c r="G91" i="2"/>
  <c r="I91" i="2"/>
  <c r="C92" i="2"/>
  <c r="H92" i="2"/>
  <c r="A93" i="2"/>
  <c r="D92" i="2"/>
  <c r="E92" i="2"/>
  <c r="F92" i="2"/>
  <c r="G92" i="2"/>
  <c r="I92" i="2"/>
  <c r="C93" i="2"/>
  <c r="H93" i="2"/>
  <c r="A94" i="2"/>
  <c r="D93" i="2"/>
  <c r="E93" i="2"/>
  <c r="F93" i="2"/>
  <c r="G93" i="2"/>
  <c r="I93" i="2"/>
  <c r="C94" i="2"/>
  <c r="H94" i="2"/>
  <c r="A95" i="2"/>
  <c r="D94" i="2"/>
  <c r="E94" i="2"/>
  <c r="F94" i="2"/>
  <c r="G94" i="2"/>
  <c r="I94" i="2"/>
  <c r="C95" i="2"/>
  <c r="H95" i="2"/>
  <c r="A96" i="2"/>
  <c r="D95" i="2"/>
  <c r="E95" i="2"/>
  <c r="F95" i="2"/>
  <c r="G95" i="2"/>
  <c r="I95" i="2"/>
  <c r="C96" i="2"/>
  <c r="H96" i="2"/>
  <c r="A97" i="2"/>
  <c r="D96" i="2"/>
  <c r="E96" i="2"/>
  <c r="F96" i="2"/>
  <c r="G96" i="2"/>
  <c r="I96" i="2"/>
  <c r="C97" i="2"/>
  <c r="H97" i="2"/>
  <c r="A98" i="2"/>
  <c r="D97" i="2"/>
  <c r="E97" i="2"/>
  <c r="F97" i="2"/>
  <c r="G97" i="2"/>
  <c r="I97" i="2"/>
  <c r="C98" i="2"/>
  <c r="H98" i="2"/>
  <c r="A99" i="2"/>
  <c r="D98" i="2"/>
  <c r="E98" i="2"/>
  <c r="F98" i="2"/>
  <c r="G98" i="2"/>
  <c r="I98" i="2"/>
  <c r="C99" i="2"/>
  <c r="H99" i="2"/>
  <c r="A100" i="2"/>
  <c r="D99" i="2"/>
  <c r="E99" i="2"/>
  <c r="F99" i="2"/>
  <c r="G99" i="2"/>
  <c r="I99" i="2"/>
  <c r="C100" i="2"/>
  <c r="H100" i="2"/>
  <c r="A101" i="2"/>
  <c r="D100" i="2"/>
  <c r="E100" i="2"/>
  <c r="F100" i="2"/>
  <c r="G100" i="2"/>
  <c r="I100" i="2"/>
  <c r="C101" i="2"/>
  <c r="H101" i="2"/>
  <c r="K101" i="2"/>
  <c r="M11" i="1"/>
  <c r="M12" i="1"/>
  <c r="M13" i="1"/>
  <c r="M15" i="1"/>
  <c r="M16" i="1"/>
  <c r="N8" i="1"/>
  <c r="A102" i="2"/>
  <c r="D101" i="2"/>
  <c r="E101" i="2"/>
  <c r="F101" i="2"/>
  <c r="G101" i="2"/>
  <c r="I101" i="2"/>
  <c r="C102" i="2"/>
  <c r="H102" i="2"/>
  <c r="A103" i="2"/>
  <c r="D102" i="2"/>
  <c r="E102" i="2"/>
  <c r="F102" i="2"/>
  <c r="G102" i="2"/>
  <c r="I102" i="2"/>
  <c r="C103" i="2"/>
  <c r="H103" i="2"/>
  <c r="A104" i="2"/>
  <c r="D103" i="2"/>
  <c r="E103" i="2"/>
  <c r="F103" i="2"/>
  <c r="G103" i="2"/>
  <c r="I103" i="2"/>
  <c r="C104" i="2"/>
  <c r="H104" i="2"/>
  <c r="A105" i="2"/>
  <c r="D104" i="2"/>
  <c r="E104" i="2"/>
  <c r="F104" i="2"/>
  <c r="G104" i="2"/>
  <c r="I104" i="2"/>
  <c r="C105" i="2"/>
  <c r="H105" i="2"/>
  <c r="A106" i="2"/>
  <c r="D105" i="2"/>
  <c r="E105" i="2"/>
  <c r="F105" i="2"/>
  <c r="G105" i="2"/>
  <c r="I105" i="2"/>
  <c r="C106" i="2"/>
  <c r="H106" i="2"/>
  <c r="A107" i="2"/>
  <c r="D106" i="2"/>
  <c r="E106" i="2"/>
  <c r="F106" i="2"/>
  <c r="G106" i="2"/>
  <c r="I106" i="2"/>
  <c r="C107" i="2"/>
  <c r="H107" i="2"/>
  <c r="A108" i="2"/>
  <c r="D107" i="2"/>
  <c r="E107" i="2"/>
  <c r="F107" i="2"/>
  <c r="G107" i="2"/>
  <c r="I107" i="2"/>
  <c r="C108" i="2"/>
  <c r="H108" i="2"/>
  <c r="A109" i="2"/>
  <c r="D108" i="2"/>
  <c r="E108" i="2"/>
  <c r="F108" i="2"/>
  <c r="G108" i="2"/>
  <c r="I108" i="2"/>
  <c r="C109" i="2"/>
  <c r="H109" i="2"/>
  <c r="A110" i="2"/>
  <c r="D109" i="2"/>
  <c r="E109" i="2"/>
  <c r="F109" i="2"/>
  <c r="G109" i="2"/>
  <c r="I109" i="2"/>
  <c r="C110" i="2"/>
  <c r="H110" i="2"/>
  <c r="A111" i="2"/>
  <c r="D110" i="2"/>
  <c r="E110" i="2"/>
  <c r="F110" i="2"/>
  <c r="G110" i="2"/>
  <c r="I110" i="2"/>
  <c r="C111" i="2"/>
  <c r="H111" i="2"/>
  <c r="A112" i="2"/>
  <c r="D111" i="2"/>
  <c r="E111" i="2"/>
  <c r="F111" i="2"/>
  <c r="G111" i="2"/>
  <c r="I111" i="2"/>
  <c r="C112" i="2"/>
  <c r="H112" i="2"/>
  <c r="A113" i="2"/>
  <c r="D112" i="2"/>
  <c r="E112" i="2"/>
  <c r="F112" i="2"/>
  <c r="G112" i="2"/>
  <c r="I112" i="2"/>
  <c r="C113" i="2"/>
  <c r="H113" i="2"/>
  <c r="K113" i="2"/>
  <c r="N11" i="1"/>
  <c r="N12" i="1"/>
  <c r="N13" i="1"/>
  <c r="N15" i="1"/>
  <c r="N16" i="1"/>
  <c r="D113" i="2"/>
  <c r="E113" i="2"/>
  <c r="F113" i="2"/>
  <c r="G113" i="2"/>
  <c r="I113" i="2"/>
  <c r="J113" i="2"/>
  <c r="N34" i="1"/>
  <c r="G50" i="1"/>
  <c r="G51" i="1"/>
  <c r="E53" i="3"/>
  <c r="G53" i="3"/>
  <c r="I53" i="3"/>
  <c r="E47" i="3"/>
  <c r="E56" i="3"/>
  <c r="F47" i="3"/>
  <c r="F56" i="3"/>
  <c r="G47" i="3"/>
  <c r="G56" i="3"/>
  <c r="H47" i="3"/>
  <c r="H56" i="3"/>
  <c r="I47" i="3"/>
  <c r="I56" i="3"/>
  <c r="J47" i="3"/>
  <c r="J56" i="3"/>
  <c r="K47" i="3"/>
  <c r="K56" i="3"/>
  <c r="D47" i="3"/>
  <c r="D56" i="3"/>
  <c r="H28" i="1"/>
  <c r="I28" i="1"/>
  <c r="J28" i="1"/>
  <c r="K28" i="1"/>
  <c r="L28" i="1"/>
  <c r="M28" i="1"/>
  <c r="N28" i="1"/>
  <c r="H29" i="1"/>
  <c r="I29" i="1"/>
  <c r="J29" i="1"/>
  <c r="K29" i="1"/>
  <c r="L29" i="1"/>
  <c r="M29" i="1"/>
  <c r="N29" i="1"/>
  <c r="B45" i="1"/>
  <c r="B7" i="1"/>
  <c r="B10" i="1" s="1"/>
  <c r="B18" i="2"/>
  <c r="D13" i="2"/>
  <c r="D12" i="2"/>
  <c r="E5" i="2"/>
  <c r="N25" i="2"/>
  <c r="O25" i="2"/>
  <c r="B19" i="2"/>
  <c r="N24" i="2"/>
  <c r="O24" i="2"/>
  <c r="N23" i="2"/>
  <c r="O23" i="2"/>
  <c r="P23" i="2"/>
  <c r="B20" i="2"/>
  <c r="H30" i="1"/>
  <c r="B21" i="2"/>
  <c r="I30" i="1"/>
  <c r="B22" i="2"/>
  <c r="J30" i="1"/>
  <c r="B23" i="2"/>
  <c r="K30" i="1"/>
  <c r="B24" i="2"/>
  <c r="L30" i="1"/>
  <c r="B25" i="2"/>
  <c r="M30" i="1"/>
  <c r="B26" i="2"/>
  <c r="N30" i="1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J41" i="2"/>
  <c r="H34" i="1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J53" i="2"/>
  <c r="I34" i="1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J65" i="2"/>
  <c r="J34" i="1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J77" i="2"/>
  <c r="K34" i="1"/>
  <c r="B109" i="2"/>
  <c r="B110" i="2"/>
  <c r="B111" i="2"/>
  <c r="B112" i="2"/>
  <c r="A114" i="2"/>
  <c r="B113" i="2"/>
  <c r="E114" i="2"/>
  <c r="A115" i="2"/>
  <c r="B114" i="2"/>
  <c r="D114" i="2"/>
  <c r="F114" i="2"/>
  <c r="D115" i="2"/>
  <c r="E115" i="2"/>
  <c r="F115" i="2"/>
  <c r="A116" i="2"/>
  <c r="B115" i="2"/>
  <c r="E116" i="2"/>
  <c r="D116" i="2"/>
  <c r="F116" i="2"/>
  <c r="A117" i="2"/>
  <c r="B116" i="2"/>
  <c r="A118" i="2"/>
  <c r="B117" i="2"/>
  <c r="D117" i="2"/>
  <c r="E117" i="2"/>
  <c r="F117" i="2"/>
  <c r="E118" i="2"/>
  <c r="D118" i="2"/>
  <c r="F118" i="2"/>
  <c r="A119" i="2"/>
  <c r="B118" i="2"/>
  <c r="D119" i="2"/>
  <c r="E119" i="2"/>
  <c r="F119" i="2"/>
  <c r="A120" i="2"/>
  <c r="B119" i="2"/>
  <c r="E120" i="2"/>
  <c r="D120" i="2"/>
  <c r="F120" i="2"/>
  <c r="A121" i="2"/>
  <c r="B120" i="2"/>
  <c r="A122" i="2"/>
  <c r="B121" i="2"/>
  <c r="D121" i="2"/>
  <c r="E121" i="2"/>
  <c r="F121" i="2"/>
  <c r="A123" i="2"/>
  <c r="B122" i="2"/>
  <c r="E122" i="2"/>
  <c r="D122" i="2"/>
  <c r="F122" i="2"/>
  <c r="E123" i="2"/>
  <c r="D123" i="2"/>
  <c r="F123" i="2"/>
  <c r="A124" i="2"/>
  <c r="B123" i="2"/>
  <c r="D124" i="2"/>
  <c r="A125" i="2"/>
  <c r="B124" i="2"/>
  <c r="E124" i="2"/>
  <c r="F124" i="2"/>
  <c r="A126" i="2"/>
  <c r="B125" i="2"/>
  <c r="E125" i="2"/>
  <c r="D125" i="2"/>
  <c r="F125" i="2"/>
  <c r="A127" i="2"/>
  <c r="B126" i="2"/>
  <c r="E126" i="2"/>
  <c r="D126" i="2"/>
  <c r="F126" i="2"/>
  <c r="J89" i="2"/>
  <c r="L34" i="1"/>
  <c r="E127" i="2"/>
  <c r="D127" i="2"/>
  <c r="F127" i="2"/>
  <c r="A128" i="2"/>
  <c r="B127" i="2"/>
  <c r="D128" i="2"/>
  <c r="A129" i="2"/>
  <c r="B128" i="2"/>
  <c r="E128" i="2"/>
  <c r="F128" i="2"/>
  <c r="A130" i="2"/>
  <c r="B129" i="2"/>
  <c r="E129" i="2"/>
  <c r="D129" i="2"/>
  <c r="F129" i="2"/>
  <c r="A131" i="2"/>
  <c r="B130" i="2"/>
  <c r="E130" i="2"/>
  <c r="D130" i="2"/>
  <c r="F130" i="2"/>
  <c r="E131" i="2"/>
  <c r="D131" i="2"/>
  <c r="F131" i="2"/>
  <c r="A132" i="2"/>
  <c r="B131" i="2"/>
  <c r="D132" i="2"/>
  <c r="A133" i="2"/>
  <c r="B132" i="2"/>
  <c r="E132" i="2"/>
  <c r="F132" i="2"/>
  <c r="A134" i="2"/>
  <c r="B133" i="2"/>
  <c r="E133" i="2"/>
  <c r="D133" i="2"/>
  <c r="F133" i="2"/>
  <c r="A135" i="2"/>
  <c r="B134" i="2"/>
  <c r="E134" i="2"/>
  <c r="D134" i="2"/>
  <c r="F134" i="2"/>
  <c r="E135" i="2"/>
  <c r="D135" i="2"/>
  <c r="F135" i="2"/>
  <c r="A136" i="2"/>
  <c r="B135" i="2"/>
  <c r="D136" i="2"/>
  <c r="A137" i="2"/>
  <c r="B136" i="2"/>
  <c r="E136" i="2"/>
  <c r="F136" i="2"/>
  <c r="A138" i="2"/>
  <c r="B137" i="2"/>
  <c r="E137" i="2"/>
  <c r="D137" i="2"/>
  <c r="F137" i="2"/>
  <c r="A139" i="2"/>
  <c r="B138" i="2"/>
  <c r="E138" i="2"/>
  <c r="D138" i="2"/>
  <c r="F138" i="2"/>
  <c r="E139" i="2"/>
  <c r="D139" i="2"/>
  <c r="F139" i="2"/>
  <c r="A140" i="2"/>
  <c r="B139" i="2"/>
  <c r="D140" i="2"/>
  <c r="A141" i="2"/>
  <c r="B140" i="2"/>
  <c r="E140" i="2"/>
  <c r="F140" i="2"/>
  <c r="A142" i="2"/>
  <c r="B141" i="2"/>
  <c r="E141" i="2"/>
  <c r="D141" i="2"/>
  <c r="F141" i="2"/>
  <c r="A143" i="2"/>
  <c r="B142" i="2"/>
  <c r="E142" i="2"/>
  <c r="D142" i="2"/>
  <c r="F142" i="2"/>
  <c r="E143" i="2"/>
  <c r="D143" i="2"/>
  <c r="F143" i="2"/>
  <c r="A144" i="2"/>
  <c r="B143" i="2"/>
  <c r="D144" i="2"/>
  <c r="A145" i="2"/>
  <c r="B144" i="2"/>
  <c r="E144" i="2"/>
  <c r="F144" i="2"/>
  <c r="B145" i="2"/>
  <c r="A146" i="2"/>
  <c r="E145" i="2"/>
  <c r="D145" i="2"/>
  <c r="F145" i="2"/>
  <c r="J101" i="2"/>
  <c r="M34" i="1"/>
  <c r="A147" i="2"/>
  <c r="D146" i="2"/>
  <c r="B146" i="2"/>
  <c r="E146" i="2"/>
  <c r="F146" i="2"/>
  <c r="E147" i="2"/>
  <c r="D147" i="2"/>
  <c r="F147" i="2"/>
  <c r="A148" i="2"/>
  <c r="B147" i="2"/>
  <c r="D148" i="2"/>
  <c r="E148" i="2"/>
  <c r="F148" i="2"/>
  <c r="A149" i="2"/>
  <c r="B148" i="2"/>
  <c r="E149" i="2"/>
  <c r="D149" i="2"/>
  <c r="F149" i="2"/>
  <c r="A150" i="2"/>
  <c r="B149" i="2"/>
  <c r="A151" i="2"/>
  <c r="B150" i="2"/>
  <c r="D150" i="2"/>
  <c r="E150" i="2"/>
  <c r="F150" i="2"/>
  <c r="E151" i="2"/>
  <c r="D151" i="2"/>
  <c r="F151" i="2"/>
  <c r="A152" i="2"/>
  <c r="B151" i="2"/>
  <c r="D152" i="2"/>
  <c r="E152" i="2"/>
  <c r="F152" i="2"/>
  <c r="A153" i="2"/>
  <c r="B152" i="2"/>
  <c r="E153" i="2"/>
  <c r="A154" i="2"/>
  <c r="B153" i="2"/>
  <c r="D153" i="2"/>
  <c r="F153" i="2"/>
  <c r="A155" i="2"/>
  <c r="B154" i="2"/>
  <c r="D154" i="2"/>
  <c r="E154" i="2"/>
  <c r="F154" i="2"/>
  <c r="E155" i="2"/>
  <c r="D155" i="2"/>
  <c r="F155" i="2"/>
  <c r="A156" i="2"/>
  <c r="B155" i="2"/>
  <c r="D156" i="2"/>
  <c r="E156" i="2"/>
  <c r="F156" i="2"/>
  <c r="A157" i="2"/>
  <c r="B156" i="2"/>
  <c r="E157" i="2"/>
  <c r="D157" i="2"/>
  <c r="F157" i="2"/>
  <c r="A158" i="2"/>
  <c r="B157" i="2"/>
  <c r="A159" i="2"/>
  <c r="B158" i="2"/>
  <c r="D158" i="2"/>
  <c r="E158" i="2"/>
  <c r="F158" i="2"/>
  <c r="E159" i="2"/>
  <c r="D159" i="2"/>
  <c r="F159" i="2"/>
  <c r="A160" i="2"/>
  <c r="B159" i="2"/>
  <c r="D160" i="2"/>
  <c r="A161" i="2"/>
  <c r="B160" i="2"/>
  <c r="E160" i="2"/>
  <c r="F160" i="2"/>
  <c r="E161" i="2"/>
  <c r="A162" i="2"/>
  <c r="B161" i="2"/>
  <c r="D161" i="2"/>
  <c r="F161" i="2"/>
  <c r="A163" i="2"/>
  <c r="B162" i="2"/>
  <c r="D162" i="2"/>
  <c r="E162" i="2"/>
  <c r="F162" i="2"/>
  <c r="E163" i="2"/>
  <c r="D163" i="2"/>
  <c r="F163" i="2"/>
  <c r="A164" i="2"/>
  <c r="B163" i="2"/>
  <c r="D164" i="2"/>
  <c r="E164" i="2"/>
  <c r="F164" i="2"/>
  <c r="A165" i="2"/>
  <c r="B164" i="2"/>
  <c r="E165" i="2"/>
  <c r="D165" i="2"/>
  <c r="F165" i="2"/>
  <c r="A166" i="2"/>
  <c r="B165" i="2"/>
  <c r="C114" i="2"/>
  <c r="A167" i="2"/>
  <c r="B166" i="2"/>
  <c r="D166" i="2"/>
  <c r="E166" i="2"/>
  <c r="F166" i="2"/>
  <c r="H114" i="2"/>
  <c r="G114" i="2"/>
  <c r="I114" i="2"/>
  <c r="C115" i="2"/>
  <c r="H115" i="2"/>
  <c r="G115" i="2"/>
  <c r="I115" i="2"/>
  <c r="C116" i="2"/>
  <c r="E167" i="2"/>
  <c r="D167" i="2"/>
  <c r="F167" i="2"/>
  <c r="A168" i="2"/>
  <c r="B167" i="2"/>
  <c r="H116" i="2"/>
  <c r="G116" i="2"/>
  <c r="I116" i="2"/>
  <c r="C117" i="2"/>
  <c r="D168" i="2"/>
  <c r="A169" i="2"/>
  <c r="B168" i="2"/>
  <c r="E168" i="2"/>
  <c r="F168" i="2"/>
  <c r="H117" i="2"/>
  <c r="G117" i="2"/>
  <c r="I117" i="2"/>
  <c r="C118" i="2"/>
  <c r="E169" i="2"/>
  <c r="A170" i="2"/>
  <c r="B169" i="2"/>
  <c r="D169" i="2"/>
  <c r="F169" i="2"/>
  <c r="H118" i="2"/>
  <c r="G118" i="2"/>
  <c r="I118" i="2"/>
  <c r="C119" i="2"/>
  <c r="A171" i="2"/>
  <c r="B170" i="2"/>
  <c r="D170" i="2"/>
  <c r="E170" i="2"/>
  <c r="F170" i="2"/>
  <c r="H119" i="2"/>
  <c r="G119" i="2"/>
  <c r="I119" i="2"/>
  <c r="C120" i="2"/>
  <c r="E171" i="2"/>
  <c r="D171" i="2"/>
  <c r="F171" i="2"/>
  <c r="A172" i="2"/>
  <c r="B171" i="2"/>
  <c r="H120" i="2"/>
  <c r="G120" i="2"/>
  <c r="I120" i="2"/>
  <c r="C121" i="2"/>
  <c r="D172" i="2"/>
  <c r="A173" i="2"/>
  <c r="B172" i="2"/>
  <c r="E172" i="2"/>
  <c r="F172" i="2"/>
  <c r="H121" i="2"/>
  <c r="G121" i="2"/>
  <c r="I121" i="2"/>
  <c r="C122" i="2"/>
  <c r="E173" i="2"/>
  <c r="D173" i="2"/>
  <c r="F173" i="2"/>
  <c r="A174" i="2"/>
  <c r="B173" i="2"/>
  <c r="H122" i="2"/>
  <c r="G122" i="2"/>
  <c r="I122" i="2"/>
  <c r="C123" i="2"/>
  <c r="A175" i="2"/>
  <c r="B174" i="2"/>
  <c r="D174" i="2"/>
  <c r="E174" i="2"/>
  <c r="F174" i="2"/>
  <c r="H123" i="2"/>
  <c r="G123" i="2"/>
  <c r="I123" i="2"/>
  <c r="C124" i="2"/>
  <c r="E175" i="2"/>
  <c r="D175" i="2"/>
  <c r="F175" i="2"/>
  <c r="A176" i="2"/>
  <c r="B175" i="2"/>
  <c r="H124" i="2"/>
  <c r="G124" i="2"/>
  <c r="I124" i="2"/>
  <c r="C125" i="2"/>
  <c r="D176" i="2"/>
  <c r="A177" i="2"/>
  <c r="B176" i="2"/>
  <c r="E176" i="2"/>
  <c r="F176" i="2"/>
  <c r="H125" i="2"/>
  <c r="E177" i="2"/>
  <c r="A178" i="2"/>
  <c r="B177" i="2"/>
  <c r="D177" i="2"/>
  <c r="F177" i="2"/>
  <c r="G125" i="2"/>
  <c r="I125" i="2"/>
  <c r="K125" i="2"/>
  <c r="A179" i="2"/>
  <c r="B178" i="2"/>
  <c r="D178" i="2"/>
  <c r="E178" i="2"/>
  <c r="F178" i="2"/>
  <c r="C126" i="2"/>
  <c r="H126" i="2"/>
  <c r="J125" i="2"/>
  <c r="E179" i="2"/>
  <c r="D179" i="2"/>
  <c r="F179" i="2"/>
  <c r="A180" i="2"/>
  <c r="B179" i="2"/>
  <c r="G126" i="2"/>
  <c r="I126" i="2"/>
  <c r="C127" i="2"/>
  <c r="H127" i="2"/>
  <c r="G127" i="2"/>
  <c r="I127" i="2"/>
  <c r="C128" i="2"/>
  <c r="H128" i="2"/>
  <c r="G128" i="2"/>
  <c r="I128" i="2"/>
  <c r="C129" i="2"/>
  <c r="D180" i="2"/>
  <c r="A181" i="2"/>
  <c r="B180" i="2"/>
  <c r="E180" i="2"/>
  <c r="F180" i="2"/>
  <c r="H129" i="2"/>
  <c r="G129" i="2"/>
  <c r="I129" i="2"/>
  <c r="C130" i="2"/>
  <c r="A182" i="2"/>
  <c r="B181" i="2"/>
  <c r="E181" i="2"/>
  <c r="D181" i="2"/>
  <c r="F181" i="2"/>
  <c r="H130" i="2"/>
  <c r="G130" i="2"/>
  <c r="I130" i="2"/>
  <c r="C131" i="2"/>
  <c r="A183" i="2"/>
  <c r="B182" i="2"/>
  <c r="E182" i="2"/>
  <c r="D182" i="2"/>
  <c r="F182" i="2"/>
  <c r="H131" i="2"/>
  <c r="G131" i="2"/>
  <c r="I131" i="2"/>
  <c r="C132" i="2"/>
  <c r="A184" i="2"/>
  <c r="B183" i="2"/>
  <c r="E183" i="2"/>
  <c r="D183" i="2"/>
  <c r="F183" i="2"/>
  <c r="H132" i="2"/>
  <c r="G132" i="2"/>
  <c r="I132" i="2"/>
  <c r="C133" i="2"/>
  <c r="E184" i="2"/>
  <c r="D184" i="2"/>
  <c r="F184" i="2"/>
  <c r="A185" i="2"/>
  <c r="B184" i="2"/>
  <c r="H133" i="2"/>
  <c r="G133" i="2"/>
  <c r="I133" i="2"/>
  <c r="C134" i="2"/>
  <c r="D185" i="2"/>
  <c r="A186" i="2"/>
  <c r="B185" i="2"/>
  <c r="E185" i="2"/>
  <c r="F185" i="2"/>
  <c r="H134" i="2"/>
  <c r="G134" i="2"/>
  <c r="I134" i="2"/>
  <c r="C135" i="2"/>
  <c r="A187" i="2"/>
  <c r="B186" i="2"/>
  <c r="E186" i="2"/>
  <c r="D186" i="2"/>
  <c r="F186" i="2"/>
  <c r="H135" i="2"/>
  <c r="G135" i="2"/>
  <c r="I135" i="2"/>
  <c r="C136" i="2"/>
  <c r="A188" i="2"/>
  <c r="B187" i="2"/>
  <c r="E187" i="2"/>
  <c r="D187" i="2"/>
  <c r="F187" i="2"/>
  <c r="H136" i="2"/>
  <c r="G136" i="2"/>
  <c r="I136" i="2"/>
  <c r="C137" i="2"/>
  <c r="E188" i="2"/>
  <c r="D188" i="2"/>
  <c r="F188" i="2"/>
  <c r="A189" i="2"/>
  <c r="B188" i="2"/>
  <c r="H137" i="2"/>
  <c r="D189" i="2"/>
  <c r="A190" i="2"/>
  <c r="B189" i="2"/>
  <c r="E189" i="2"/>
  <c r="F189" i="2"/>
  <c r="G137" i="2"/>
  <c r="I137" i="2"/>
  <c r="K137" i="2"/>
  <c r="A191" i="2"/>
  <c r="B190" i="2"/>
  <c r="E190" i="2"/>
  <c r="D190" i="2"/>
  <c r="F190" i="2"/>
  <c r="C138" i="2"/>
  <c r="H138" i="2"/>
  <c r="J137" i="2"/>
  <c r="A192" i="2"/>
  <c r="B191" i="2"/>
  <c r="E191" i="2"/>
  <c r="D191" i="2"/>
  <c r="F191" i="2"/>
  <c r="G138" i="2"/>
  <c r="I138" i="2"/>
  <c r="C139" i="2"/>
  <c r="H139" i="2"/>
  <c r="G139" i="2"/>
  <c r="I139" i="2"/>
  <c r="C140" i="2"/>
  <c r="H140" i="2"/>
  <c r="G140" i="2"/>
  <c r="I140" i="2"/>
  <c r="C141" i="2"/>
  <c r="E192" i="2"/>
  <c r="D192" i="2"/>
  <c r="F192" i="2"/>
  <c r="A193" i="2"/>
  <c r="B192" i="2"/>
  <c r="H141" i="2"/>
  <c r="G141" i="2"/>
  <c r="I141" i="2"/>
  <c r="C142" i="2"/>
  <c r="D193" i="2"/>
  <c r="A194" i="2"/>
  <c r="B193" i="2"/>
  <c r="E193" i="2"/>
  <c r="F193" i="2"/>
  <c r="H142" i="2"/>
  <c r="G142" i="2"/>
  <c r="I142" i="2"/>
  <c r="C143" i="2"/>
  <c r="A195" i="2"/>
  <c r="B194" i="2"/>
  <c r="E194" i="2"/>
  <c r="D194" i="2"/>
  <c r="F194" i="2"/>
  <c r="H143" i="2"/>
  <c r="G143" i="2"/>
  <c r="I143" i="2"/>
  <c r="C144" i="2"/>
  <c r="A196" i="2"/>
  <c r="B195" i="2"/>
  <c r="E195" i="2"/>
  <c r="D195" i="2"/>
  <c r="F195" i="2"/>
  <c r="H144" i="2"/>
  <c r="G144" i="2"/>
  <c r="I144" i="2"/>
  <c r="C145" i="2"/>
  <c r="E196" i="2"/>
  <c r="D196" i="2"/>
  <c r="F196" i="2"/>
  <c r="A197" i="2"/>
  <c r="B196" i="2"/>
  <c r="H145" i="2"/>
  <c r="G145" i="2"/>
  <c r="I145" i="2"/>
  <c r="C146" i="2"/>
  <c r="D197" i="2"/>
  <c r="A198" i="2"/>
  <c r="B197" i="2"/>
  <c r="E197" i="2"/>
  <c r="F197" i="2"/>
  <c r="H146" i="2"/>
  <c r="G146" i="2"/>
  <c r="I146" i="2"/>
  <c r="C147" i="2"/>
  <c r="A199" i="2"/>
  <c r="B198" i="2"/>
  <c r="E198" i="2"/>
  <c r="D198" i="2"/>
  <c r="F198" i="2"/>
  <c r="H147" i="2"/>
  <c r="G147" i="2"/>
  <c r="I147" i="2"/>
  <c r="C148" i="2"/>
  <c r="A200" i="2"/>
  <c r="B199" i="2"/>
  <c r="E199" i="2"/>
  <c r="D199" i="2"/>
  <c r="F199" i="2"/>
  <c r="H148" i="2"/>
  <c r="G148" i="2"/>
  <c r="I148" i="2"/>
  <c r="C149" i="2"/>
  <c r="E200" i="2"/>
  <c r="D200" i="2"/>
  <c r="F200" i="2"/>
  <c r="A201" i="2"/>
  <c r="B200" i="2"/>
  <c r="H149" i="2"/>
  <c r="D201" i="2"/>
  <c r="A202" i="2"/>
  <c r="B201" i="2"/>
  <c r="E201" i="2"/>
  <c r="F201" i="2"/>
  <c r="G149" i="2"/>
  <c r="I149" i="2"/>
  <c r="K149" i="2"/>
  <c r="A203" i="2"/>
  <c r="B202" i="2"/>
  <c r="E202" i="2"/>
  <c r="D202" i="2"/>
  <c r="F202" i="2"/>
  <c r="C150" i="2"/>
  <c r="H150" i="2"/>
  <c r="J149" i="2"/>
  <c r="A204" i="2"/>
  <c r="B203" i="2"/>
  <c r="E203" i="2"/>
  <c r="D203" i="2"/>
  <c r="F203" i="2"/>
  <c r="G150" i="2"/>
  <c r="I150" i="2"/>
  <c r="C151" i="2"/>
  <c r="H151" i="2"/>
  <c r="G151" i="2"/>
  <c r="I151" i="2"/>
  <c r="C152" i="2"/>
  <c r="H152" i="2"/>
  <c r="G152" i="2"/>
  <c r="I152" i="2"/>
  <c r="C153" i="2"/>
  <c r="A205" i="2"/>
  <c r="E204" i="2"/>
  <c r="D204" i="2"/>
  <c r="F204" i="2"/>
  <c r="B204" i="2"/>
  <c r="H153" i="2"/>
  <c r="G153" i="2"/>
  <c r="I153" i="2"/>
  <c r="C154" i="2"/>
  <c r="D205" i="2"/>
  <c r="A206" i="2"/>
  <c r="E205" i="2"/>
  <c r="B205" i="2"/>
  <c r="F205" i="2"/>
  <c r="H154" i="2"/>
  <c r="G154" i="2"/>
  <c r="I154" i="2"/>
  <c r="C155" i="2"/>
  <c r="E206" i="2"/>
  <c r="D206" i="2"/>
  <c r="A207" i="2"/>
  <c r="B206" i="2"/>
  <c r="F206" i="2"/>
  <c r="H155" i="2"/>
  <c r="G155" i="2"/>
  <c r="I155" i="2"/>
  <c r="C156" i="2"/>
  <c r="A208" i="2"/>
  <c r="B207" i="2"/>
  <c r="D207" i="2"/>
  <c r="E207" i="2"/>
  <c r="F207" i="2"/>
  <c r="H156" i="2"/>
  <c r="G156" i="2"/>
  <c r="I156" i="2"/>
  <c r="C157" i="2"/>
  <c r="E208" i="2"/>
  <c r="A209" i="2"/>
  <c r="B208" i="2"/>
  <c r="D208" i="2"/>
  <c r="F208" i="2"/>
  <c r="H157" i="2"/>
  <c r="G157" i="2"/>
  <c r="I157" i="2"/>
  <c r="C158" i="2"/>
  <c r="D209" i="2"/>
  <c r="A210" i="2"/>
  <c r="B209" i="2"/>
  <c r="E209" i="2"/>
  <c r="F209" i="2"/>
  <c r="H158" i="2"/>
  <c r="G158" i="2"/>
  <c r="I158" i="2"/>
  <c r="C159" i="2"/>
  <c r="E210" i="2"/>
  <c r="D210" i="2"/>
  <c r="F210" i="2"/>
  <c r="A211" i="2"/>
  <c r="B210" i="2"/>
  <c r="H159" i="2"/>
  <c r="G159" i="2"/>
  <c r="I159" i="2"/>
  <c r="C160" i="2"/>
  <c r="A212" i="2"/>
  <c r="B211" i="2"/>
  <c r="D211" i="2"/>
  <c r="E211" i="2"/>
  <c r="F211" i="2"/>
  <c r="H160" i="2"/>
  <c r="G160" i="2"/>
  <c r="I160" i="2"/>
  <c r="C161" i="2"/>
  <c r="E212" i="2"/>
  <c r="D212" i="2"/>
  <c r="F212" i="2"/>
  <c r="A213" i="2"/>
  <c r="B212" i="2"/>
  <c r="H161" i="2"/>
  <c r="D213" i="2"/>
  <c r="E213" i="2"/>
  <c r="F213" i="2"/>
  <c r="A214" i="2"/>
  <c r="B213" i="2"/>
  <c r="G161" i="2"/>
  <c r="I161" i="2"/>
  <c r="K161" i="2"/>
  <c r="E214" i="2"/>
  <c r="D214" i="2"/>
  <c r="F214" i="2"/>
  <c r="A215" i="2"/>
  <c r="B214" i="2"/>
  <c r="C162" i="2"/>
  <c r="H162" i="2"/>
  <c r="G162" i="2"/>
  <c r="I162" i="2"/>
  <c r="C163" i="2"/>
  <c r="H163" i="2"/>
  <c r="G163" i="2"/>
  <c r="I163" i="2"/>
  <c r="C164" i="2"/>
  <c r="J161" i="2"/>
  <c r="A216" i="2"/>
  <c r="B215" i="2"/>
  <c r="D215" i="2"/>
  <c r="E215" i="2"/>
  <c r="F215" i="2"/>
  <c r="H164" i="2"/>
  <c r="G164" i="2"/>
  <c r="I164" i="2"/>
  <c r="C165" i="2"/>
  <c r="E216" i="2"/>
  <c r="A217" i="2"/>
  <c r="B216" i="2"/>
  <c r="D216" i="2"/>
  <c r="F216" i="2"/>
  <c r="H165" i="2"/>
  <c r="G165" i="2"/>
  <c r="I165" i="2"/>
  <c r="C166" i="2"/>
  <c r="D217" i="2"/>
  <c r="A218" i="2"/>
  <c r="B217" i="2"/>
  <c r="E217" i="2"/>
  <c r="F217" i="2"/>
  <c r="H166" i="2"/>
  <c r="G166" i="2"/>
  <c r="I166" i="2"/>
  <c r="C167" i="2"/>
  <c r="E218" i="2"/>
  <c r="D218" i="2"/>
  <c r="F218" i="2"/>
  <c r="A219" i="2"/>
  <c r="B218" i="2"/>
  <c r="H167" i="2"/>
  <c r="G167" i="2"/>
  <c r="I167" i="2"/>
  <c r="C168" i="2"/>
  <c r="A220" i="2"/>
  <c r="B219" i="2"/>
  <c r="D219" i="2"/>
  <c r="E219" i="2"/>
  <c r="F219" i="2"/>
  <c r="H168" i="2"/>
  <c r="G168" i="2"/>
  <c r="I168" i="2"/>
  <c r="C169" i="2"/>
  <c r="E220" i="2"/>
  <c r="D220" i="2"/>
  <c r="F220" i="2"/>
  <c r="A221" i="2"/>
  <c r="B220" i="2"/>
  <c r="H169" i="2"/>
  <c r="G169" i="2"/>
  <c r="I169" i="2"/>
  <c r="C170" i="2"/>
  <c r="D221" i="2"/>
  <c r="E221" i="2"/>
  <c r="F221" i="2"/>
  <c r="A222" i="2"/>
  <c r="B221" i="2"/>
  <c r="H170" i="2"/>
  <c r="G170" i="2"/>
  <c r="I170" i="2"/>
  <c r="C171" i="2"/>
  <c r="E222" i="2"/>
  <c r="D222" i="2"/>
  <c r="F222" i="2"/>
  <c r="A223" i="2"/>
  <c r="B222" i="2"/>
  <c r="H171" i="2"/>
  <c r="G171" i="2"/>
  <c r="I171" i="2"/>
  <c r="C172" i="2"/>
  <c r="A224" i="2"/>
  <c r="B223" i="2"/>
  <c r="D223" i="2"/>
  <c r="E223" i="2"/>
  <c r="F223" i="2"/>
  <c r="H172" i="2"/>
  <c r="G172" i="2"/>
  <c r="I172" i="2"/>
  <c r="C173" i="2"/>
  <c r="E224" i="2"/>
  <c r="A225" i="2"/>
  <c r="B224" i="2"/>
  <c r="D224" i="2"/>
  <c r="F224" i="2"/>
  <c r="H173" i="2"/>
  <c r="G173" i="2"/>
  <c r="I173" i="2"/>
  <c r="C174" i="2"/>
  <c r="D225" i="2"/>
  <c r="A226" i="2"/>
  <c r="B225" i="2"/>
  <c r="E225" i="2"/>
  <c r="F225" i="2"/>
  <c r="H174" i="2"/>
  <c r="G174" i="2"/>
  <c r="I174" i="2"/>
  <c r="C175" i="2"/>
  <c r="E226" i="2"/>
  <c r="D226" i="2"/>
  <c r="F226" i="2"/>
  <c r="A227" i="2"/>
  <c r="B226" i="2"/>
  <c r="H175" i="2"/>
  <c r="G175" i="2"/>
  <c r="I175" i="2"/>
  <c r="C176" i="2"/>
  <c r="A228" i="2"/>
  <c r="B227" i="2"/>
  <c r="D227" i="2"/>
  <c r="E227" i="2"/>
  <c r="F227" i="2"/>
  <c r="H176" i="2"/>
  <c r="G176" i="2"/>
  <c r="I176" i="2"/>
  <c r="C177" i="2"/>
  <c r="E228" i="2"/>
  <c r="D228" i="2"/>
  <c r="F228" i="2"/>
  <c r="A229" i="2"/>
  <c r="B228" i="2"/>
  <c r="H177" i="2"/>
  <c r="G177" i="2"/>
  <c r="I177" i="2"/>
  <c r="C178" i="2"/>
  <c r="D229" i="2"/>
  <c r="E229" i="2"/>
  <c r="F229" i="2"/>
  <c r="A230" i="2"/>
  <c r="B229" i="2"/>
  <c r="H178" i="2"/>
  <c r="G178" i="2"/>
  <c r="I178" i="2"/>
  <c r="C179" i="2"/>
  <c r="E230" i="2"/>
  <c r="D230" i="2"/>
  <c r="F230" i="2"/>
  <c r="A231" i="2"/>
  <c r="B230" i="2"/>
  <c r="H179" i="2"/>
  <c r="G179" i="2"/>
  <c r="I179" i="2"/>
  <c r="C180" i="2"/>
  <c r="A232" i="2"/>
  <c r="B231" i="2"/>
  <c r="D231" i="2"/>
  <c r="E231" i="2"/>
  <c r="F231" i="2"/>
  <c r="H180" i="2"/>
  <c r="G180" i="2"/>
  <c r="I180" i="2"/>
  <c r="C181" i="2"/>
  <c r="E232" i="2"/>
  <c r="A233" i="2"/>
  <c r="B232" i="2"/>
  <c r="D232" i="2"/>
  <c r="F232" i="2"/>
  <c r="H181" i="2"/>
  <c r="G181" i="2"/>
  <c r="I181" i="2"/>
  <c r="C182" i="2"/>
  <c r="D233" i="2"/>
  <c r="A234" i="2"/>
  <c r="B233" i="2"/>
  <c r="E233" i="2"/>
  <c r="F233" i="2"/>
  <c r="H182" i="2"/>
  <c r="G182" i="2"/>
  <c r="I182" i="2"/>
  <c r="C183" i="2"/>
  <c r="E234" i="2"/>
  <c r="D234" i="2"/>
  <c r="F234" i="2"/>
  <c r="A235" i="2"/>
  <c r="B234" i="2"/>
  <c r="H183" i="2"/>
  <c r="G183" i="2"/>
  <c r="I183" i="2"/>
  <c r="C184" i="2"/>
  <c r="A236" i="2"/>
  <c r="B235" i="2"/>
  <c r="D235" i="2"/>
  <c r="E235" i="2"/>
  <c r="F235" i="2"/>
  <c r="H184" i="2"/>
  <c r="G184" i="2"/>
  <c r="I184" i="2"/>
  <c r="C185" i="2"/>
  <c r="A237" i="2"/>
  <c r="E236" i="2"/>
  <c r="D236" i="2"/>
  <c r="F236" i="2"/>
  <c r="B236" i="2"/>
  <c r="H185" i="2"/>
  <c r="G185" i="2"/>
  <c r="I185" i="2"/>
  <c r="C186" i="2"/>
  <c r="E237" i="2"/>
  <c r="D237" i="2"/>
  <c r="F237" i="2"/>
  <c r="A238" i="2"/>
  <c r="B237" i="2"/>
  <c r="H186" i="2"/>
  <c r="G186" i="2"/>
  <c r="I186" i="2"/>
  <c r="C187" i="2"/>
  <c r="D238" i="2"/>
  <c r="A239" i="2"/>
  <c r="E238" i="2"/>
  <c r="B238" i="2"/>
  <c r="F238" i="2"/>
  <c r="H187" i="2"/>
  <c r="G187" i="2"/>
  <c r="I187" i="2"/>
  <c r="C188" i="2"/>
  <c r="A240" i="2"/>
  <c r="B239" i="2"/>
  <c r="E239" i="2"/>
  <c r="D239" i="2"/>
  <c r="F239" i="2"/>
  <c r="H188" i="2"/>
  <c r="G188" i="2"/>
  <c r="I188" i="2"/>
  <c r="C189" i="2"/>
  <c r="A241" i="2"/>
  <c r="B240" i="2"/>
  <c r="E240" i="2"/>
  <c r="D240" i="2"/>
  <c r="F240" i="2"/>
  <c r="H189" i="2"/>
  <c r="G189" i="2"/>
  <c r="I189" i="2"/>
  <c r="C190" i="2"/>
  <c r="E241" i="2"/>
  <c r="D241" i="2"/>
  <c r="F241" i="2"/>
  <c r="A242" i="2"/>
  <c r="B241" i="2"/>
  <c r="H190" i="2"/>
  <c r="G190" i="2"/>
  <c r="I190" i="2"/>
  <c r="C191" i="2"/>
  <c r="D242" i="2"/>
  <c r="A243" i="2"/>
  <c r="B242" i="2"/>
  <c r="E242" i="2"/>
  <c r="F242" i="2"/>
  <c r="H191" i="2"/>
  <c r="G191" i="2"/>
  <c r="I191" i="2"/>
  <c r="C192" i="2"/>
  <c r="A244" i="2"/>
  <c r="B243" i="2"/>
  <c r="E243" i="2"/>
  <c r="D243" i="2"/>
  <c r="F243" i="2"/>
  <c r="H192" i="2"/>
  <c r="G192" i="2"/>
  <c r="I192" i="2"/>
  <c r="C193" i="2"/>
  <c r="A245" i="2"/>
  <c r="B244" i="2"/>
  <c r="E244" i="2"/>
  <c r="D244" i="2"/>
  <c r="F244" i="2"/>
  <c r="H193" i="2"/>
  <c r="G193" i="2"/>
  <c r="I193" i="2"/>
  <c r="C194" i="2"/>
  <c r="E245" i="2"/>
  <c r="D245" i="2"/>
  <c r="F245" i="2"/>
  <c r="A246" i="2"/>
  <c r="B245" i="2"/>
  <c r="H194" i="2"/>
  <c r="G194" i="2"/>
  <c r="I194" i="2"/>
  <c r="C195" i="2"/>
  <c r="D246" i="2"/>
  <c r="A247" i="2"/>
  <c r="B246" i="2"/>
  <c r="E246" i="2"/>
  <c r="F246" i="2"/>
  <c r="H195" i="2"/>
  <c r="G195" i="2"/>
  <c r="I195" i="2"/>
  <c r="C196" i="2"/>
  <c r="A248" i="2"/>
  <c r="B247" i="2"/>
  <c r="E247" i="2"/>
  <c r="D247" i="2"/>
  <c r="F247" i="2"/>
  <c r="H196" i="2"/>
  <c r="G196" i="2"/>
  <c r="I196" i="2"/>
  <c r="C197" i="2"/>
  <c r="A249" i="2"/>
  <c r="B248" i="2"/>
  <c r="E248" i="2"/>
  <c r="D248" i="2"/>
  <c r="F248" i="2"/>
  <c r="H197" i="2"/>
  <c r="G197" i="2"/>
  <c r="I197" i="2"/>
  <c r="C198" i="2"/>
  <c r="E249" i="2"/>
  <c r="D249" i="2"/>
  <c r="F249" i="2"/>
  <c r="A250" i="2"/>
  <c r="B249" i="2"/>
  <c r="H198" i="2"/>
  <c r="G198" i="2"/>
  <c r="I198" i="2"/>
  <c r="C199" i="2"/>
  <c r="D250" i="2"/>
  <c r="A251" i="2"/>
  <c r="B250" i="2"/>
  <c r="E250" i="2"/>
  <c r="F250" i="2"/>
  <c r="H199" i="2"/>
  <c r="G199" i="2"/>
  <c r="I199" i="2"/>
  <c r="C200" i="2"/>
  <c r="A252" i="2"/>
  <c r="B251" i="2"/>
  <c r="E251" i="2"/>
  <c r="D251" i="2"/>
  <c r="F251" i="2"/>
  <c r="H200" i="2"/>
  <c r="G200" i="2"/>
  <c r="I200" i="2"/>
  <c r="C201" i="2"/>
  <c r="A253" i="2"/>
  <c r="B252" i="2"/>
  <c r="E252" i="2"/>
  <c r="D252" i="2"/>
  <c r="F252" i="2"/>
  <c r="H201" i="2"/>
  <c r="G201" i="2"/>
  <c r="I201" i="2"/>
  <c r="C202" i="2"/>
  <c r="E253" i="2"/>
  <c r="D253" i="2"/>
  <c r="F253" i="2"/>
  <c r="A254" i="2"/>
  <c r="B253" i="2"/>
  <c r="H202" i="2"/>
  <c r="G202" i="2"/>
  <c r="I202" i="2"/>
  <c r="C203" i="2"/>
  <c r="D254" i="2"/>
  <c r="A255" i="2"/>
  <c r="B254" i="2"/>
  <c r="E254" i="2"/>
  <c r="F254" i="2"/>
  <c r="H203" i="2"/>
  <c r="G203" i="2"/>
  <c r="I203" i="2"/>
  <c r="C204" i="2"/>
  <c r="A256" i="2"/>
  <c r="B255" i="2"/>
  <c r="E255" i="2"/>
  <c r="D255" i="2"/>
  <c r="F255" i="2"/>
  <c r="H204" i="2"/>
  <c r="G204" i="2"/>
  <c r="I204" i="2"/>
  <c r="C205" i="2"/>
  <c r="A257" i="2"/>
  <c r="B256" i="2"/>
  <c r="E256" i="2"/>
  <c r="D256" i="2"/>
  <c r="F256" i="2"/>
  <c r="H205" i="2"/>
  <c r="G205" i="2"/>
  <c r="I205" i="2"/>
  <c r="C206" i="2"/>
  <c r="E257" i="2"/>
  <c r="D257" i="2"/>
  <c r="F257" i="2"/>
  <c r="A258" i="2"/>
  <c r="B257" i="2"/>
  <c r="H206" i="2"/>
  <c r="G206" i="2"/>
  <c r="I206" i="2"/>
  <c r="C207" i="2"/>
  <c r="D258" i="2"/>
  <c r="A259" i="2"/>
  <c r="B258" i="2"/>
  <c r="E258" i="2"/>
  <c r="F258" i="2"/>
  <c r="H207" i="2"/>
  <c r="G207" i="2"/>
  <c r="I207" i="2"/>
  <c r="C208" i="2"/>
  <c r="A260" i="2"/>
  <c r="B259" i="2"/>
  <c r="E259" i="2"/>
  <c r="D259" i="2"/>
  <c r="F259" i="2"/>
  <c r="H208" i="2"/>
  <c r="G208" i="2"/>
  <c r="I208" i="2"/>
  <c r="C209" i="2"/>
  <c r="A261" i="2"/>
  <c r="B260" i="2"/>
  <c r="E260" i="2"/>
  <c r="D260" i="2"/>
  <c r="F260" i="2"/>
  <c r="H209" i="2"/>
  <c r="G209" i="2"/>
  <c r="I209" i="2"/>
  <c r="C210" i="2"/>
  <c r="E261" i="2"/>
  <c r="A262" i="2"/>
  <c r="D261" i="2"/>
  <c r="F261" i="2"/>
  <c r="B261" i="2"/>
  <c r="H210" i="2"/>
  <c r="G210" i="2"/>
  <c r="I210" i="2"/>
  <c r="C211" i="2"/>
  <c r="D262" i="2"/>
  <c r="A263" i="2"/>
  <c r="B262" i="2"/>
  <c r="E262" i="2"/>
  <c r="F262" i="2"/>
  <c r="H211" i="2"/>
  <c r="G211" i="2"/>
  <c r="I211" i="2"/>
  <c r="C212" i="2"/>
  <c r="E263" i="2"/>
  <c r="D263" i="2"/>
  <c r="F263" i="2"/>
  <c r="A264" i="2"/>
  <c r="B263" i="2"/>
  <c r="H212" i="2"/>
  <c r="G212" i="2"/>
  <c r="I212" i="2"/>
  <c r="C213" i="2"/>
  <c r="A265" i="2"/>
  <c r="B264" i="2"/>
  <c r="D264" i="2"/>
  <c r="E264" i="2"/>
  <c r="F264" i="2"/>
  <c r="H213" i="2"/>
  <c r="G213" i="2"/>
  <c r="I213" i="2"/>
  <c r="C214" i="2"/>
  <c r="E265" i="2"/>
  <c r="D265" i="2"/>
  <c r="F265" i="2"/>
  <c r="A266" i="2"/>
  <c r="B265" i="2"/>
  <c r="H214" i="2"/>
  <c r="G214" i="2"/>
  <c r="I214" i="2"/>
  <c r="C215" i="2"/>
  <c r="D266" i="2"/>
  <c r="A267" i="2"/>
  <c r="B266" i="2"/>
  <c r="E266" i="2"/>
  <c r="F266" i="2"/>
  <c r="H215" i="2"/>
  <c r="G215" i="2"/>
  <c r="I215" i="2"/>
  <c r="C216" i="2"/>
  <c r="E267" i="2"/>
  <c r="A268" i="2"/>
  <c r="B267" i="2"/>
  <c r="D267" i="2"/>
  <c r="F267" i="2"/>
  <c r="H216" i="2"/>
  <c r="G216" i="2"/>
  <c r="I216" i="2"/>
  <c r="C217" i="2"/>
  <c r="A269" i="2"/>
  <c r="B268" i="2"/>
  <c r="D268" i="2"/>
  <c r="E268" i="2"/>
  <c r="F268" i="2"/>
  <c r="H217" i="2"/>
  <c r="G217" i="2"/>
  <c r="I217" i="2"/>
  <c r="C218" i="2"/>
  <c r="E269" i="2"/>
  <c r="D269" i="2"/>
  <c r="F269" i="2"/>
  <c r="A270" i="2"/>
  <c r="B269" i="2"/>
  <c r="H218" i="2"/>
  <c r="G218" i="2"/>
  <c r="I218" i="2"/>
  <c r="C219" i="2"/>
  <c r="D270" i="2"/>
  <c r="A271" i="2"/>
  <c r="B270" i="2"/>
  <c r="E270" i="2"/>
  <c r="F270" i="2"/>
  <c r="H219" i="2"/>
  <c r="G219" i="2"/>
  <c r="I219" i="2"/>
  <c r="C220" i="2"/>
  <c r="E271" i="2"/>
  <c r="D271" i="2"/>
  <c r="F271" i="2"/>
  <c r="A272" i="2"/>
  <c r="B271" i="2"/>
  <c r="H220" i="2"/>
  <c r="G220" i="2"/>
  <c r="I220" i="2"/>
  <c r="C221" i="2"/>
  <c r="A273" i="2"/>
  <c r="B272" i="2"/>
  <c r="D272" i="2"/>
  <c r="E272" i="2"/>
  <c r="F272" i="2"/>
  <c r="H221" i="2"/>
  <c r="G221" i="2"/>
  <c r="I221" i="2"/>
  <c r="C222" i="2"/>
  <c r="E273" i="2"/>
  <c r="D273" i="2"/>
  <c r="F273" i="2"/>
  <c r="A274" i="2"/>
  <c r="B273" i="2"/>
  <c r="H222" i="2"/>
  <c r="G222" i="2"/>
  <c r="I222" i="2"/>
  <c r="C223" i="2"/>
  <c r="D274" i="2"/>
  <c r="A275" i="2"/>
  <c r="B274" i="2"/>
  <c r="E274" i="2"/>
  <c r="F274" i="2"/>
  <c r="H223" i="2"/>
  <c r="G223" i="2"/>
  <c r="I223" i="2"/>
  <c r="C224" i="2"/>
  <c r="E275" i="2"/>
  <c r="A276" i="2"/>
  <c r="B275" i="2"/>
  <c r="D275" i="2"/>
  <c r="F275" i="2"/>
  <c r="H224" i="2"/>
  <c r="G224" i="2"/>
  <c r="I224" i="2"/>
  <c r="C225" i="2"/>
  <c r="A277" i="2"/>
  <c r="B276" i="2"/>
  <c r="D276" i="2"/>
  <c r="E276" i="2"/>
  <c r="F276" i="2"/>
  <c r="H225" i="2"/>
  <c r="G225" i="2"/>
  <c r="I225" i="2"/>
  <c r="C226" i="2"/>
  <c r="E277" i="2"/>
  <c r="D277" i="2"/>
  <c r="F277" i="2"/>
  <c r="A278" i="2"/>
  <c r="B277" i="2"/>
  <c r="H226" i="2"/>
  <c r="G226" i="2"/>
  <c r="I226" i="2"/>
  <c r="C227" i="2"/>
  <c r="D278" i="2"/>
  <c r="A279" i="2"/>
  <c r="B278" i="2"/>
  <c r="E278" i="2"/>
  <c r="F278" i="2"/>
  <c r="H227" i="2"/>
  <c r="G227" i="2"/>
  <c r="I227" i="2"/>
  <c r="C228" i="2"/>
  <c r="E279" i="2"/>
  <c r="D279" i="2"/>
  <c r="F279" i="2"/>
  <c r="A280" i="2"/>
  <c r="B279" i="2"/>
  <c r="H228" i="2"/>
  <c r="G228" i="2"/>
  <c r="I228" i="2"/>
  <c r="C229" i="2"/>
  <c r="A281" i="2"/>
  <c r="B280" i="2"/>
  <c r="D280" i="2"/>
  <c r="E280" i="2"/>
  <c r="F280" i="2"/>
  <c r="H229" i="2"/>
  <c r="G229" i="2"/>
  <c r="I229" i="2"/>
  <c r="C230" i="2"/>
  <c r="E281" i="2"/>
  <c r="D281" i="2"/>
  <c r="F281" i="2"/>
  <c r="A282" i="2"/>
  <c r="B281" i="2"/>
  <c r="H230" i="2"/>
  <c r="G230" i="2"/>
  <c r="I230" i="2"/>
  <c r="C231" i="2"/>
  <c r="D282" i="2"/>
  <c r="A283" i="2"/>
  <c r="B282" i="2"/>
  <c r="E282" i="2"/>
  <c r="F282" i="2"/>
  <c r="H231" i="2"/>
  <c r="G231" i="2"/>
  <c r="I231" i="2"/>
  <c r="C232" i="2"/>
  <c r="E283" i="2"/>
  <c r="A284" i="2"/>
  <c r="B283" i="2"/>
  <c r="D283" i="2"/>
  <c r="F283" i="2"/>
  <c r="H232" i="2"/>
  <c r="G232" i="2"/>
  <c r="I232" i="2"/>
  <c r="C233" i="2"/>
  <c r="A285" i="2"/>
  <c r="B284" i="2"/>
  <c r="D284" i="2"/>
  <c r="E284" i="2"/>
  <c r="F284" i="2"/>
  <c r="H233" i="2"/>
  <c r="G233" i="2"/>
  <c r="I233" i="2"/>
  <c r="C234" i="2"/>
  <c r="E285" i="2"/>
  <c r="D285" i="2"/>
  <c r="F285" i="2"/>
  <c r="A286" i="2"/>
  <c r="B285" i="2"/>
  <c r="H234" i="2"/>
  <c r="G234" i="2"/>
  <c r="I234" i="2"/>
  <c r="C235" i="2"/>
  <c r="D286" i="2"/>
  <c r="A287" i="2"/>
  <c r="B286" i="2"/>
  <c r="E286" i="2"/>
  <c r="F286" i="2"/>
  <c r="H235" i="2"/>
  <c r="G235" i="2"/>
  <c r="I235" i="2"/>
  <c r="C236" i="2"/>
  <c r="E287" i="2"/>
  <c r="D287" i="2"/>
  <c r="F287" i="2"/>
  <c r="A288" i="2"/>
  <c r="B287" i="2"/>
  <c r="H236" i="2"/>
  <c r="G236" i="2"/>
  <c r="I236" i="2"/>
  <c r="C237" i="2"/>
  <c r="A289" i="2"/>
  <c r="B288" i="2"/>
  <c r="D288" i="2"/>
  <c r="E288" i="2"/>
  <c r="F288" i="2"/>
  <c r="H237" i="2"/>
  <c r="G237" i="2"/>
  <c r="I237" i="2"/>
  <c r="C238" i="2"/>
  <c r="A290" i="2"/>
  <c r="E289" i="2"/>
  <c r="D289" i="2"/>
  <c r="F289" i="2"/>
  <c r="B289" i="2"/>
  <c r="H238" i="2"/>
  <c r="G238" i="2"/>
  <c r="I238" i="2"/>
  <c r="C239" i="2"/>
  <c r="E290" i="2"/>
  <c r="D290" i="2"/>
  <c r="F290" i="2"/>
  <c r="A291" i="2"/>
  <c r="B290" i="2"/>
  <c r="H239" i="2"/>
  <c r="G239" i="2"/>
  <c r="I239" i="2"/>
  <c r="C240" i="2"/>
  <c r="D291" i="2"/>
  <c r="A292" i="2"/>
  <c r="B291" i="2"/>
  <c r="E291" i="2"/>
  <c r="F291" i="2"/>
  <c r="H240" i="2"/>
  <c r="G240" i="2"/>
  <c r="I240" i="2"/>
  <c r="C241" i="2"/>
  <c r="A293" i="2"/>
  <c r="B292" i="2"/>
  <c r="E292" i="2"/>
  <c r="D292" i="2"/>
  <c r="F292" i="2"/>
  <c r="H241" i="2"/>
  <c r="G241" i="2"/>
  <c r="I241" i="2"/>
  <c r="C242" i="2"/>
  <c r="A294" i="2"/>
  <c r="B293" i="2"/>
  <c r="E293" i="2"/>
  <c r="D293" i="2"/>
  <c r="F293" i="2"/>
  <c r="H242" i="2"/>
  <c r="G242" i="2"/>
  <c r="I242" i="2"/>
  <c r="C243" i="2"/>
  <c r="E294" i="2"/>
  <c r="D294" i="2"/>
  <c r="F294" i="2"/>
  <c r="A295" i="2"/>
  <c r="B294" i="2"/>
  <c r="H243" i="2"/>
  <c r="G243" i="2"/>
  <c r="I243" i="2"/>
  <c r="C244" i="2"/>
  <c r="D295" i="2"/>
  <c r="A296" i="2"/>
  <c r="B295" i="2"/>
  <c r="E295" i="2"/>
  <c r="F295" i="2"/>
  <c r="H244" i="2"/>
  <c r="G244" i="2"/>
  <c r="I244" i="2"/>
  <c r="C245" i="2"/>
  <c r="A297" i="2"/>
  <c r="B296" i="2"/>
  <c r="E296" i="2"/>
  <c r="D296" i="2"/>
  <c r="F296" i="2"/>
  <c r="H245" i="2"/>
  <c r="G245" i="2"/>
  <c r="I245" i="2"/>
  <c r="C246" i="2"/>
  <c r="A298" i="2"/>
  <c r="B297" i="2"/>
  <c r="E297" i="2"/>
  <c r="D297" i="2"/>
  <c r="F297" i="2"/>
  <c r="H246" i="2"/>
  <c r="G246" i="2"/>
  <c r="I246" i="2"/>
  <c r="C247" i="2"/>
  <c r="E298" i="2"/>
  <c r="D298" i="2"/>
  <c r="F298" i="2"/>
  <c r="A299" i="2"/>
  <c r="B298" i="2"/>
  <c r="H247" i="2"/>
  <c r="G247" i="2"/>
  <c r="I247" i="2"/>
  <c r="C248" i="2"/>
  <c r="D299" i="2"/>
  <c r="A300" i="2"/>
  <c r="B299" i="2"/>
  <c r="E299" i="2"/>
  <c r="F299" i="2"/>
  <c r="H248" i="2"/>
  <c r="G248" i="2"/>
  <c r="I248" i="2"/>
  <c r="C249" i="2"/>
  <c r="A301" i="2"/>
  <c r="B300" i="2"/>
  <c r="E300" i="2"/>
  <c r="D300" i="2"/>
  <c r="F300" i="2"/>
  <c r="H249" i="2"/>
  <c r="G249" i="2"/>
  <c r="I249" i="2"/>
  <c r="C250" i="2"/>
  <c r="A302" i="2"/>
  <c r="B301" i="2"/>
  <c r="E301" i="2"/>
  <c r="D301" i="2"/>
  <c r="F301" i="2"/>
  <c r="H250" i="2"/>
  <c r="G250" i="2"/>
  <c r="I250" i="2"/>
  <c r="C251" i="2"/>
  <c r="E302" i="2"/>
  <c r="D302" i="2"/>
  <c r="F302" i="2"/>
  <c r="A303" i="2"/>
  <c r="B302" i="2"/>
  <c r="H251" i="2"/>
  <c r="G251" i="2"/>
  <c r="I251" i="2"/>
  <c r="C252" i="2"/>
  <c r="D303" i="2"/>
  <c r="A304" i="2"/>
  <c r="B303" i="2"/>
  <c r="E303" i="2"/>
  <c r="F303" i="2"/>
  <c r="H252" i="2"/>
  <c r="G252" i="2"/>
  <c r="I252" i="2"/>
  <c r="C253" i="2"/>
  <c r="A305" i="2"/>
  <c r="B304" i="2"/>
  <c r="E304" i="2"/>
  <c r="D304" i="2"/>
  <c r="F304" i="2"/>
  <c r="H253" i="2"/>
  <c r="G253" i="2"/>
  <c r="I253" i="2"/>
  <c r="C254" i="2"/>
  <c r="A306" i="2"/>
  <c r="B305" i="2"/>
  <c r="E305" i="2"/>
  <c r="D305" i="2"/>
  <c r="F305" i="2"/>
  <c r="H254" i="2"/>
  <c r="G254" i="2"/>
  <c r="I254" i="2"/>
  <c r="C255" i="2"/>
  <c r="E306" i="2"/>
  <c r="D306" i="2"/>
  <c r="F306" i="2"/>
  <c r="A307" i="2"/>
  <c r="B306" i="2"/>
  <c r="H255" i="2"/>
  <c r="G255" i="2"/>
  <c r="I255" i="2"/>
  <c r="C256" i="2"/>
  <c r="D307" i="2"/>
  <c r="A308" i="2"/>
  <c r="B307" i="2"/>
  <c r="E307" i="2"/>
  <c r="F307" i="2"/>
  <c r="H256" i="2"/>
  <c r="G256" i="2"/>
  <c r="I256" i="2"/>
  <c r="C257" i="2"/>
  <c r="A309" i="2"/>
  <c r="B308" i="2"/>
  <c r="E308" i="2"/>
  <c r="D308" i="2"/>
  <c r="F308" i="2"/>
  <c r="H257" i="2"/>
  <c r="G257" i="2"/>
  <c r="I257" i="2"/>
  <c r="C258" i="2"/>
  <c r="A310" i="2"/>
  <c r="B309" i="2"/>
  <c r="E309" i="2"/>
  <c r="D309" i="2"/>
  <c r="F309" i="2"/>
  <c r="H258" i="2"/>
  <c r="G258" i="2"/>
  <c r="I258" i="2"/>
  <c r="C259" i="2"/>
  <c r="E310" i="2"/>
  <c r="D310" i="2"/>
  <c r="F310" i="2"/>
  <c r="A311" i="2"/>
  <c r="B310" i="2"/>
  <c r="H259" i="2"/>
  <c r="G259" i="2"/>
  <c r="I259" i="2"/>
  <c r="C260" i="2"/>
  <c r="D311" i="2"/>
  <c r="A312" i="2"/>
  <c r="B311" i="2"/>
  <c r="E311" i="2"/>
  <c r="F311" i="2"/>
  <c r="H260" i="2"/>
  <c r="G260" i="2"/>
  <c r="I260" i="2"/>
  <c r="C261" i="2"/>
  <c r="A313" i="2"/>
  <c r="D312" i="2"/>
  <c r="E312" i="2"/>
  <c r="F312" i="2"/>
  <c r="B312" i="2"/>
  <c r="H261" i="2"/>
  <c r="G261" i="2"/>
  <c r="I261" i="2"/>
  <c r="C262" i="2"/>
  <c r="E313" i="2"/>
  <c r="D313" i="2"/>
  <c r="F313" i="2"/>
  <c r="A314" i="2"/>
  <c r="B313" i="2"/>
  <c r="H262" i="2"/>
  <c r="G262" i="2"/>
  <c r="I262" i="2"/>
  <c r="C263" i="2"/>
  <c r="D314" i="2"/>
  <c r="A315" i="2"/>
  <c r="B314" i="2"/>
  <c r="E314" i="2"/>
  <c r="F314" i="2"/>
  <c r="H263" i="2"/>
  <c r="G263" i="2"/>
  <c r="I263" i="2"/>
  <c r="C264" i="2"/>
  <c r="E315" i="2"/>
  <c r="D315" i="2"/>
  <c r="F315" i="2"/>
  <c r="A316" i="2"/>
  <c r="B315" i="2"/>
  <c r="H264" i="2"/>
  <c r="G264" i="2"/>
  <c r="I264" i="2"/>
  <c r="C265" i="2"/>
  <c r="A317" i="2"/>
  <c r="B316" i="2"/>
  <c r="D316" i="2"/>
  <c r="E316" i="2"/>
  <c r="F316" i="2"/>
  <c r="H265" i="2"/>
  <c r="G265" i="2"/>
  <c r="I265" i="2"/>
  <c r="C266" i="2"/>
  <c r="E317" i="2"/>
  <c r="D317" i="2"/>
  <c r="F317" i="2"/>
  <c r="A318" i="2"/>
  <c r="B317" i="2"/>
  <c r="H266" i="2"/>
  <c r="G266" i="2"/>
  <c r="I266" i="2"/>
  <c r="C267" i="2"/>
  <c r="D318" i="2"/>
  <c r="A319" i="2"/>
  <c r="B318" i="2"/>
  <c r="E318" i="2"/>
  <c r="F318" i="2"/>
  <c r="H267" i="2"/>
  <c r="G267" i="2"/>
  <c r="I267" i="2"/>
  <c r="C268" i="2"/>
  <c r="E319" i="2"/>
  <c r="A320" i="2"/>
  <c r="B319" i="2"/>
  <c r="D319" i="2"/>
  <c r="F319" i="2"/>
  <c r="H268" i="2"/>
  <c r="G268" i="2"/>
  <c r="I268" i="2"/>
  <c r="C269" i="2"/>
  <c r="A321" i="2"/>
  <c r="B320" i="2"/>
  <c r="D320" i="2"/>
  <c r="E320" i="2"/>
  <c r="F320" i="2"/>
  <c r="H269" i="2"/>
  <c r="G269" i="2"/>
  <c r="I269" i="2"/>
  <c r="C270" i="2"/>
  <c r="E321" i="2"/>
  <c r="D321" i="2"/>
  <c r="F321" i="2"/>
  <c r="A322" i="2"/>
  <c r="B321" i="2"/>
  <c r="H270" i="2"/>
  <c r="G270" i="2"/>
  <c r="I270" i="2"/>
  <c r="C271" i="2"/>
  <c r="D322" i="2"/>
  <c r="A323" i="2"/>
  <c r="B322" i="2"/>
  <c r="E322" i="2"/>
  <c r="F322" i="2"/>
  <c r="H271" i="2"/>
  <c r="G271" i="2"/>
  <c r="I271" i="2"/>
  <c r="C272" i="2"/>
  <c r="E323" i="2"/>
  <c r="D323" i="2"/>
  <c r="F323" i="2"/>
  <c r="A324" i="2"/>
  <c r="B323" i="2"/>
  <c r="H272" i="2"/>
  <c r="G272" i="2"/>
  <c r="I272" i="2"/>
  <c r="C273" i="2"/>
  <c r="A325" i="2"/>
  <c r="B324" i="2"/>
  <c r="D324" i="2"/>
  <c r="E324" i="2"/>
  <c r="F324" i="2"/>
  <c r="H273" i="2"/>
  <c r="G273" i="2"/>
  <c r="I273" i="2"/>
  <c r="C274" i="2"/>
  <c r="E325" i="2"/>
  <c r="D325" i="2"/>
  <c r="F325" i="2"/>
  <c r="A326" i="2"/>
  <c r="B325" i="2"/>
  <c r="H274" i="2"/>
  <c r="G274" i="2"/>
  <c r="I274" i="2"/>
  <c r="C275" i="2"/>
  <c r="D326" i="2"/>
  <c r="A327" i="2"/>
  <c r="B326" i="2"/>
  <c r="E326" i="2"/>
  <c r="F326" i="2"/>
  <c r="H275" i="2"/>
  <c r="G275" i="2"/>
  <c r="I275" i="2"/>
  <c r="C276" i="2"/>
  <c r="E327" i="2"/>
  <c r="A328" i="2"/>
  <c r="B327" i="2"/>
  <c r="D327" i="2"/>
  <c r="F327" i="2"/>
  <c r="H276" i="2"/>
  <c r="G276" i="2"/>
  <c r="I276" i="2"/>
  <c r="C277" i="2"/>
  <c r="A329" i="2"/>
  <c r="B328" i="2"/>
  <c r="D328" i="2"/>
  <c r="E328" i="2"/>
  <c r="F328" i="2"/>
  <c r="H277" i="2"/>
  <c r="G277" i="2"/>
  <c r="I277" i="2"/>
  <c r="C278" i="2"/>
  <c r="E329" i="2"/>
  <c r="D329" i="2"/>
  <c r="F329" i="2"/>
  <c r="A330" i="2"/>
  <c r="B329" i="2"/>
  <c r="H278" i="2"/>
  <c r="G278" i="2"/>
  <c r="I278" i="2"/>
  <c r="C279" i="2"/>
  <c r="D330" i="2"/>
  <c r="A331" i="2"/>
  <c r="B330" i="2"/>
  <c r="E330" i="2"/>
  <c r="F330" i="2"/>
  <c r="H279" i="2"/>
  <c r="G279" i="2"/>
  <c r="I279" i="2"/>
  <c r="C280" i="2"/>
  <c r="E331" i="2"/>
  <c r="D331" i="2"/>
  <c r="F331" i="2"/>
  <c r="A332" i="2"/>
  <c r="B331" i="2"/>
  <c r="H280" i="2"/>
  <c r="G280" i="2"/>
  <c r="I280" i="2"/>
  <c r="C281" i="2"/>
  <c r="A333" i="2"/>
  <c r="B332" i="2"/>
  <c r="D332" i="2"/>
  <c r="E332" i="2"/>
  <c r="F332" i="2"/>
  <c r="H281" i="2"/>
  <c r="G281" i="2"/>
  <c r="I281" i="2"/>
  <c r="C282" i="2"/>
  <c r="E333" i="2"/>
  <c r="D333" i="2"/>
  <c r="F333" i="2"/>
  <c r="A334" i="2"/>
  <c r="B333" i="2"/>
  <c r="H282" i="2"/>
  <c r="G282" i="2"/>
  <c r="I282" i="2"/>
  <c r="C283" i="2"/>
  <c r="D334" i="2"/>
  <c r="A335" i="2"/>
  <c r="B334" i="2"/>
  <c r="E334" i="2"/>
  <c r="F334" i="2"/>
  <c r="H283" i="2"/>
  <c r="G283" i="2"/>
  <c r="I283" i="2"/>
  <c r="C284" i="2"/>
  <c r="E335" i="2"/>
  <c r="A336" i="2"/>
  <c r="B335" i="2"/>
  <c r="D335" i="2"/>
  <c r="F335" i="2"/>
  <c r="H284" i="2"/>
  <c r="G284" i="2"/>
  <c r="I284" i="2"/>
  <c r="C285" i="2"/>
  <c r="A337" i="2"/>
  <c r="B336" i="2"/>
  <c r="D336" i="2"/>
  <c r="E336" i="2"/>
  <c r="F336" i="2"/>
  <c r="H285" i="2"/>
  <c r="G285" i="2"/>
  <c r="I285" i="2"/>
  <c r="C286" i="2"/>
  <c r="E337" i="2"/>
  <c r="D337" i="2"/>
  <c r="F337" i="2"/>
  <c r="A338" i="2"/>
  <c r="B337" i="2"/>
  <c r="H286" i="2"/>
  <c r="G286" i="2"/>
  <c r="I286" i="2"/>
  <c r="C287" i="2"/>
  <c r="D338" i="2"/>
  <c r="A339" i="2"/>
  <c r="B338" i="2"/>
  <c r="E338" i="2"/>
  <c r="F338" i="2"/>
  <c r="H287" i="2"/>
  <c r="G287" i="2"/>
  <c r="I287" i="2"/>
  <c r="C288" i="2"/>
  <c r="E339" i="2"/>
  <c r="D339" i="2"/>
  <c r="F339" i="2"/>
  <c r="A340" i="2"/>
  <c r="B339" i="2"/>
  <c r="H288" i="2"/>
  <c r="G288" i="2"/>
  <c r="I288" i="2"/>
  <c r="C289" i="2"/>
  <c r="E340" i="2"/>
  <c r="A341" i="2"/>
  <c r="B340" i="2"/>
  <c r="D340" i="2"/>
  <c r="F340" i="2"/>
  <c r="H289" i="2"/>
  <c r="G289" i="2"/>
  <c r="I289" i="2"/>
  <c r="C290" i="2"/>
  <c r="D341" i="2"/>
  <c r="A342" i="2"/>
  <c r="B341" i="2"/>
  <c r="E341" i="2"/>
  <c r="F341" i="2"/>
  <c r="H290" i="2"/>
  <c r="G290" i="2"/>
  <c r="I290" i="2"/>
  <c r="C291" i="2"/>
  <c r="E342" i="2"/>
  <c r="D342" i="2"/>
  <c r="F342" i="2"/>
  <c r="B342" i="2"/>
  <c r="A343" i="2"/>
  <c r="H291" i="2"/>
  <c r="G291" i="2"/>
  <c r="I291" i="2"/>
  <c r="C292" i="2"/>
  <c r="A344" i="2"/>
  <c r="B343" i="2"/>
  <c r="D343" i="2"/>
  <c r="E343" i="2"/>
  <c r="F343" i="2"/>
  <c r="H292" i="2"/>
  <c r="G292" i="2"/>
  <c r="I292" i="2"/>
  <c r="C293" i="2"/>
  <c r="E344" i="2"/>
  <c r="D344" i="2"/>
  <c r="F344" i="2"/>
  <c r="A345" i="2"/>
  <c r="B344" i="2"/>
  <c r="H293" i="2"/>
  <c r="G293" i="2"/>
  <c r="I293" i="2"/>
  <c r="C294" i="2"/>
  <c r="D345" i="2"/>
  <c r="E345" i="2"/>
  <c r="F345" i="2"/>
  <c r="A346" i="2"/>
  <c r="B345" i="2"/>
  <c r="H294" i="2"/>
  <c r="G294" i="2"/>
  <c r="I294" i="2"/>
  <c r="C295" i="2"/>
  <c r="E346" i="2"/>
  <c r="D346" i="2"/>
  <c r="F346" i="2"/>
  <c r="A347" i="2"/>
  <c r="B346" i="2"/>
  <c r="H295" i="2"/>
  <c r="G295" i="2"/>
  <c r="I295" i="2"/>
  <c r="C296" i="2"/>
  <c r="A348" i="2"/>
  <c r="B347" i="2"/>
  <c r="D347" i="2"/>
  <c r="E347" i="2"/>
  <c r="F347" i="2"/>
  <c r="H296" i="2"/>
  <c r="G296" i="2"/>
  <c r="I296" i="2"/>
  <c r="C297" i="2"/>
  <c r="E348" i="2"/>
  <c r="D348" i="2"/>
  <c r="F348" i="2"/>
  <c r="A349" i="2"/>
  <c r="B348" i="2"/>
  <c r="H297" i="2"/>
  <c r="G297" i="2"/>
  <c r="I297" i="2"/>
  <c r="C298" i="2"/>
  <c r="D349" i="2"/>
  <c r="A350" i="2"/>
  <c r="B349" i="2"/>
  <c r="E349" i="2"/>
  <c r="F349" i="2"/>
  <c r="H298" i="2"/>
  <c r="G298" i="2"/>
  <c r="I298" i="2"/>
  <c r="C299" i="2"/>
  <c r="E350" i="2"/>
  <c r="A351" i="2"/>
  <c r="B350" i="2"/>
  <c r="D350" i="2"/>
  <c r="F350" i="2"/>
  <c r="H299" i="2"/>
  <c r="G299" i="2"/>
  <c r="I299" i="2"/>
  <c r="C300" i="2"/>
  <c r="A352" i="2"/>
  <c r="B351" i="2"/>
  <c r="D351" i="2"/>
  <c r="E351" i="2"/>
  <c r="F351" i="2"/>
  <c r="H300" i="2"/>
  <c r="G300" i="2"/>
  <c r="I300" i="2"/>
  <c r="C301" i="2"/>
  <c r="E352" i="2"/>
  <c r="D352" i="2"/>
  <c r="F352" i="2"/>
  <c r="A353" i="2"/>
  <c r="B352" i="2"/>
  <c r="H301" i="2"/>
  <c r="G301" i="2"/>
  <c r="I301" i="2"/>
  <c r="C302" i="2"/>
  <c r="D353" i="2"/>
  <c r="A354" i="2"/>
  <c r="B353" i="2"/>
  <c r="E353" i="2"/>
  <c r="F353" i="2"/>
  <c r="H302" i="2"/>
  <c r="G302" i="2"/>
  <c r="I302" i="2"/>
  <c r="C303" i="2"/>
  <c r="E354" i="2"/>
  <c r="D354" i="2"/>
  <c r="A355" i="2"/>
  <c r="B354" i="2"/>
  <c r="F354" i="2"/>
  <c r="H303" i="2"/>
  <c r="G303" i="2"/>
  <c r="I303" i="2"/>
  <c r="C304" i="2"/>
  <c r="A356" i="2"/>
  <c r="B355" i="2"/>
  <c r="D355" i="2"/>
  <c r="E355" i="2"/>
  <c r="F355" i="2"/>
  <c r="H304" i="2"/>
  <c r="G304" i="2"/>
  <c r="I304" i="2"/>
  <c r="C305" i="2"/>
  <c r="E356" i="2"/>
  <c r="D356" i="2"/>
  <c r="F356" i="2"/>
  <c r="A357" i="2"/>
  <c r="B356" i="2"/>
  <c r="H305" i="2"/>
  <c r="G305" i="2"/>
  <c r="I305" i="2"/>
  <c r="C306" i="2"/>
  <c r="D357" i="2"/>
  <c r="A358" i="2"/>
  <c r="B357" i="2"/>
  <c r="E357" i="2"/>
  <c r="F357" i="2"/>
  <c r="H306" i="2"/>
  <c r="G306" i="2"/>
  <c r="I306" i="2"/>
  <c r="C307" i="2"/>
  <c r="E358" i="2"/>
  <c r="A359" i="2"/>
  <c r="B358" i="2"/>
  <c r="D358" i="2"/>
  <c r="F358" i="2"/>
  <c r="H307" i="2"/>
  <c r="G307" i="2"/>
  <c r="I307" i="2"/>
  <c r="C308" i="2"/>
  <c r="A360" i="2"/>
  <c r="B359" i="2"/>
  <c r="E359" i="2"/>
  <c r="D359" i="2"/>
  <c r="F359" i="2"/>
  <c r="H308" i="2"/>
  <c r="G308" i="2"/>
  <c r="I308" i="2"/>
  <c r="C309" i="2"/>
  <c r="A361" i="2"/>
  <c r="E360" i="2"/>
  <c r="D360" i="2"/>
  <c r="F360" i="2"/>
  <c r="B360" i="2"/>
  <c r="H309" i="2"/>
  <c r="G309" i="2"/>
  <c r="I309" i="2"/>
  <c r="C310" i="2"/>
  <c r="E361" i="2"/>
  <c r="D361" i="2"/>
  <c r="F361" i="2"/>
  <c r="A362" i="2"/>
  <c r="B361" i="2"/>
  <c r="H310" i="2"/>
  <c r="G310" i="2"/>
  <c r="I310" i="2"/>
  <c r="C311" i="2"/>
  <c r="D362" i="2"/>
  <c r="A363" i="2"/>
  <c r="B362" i="2"/>
  <c r="E362" i="2"/>
  <c r="F362" i="2"/>
  <c r="H311" i="2"/>
  <c r="G311" i="2"/>
  <c r="I311" i="2"/>
  <c r="C312" i="2"/>
  <c r="A364" i="2"/>
  <c r="B363" i="2"/>
  <c r="E363" i="2"/>
  <c r="D363" i="2"/>
  <c r="F363" i="2"/>
  <c r="A365" i="2"/>
  <c r="B364" i="2"/>
  <c r="E364" i="2"/>
  <c r="D364" i="2"/>
  <c r="F364" i="2"/>
  <c r="H312" i="2"/>
  <c r="G312" i="2"/>
  <c r="I312" i="2"/>
  <c r="C313" i="2"/>
  <c r="H313" i="2"/>
  <c r="G313" i="2"/>
  <c r="I313" i="2"/>
  <c r="C314" i="2"/>
  <c r="E365" i="2"/>
  <c r="D365" i="2"/>
  <c r="F365" i="2"/>
  <c r="A366" i="2"/>
  <c r="B365" i="2"/>
  <c r="H314" i="2"/>
  <c r="G314" i="2"/>
  <c r="I314" i="2"/>
  <c r="C315" i="2"/>
  <c r="D366" i="2"/>
  <c r="A367" i="2"/>
  <c r="B366" i="2"/>
  <c r="E366" i="2"/>
  <c r="F366" i="2"/>
  <c r="A368" i="2"/>
  <c r="B367" i="2"/>
  <c r="E367" i="2"/>
  <c r="D367" i="2"/>
  <c r="F367" i="2"/>
  <c r="H315" i="2"/>
  <c r="G315" i="2"/>
  <c r="I315" i="2"/>
  <c r="C316" i="2"/>
  <c r="H316" i="2"/>
  <c r="G316" i="2"/>
  <c r="I316" i="2"/>
  <c r="C317" i="2"/>
  <c r="A369" i="2"/>
  <c r="B368" i="2"/>
  <c r="E368" i="2"/>
  <c r="D368" i="2"/>
  <c r="F368" i="2"/>
  <c r="E369" i="2"/>
  <c r="D369" i="2"/>
  <c r="A370" i="2"/>
  <c r="B369" i="2"/>
  <c r="H317" i="2"/>
  <c r="G317" i="2"/>
  <c r="I317" i="2"/>
  <c r="C318" i="2"/>
  <c r="F369" i="2"/>
  <c r="H318" i="2"/>
  <c r="G318" i="2"/>
  <c r="I318" i="2"/>
  <c r="C319" i="2"/>
  <c r="D370" i="2"/>
  <c r="A371" i="2"/>
  <c r="B370" i="2"/>
  <c r="E370" i="2"/>
  <c r="F370" i="2"/>
  <c r="H319" i="2"/>
  <c r="G319" i="2"/>
  <c r="I319" i="2"/>
  <c r="C320" i="2"/>
  <c r="A372" i="2"/>
  <c r="B371" i="2"/>
  <c r="E371" i="2"/>
  <c r="D371" i="2"/>
  <c r="F371" i="2"/>
  <c r="H320" i="2"/>
  <c r="G320" i="2"/>
  <c r="I320" i="2"/>
  <c r="C321" i="2"/>
  <c r="A373" i="2"/>
  <c r="B372" i="2"/>
  <c r="E372" i="2"/>
  <c r="D372" i="2"/>
  <c r="F372" i="2"/>
  <c r="H321" i="2"/>
  <c r="G321" i="2"/>
  <c r="I321" i="2"/>
  <c r="C322" i="2"/>
  <c r="E373" i="2"/>
  <c r="D373" i="2"/>
  <c r="F373" i="2"/>
  <c r="A374" i="2"/>
  <c r="B373" i="2"/>
  <c r="H322" i="2"/>
  <c r="G322" i="2"/>
  <c r="I322" i="2"/>
  <c r="C323" i="2"/>
  <c r="D374" i="2"/>
  <c r="A375" i="2"/>
  <c r="B374" i="2"/>
  <c r="E374" i="2"/>
  <c r="F374" i="2"/>
  <c r="H323" i="2"/>
  <c r="G323" i="2"/>
  <c r="I323" i="2"/>
  <c r="C324" i="2"/>
  <c r="A376" i="2"/>
  <c r="B375" i="2"/>
  <c r="E375" i="2"/>
  <c r="D375" i="2"/>
  <c r="F375" i="2"/>
  <c r="H324" i="2"/>
  <c r="G324" i="2"/>
  <c r="I324" i="2"/>
  <c r="C325" i="2"/>
  <c r="A377" i="2"/>
  <c r="B376" i="2"/>
  <c r="E376" i="2"/>
  <c r="D376" i="2"/>
  <c r="F376" i="2"/>
  <c r="H325" i="2"/>
  <c r="G325" i="2"/>
  <c r="I325" i="2"/>
  <c r="C326" i="2"/>
  <c r="E377" i="2"/>
  <c r="D377" i="2"/>
  <c r="F377" i="2"/>
  <c r="B377" i="2"/>
  <c r="H326" i="2"/>
  <c r="G326" i="2"/>
  <c r="I326" i="2"/>
  <c r="C327" i="2"/>
  <c r="H327" i="2"/>
  <c r="G327" i="2"/>
  <c r="I327" i="2"/>
  <c r="C328" i="2"/>
  <c r="H328" i="2"/>
  <c r="G328" i="2"/>
  <c r="I328" i="2"/>
  <c r="C329" i="2"/>
  <c r="H329" i="2"/>
  <c r="G329" i="2"/>
  <c r="I329" i="2"/>
  <c r="C330" i="2"/>
  <c r="H330" i="2"/>
  <c r="G330" i="2"/>
  <c r="I330" i="2"/>
  <c r="C331" i="2"/>
  <c r="H331" i="2"/>
  <c r="G331" i="2"/>
  <c r="I331" i="2"/>
  <c r="C332" i="2"/>
  <c r="H332" i="2"/>
  <c r="G332" i="2"/>
  <c r="I332" i="2"/>
  <c r="C333" i="2"/>
  <c r="H333" i="2"/>
  <c r="G333" i="2"/>
  <c r="I333" i="2"/>
  <c r="C334" i="2"/>
  <c r="H334" i="2"/>
  <c r="G334" i="2"/>
  <c r="I334" i="2"/>
  <c r="C335" i="2"/>
  <c r="H335" i="2"/>
  <c r="G335" i="2"/>
  <c r="I335" i="2"/>
  <c r="C336" i="2"/>
  <c r="H336" i="2"/>
  <c r="G336" i="2"/>
  <c r="I336" i="2"/>
  <c r="C337" i="2"/>
  <c r="H337" i="2"/>
  <c r="G337" i="2"/>
  <c r="I337" i="2"/>
  <c r="C338" i="2"/>
  <c r="H338" i="2"/>
  <c r="G338" i="2"/>
  <c r="I338" i="2"/>
  <c r="C339" i="2"/>
  <c r="H339" i="2"/>
  <c r="G339" i="2"/>
  <c r="I339" i="2"/>
  <c r="C340" i="2"/>
  <c r="H340" i="2"/>
  <c r="G340" i="2"/>
  <c r="I340" i="2"/>
  <c r="C341" i="2"/>
  <c r="H341" i="2"/>
  <c r="G341" i="2"/>
  <c r="I341" i="2"/>
  <c r="C342" i="2"/>
  <c r="H342" i="2"/>
  <c r="G342" i="2"/>
  <c r="I342" i="2"/>
  <c r="C343" i="2"/>
  <c r="H343" i="2"/>
  <c r="G343" i="2"/>
  <c r="I343" i="2"/>
  <c r="C344" i="2"/>
  <c r="H344" i="2"/>
  <c r="G344" i="2"/>
  <c r="I344" i="2"/>
  <c r="C345" i="2"/>
  <c r="H345" i="2"/>
  <c r="G345" i="2"/>
  <c r="I345" i="2"/>
  <c r="C346" i="2"/>
  <c r="H346" i="2"/>
  <c r="G346" i="2"/>
  <c r="I346" i="2"/>
  <c r="C347" i="2"/>
  <c r="H347" i="2"/>
  <c r="G347" i="2"/>
  <c r="I347" i="2"/>
  <c r="C348" i="2"/>
  <c r="H348" i="2"/>
  <c r="G348" i="2"/>
  <c r="I348" i="2"/>
  <c r="C349" i="2"/>
  <c r="H349" i="2"/>
  <c r="G349" i="2"/>
  <c r="I349" i="2"/>
  <c r="C350" i="2"/>
  <c r="H350" i="2"/>
  <c r="G350" i="2"/>
  <c r="I350" i="2"/>
  <c r="C351" i="2"/>
  <c r="H351" i="2"/>
  <c r="G351" i="2"/>
  <c r="I351" i="2"/>
  <c r="C352" i="2"/>
  <c r="H352" i="2"/>
  <c r="G352" i="2"/>
  <c r="I352" i="2"/>
  <c r="C353" i="2"/>
  <c r="H353" i="2"/>
  <c r="G353" i="2"/>
  <c r="I353" i="2"/>
  <c r="C354" i="2"/>
  <c r="H354" i="2"/>
  <c r="G354" i="2"/>
  <c r="I354" i="2"/>
  <c r="C355" i="2"/>
  <c r="H355" i="2"/>
  <c r="G355" i="2"/>
  <c r="I355" i="2"/>
  <c r="C356" i="2"/>
  <c r="H356" i="2"/>
  <c r="G356" i="2"/>
  <c r="I356" i="2"/>
  <c r="C357" i="2"/>
  <c r="H357" i="2"/>
  <c r="G357" i="2"/>
  <c r="I357" i="2"/>
  <c r="C358" i="2"/>
  <c r="H358" i="2"/>
  <c r="G358" i="2"/>
  <c r="I358" i="2"/>
  <c r="C359" i="2"/>
  <c r="H359" i="2"/>
  <c r="G359" i="2"/>
  <c r="I359" i="2"/>
  <c r="C360" i="2"/>
  <c r="H360" i="2"/>
  <c r="G360" i="2"/>
  <c r="I360" i="2"/>
  <c r="C361" i="2"/>
  <c r="H361" i="2"/>
  <c r="G361" i="2"/>
  <c r="I361" i="2"/>
  <c r="C362" i="2"/>
  <c r="H362" i="2"/>
  <c r="G362" i="2"/>
  <c r="I362" i="2"/>
  <c r="C363" i="2"/>
  <c r="H363" i="2"/>
  <c r="G363" i="2"/>
  <c r="I363" i="2"/>
  <c r="C364" i="2"/>
  <c r="H364" i="2"/>
  <c r="G364" i="2"/>
  <c r="I364" i="2"/>
  <c r="C365" i="2"/>
  <c r="H365" i="2"/>
  <c r="G365" i="2"/>
  <c r="I365" i="2"/>
  <c r="C366" i="2"/>
  <c r="H366" i="2"/>
  <c r="G366" i="2"/>
  <c r="I366" i="2"/>
  <c r="C367" i="2"/>
  <c r="H367" i="2"/>
  <c r="G367" i="2"/>
  <c r="I367" i="2"/>
  <c r="C368" i="2"/>
  <c r="H368" i="2"/>
  <c r="G368" i="2"/>
  <c r="I368" i="2"/>
  <c r="C369" i="2"/>
  <c r="H369" i="2"/>
  <c r="G369" i="2"/>
  <c r="I369" i="2"/>
  <c r="C370" i="2"/>
  <c r="H370" i="2"/>
  <c r="G370" i="2"/>
  <c r="I370" i="2"/>
  <c r="C371" i="2"/>
  <c r="H371" i="2"/>
  <c r="G371" i="2"/>
  <c r="I371" i="2"/>
  <c r="C372" i="2"/>
  <c r="H372" i="2"/>
  <c r="G372" i="2"/>
  <c r="I372" i="2"/>
  <c r="C373" i="2"/>
  <c r="H373" i="2"/>
  <c r="G373" i="2"/>
  <c r="I373" i="2"/>
  <c r="C374" i="2"/>
  <c r="H374" i="2"/>
  <c r="G374" i="2"/>
  <c r="I374" i="2"/>
  <c r="C375" i="2"/>
  <c r="H375" i="2"/>
  <c r="G375" i="2"/>
  <c r="I375" i="2"/>
  <c r="C376" i="2"/>
  <c r="H376" i="2"/>
  <c r="G376" i="2"/>
  <c r="I376" i="2"/>
  <c r="C377" i="2"/>
  <c r="D14" i="2"/>
  <c r="H377" i="2"/>
  <c r="G377" i="2"/>
  <c r="I377" i="2"/>
  <c r="D15" i="2"/>
  <c r="G54" i="3" l="1"/>
  <c r="K51" i="3"/>
  <c r="K52" i="3" s="1"/>
  <c r="H51" i="3"/>
  <c r="E54" i="3"/>
  <c r="D51" i="3"/>
  <c r="J51" i="3"/>
  <c r="F51" i="3"/>
  <c r="K74" i="3"/>
  <c r="K54" i="3"/>
  <c r="J52" i="3"/>
  <c r="J68" i="3" s="1"/>
  <c r="F52" i="3"/>
  <c r="F68" i="3" s="1"/>
  <c r="I54" i="3"/>
  <c r="H52" i="3"/>
  <c r="H68" i="3" s="1"/>
  <c r="D52" i="3"/>
  <c r="D68" i="3" s="1"/>
  <c r="M60" i="3"/>
  <c r="D53" i="3"/>
  <c r="J53" i="3"/>
  <c r="H53" i="3"/>
  <c r="F53" i="3"/>
  <c r="G9" i="1"/>
  <c r="G14" i="1"/>
  <c r="B49" i="1" s="1"/>
  <c r="H3" i="1"/>
  <c r="G5" i="1"/>
  <c r="B46" i="1"/>
  <c r="B47" i="1" s="1"/>
  <c r="B48" i="1" s="1"/>
  <c r="G10" i="1"/>
  <c r="G68" i="3"/>
  <c r="G78" i="3" s="1"/>
  <c r="K68" i="3"/>
  <c r="F54" i="3" l="1"/>
  <c r="F78" i="3" s="1"/>
  <c r="H54" i="3"/>
  <c r="H78" i="3" s="1"/>
  <c r="E68" i="3"/>
  <c r="E78" i="3" s="1"/>
  <c r="D54" i="3"/>
  <c r="D78" i="3" s="1"/>
  <c r="I68" i="3"/>
  <c r="I78" i="3" s="1"/>
  <c r="J54" i="3"/>
  <c r="J78" i="3" s="1"/>
  <c r="B51" i="1"/>
  <c r="B50" i="1"/>
  <c r="B52" i="1" s="1"/>
  <c r="G35" i="1"/>
  <c r="G27" i="1"/>
  <c r="G31" i="1" s="1"/>
  <c r="D31" i="3" s="1"/>
  <c r="B14" i="1"/>
  <c r="G17" i="1"/>
  <c r="G18" i="1" s="1"/>
  <c r="I3" i="1"/>
  <c r="H5" i="1"/>
  <c r="H9" i="1"/>
  <c r="H14" i="1"/>
  <c r="B85" i="3" l="1"/>
  <c r="K78" i="3"/>
  <c r="G20" i="1"/>
  <c r="G42" i="1" s="1"/>
  <c r="G19" i="1"/>
  <c r="G36" i="1" s="1"/>
  <c r="H17" i="1"/>
  <c r="H18" i="1" s="1"/>
  <c r="I14" i="1"/>
  <c r="I5" i="1"/>
  <c r="J3" i="1"/>
  <c r="I9" i="1"/>
  <c r="H10" i="1"/>
  <c r="I10" i="1"/>
  <c r="G38" i="1"/>
  <c r="I27" i="1" l="1"/>
  <c r="I31" i="1" s="1"/>
  <c r="F31" i="3" s="1"/>
  <c r="I35" i="1"/>
  <c r="I17" i="1"/>
  <c r="I18" i="1" s="1"/>
  <c r="I19" i="1" s="1"/>
  <c r="I36" i="1" s="1"/>
  <c r="I38" i="1" s="1"/>
  <c r="I43" i="1" s="1"/>
  <c r="H19" i="1"/>
  <c r="H36" i="1" s="1"/>
  <c r="H20" i="1"/>
  <c r="H42" i="1" s="1"/>
  <c r="G43" i="1"/>
  <c r="G45" i="1" s="1"/>
  <c r="H35" i="1"/>
  <c r="H27" i="1"/>
  <c r="H31" i="1" s="1"/>
  <c r="E31" i="3" s="1"/>
  <c r="J5" i="1"/>
  <c r="J9" i="1"/>
  <c r="J14" i="1"/>
  <c r="K3" i="1"/>
  <c r="J10" i="1"/>
  <c r="I20" i="1"/>
  <c r="I42" i="1" s="1"/>
  <c r="I45" i="1" l="1"/>
  <c r="J27" i="1"/>
  <c r="J31" i="1" s="1"/>
  <c r="G31" i="3" s="1"/>
  <c r="J35" i="1"/>
  <c r="J17" i="1"/>
  <c r="J18" i="1" s="1"/>
  <c r="L3" i="1"/>
  <c r="K5" i="1"/>
  <c r="K10" i="1"/>
  <c r="K14" i="1"/>
  <c r="K9" i="1"/>
  <c r="H38" i="1"/>
  <c r="H43" i="1" s="1"/>
  <c r="H45" i="1" s="1"/>
  <c r="K18" i="1" l="1"/>
  <c r="K17" i="1"/>
  <c r="K27" i="1"/>
  <c r="K31" i="1" s="1"/>
  <c r="H31" i="3" s="1"/>
  <c r="K35" i="1"/>
  <c r="L14" i="1"/>
  <c r="M3" i="1"/>
  <c r="L9" i="1"/>
  <c r="L17" i="1" s="1"/>
  <c r="L18" i="1" s="1"/>
  <c r="L19" i="1" s="1"/>
  <c r="L36" i="1" s="1"/>
  <c r="L10" i="1"/>
  <c r="L5" i="1"/>
  <c r="J19" i="1"/>
  <c r="J36" i="1" s="1"/>
  <c r="J38" i="1" s="1"/>
  <c r="L20" i="1" l="1"/>
  <c r="J20" i="1"/>
  <c r="J42" i="1" s="1"/>
  <c r="J43" i="1" s="1"/>
  <c r="J45" i="1" s="1"/>
  <c r="L27" i="1"/>
  <c r="L31" i="1" s="1"/>
  <c r="I31" i="3" s="1"/>
  <c r="L35" i="1"/>
  <c r="N3" i="1"/>
  <c r="M5" i="1"/>
  <c r="M10" i="1"/>
  <c r="M14" i="1"/>
  <c r="M9" i="1"/>
  <c r="L38" i="1"/>
  <c r="K19" i="1"/>
  <c r="K36" i="1" s="1"/>
  <c r="K38" i="1" s="1"/>
  <c r="K20" i="1"/>
  <c r="K42" i="1" s="1"/>
  <c r="L42" i="1" s="1"/>
  <c r="L43" i="1"/>
  <c r="L45" i="1" l="1"/>
  <c r="K43" i="1"/>
  <c r="K45" i="1" s="1"/>
  <c r="M17" i="1"/>
  <c r="M18" i="1" s="1"/>
  <c r="M35" i="1"/>
  <c r="M27" i="1"/>
  <c r="M31" i="1" s="1"/>
  <c r="J31" i="3" s="1"/>
  <c r="N10" i="1"/>
  <c r="N9" i="1"/>
  <c r="N17" i="1" s="1"/>
  <c r="N14" i="1"/>
  <c r="N5" i="1"/>
  <c r="N18" i="1" l="1"/>
  <c r="N19" i="1" s="1"/>
  <c r="N36" i="1" s="1"/>
  <c r="M19" i="1"/>
  <c r="M36" i="1" s="1"/>
  <c r="M38" i="1" s="1"/>
  <c r="M20" i="1"/>
  <c r="M42" i="1" s="1"/>
  <c r="N27" i="1"/>
  <c r="N31" i="1" s="1"/>
  <c r="K31" i="3" s="1"/>
  <c r="N35" i="1"/>
  <c r="N20" i="1" l="1"/>
  <c r="N42" i="1" s="1"/>
  <c r="G53" i="1" s="1"/>
  <c r="G56" i="1" s="1"/>
  <c r="E80" i="3" s="1"/>
  <c r="M43" i="1"/>
  <c r="M45" i="1" s="1"/>
  <c r="N38" i="1"/>
  <c r="N43" i="1" s="1"/>
  <c r="N45" i="1" s="1"/>
  <c r="D80" i="3" l="1"/>
  <c r="B83" i="3"/>
  <c r="F80" i="3"/>
  <c r="C80" i="3"/>
  <c r="I80" i="3"/>
  <c r="K80" i="3"/>
  <c r="H80" i="3"/>
  <c r="J80" i="3"/>
  <c r="G80" i="3"/>
</calcChain>
</file>

<file path=xl/sharedStrings.xml><?xml version="1.0" encoding="utf-8"?>
<sst xmlns="http://schemas.openxmlformats.org/spreadsheetml/2006/main" count="223" uniqueCount="150">
  <si>
    <t>Expenses</t>
  </si>
  <si>
    <t>Insurance</t>
  </si>
  <si>
    <t>Soap</t>
  </si>
  <si>
    <t>Interest Expense</t>
  </si>
  <si>
    <t>Property Tax</t>
  </si>
  <si>
    <t>S G&amp;A</t>
  </si>
  <si>
    <t>Maintenance</t>
  </si>
  <si>
    <t>Building Cost</t>
  </si>
  <si>
    <t>Depreciation</t>
  </si>
  <si>
    <t>Depreciations Expense</t>
  </si>
  <si>
    <t>Total Expenses</t>
  </si>
  <si>
    <t>1500 a month</t>
  </si>
  <si>
    <t>Gallons per wash</t>
  </si>
  <si>
    <t>Washed per month</t>
  </si>
  <si>
    <t>Cost Per gallon</t>
  </si>
  <si>
    <t>Local property tax rate</t>
  </si>
  <si>
    <t>Soap Per Wash</t>
  </si>
  <si>
    <t>Hrs/week</t>
  </si>
  <si>
    <t>Income Tax Rate</t>
  </si>
  <si>
    <t>Loan Calculator with Extra Payments</t>
  </si>
  <si>
    <t>Enter values</t>
  </si>
  <si>
    <t>Loan amount:</t>
  </si>
  <si>
    <t>Annual interest rate:</t>
  </si>
  <si>
    <t>Loan period in years (1-30):</t>
  </si>
  <si>
    <t>Start date of loan:</t>
  </si>
  <si>
    <t>Optional extra payments:</t>
  </si>
  <si>
    <t>Scheduled monthly payment:</t>
  </si>
  <si>
    <t>Scheduled number of payments:</t>
  </si>
  <si>
    <t>Actual number of payments:</t>
  </si>
  <si>
    <t>Total of early payments:</t>
  </si>
  <si>
    <t>Total interest:</t>
  </si>
  <si>
    <t>No.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</si>
  <si>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</si>
  <si>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</si>
  <si>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</si>
  <si>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</si>
  <si>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</si>
  <si>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</si>
  <si>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</si>
  <si>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</si>
  <si>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OR</t>
  </si>
  <si>
    <t>balance</t>
  </si>
  <si>
    <t>Interest paid</t>
  </si>
  <si>
    <t>Rexburg population</t>
  </si>
  <si>
    <t>Vehicles per household</t>
  </si>
  <si>
    <t>Households</t>
  </si>
  <si>
    <t>Vehicles in City</t>
  </si>
  <si>
    <t xml:space="preserve"># of Carwash </t>
  </si>
  <si>
    <t>market share</t>
  </si>
  <si>
    <t>Percent of market share</t>
  </si>
  <si>
    <t>Frequency</t>
  </si>
  <si>
    <t>Washes per month</t>
  </si>
  <si>
    <t>Percentage of Misc. Rev</t>
  </si>
  <si>
    <t>Misc. per wash</t>
  </si>
  <si>
    <t>Expense Assumptions</t>
  </si>
  <si>
    <t>Car Wash Revenue</t>
  </si>
  <si>
    <t>Misc. Revenue</t>
  </si>
  <si>
    <t>Yearly increase in Rev.</t>
  </si>
  <si>
    <t>Yearly increase in misc.</t>
  </si>
  <si>
    <t>Total Revenue</t>
  </si>
  <si>
    <t>Revenue</t>
  </si>
  <si>
    <t>Net Income Before Tax</t>
  </si>
  <si>
    <t>Tax</t>
  </si>
  <si>
    <t>Net Income After Tax</t>
  </si>
  <si>
    <t>Income Statement Pro Forma</t>
  </si>
  <si>
    <t>Balance Sheet Pro Forma</t>
  </si>
  <si>
    <t>Assets</t>
  </si>
  <si>
    <t>Total Assets</t>
  </si>
  <si>
    <t>Liabilities</t>
  </si>
  <si>
    <t>Loan</t>
  </si>
  <si>
    <t>Accounts Payable</t>
  </si>
  <si>
    <t>Income Tax Payable</t>
  </si>
  <si>
    <t>Total Liabilities</t>
  </si>
  <si>
    <t>Days Payable</t>
  </si>
  <si>
    <t>Aditional Bank Loan</t>
  </si>
  <si>
    <t>Mortgage Expense</t>
  </si>
  <si>
    <t>Minimum Cash Balance</t>
  </si>
  <si>
    <t>Cash Over Required</t>
  </si>
  <si>
    <t>Equity</t>
  </si>
  <si>
    <t>Personal Equity</t>
  </si>
  <si>
    <t>Retained Earnings</t>
  </si>
  <si>
    <t>Total Liabs. &amp; Equity</t>
  </si>
  <si>
    <t>DFN</t>
  </si>
  <si>
    <t>Revenue Assumptions</t>
  </si>
  <si>
    <t>Less: Accumulated Depreciation</t>
  </si>
  <si>
    <t>Land</t>
  </si>
  <si>
    <t>Building</t>
  </si>
  <si>
    <t>Balance Sheet Assumptions</t>
  </si>
  <si>
    <t>Land Value</t>
  </si>
  <si>
    <t>Building Value</t>
  </si>
  <si>
    <t>Accounts Recievable</t>
  </si>
  <si>
    <t>Inventory</t>
  </si>
  <si>
    <t>Soap Inventory (Days)</t>
  </si>
  <si>
    <t>Gas and Electric</t>
  </si>
  <si>
    <t>Utilities (Water)</t>
  </si>
  <si>
    <t>Utilities (Gas and Electric)</t>
  </si>
  <si>
    <t>People per Household</t>
  </si>
  <si>
    <t>Fixed Cost Utilities</t>
  </si>
  <si>
    <t>Total Water</t>
  </si>
  <si>
    <t>Soap (%of Sales</t>
  </si>
  <si>
    <t>Break Even</t>
  </si>
  <si>
    <t>Price Per Wash</t>
  </si>
  <si>
    <t>Variable Cost Per Wash</t>
  </si>
  <si>
    <t>CM Per Unit</t>
  </si>
  <si>
    <t>CM Percentage</t>
  </si>
  <si>
    <t>Fixed Costs</t>
  </si>
  <si>
    <t>Break Even in Units</t>
  </si>
  <si>
    <t>Break Even in Dollars</t>
  </si>
  <si>
    <t>Break Even Per Month</t>
  </si>
  <si>
    <t>Square Footage</t>
  </si>
  <si>
    <t>Price Per Square Foot</t>
  </si>
  <si>
    <t>Price Per Acre</t>
  </si>
  <si>
    <t>Land Size (Acres)</t>
  </si>
  <si>
    <t>FCF</t>
  </si>
  <si>
    <t>Year 0</t>
  </si>
  <si>
    <t>Cash From Operations</t>
  </si>
  <si>
    <t>Operating Profit</t>
  </si>
  <si>
    <t>Less: Depreciation</t>
  </si>
  <si>
    <t>Taxable Operating Income</t>
  </si>
  <si>
    <t>Taxes on Operations Only</t>
  </si>
  <si>
    <t>Add:Depreciation</t>
  </si>
  <si>
    <t>Cash In/Out From Capital Expenditures</t>
  </si>
  <si>
    <t>Sell  Building</t>
  </si>
  <si>
    <t>Book Value</t>
  </si>
  <si>
    <t>Tax on Sale</t>
  </si>
  <si>
    <t>Cash In/Out from Changes in Working Capital</t>
  </si>
  <si>
    <t>Accounts Receivable</t>
  </si>
  <si>
    <t>Income Tax Payable Operations ONLY</t>
  </si>
  <si>
    <t>Accounts Payable - COGS</t>
  </si>
  <si>
    <t>Cash In/Out from Liquidation of Working Capital</t>
  </si>
  <si>
    <t>Total Free Cash Flows</t>
  </si>
  <si>
    <t>Net Present Value of Cash Flows</t>
  </si>
  <si>
    <t>Internal Rate of Return</t>
  </si>
  <si>
    <t>Tax Rate</t>
  </si>
  <si>
    <t>Beta</t>
  </si>
  <si>
    <t>Treasury Rate</t>
  </si>
  <si>
    <t>S&amp;P Rate</t>
  </si>
  <si>
    <t>EMRP</t>
  </si>
  <si>
    <t>CAPM</t>
  </si>
  <si>
    <t>Equity %</t>
  </si>
  <si>
    <t>Debt %</t>
  </si>
  <si>
    <t>Cost of Debt</t>
  </si>
  <si>
    <t>After tax Cost of Debt</t>
  </si>
  <si>
    <t>WACC</t>
  </si>
  <si>
    <t>Purchase Building &amp; land</t>
  </si>
  <si>
    <t>Refurbish</t>
  </si>
  <si>
    <t>present Values</t>
  </si>
  <si>
    <t>Year</t>
  </si>
  <si>
    <t>Avg Price per wash</t>
  </si>
  <si>
    <t>Sell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</si>
</sst>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.000_);_(* \(#,##0.000\);_(* &quot;-&quot;??_);_(@_)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\$* #,##0_);_(\$* \(#,##0\);_(\$* \-??_);_(@_)"/>
    <numFmt numFmtId="170" formatCode="_(* #,##0_);_(* \(#,##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3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124">
    <xf numFmtId="0" fontId="0" fillId="0" borderId="0" xfId="0"/>
    <xf numFmtId="9" fontId="0" fillId="0" borderId="0" xfId="2" applyFont="1"/>
    <xf numFmtId="43" fontId="0" fillId="0" borderId="0" xfId="1" applyFont="1"/>
    <xf numFmtId="43" fontId="0" fillId="0" borderId="0" xfId="0" applyNumberFormat="1"/>
    <xf numFmtId="0" fontId="4" fillId="0" borderId="0" xfId="3" applyFont="1" applyBorder="1"/>
    <xf numFmtId="0" fontId="4" fillId="0" borderId="2" xfId="3" applyFon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5" fillId="0" borderId="0" xfId="3" applyFont="1" applyBorder="1" applyAlignment="1">
      <alignment horizontal="right"/>
    </xf>
    <xf numFmtId="0" fontId="5" fillId="0" borderId="0" xfId="3" applyFont="1" applyBorder="1" applyAlignment="1">
      <alignment horizontal="left"/>
    </xf>
    <xf numFmtId="44" fontId="4" fillId="0" borderId="4" xfId="3" applyNumberFormat="1" applyFont="1" applyFill="1" applyBorder="1" applyAlignment="1"/>
    <xf numFmtId="164" fontId="4" fillId="0" borderId="4" xfId="3" applyNumberFormat="1" applyFont="1" applyFill="1" applyBorder="1" applyAlignment="1">
      <alignment horizontal="right"/>
    </xf>
    <xf numFmtId="1" fontId="4" fillId="0" borderId="4" xfId="3" applyNumberFormat="1" applyFont="1" applyFill="1" applyBorder="1" applyAlignment="1">
      <alignment horizontal="right"/>
    </xf>
    <xf numFmtId="0" fontId="6" fillId="0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3" applyNumberFormat="1" applyFont="1" applyBorder="1" applyAlignment="1">
      <alignment horizontal="left"/>
    </xf>
    <xf numFmtId="14" fontId="4" fillId="0" borderId="4" xfId="3" applyNumberFormat="1" applyFont="1" applyFill="1" applyBorder="1" applyAlignment="1">
      <alignment horizontal="right"/>
    </xf>
    <xf numFmtId="0" fontId="4" fillId="0" borderId="0" xfId="3" applyFont="1" applyBorder="1" applyAlignment="1">
      <alignment horizontal="center"/>
    </xf>
    <xf numFmtId="0" fontId="4" fillId="0" borderId="2" xfId="3" applyFont="1" applyBorder="1" applyAlignment="1">
      <alignment horizontal="right" indent="1"/>
    </xf>
    <xf numFmtId="14" fontId="4" fillId="0" borderId="2" xfId="3" applyNumberFormat="1" applyFont="1" applyBorder="1" applyAlignment="1">
      <alignment horizontal="left"/>
    </xf>
    <xf numFmtId="14" fontId="4" fillId="0" borderId="0" xfId="3" applyNumberFormat="1" applyFont="1" applyBorder="1" applyAlignment="1">
      <alignment horizontal="left"/>
    </xf>
    <xf numFmtId="0" fontId="4" fillId="0" borderId="0" xfId="3" applyFont="1" applyBorder="1" applyAlignment="1">
      <alignment horizontal="right" indent="1"/>
    </xf>
    <xf numFmtId="44" fontId="4" fillId="2" borderId="4" xfId="4" applyFont="1" applyFill="1" applyBorder="1" applyAlignment="1"/>
    <xf numFmtId="7" fontId="4" fillId="0" borderId="0" xfId="3" applyNumberFormat="1" applyFont="1" applyFill="1" applyBorder="1" applyAlignment="1">
      <alignment horizontal="left"/>
    </xf>
    <xf numFmtId="1" fontId="4" fillId="2" borderId="4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left"/>
    </xf>
    <xf numFmtId="0" fontId="5" fillId="0" borderId="5" xfId="3" applyFont="1" applyFill="1" applyBorder="1" applyAlignment="1" applyProtection="1">
      <alignment horizontal="right" wrapText="1"/>
    </xf>
    <xf numFmtId="0" fontId="4" fillId="0" borderId="0" xfId="3" applyFont="1" applyBorder="1" applyAlignment="1">
      <alignment wrapText="1"/>
    </xf>
    <xf numFmtId="1" fontId="7" fillId="3" borderId="0" xfId="3" applyNumberFormat="1" applyFont="1" applyFill="1" applyBorder="1" applyAlignment="1">
      <alignment horizontal="right"/>
    </xf>
    <xf numFmtId="14" fontId="7" fillId="3" borderId="0" xfId="3" applyNumberFormat="1" applyFont="1" applyFill="1" applyBorder="1" applyAlignment="1">
      <alignment horizontal="right"/>
    </xf>
    <xf numFmtId="44" fontId="7" fillId="3" borderId="0" xfId="4" applyFont="1" applyFill="1" applyBorder="1" applyAlignment="1">
      <alignment horizontal="right"/>
    </xf>
    <xf numFmtId="44" fontId="7" fillId="4" borderId="0" xfId="4" applyFont="1" applyFill="1" applyBorder="1" applyAlignment="1">
      <alignment horizontal="right"/>
    </xf>
    <xf numFmtId="0" fontId="7" fillId="0" borderId="0" xfId="3" applyFont="1" applyBorder="1" applyAlignment="1">
      <alignment wrapText="1"/>
    </xf>
    <xf numFmtId="14" fontId="7" fillId="0" borderId="0" xfId="3" applyNumberFormat="1" applyFont="1" applyBorder="1" applyAlignment="1"/>
    <xf numFmtId="0" fontId="7" fillId="0" borderId="0" xfId="3" applyFont="1" applyBorder="1" applyAlignment="1"/>
    <xf numFmtId="0" fontId="7" fillId="0" borderId="0" xfId="3" applyFont="1" applyBorder="1"/>
    <xf numFmtId="166" fontId="7" fillId="0" borderId="0" xfId="3" applyNumberFormat="1" applyFont="1" applyBorder="1"/>
    <xf numFmtId="0" fontId="7" fillId="0" borderId="0" xfId="3" applyFont="1" applyBorder="1" applyAlignment="1">
      <alignment horizontal="right"/>
    </xf>
    <xf numFmtId="44" fontId="7" fillId="0" borderId="0" xfId="3" applyNumberFormat="1" applyFont="1" applyBorder="1"/>
    <xf numFmtId="0" fontId="7" fillId="3" borderId="0" xfId="3" applyFont="1" applyFill="1" applyBorder="1" applyAlignment="1">
      <alignment horizontal="right"/>
    </xf>
    <xf numFmtId="0" fontId="7" fillId="0" borderId="0" xfId="3" applyFont="1"/>
    <xf numFmtId="0" fontId="7" fillId="0" borderId="0" xfId="3" applyFont="1" applyBorder="1" applyAlignment="1">
      <alignment horizontal="center"/>
    </xf>
    <xf numFmtId="167" fontId="0" fillId="0" borderId="0" xfId="1" applyNumberFormat="1" applyFont="1"/>
    <xf numFmtId="9" fontId="0" fillId="0" borderId="0" xfId="0" applyNumberFormat="1"/>
    <xf numFmtId="44" fontId="0" fillId="0" borderId="0" xfId="5" applyFont="1"/>
    <xf numFmtId="0" fontId="0" fillId="0" borderId="0" xfId="0" applyFill="1" applyAlignment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9" fontId="0" fillId="0" borderId="7" xfId="2" applyFont="1" applyBorder="1"/>
    <xf numFmtId="43" fontId="0" fillId="0" borderId="7" xfId="1" applyFont="1" applyBorder="1"/>
    <xf numFmtId="165" fontId="0" fillId="0" borderId="7" xfId="1" applyNumberFormat="1" applyFont="1" applyBorder="1"/>
    <xf numFmtId="164" fontId="0" fillId="0" borderId="7" xfId="2" applyNumberFormat="1" applyFont="1" applyBorder="1"/>
    <xf numFmtId="167" fontId="0" fillId="0" borderId="7" xfId="1" applyNumberFormat="1" applyFont="1" applyBorder="1"/>
    <xf numFmtId="43" fontId="0" fillId="0" borderId="7" xfId="0" applyNumberFormat="1" applyBorder="1"/>
    <xf numFmtId="8" fontId="0" fillId="0" borderId="7" xfId="0" applyNumberFormat="1" applyBorder="1"/>
    <xf numFmtId="9" fontId="0" fillId="0" borderId="7" xfId="0" applyNumberFormat="1" applyBorder="1"/>
    <xf numFmtId="44" fontId="0" fillId="0" borderId="7" xfId="5" applyFont="1" applyBorder="1"/>
    <xf numFmtId="0" fontId="0" fillId="0" borderId="8" xfId="0" applyBorder="1"/>
    <xf numFmtId="9" fontId="0" fillId="0" borderId="9" xfId="2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8" fontId="0" fillId="0" borderId="0" xfId="5" applyNumberFormat="1" applyFont="1"/>
    <xf numFmtId="168" fontId="0" fillId="0" borderId="12" xfId="5" applyNumberFormat="1" applyFont="1" applyBorder="1"/>
    <xf numFmtId="167" fontId="0" fillId="0" borderId="1" xfId="1" applyNumberFormat="1" applyFont="1" applyBorder="1"/>
    <xf numFmtId="168" fontId="0" fillId="0" borderId="0" xfId="0" applyNumberFormat="1"/>
    <xf numFmtId="0" fontId="0" fillId="0" borderId="0" xfId="0" applyFont="1"/>
    <xf numFmtId="167" fontId="0" fillId="0" borderId="0" xfId="0" applyNumberFormat="1"/>
    <xf numFmtId="0" fontId="0" fillId="0" borderId="0" xfId="0" applyBorder="1"/>
    <xf numFmtId="167" fontId="0" fillId="0" borderId="0" xfId="1" applyNumberFormat="1" applyFont="1" applyBorder="1"/>
    <xf numFmtId="0" fontId="0" fillId="0" borderId="0" xfId="0" applyFill="1" applyBorder="1"/>
    <xf numFmtId="168" fontId="0" fillId="0" borderId="14" xfId="5" applyNumberFormat="1" applyFont="1" applyBorder="1"/>
    <xf numFmtId="168" fontId="0" fillId="0" borderId="12" xfId="0" applyNumberFormat="1" applyBorder="1"/>
    <xf numFmtId="168" fontId="0" fillId="0" borderId="1" xfId="5" applyNumberFormat="1" applyFont="1" applyBorder="1"/>
    <xf numFmtId="0" fontId="0" fillId="7" borderId="0" xfId="0" applyFill="1"/>
    <xf numFmtId="168" fontId="0" fillId="7" borderId="0" xfId="0" applyNumberFormat="1" applyFill="1"/>
    <xf numFmtId="0" fontId="0" fillId="0" borderId="6" xfId="0" applyFill="1" applyBorder="1"/>
    <xf numFmtId="43" fontId="0" fillId="0" borderId="7" xfId="1" applyNumberFormat="1" applyFont="1" applyBorder="1"/>
    <xf numFmtId="167" fontId="0" fillId="0" borderId="7" xfId="0" applyNumberFormat="1" applyBorder="1"/>
    <xf numFmtId="0" fontId="0" fillId="0" borderId="15" xfId="0" applyBorder="1"/>
    <xf numFmtId="0" fontId="0" fillId="0" borderId="16" xfId="0" applyBorder="1"/>
    <xf numFmtId="43" fontId="0" fillId="0" borderId="9" xfId="1" applyFont="1" applyBorder="1"/>
    <xf numFmtId="3" fontId="0" fillId="0" borderId="16" xfId="0" applyNumberFormat="1" applyBorder="1"/>
    <xf numFmtId="8" fontId="0" fillId="0" borderId="16" xfId="0" applyNumberFormat="1" applyBorder="1"/>
    <xf numFmtId="168" fontId="0" fillId="0" borderId="7" xfId="0" applyNumberFormat="1" applyBorder="1"/>
    <xf numFmtId="1" fontId="0" fillId="0" borderId="7" xfId="5" applyNumberFormat="1" applyFont="1" applyBorder="1"/>
    <xf numFmtId="1" fontId="0" fillId="0" borderId="9" xfId="0" applyNumberFormat="1" applyBorder="1"/>
    <xf numFmtId="0" fontId="0" fillId="0" borderId="16" xfId="0" applyBorder="1" applyAlignment="1">
      <alignment horizontal="right"/>
    </xf>
    <xf numFmtId="167" fontId="0" fillId="0" borderId="9" xfId="1" applyNumberFormat="1" applyFont="1" applyBorder="1"/>
    <xf numFmtId="44" fontId="0" fillId="0" borderId="7" xfId="0" applyNumberFormat="1" applyBorder="1"/>
    <xf numFmtId="0" fontId="9" fillId="0" borderId="0" xfId="0" applyFont="1"/>
    <xf numFmtId="0" fontId="9" fillId="0" borderId="0" xfId="0" applyFont="1" applyAlignment="1">
      <alignment horizontal="center"/>
    </xf>
    <xf numFmtId="169" fontId="9" fillId="0" borderId="0" xfId="0" applyNumberFormat="1" applyFont="1"/>
    <xf numFmtId="169" fontId="9" fillId="0" borderId="1" xfId="0" applyNumberFormat="1" applyFont="1" applyBorder="1"/>
    <xf numFmtId="43" fontId="9" fillId="0" borderId="0" xfId="0" applyNumberFormat="1" applyFont="1"/>
    <xf numFmtId="43" fontId="9" fillId="0" borderId="12" xfId="0" applyNumberFormat="1" applyFont="1" applyBorder="1"/>
    <xf numFmtId="170" fontId="9" fillId="0" borderId="0" xfId="0" applyNumberFormat="1" applyFont="1"/>
    <xf numFmtId="168" fontId="9" fillId="0" borderId="1" xfId="5" applyNumberFormat="1" applyFont="1" applyBorder="1"/>
    <xf numFmtId="0" fontId="11" fillId="0" borderId="0" xfId="6" applyFont="1"/>
    <xf numFmtId="169" fontId="11" fillId="0" borderId="0" xfId="6" applyNumberFormat="1" applyFont="1"/>
    <xf numFmtId="169" fontId="11" fillId="0" borderId="1" xfId="6" applyNumberFormat="1" applyFont="1" applyBorder="1"/>
    <xf numFmtId="169" fontId="9" fillId="0" borderId="12" xfId="0" applyNumberFormat="1" applyFont="1" applyBorder="1"/>
    <xf numFmtId="43" fontId="9" fillId="8" borderId="0" xfId="0" applyNumberFormat="1" applyFont="1" applyFill="1"/>
    <xf numFmtId="0" fontId="0" fillId="0" borderId="19" xfId="0" applyBorder="1"/>
    <xf numFmtId="10" fontId="0" fillId="0" borderId="0" xfId="2" applyNumberFormat="1" applyFont="1"/>
    <xf numFmtId="169" fontId="9" fillId="0" borderId="0" xfId="0" applyNumberFormat="1" applyFont="1" applyBorder="1"/>
    <xf numFmtId="10" fontId="9" fillId="8" borderId="0" xfId="0" applyNumberFormat="1" applyFont="1" applyFill="1"/>
    <xf numFmtId="168" fontId="9" fillId="0" borderId="0" xfId="5" applyNumberFormat="1" applyFont="1" applyBorder="1"/>
    <xf numFmtId="0" fontId="9" fillId="0" borderId="0" xfId="0" applyNumberFormat="1" applyFont="1"/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4" fillId="0" borderId="0" xfId="3" applyFont="1" applyBorder="1" applyAlignment="1">
      <alignment horizontal="right" indent="1"/>
    </xf>
    <xf numFmtId="0" fontId="4" fillId="0" borderId="3" xfId="3" applyFont="1" applyBorder="1" applyAlignment="1">
      <alignment horizontal="right" indent="1"/>
    </xf>
    <xf numFmtId="0" fontId="3" fillId="0" borderId="0" xfId="3" applyFont="1" applyBorder="1" applyAlignment="1">
      <alignment horizontal="left"/>
    </xf>
    <xf numFmtId="7" fontId="6" fillId="0" borderId="0" xfId="3" applyNumberFormat="1" applyFont="1" applyFill="1" applyBorder="1" applyAlignment="1">
      <alignment horizontal="left"/>
    </xf>
    <xf numFmtId="10" fontId="6" fillId="0" borderId="0" xfId="3" applyNumberFormat="1" applyFont="1" applyFill="1" applyBorder="1" applyAlignment="1">
      <alignment horizontal="left"/>
    </xf>
    <xf numFmtId="0" fontId="0" fillId="6" borderId="17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8" xfId="0" applyFill="1" applyBorder="1" applyAlignment="1">
      <alignment horizontal="center"/>
    </xf>
  </cellXfs>
  <cellStyles count="7">
    <cellStyle name="Comma" xfId="1" builtinId="3"/>
    <cellStyle name="Currency" xfId="5" builtinId="4"/>
    <cellStyle name="Currency 2" xfId="4"/>
    <cellStyle name="Excel Built-in Normal" xf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Lit>
              <c:ptCount val="2"/>
              <c:pt idx="0">
                <c:v>	Principle</c:v>
              </c:pt>
              <c:pt idx="1">
                <c:v>_x0008_Interest</c:v>
              </c:pt>
            </c:strLit>
          </c:cat>
          <c:val>
            <c:numRef>
              <c:f>('[1]Loan Calculator '!$D$4,'[1]Loan Calculator '!$D$15)</c:f>
              <c:numCache>
                <c:formatCode>General</c:formatCode>
                <c:ptCount val="2"/>
                <c:pt idx="0">
                  <c:v>1120000</c:v>
                </c:pt>
                <c:pt idx="1">
                  <c:v>634751.87849983934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2</xdr:row>
      <xdr:rowOff>38100</xdr:rowOff>
    </xdr:from>
    <xdr:to>
      <xdr:col>8</xdr:col>
      <xdr:colOff>660400</xdr:colOff>
      <xdr:row>15</xdr:row>
      <xdr:rowOff>254000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ley/AppData/Local/Temp/Workbook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oan Calculator "/>
    </sheetNames>
    <definedNames>
      <definedName name="End_Bal" refersTo="='Loan Calculator '!$I$18:$I$377" sheetId="1"/>
      <definedName name="Interest_Rate" refersTo="='Loan Calculator '!$D$5" sheetId="1"/>
      <definedName name="Loan_Amount" refersTo="='Loan Calculator '!$D$4" sheetId="1"/>
      <definedName name="Loan_Start" refersTo="='Loan Calculator '!$D$7" sheetId="1"/>
      <definedName name="Loan_Years" refersTo="='Loan Calculator '!$D$6" sheetId="1"/>
    </definedNames>
    <sheetDataSet>
      <sheetData sheetId="0">
        <row r="27">
          <cell r="I27">
            <v>31247.029582829855</v>
          </cell>
        </row>
        <row r="47">
          <cell r="I47">
            <v>946616.34344420058</v>
          </cell>
        </row>
        <row r="52">
          <cell r="I52">
            <v>280000</v>
          </cell>
        </row>
      </sheetData>
      <sheetData sheetId="1">
        <row r="4">
          <cell r="D4">
            <v>1120000</v>
          </cell>
        </row>
        <row r="5">
          <cell r="D5">
            <v>3.2500000000000001E-2</v>
          </cell>
        </row>
        <row r="6">
          <cell r="D6">
            <v>30</v>
          </cell>
        </row>
        <row r="7">
          <cell r="D7">
            <v>41306</v>
          </cell>
        </row>
        <row r="15">
          <cell r="D15">
            <v>634751.87849983934</v>
          </cell>
        </row>
        <row r="18">
          <cell r="I18">
            <v>1118159.0225597227</v>
          </cell>
        </row>
        <row r="19">
          <cell r="I19">
            <v>1116313.059138878</v>
          </cell>
        </row>
        <row r="20">
          <cell r="I20">
            <v>1114462.0962337684</v>
          </cell>
        </row>
        <row r="21">
          <cell r="I21">
            <v>1112606.1203041242</v>
          </cell>
        </row>
        <row r="22">
          <cell r="I22">
            <v>1110745.1177730039</v>
          </cell>
        </row>
        <row r="23">
          <cell r="I23">
            <v>1108879.0750266952</v>
          </cell>
        </row>
        <row r="24">
          <cell r="I24">
            <v>1107007.9784146152</v>
          </cell>
        </row>
        <row r="25">
          <cell r="I25">
            <v>1105131.8142492108</v>
          </cell>
        </row>
        <row r="26">
          <cell r="I26">
            <v>1103250.5688058583</v>
          </cell>
        </row>
        <row r="27">
          <cell r="I27">
            <v>1101364.2283227635</v>
          </cell>
        </row>
        <row r="28">
          <cell r="I28">
            <v>1099472.7790008602</v>
          </cell>
        </row>
        <row r="29">
          <cell r="I29">
            <v>1097576.2070037101</v>
          </cell>
        </row>
        <row r="30">
          <cell r="I30">
            <v>1095674.4984574011</v>
          </cell>
        </row>
        <row r="31">
          <cell r="I31">
            <v>1093767.6394504458</v>
          </cell>
        </row>
        <row r="32">
          <cell r="I32">
            <v>1091855.61603368</v>
          </cell>
        </row>
        <row r="33">
          <cell r="I33">
            <v>1089938.4142201606</v>
          </cell>
        </row>
        <row r="34">
          <cell r="I34">
            <v>1088016.0199850628</v>
          </cell>
        </row>
        <row r="35">
          <cell r="I35">
            <v>1086088.4192655783</v>
          </cell>
        </row>
        <row r="36">
          <cell r="I36">
            <v>1084155.5979608118</v>
          </cell>
        </row>
        <row r="37">
          <cell r="I37">
            <v>1082217.5419316783</v>
          </cell>
        </row>
        <row r="38">
          <cell r="I38">
            <v>1080274.2370007993</v>
          </cell>
        </row>
        <row r="39">
          <cell r="I39">
            <v>1078325.6689523992</v>
          </cell>
        </row>
        <row r="40">
          <cell r="I40">
            <v>1076371.8235322013</v>
          </cell>
        </row>
        <row r="41">
          <cell r="I41">
            <v>1074412.6864473238</v>
          </cell>
        </row>
        <row r="42">
          <cell r="I42">
            <v>1072448.2433661746</v>
          </cell>
        </row>
        <row r="43">
          <cell r="I43">
            <v>1070478.4799183474</v>
          </cell>
        </row>
        <row r="44">
          <cell r="I44">
            <v>1068503.3816945157</v>
          </cell>
        </row>
        <row r="45">
          <cell r="I45">
            <v>1066522.9342463277</v>
          </cell>
        </row>
        <row r="46">
          <cell r="I46">
            <v>1064537.1230863009</v>
          </cell>
        </row>
        <row r="47">
          <cell r="I47">
            <v>1062545.9336877156</v>
          </cell>
        </row>
        <row r="48">
          <cell r="I48">
            <v>1060549.3514845092</v>
          </cell>
        </row>
        <row r="49">
          <cell r="I49">
            <v>1058547.3618711692</v>
          </cell>
        </row>
        <row r="50">
          <cell r="I50">
            <v>1056539.9502026262</v>
          </cell>
        </row>
        <row r="51">
          <cell r="I51">
            <v>1054527.1017941476</v>
          </cell>
        </row>
        <row r="52">
          <cell r="I52">
            <v>1052508.8019212293</v>
          </cell>
        </row>
        <row r="53">
          <cell r="I53">
            <v>1050485.0358194886</v>
          </cell>
        </row>
        <row r="54">
          <cell r="I54">
            <v>1048455.7886845557</v>
          </cell>
        </row>
        <row r="55">
          <cell r="I55">
            <v>1046421.0456719657</v>
          </cell>
        </row>
        <row r="56">
          <cell r="I56">
            <v>1044380.79189705</v>
          </cell>
        </row>
        <row r="57">
          <cell r="I57">
            <v>1042335.0124348272</v>
          </cell>
        </row>
        <row r="58">
          <cell r="I58">
            <v>1040283.6923198942</v>
          </cell>
        </row>
        <row r="59">
          <cell r="I59">
            <v>1038226.8165463166</v>
          </cell>
        </row>
        <row r="60">
          <cell r="I60">
            <v>1036164.3700675189</v>
          </cell>
        </row>
        <row r="61">
          <cell r="I61">
            <v>1034096.3377961745</v>
          </cell>
        </row>
        <row r="62">
          <cell r="I62">
            <v>1032022.7046040951</v>
          </cell>
        </row>
        <row r="63">
          <cell r="I63">
            <v>1029943.4553221205</v>
          </cell>
        </row>
        <row r="64">
          <cell r="I64">
            <v>1027858.5747400072</v>
          </cell>
        </row>
        <row r="65">
          <cell r="I65">
            <v>1025768.0476063173</v>
          </cell>
        </row>
        <row r="66">
          <cell r="I66">
            <v>1023671.8586283071</v>
          </cell>
        </row>
        <row r="67">
          <cell r="I67">
            <v>1021569.9924718147</v>
          </cell>
        </row>
        <row r="68">
          <cell r="I68">
            <v>1019462.4337611486</v>
          </cell>
        </row>
        <row r="69">
          <cell r="I69">
            <v>1017349.1670789744</v>
          </cell>
        </row>
        <row r="70">
          <cell r="I70">
            <v>1015230.1769662027</v>
          </cell>
        </row>
        <row r="71">
          <cell r="I71">
            <v>1013105.4479218755</v>
          </cell>
        </row>
        <row r="72">
          <cell r="I72">
            <v>1010974.9644030533</v>
          </cell>
        </row>
        <row r="73">
          <cell r="I73">
            <v>1008838.7108247009</v>
          </cell>
        </row>
        <row r="74">
          <cell r="I74">
            <v>1006696.6715595737</v>
          </cell>
        </row>
        <row r="75">
          <cell r="I75">
            <v>1004548.8309381036</v>
          </cell>
        </row>
        <row r="76">
          <cell r="I76">
            <v>1002395.1732482837</v>
          </cell>
        </row>
        <row r="77">
          <cell r="I77">
            <v>1000235.6827355538</v>
          </cell>
        </row>
        <row r="78">
          <cell r="I78">
            <v>998070.34360268526</v>
          </cell>
        </row>
        <row r="79">
          <cell r="I79">
            <v>995899.14000966516</v>
          </cell>
        </row>
        <row r="80">
          <cell r="I80">
            <v>993722.05607358064</v>
          </cell>
        </row>
        <row r="81">
          <cell r="I81">
            <v>991539.07586850261</v>
          </cell>
        </row>
        <row r="82">
          <cell r="I82">
            <v>989350.18342536909</v>
          </cell>
        </row>
        <row r="83">
          <cell r="I83">
            <v>987155.36273186875</v>
          </cell>
        </row>
        <row r="84">
          <cell r="I84">
            <v>984954.59773232357</v>
          </cell>
        </row>
        <row r="85">
          <cell r="I85">
            <v>982747.87232757127</v>
          </cell>
        </row>
        <row r="86">
          <cell r="I86">
            <v>980535.17037484783</v>
          </cell>
        </row>
        <row r="87">
          <cell r="I87">
            <v>978316.47568766901</v>
          </cell>
        </row>
        <row r="88">
          <cell r="I88">
            <v>976091.77203571249</v>
          </cell>
        </row>
        <row r="89">
          <cell r="I89">
            <v>973861.0431446986</v>
          </cell>
        </row>
        <row r="90">
          <cell r="I90">
            <v>971624.27269627154</v>
          </cell>
        </row>
        <row r="91">
          <cell r="I91">
            <v>969381.44432787993</v>
          </cell>
        </row>
        <row r="92">
          <cell r="I92">
            <v>967132.54163265729</v>
          </cell>
        </row>
        <row r="93">
          <cell r="I93">
            <v>964877.54815930175</v>
          </cell>
        </row>
        <row r="94">
          <cell r="I94">
            <v>962616.44741195592</v>
          </cell>
        </row>
        <row r="95">
          <cell r="I95">
            <v>960349.22285008593</v>
          </cell>
        </row>
        <row r="96">
          <cell r="I96">
            <v>958075.85788836097</v>
          </cell>
        </row>
        <row r="97">
          <cell r="I97">
            <v>955796.33589653124</v>
          </cell>
        </row>
        <row r="98">
          <cell r="I98">
            <v>953510.640199307</v>
          </cell>
        </row>
        <row r="99">
          <cell r="I99">
            <v>951218.75407623616</v>
          </cell>
        </row>
        <row r="100">
          <cell r="I100">
            <v>948920.66076158197</v>
          </cell>
        </row>
        <row r="101">
          <cell r="I101">
            <v>946616.34344420058</v>
          </cell>
        </row>
        <row r="102">
          <cell r="I102">
            <v>944305.78526741802</v>
          </cell>
        </row>
        <row r="103">
          <cell r="I103">
            <v>941988.96932890662</v>
          </cell>
        </row>
        <row r="104">
          <cell r="I104">
            <v>939665.87868056179</v>
          </cell>
        </row>
        <row r="105">
          <cell r="I105">
            <v>937336.49632837763</v>
          </cell>
        </row>
        <row r="106">
          <cell r="I106">
            <v>935000.80523232301</v>
          </cell>
        </row>
        <row r="107">
          <cell r="I107">
            <v>932658.78830621659</v>
          </cell>
        </row>
        <row r="108">
          <cell r="I108">
            <v>930310.42841760197</v>
          </cell>
        </row>
        <row r="109">
          <cell r="I109">
            <v>927955.70838762226</v>
          </cell>
        </row>
        <row r="110">
          <cell r="I110">
            <v>925594.61099089473</v>
          </cell>
        </row>
        <row r="111">
          <cell r="I111">
            <v>923227.11895538436</v>
          </cell>
        </row>
        <row r="112">
          <cell r="I112">
            <v>920853.21496227791</v>
          </cell>
        </row>
        <row r="113">
          <cell r="I113">
            <v>918472.88164585677</v>
          </cell>
        </row>
        <row r="114">
          <cell r="I114">
            <v>916086.10159337032</v>
          </cell>
        </row>
        <row r="115">
          <cell r="I115">
            <v>913692.85734490841</v>
          </cell>
        </row>
        <row r="116">
          <cell r="I116">
            <v>911293.13139327359</v>
          </cell>
        </row>
        <row r="117">
          <cell r="I117">
            <v>908886.90618385305</v>
          </cell>
        </row>
        <row r="118">
          <cell r="I118">
            <v>906474.16411449027</v>
          </cell>
        </row>
        <row r="119">
          <cell r="I119">
            <v>904054.88753535633</v>
          </cell>
        </row>
        <row r="120">
          <cell r="I120">
            <v>901629.05874882056</v>
          </cell>
        </row>
        <row r="121">
          <cell r="I121">
            <v>899196.66000932129</v>
          </cell>
        </row>
        <row r="122">
          <cell r="I122">
            <v>896757.67352323583</v>
          </cell>
        </row>
        <row r="123">
          <cell r="I123">
            <v>894312.08144875057</v>
          </cell>
        </row>
        <row r="124">
          <cell r="I124">
            <v>891859.86589573033</v>
          </cell>
        </row>
        <row r="125">
          <cell r="I125">
            <v>889401.00892558729</v>
          </cell>
        </row>
        <row r="126">
          <cell r="I126">
            <v>886935.49255115003</v>
          </cell>
        </row>
        <row r="127">
          <cell r="I127">
            <v>884463.2987365321</v>
          </cell>
        </row>
        <row r="128">
          <cell r="I128">
            <v>881984.40939699952</v>
          </cell>
        </row>
        <row r="129">
          <cell r="I129">
            <v>879498.80639883911</v>
          </cell>
        </row>
        <row r="130">
          <cell r="I130">
            <v>877006.47155922535</v>
          </cell>
        </row>
        <row r="131">
          <cell r="I131">
            <v>874507.38664608763</v>
          </cell>
        </row>
        <row r="132">
          <cell r="I132">
            <v>872001.53337797674</v>
          </cell>
        </row>
        <row r="133">
          <cell r="I133">
            <v>869488.89342393144</v>
          </cell>
        </row>
        <row r="134">
          <cell r="I134">
            <v>866969.44840334391</v>
          </cell>
        </row>
        <row r="135">
          <cell r="I135">
            <v>864443.17988582561</v>
          </cell>
        </row>
        <row r="136">
          <cell r="I136">
            <v>861910.06939107238</v>
          </cell>
        </row>
        <row r="137">
          <cell r="I137">
            <v>859370.09838872915</v>
          </cell>
        </row>
        <row r="138">
          <cell r="I138">
            <v>856823.24829825468</v>
          </cell>
        </row>
        <row r="139">
          <cell r="I139">
            <v>854269.5004887851</v>
          </cell>
        </row>
        <row r="140">
          <cell r="I140">
            <v>851708.83627899818</v>
          </cell>
        </row>
        <row r="141">
          <cell r="I141">
            <v>849141.23693697643</v>
          </cell>
        </row>
        <row r="142">
          <cell r="I142">
            <v>846566.6836800701</v>
          </cell>
        </row>
        <row r="143">
          <cell r="I143">
            <v>843985.15767475963</v>
          </cell>
        </row>
        <row r="144">
          <cell r="I144">
            <v>841396.6400365181</v>
          </cell>
        </row>
        <row r="145">
          <cell r="I145">
            <v>838801.11182967306</v>
          </cell>
        </row>
        <row r="146">
          <cell r="I146">
            <v>836198.5540672678</v>
          </cell>
        </row>
        <row r="147">
          <cell r="I147">
            <v>833588.94771092269</v>
          </cell>
        </row>
        <row r="148">
          <cell r="I148">
            <v>830972.27367069572</v>
          </cell>
        </row>
        <row r="149">
          <cell r="I149">
            <v>828348.51280494314</v>
          </cell>
        </row>
        <row r="150">
          <cell r="I150">
            <v>825717.6459201792</v>
          </cell>
        </row>
        <row r="151">
          <cell r="I151">
            <v>823079.65377093572</v>
          </cell>
        </row>
        <row r="152">
          <cell r="I152">
            <v>820434.5170596214</v>
          </cell>
        </row>
        <row r="153">
          <cell r="I153">
            <v>817782.21643638052</v>
          </cell>
        </row>
        <row r="154">
          <cell r="I154">
            <v>815122.73249895172</v>
          </cell>
        </row>
        <row r="155">
          <cell r="I155">
            <v>812456.04579252575</v>
          </cell>
        </row>
        <row r="156">
          <cell r="I156">
            <v>809782.13680960319</v>
          </cell>
        </row>
        <row r="157">
          <cell r="I157">
            <v>807100.98598985188</v>
          </cell>
        </row>
        <row r="158">
          <cell r="I158">
            <v>804412.57371996378</v>
          </cell>
        </row>
        <row r="159">
          <cell r="I159">
            <v>801716.88033351139</v>
          </cell>
        </row>
        <row r="160">
          <cell r="I160">
            <v>799013.88611080404</v>
          </cell>
        </row>
        <row r="161">
          <cell r="I161">
            <v>796303.57127874345</v>
          </cell>
        </row>
        <row r="162">
          <cell r="I162">
            <v>793585.91601067933</v>
          </cell>
        </row>
        <row r="163">
          <cell r="I163">
            <v>790860.90042626427</v>
          </cell>
        </row>
        <row r="164">
          <cell r="I164">
            <v>788128.50459130807</v>
          </cell>
        </row>
        <row r="165">
          <cell r="I165">
            <v>785388.70851763221</v>
          </cell>
        </row>
        <row r="166">
          <cell r="I166">
            <v>782641.49216292344</v>
          </cell>
        </row>
        <row r="167">
          <cell r="I167">
            <v>779886.83543058741</v>
          </cell>
        </row>
        <row r="168">
          <cell r="I168">
            <v>777124.71816960128</v>
          </cell>
        </row>
        <row r="169">
          <cell r="I169">
            <v>774355.12017436663</v>
          </cell>
        </row>
        <row r="170">
          <cell r="I170">
            <v>771578.02118456154</v>
          </cell>
        </row>
        <row r="171">
          <cell r="I171">
            <v>768793.40088499244</v>
          </cell>
        </row>
        <row r="172">
          <cell r="I172">
            <v>766001.23890544532</v>
          </cell>
        </row>
        <row r="173">
          <cell r="I173">
            <v>763201.51482053695</v>
          </cell>
        </row>
        <row r="174">
          <cell r="I174">
            <v>760394.20814956527</v>
          </cell>
        </row>
        <row r="175">
          <cell r="I175">
            <v>757579.29835635971</v>
          </cell>
        </row>
        <row r="176">
          <cell r="I176">
            <v>754756.76484913088</v>
          </cell>
        </row>
        <row r="177">
          <cell r="I177">
            <v>751926.58698031993</v>
          </cell>
        </row>
        <row r="178">
          <cell r="I178">
            <v>749088.74404644768</v>
          </cell>
        </row>
        <row r="179">
          <cell r="I179">
            <v>746243.21528796281</v>
          </cell>
        </row>
        <row r="180">
          <cell r="I180">
            <v>743389.97988909041</v>
          </cell>
        </row>
        <row r="181">
          <cell r="I181">
            <v>740529.01697767933</v>
          </cell>
        </row>
        <row r="182">
          <cell r="I182">
            <v>737660.30562504986</v>
          </cell>
        </row>
        <row r="183">
          <cell r="I183">
            <v>734783.82484584034</v>
          </cell>
        </row>
        <row r="184">
          <cell r="I184">
            <v>731899.55359785387</v>
          </cell>
        </row>
        <row r="185">
          <cell r="I185">
            <v>729007.47078190406</v>
          </cell>
        </row>
        <row r="186">
          <cell r="I186">
            <v>726107.55524166103</v>
          </cell>
        </row>
        <row r="187">
          <cell r="I187">
            <v>723199.78576349653</v>
          </cell>
        </row>
        <row r="188">
          <cell r="I188">
            <v>720284.1410763287</v>
          </cell>
        </row>
        <row r="189">
          <cell r="I189">
            <v>717360.59985146648</v>
          </cell>
        </row>
        <row r="190">
          <cell r="I190">
            <v>714429.14070245356</v>
          </cell>
        </row>
        <row r="191">
          <cell r="I191">
            <v>711489.74218491209</v>
          </cell>
        </row>
        <row r="192">
          <cell r="I192">
            <v>708542.38279638556</v>
          </cell>
        </row>
        <row r="193">
          <cell r="I193">
            <v>705587.04097618174</v>
          </cell>
        </row>
        <row r="194">
          <cell r="I194">
            <v>702623.69510521495</v>
          </cell>
        </row>
        <row r="195">
          <cell r="I195">
            <v>699652.3235058476</v>
          </cell>
        </row>
        <row r="196">
          <cell r="I196">
            <v>696672.90444173198</v>
          </cell>
        </row>
        <row r="197">
          <cell r="I197">
            <v>693685.41611765104</v>
          </cell>
        </row>
        <row r="198">
          <cell r="I198">
            <v>690689.83667935897</v>
          </cell>
        </row>
        <row r="199">
          <cell r="I199">
            <v>687686.14421342162</v>
          </cell>
        </row>
        <row r="200">
          <cell r="I200">
            <v>684674.31674705562</v>
          </cell>
        </row>
        <row r="201">
          <cell r="I201">
            <v>681654.33224796818</v>
          </cell>
        </row>
        <row r="202">
          <cell r="I202">
            <v>678626.16862419574</v>
          </cell>
        </row>
        <row r="203">
          <cell r="I203">
            <v>675589.80372394226</v>
          </cell>
        </row>
        <row r="204">
          <cell r="I204">
            <v>672545.21533541731</v>
          </cell>
        </row>
        <row r="205">
          <cell r="I205">
            <v>669492.38118667342</v>
          </cell>
        </row>
        <row r="206">
          <cell r="I206">
            <v>666431.27894544334</v>
          </cell>
        </row>
        <row r="207">
          <cell r="I207">
            <v>663361.88621897658</v>
          </cell>
        </row>
        <row r="208">
          <cell r="I208">
            <v>660284.18055387563</v>
          </cell>
        </row>
        <row r="209">
          <cell r="I209">
            <v>657198.13943593169</v>
          </cell>
        </row>
        <row r="210">
          <cell r="I210">
            <v>654103.74028996006</v>
          </cell>
        </row>
        <row r="211">
          <cell r="I211">
            <v>651000.9604796347</v>
          </cell>
        </row>
        <row r="212">
          <cell r="I212">
            <v>647889.77730732306</v>
          </cell>
        </row>
        <row r="213">
          <cell r="I213">
            <v>644770.16801391973</v>
          </cell>
        </row>
        <row r="214">
          <cell r="I214">
            <v>641642.10977868014</v>
          </cell>
        </row>
        <row r="215">
          <cell r="I215">
            <v>638505.57971905335</v>
          </cell>
        </row>
        <row r="216">
          <cell r="I216">
            <v>635360.55489051517</v>
          </cell>
        </row>
        <row r="217">
          <cell r="I217">
            <v>632207.01228639961</v>
          </cell>
        </row>
        <row r="218">
          <cell r="I218">
            <v>629044.92883773125</v>
          </cell>
        </row>
        <row r="219">
          <cell r="I219">
            <v>625874.28141305607</v>
          </cell>
        </row>
        <row r="220">
          <cell r="I220">
            <v>622695.04681827244</v>
          </cell>
        </row>
        <row r="221">
          <cell r="I221">
            <v>619507.20179646125</v>
          </cell>
        </row>
        <row r="222">
          <cell r="I222">
            <v>616310.72302771604</v>
          </cell>
        </row>
        <row r="223">
          <cell r="I223">
            <v>613105.58712897217</v>
          </cell>
        </row>
        <row r="224">
          <cell r="I224">
            <v>609891.77065383585</v>
          </cell>
        </row>
        <row r="225">
          <cell r="I225">
            <v>606669.25009241269</v>
          </cell>
        </row>
        <row r="226">
          <cell r="I226">
            <v>603438.00187113567</v>
          </cell>
        </row>
        <row r="227">
          <cell r="I227">
            <v>600198.00235259265</v>
          </cell>
        </row>
        <row r="228">
          <cell r="I228">
            <v>596949.22783535358</v>
          </cell>
        </row>
        <row r="229">
          <cell r="I229">
            <v>593691.65455379698</v>
          </cell>
        </row>
        <row r="230">
          <cell r="I230">
            <v>590425.25867793616</v>
          </cell>
        </row>
        <row r="231">
          <cell r="I231">
            <v>587150.01631324494</v>
          </cell>
        </row>
        <row r="232">
          <cell r="I232">
            <v>583865.90350048267</v>
          </cell>
        </row>
        <row r="233">
          <cell r="I233">
            <v>580572.89621551917</v>
          </cell>
        </row>
        <row r="234">
          <cell r="I234">
            <v>577270.97036915889</v>
          </cell>
        </row>
        <row r="235">
          <cell r="I235">
            <v>573960.10180696473</v>
          </cell>
        </row>
        <row r="236">
          <cell r="I236">
            <v>570640.26630908123</v>
          </cell>
        </row>
        <row r="237">
          <cell r="I237">
            <v>567311.43959005771</v>
          </cell>
        </row>
        <row r="238">
          <cell r="I238">
            <v>563973.59729867009</v>
          </cell>
        </row>
        <row r="239">
          <cell r="I239">
            <v>560626.71501774329</v>
          </cell>
        </row>
        <row r="240">
          <cell r="I240">
            <v>557270.76826397236</v>
          </cell>
        </row>
        <row r="241">
          <cell r="I241">
            <v>553905.73248774325</v>
          </cell>
        </row>
        <row r="242">
          <cell r="I242">
            <v>550531.58307295351</v>
          </cell>
        </row>
        <row r="243">
          <cell r="I243">
            <v>547148.29533683206</v>
          </cell>
        </row>
        <row r="244">
          <cell r="I244">
            <v>543755.84452975867</v>
          </cell>
        </row>
        <row r="245">
          <cell r="I245">
            <v>540354.2058350828</v>
          </cell>
        </row>
        <row r="246">
          <cell r="I246">
            <v>536943.35436894221</v>
          </cell>
        </row>
        <row r="247">
          <cell r="I247">
            <v>533523.26518008078</v>
          </cell>
        </row>
        <row r="248">
          <cell r="I248">
            <v>530093.91324966622</v>
          </cell>
        </row>
        <row r="249">
          <cell r="I249">
            <v>526655.27349110669</v>
          </cell>
        </row>
        <row r="250">
          <cell r="I250">
            <v>523207.32074986777</v>
          </cell>
        </row>
        <row r="251">
          <cell r="I251">
            <v>519750.02980328799</v>
          </cell>
        </row>
        <row r="252">
          <cell r="I252">
            <v>516283.3753603946</v>
          </cell>
        </row>
        <row r="253">
          <cell r="I253">
            <v>512807.33206171833</v>
          </cell>
        </row>
        <row r="254">
          <cell r="I254">
            <v>509321.87447910814</v>
          </cell>
        </row>
        <row r="255">
          <cell r="I255">
            <v>505826.97711554507</v>
          </cell>
        </row>
        <row r="256">
          <cell r="I256">
            <v>502322.6144049557</v>
          </cell>
        </row>
        <row r="257">
          <cell r="I257">
            <v>498808.76071202511</v>
          </cell>
        </row>
        <row r="258">
          <cell r="I258">
            <v>495285.39033200953</v>
          </cell>
        </row>
        <row r="259">
          <cell r="I259">
            <v>491752.47749054804</v>
          </cell>
        </row>
        <row r="260">
          <cell r="I260">
            <v>488209.99634347431</v>
          </cell>
        </row>
        <row r="261">
          <cell r="I261">
            <v>484657.92097662721</v>
          </cell>
        </row>
        <row r="262">
          <cell r="I262">
            <v>481096.22540566156</v>
          </cell>
        </row>
        <row r="263">
          <cell r="I263">
            <v>477524.88357585791</v>
          </cell>
        </row>
        <row r="264">
          <cell r="I264">
            <v>473943.86936193187</v>
          </cell>
        </row>
        <row r="265">
          <cell r="I265">
            <v>470353.15656784311</v>
          </cell>
        </row>
        <row r="266">
          <cell r="I266">
            <v>466752.71892660367</v>
          </cell>
        </row>
        <row r="267">
          <cell r="I267">
            <v>463142.53010008589</v>
          </cell>
        </row>
        <row r="268">
          <cell r="I268">
            <v>459522.56367882964</v>
          </cell>
        </row>
        <row r="269">
          <cell r="I269">
            <v>455892.79318184912</v>
          </cell>
        </row>
        <row r="270">
          <cell r="I270">
            <v>452253.19205643929</v>
          </cell>
        </row>
        <row r="271">
          <cell r="I271">
            <v>448603.73367798148</v>
          </cell>
        </row>
        <row r="272">
          <cell r="I272">
            <v>444944.39134974871</v>
          </cell>
        </row>
        <row r="273">
          <cell r="I273">
            <v>441275.13830271026</v>
          </cell>
        </row>
        <row r="274">
          <cell r="I274">
            <v>437595.94769533613</v>
          </cell>
        </row>
        <row r="275">
          <cell r="I275">
            <v>433906.79261340032</v>
          </cell>
        </row>
        <row r="276">
          <cell r="I276">
            <v>430207.6460697843</v>
          </cell>
        </row>
        <row r="277">
          <cell r="I277">
            <v>426498.48100427928</v>
          </cell>
        </row>
        <row r="278">
          <cell r="I278">
            <v>422779.27028338856</v>
          </cell>
        </row>
        <row r="279">
          <cell r="I279">
            <v>419049.98670012876</v>
          </cell>
        </row>
        <row r="280">
          <cell r="I280">
            <v>415310.60297383094</v>
          </cell>
        </row>
        <row r="281">
          <cell r="I281">
            <v>411561.09174994106</v>
          </cell>
        </row>
        <row r="282">
          <cell r="I282">
            <v>407801.42559981981</v>
          </cell>
        </row>
        <row r="283">
          <cell r="I283">
            <v>404031.577020542</v>
          </cell>
        </row>
        <row r="284">
          <cell r="I284">
            <v>400251.51843469532</v>
          </cell>
        </row>
        <row r="285">
          <cell r="I285">
            <v>396461.22219017864</v>
          </cell>
        </row>
        <row r="286">
          <cell r="I286">
            <v>392660.6605599997</v>
          </cell>
        </row>
        <row r="287">
          <cell r="I287">
            <v>388849.80574207235</v>
          </cell>
        </row>
        <row r="288">
          <cell r="I288">
            <v>385028.62985901313</v>
          </cell>
        </row>
        <row r="289">
          <cell r="I289">
            <v>381197.10495793732</v>
          </cell>
        </row>
        <row r="290">
          <cell r="I290">
            <v>377355.20301025442</v>
          </cell>
        </row>
        <row r="291">
          <cell r="I291">
            <v>373502.89591146319</v>
          </cell>
        </row>
        <row r="292">
          <cell r="I292">
            <v>369640.15548094606</v>
          </cell>
        </row>
        <row r="293">
          <cell r="I293">
            <v>365766.95346176298</v>
          </cell>
        </row>
        <row r="294">
          <cell r="I294">
            <v>361883.26152044459</v>
          </cell>
        </row>
        <row r="295">
          <cell r="I295">
            <v>357989.05124678515</v>
          </cell>
        </row>
        <row r="296">
          <cell r="I296">
            <v>354084.29415363452</v>
          </cell>
        </row>
        <row r="297">
          <cell r="I297">
            <v>350168.96167668997</v>
          </cell>
        </row>
        <row r="298">
          <cell r="I298">
            <v>346243.02517428703</v>
          </cell>
        </row>
        <row r="299">
          <cell r="I299">
            <v>342306.45592719008</v>
          </cell>
        </row>
        <row r="300">
          <cell r="I300">
            <v>338359.22513838223</v>
          </cell>
        </row>
        <row r="301">
          <cell r="I301">
            <v>334401.30393285467</v>
          </cell>
        </row>
        <row r="302">
          <cell r="I302">
            <v>330432.6633573955</v>
          </cell>
        </row>
        <row r="303">
          <cell r="I303">
            <v>326453.27438037778</v>
          </cell>
        </row>
        <row r="304">
          <cell r="I304">
            <v>322463.10789154732</v>
          </cell>
        </row>
        <row r="305">
          <cell r="I305">
            <v>318462.13470180961</v>
          </cell>
        </row>
        <row r="306">
          <cell r="I306">
            <v>314450.32554301637</v>
          </cell>
        </row>
        <row r="307">
          <cell r="I307">
            <v>310427.6510677514</v>
          </cell>
        </row>
        <row r="308">
          <cell r="I308">
            <v>306394.0818491159</v>
          </cell>
        </row>
        <row r="309">
          <cell r="I309">
            <v>302349.58838051325</v>
          </cell>
        </row>
        <row r="310">
          <cell r="I310">
            <v>298294.14107543312</v>
          </cell>
        </row>
        <row r="311">
          <cell r="I311">
            <v>294227.71026723506</v>
          </cell>
        </row>
        <row r="312">
          <cell r="I312">
            <v>290150.26620893151</v>
          </cell>
        </row>
        <row r="313">
          <cell r="I313">
            <v>286061.77907297004</v>
          </cell>
        </row>
        <row r="314">
          <cell r="I314">
            <v>281962.21895101533</v>
          </cell>
        </row>
        <row r="315">
          <cell r="I315">
            <v>277851.55585373036</v>
          </cell>
        </row>
        <row r="316">
          <cell r="I316">
            <v>273729.75971055689</v>
          </cell>
        </row>
        <row r="317">
          <cell r="I317">
            <v>269596.80036949564</v>
          </cell>
        </row>
        <row r="318">
          <cell r="I318">
            <v>265452.64759688568</v>
          </cell>
        </row>
        <row r="319">
          <cell r="I319">
            <v>261297.27107718325</v>
          </cell>
        </row>
        <row r="320">
          <cell r="I320">
            <v>257130.64041273997</v>
          </cell>
        </row>
        <row r="321">
          <cell r="I321">
            <v>252952.72512358049</v>
          </cell>
        </row>
        <row r="322">
          <cell r="I322">
            <v>248763.49464717953</v>
          </cell>
        </row>
        <row r="323">
          <cell r="I323">
            <v>244562.91833823832</v>
          </cell>
        </row>
        <row r="324">
          <cell r="I324">
            <v>240350.96546846037</v>
          </cell>
        </row>
        <row r="325">
          <cell r="I325">
            <v>236127.60522632679</v>
          </cell>
        </row>
        <row r="326">
          <cell r="I326">
            <v>231892.80671687078</v>
          </cell>
        </row>
        <row r="327">
          <cell r="I327">
            <v>227646.53896145165</v>
          </cell>
        </row>
        <row r="328">
          <cell r="I328">
            <v>223388.77089752824</v>
          </cell>
        </row>
        <row r="329">
          <cell r="I329">
            <v>219119.47137843171</v>
          </cell>
        </row>
        <row r="330">
          <cell r="I330">
            <v>214838.60917313764</v>
          </cell>
        </row>
        <row r="331">
          <cell r="I331">
            <v>210546.15296603757</v>
          </cell>
        </row>
        <row r="332">
          <cell r="I332">
            <v>206242.07135670993</v>
          </cell>
        </row>
        <row r="333">
          <cell r="I333">
            <v>201926.33285969036</v>
          </cell>
        </row>
        <row r="334">
          <cell r="I334">
            <v>197598.90590424137</v>
          </cell>
        </row>
        <row r="335">
          <cell r="I335">
            <v>193259.75883412137</v>
          </cell>
        </row>
        <row r="336">
          <cell r="I336">
            <v>188908.85990735312</v>
          </cell>
        </row>
        <row r="337">
          <cell r="I337">
            <v>184546.17729599154</v>
          </cell>
        </row>
        <row r="338">
          <cell r="I338">
            <v>180171.67908589085</v>
          </cell>
        </row>
        <row r="339">
          <cell r="I339">
            <v>175785.33327647115</v>
          </cell>
        </row>
        <row r="340">
          <cell r="I340">
            <v>171387.10778048428</v>
          </cell>
        </row>
        <row r="341">
          <cell r="I341">
            <v>166976.9704237791</v>
          </cell>
        </row>
        <row r="342">
          <cell r="I342">
            <v>162554.88894506617</v>
          </cell>
        </row>
        <row r="343">
          <cell r="I343">
            <v>158120.83099568172</v>
          </cell>
        </row>
        <row r="344">
          <cell r="I344">
            <v>153674.76413935103</v>
          </cell>
        </row>
        <row r="345">
          <cell r="I345">
            <v>149216.6558519511</v>
          </cell>
        </row>
        <row r="346">
          <cell r="I346">
            <v>144746.4735212728</v>
          </cell>
        </row>
        <row r="347">
          <cell r="I347">
            <v>140264.18444678225</v>
          </cell>
        </row>
        <row r="348">
          <cell r="I348">
            <v>135769.75583938163</v>
          </cell>
        </row>
        <row r="349">
          <cell r="I349">
            <v>131263.1548211693</v>
          </cell>
        </row>
        <row r="350">
          <cell r="I350">
            <v>126744.34842519931</v>
          </cell>
        </row>
        <row r="351">
          <cell r="I351">
            <v>122213.30359524023</v>
          </cell>
        </row>
        <row r="352">
          <cell r="I352">
            <v>117669.98718553335</v>
          </cell>
        </row>
        <row r="353">
          <cell r="I353">
            <v>113114.36596055017</v>
          </cell>
        </row>
        <row r="354">
          <cell r="I354">
            <v>108546.40659474934</v>
          </cell>
        </row>
        <row r="355">
          <cell r="I355">
            <v>103966.07567233278</v>
          </cell>
        </row>
        <row r="356">
          <cell r="I356">
            <v>99373.339687001353</v>
          </cell>
        </row>
        <row r="357">
          <cell r="I357">
            <v>94768.165041709653</v>
          </cell>
        </row>
        <row r="358">
          <cell r="I358">
            <v>90150.518048420287</v>
          </cell>
        </row>
        <row r="359">
          <cell r="I359">
            <v>85520.36492785743</v>
          </cell>
        </row>
        <row r="360">
          <cell r="I360">
            <v>80877.671809259715</v>
          </cell>
        </row>
        <row r="361">
          <cell r="I361">
            <v>76222.404730132461</v>
          </cell>
        </row>
        <row r="362">
          <cell r="I362">
            <v>71554.529635999235</v>
          </cell>
        </row>
        <row r="363">
          <cell r="I363">
            <v>66874.012380152737</v>
          </cell>
        </row>
        <row r="364">
          <cell r="I364">
            <v>62180.818723404991</v>
          </cell>
        </row>
        <row r="365">
          <cell r="I365">
            <v>57474.914333836881</v>
          </cell>
        </row>
        <row r="366">
          <cell r="I366">
            <v>52756.264786547028</v>
          </cell>
        </row>
        <row r="367">
          <cell r="I367">
            <v>48024.835563399931</v>
          </cell>
        </row>
        <row r="368">
          <cell r="I368">
            <v>43280.592052773478</v>
          </cell>
        </row>
        <row r="369">
          <cell r="I369">
            <v>38523.499549305743</v>
          </cell>
        </row>
        <row r="370">
          <cell r="I370">
            <v>33753.52325364112</v>
          </cell>
        </row>
        <row r="371">
          <cell r="I371">
            <v>28970.628272175738</v>
          </cell>
        </row>
        <row r="372">
          <cell r="I372">
            <v>24174.779616802218</v>
          </cell>
        </row>
        <row r="373">
          <cell r="I373">
            <v>19365.942204653729</v>
          </cell>
        </row>
        <row r="374">
          <cell r="I374">
            <v>14544.080857847337</v>
          </cell>
        </row>
        <row r="375">
          <cell r="I375">
            <v>9709.1603032266794</v>
          </cell>
        </row>
        <row r="376">
          <cell r="I376">
            <v>4861.145172103923</v>
          </cell>
        </row>
        <row r="377">
          <cell r="I377">
            <v>1.0422809282317758E-9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85" zoomScaleNormal="85" zoomScalePageLayoutView="85" workbookViewId="0">
      <selection activeCell="G55" sqref="G55"/>
    </sheetView>
  </sheetViews>
  <sheetFormatPr defaultColWidth="8.85546875" defaultRowHeight="15" x14ac:dyDescent="0.25"/>
  <cols>
    <col min="1" max="1" width="24.7109375" customWidth="1"/>
    <col min="2" max="2" width="14.28515625" bestFit="1" customWidth="1"/>
    <col min="3" max="4" width="12" bestFit="1" customWidth="1"/>
    <col min="5" max="5" width="5" hidden="1" customWidth="1"/>
    <col min="6" max="6" width="17.7109375" customWidth="1"/>
    <col min="7" max="11" width="14.42578125" bestFit="1" customWidth="1"/>
    <col min="12" max="14" width="13.28515625" bestFit="1" customWidth="1"/>
  </cols>
  <sheetData>
    <row r="1" spans="1:15" ht="15.75" thickBot="1" x14ac:dyDescent="0.3">
      <c r="A1" s="108" t="s">
        <v>54</v>
      </c>
      <c r="B1" s="109"/>
      <c r="D1" s="110" t="s">
        <v>64</v>
      </c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15" x14ac:dyDescent="0.25">
      <c r="A2" s="78" t="s">
        <v>0</v>
      </c>
      <c r="B2" s="79"/>
      <c r="D2" s="59" t="s">
        <v>60</v>
      </c>
      <c r="G2" s="60">
        <v>2013</v>
      </c>
      <c r="H2" s="60">
        <v>2014</v>
      </c>
      <c r="I2" s="60">
        <v>2015</v>
      </c>
      <c r="J2" s="60">
        <v>2016</v>
      </c>
      <c r="K2" s="60">
        <v>2017</v>
      </c>
      <c r="L2" s="60">
        <v>2018</v>
      </c>
      <c r="M2" s="60">
        <v>2019</v>
      </c>
      <c r="N2" s="60">
        <v>2020</v>
      </c>
    </row>
    <row r="3" spans="1:15" x14ac:dyDescent="0.25">
      <c r="A3" s="45" t="s">
        <v>7</v>
      </c>
      <c r="B3" s="47">
        <f>1400000-150000</f>
        <v>1250000</v>
      </c>
      <c r="D3" t="s">
        <v>55</v>
      </c>
      <c r="E3" s="3">
        <f>B28*(B27*B29)*B30</f>
        <v>173714.28571428574</v>
      </c>
      <c r="G3" s="61">
        <f>E3</f>
        <v>173714.28571428574</v>
      </c>
      <c r="H3" s="61">
        <f t="shared" ref="H3:N3" si="0">G3*(1+$B$34)</f>
        <v>178925.71428571432</v>
      </c>
      <c r="I3" s="61">
        <f t="shared" si="0"/>
        <v>184293.48571428575</v>
      </c>
      <c r="J3" s="61">
        <f t="shared" si="0"/>
        <v>189822.29028571432</v>
      </c>
      <c r="K3" s="61">
        <f t="shared" si="0"/>
        <v>195516.95899428576</v>
      </c>
      <c r="L3" s="61">
        <f t="shared" si="0"/>
        <v>201382.46776411432</v>
      </c>
      <c r="M3" s="61">
        <f t="shared" si="0"/>
        <v>207423.94179703775</v>
      </c>
      <c r="N3" s="61">
        <f t="shared" si="0"/>
        <v>213646.66005094891</v>
      </c>
    </row>
    <row r="4" spans="1:15" x14ac:dyDescent="0.25">
      <c r="A4" s="45" t="s">
        <v>8</v>
      </c>
      <c r="B4" s="51">
        <f>1/30</f>
        <v>3.3333333333333333E-2</v>
      </c>
      <c r="D4" t="s">
        <v>56</v>
      </c>
      <c r="E4" s="3">
        <f>B33*(B31*12)*B32</f>
        <v>62537.142857142855</v>
      </c>
      <c r="G4" s="41">
        <f>E4</f>
        <v>62537.142857142855</v>
      </c>
      <c r="H4" s="41">
        <f t="shared" ref="H4:N4" si="1">G4*(1+$B$35)</f>
        <v>65038.62857142857</v>
      </c>
      <c r="I4" s="41">
        <f t="shared" si="1"/>
        <v>67640.173714285716</v>
      </c>
      <c r="J4" s="41">
        <f t="shared" si="1"/>
        <v>70345.780662857142</v>
      </c>
      <c r="K4" s="41">
        <f t="shared" si="1"/>
        <v>73159.61188937143</v>
      </c>
      <c r="L4" s="41">
        <f t="shared" si="1"/>
        <v>76085.996364946288</v>
      </c>
      <c r="M4" s="41">
        <f t="shared" si="1"/>
        <v>79129.436219544135</v>
      </c>
      <c r="N4" s="41">
        <f t="shared" si="1"/>
        <v>82294.61366832591</v>
      </c>
    </row>
    <row r="5" spans="1:15" ht="15.75" thickBot="1" x14ac:dyDescent="0.3">
      <c r="A5" s="45" t="s">
        <v>1</v>
      </c>
      <c r="B5" s="49" t="s">
        <v>11</v>
      </c>
      <c r="D5" s="59" t="s">
        <v>59</v>
      </c>
      <c r="G5" s="62">
        <f>SUM(G3:G4)</f>
        <v>236251.42857142858</v>
      </c>
      <c r="H5" s="62">
        <f t="shared" ref="H5:N5" si="2">SUM(H3:H4)</f>
        <v>243964.34285714288</v>
      </c>
      <c r="I5" s="62">
        <f t="shared" si="2"/>
        <v>251933.65942857147</v>
      </c>
      <c r="J5" s="62">
        <f t="shared" si="2"/>
        <v>260168.07094857146</v>
      </c>
      <c r="K5" s="62">
        <f t="shared" si="2"/>
        <v>268676.5708836572</v>
      </c>
      <c r="L5" s="62">
        <f t="shared" si="2"/>
        <v>277468.46412906062</v>
      </c>
      <c r="M5" s="62">
        <f t="shared" si="2"/>
        <v>286553.37801658188</v>
      </c>
      <c r="N5" s="62">
        <f t="shared" si="2"/>
        <v>295941.27371927479</v>
      </c>
    </row>
    <row r="6" spans="1:15" ht="15.75" thickTop="1" x14ac:dyDescent="0.25">
      <c r="A6" s="45" t="s">
        <v>12</v>
      </c>
      <c r="B6" s="46">
        <v>35</v>
      </c>
      <c r="D6" s="59" t="s">
        <v>0</v>
      </c>
    </row>
    <row r="7" spans="1:15" x14ac:dyDescent="0.25">
      <c r="A7" s="45" t="s">
        <v>13</v>
      </c>
      <c r="B7" s="77">
        <f>B31</f>
        <v>2895.2380952380954</v>
      </c>
      <c r="D7" t="s">
        <v>1</v>
      </c>
      <c r="G7" s="61">
        <v>18000</v>
      </c>
      <c r="H7" s="61">
        <v>18000</v>
      </c>
      <c r="I7" s="61">
        <v>18000</v>
      </c>
      <c r="J7" s="61">
        <v>18000</v>
      </c>
      <c r="K7" s="61">
        <v>18000</v>
      </c>
      <c r="L7" s="61">
        <v>18000</v>
      </c>
      <c r="M7" s="61">
        <v>18000</v>
      </c>
      <c r="N7" s="61">
        <v>18000</v>
      </c>
    </row>
    <row r="8" spans="1:15" x14ac:dyDescent="0.25">
      <c r="A8" s="45" t="s">
        <v>14</v>
      </c>
      <c r="B8" s="50">
        <v>5.0000000000000001E-3</v>
      </c>
      <c r="D8" t="s">
        <v>94</v>
      </c>
      <c r="G8" s="41">
        <f t="shared" ref="G8:N8" si="3">($B$6*$B$31*12)*$B$8</f>
        <v>6080</v>
      </c>
      <c r="H8" s="41">
        <f t="shared" si="3"/>
        <v>6080</v>
      </c>
      <c r="I8" s="41">
        <f t="shared" si="3"/>
        <v>6080</v>
      </c>
      <c r="J8" s="41">
        <f t="shared" si="3"/>
        <v>6080</v>
      </c>
      <c r="K8" s="41">
        <f t="shared" si="3"/>
        <v>6080</v>
      </c>
      <c r="L8" s="41">
        <f t="shared" si="3"/>
        <v>6080</v>
      </c>
      <c r="M8" s="41">
        <f t="shared" si="3"/>
        <v>6080</v>
      </c>
      <c r="N8" s="41">
        <f t="shared" si="3"/>
        <v>6080</v>
      </c>
    </row>
    <row r="9" spans="1:15" x14ac:dyDescent="0.25">
      <c r="A9" s="45" t="s">
        <v>93</v>
      </c>
      <c r="B9" s="48">
        <v>0.02</v>
      </c>
      <c r="D9" t="s">
        <v>95</v>
      </c>
      <c r="G9" s="41">
        <f>$B$9*(G3+G4)</f>
        <v>4725.0285714285719</v>
      </c>
      <c r="H9" s="41">
        <f t="shared" ref="H9:N9" si="4">$B$9*(H3+H4)</f>
        <v>4879.286857142858</v>
      </c>
      <c r="I9" s="41">
        <f t="shared" si="4"/>
        <v>5038.6731885714298</v>
      </c>
      <c r="J9" s="41">
        <f t="shared" si="4"/>
        <v>5203.361418971429</v>
      </c>
      <c r="K9" s="41">
        <f t="shared" si="4"/>
        <v>5373.5314176731445</v>
      </c>
      <c r="L9" s="41">
        <f t="shared" si="4"/>
        <v>5549.3692825812122</v>
      </c>
      <c r="M9" s="41">
        <f t="shared" si="4"/>
        <v>5731.0675603316377</v>
      </c>
      <c r="N9" s="41">
        <f t="shared" si="4"/>
        <v>5918.8254743854959</v>
      </c>
    </row>
    <row r="10" spans="1:15" x14ac:dyDescent="0.25">
      <c r="A10" s="45" t="s">
        <v>98</v>
      </c>
      <c r="B10" s="49">
        <f>B6*B7</f>
        <v>101333.33333333334</v>
      </c>
      <c r="D10" t="s">
        <v>2</v>
      </c>
      <c r="G10" s="41">
        <f>$B$15*$B$31*12</f>
        <v>7296</v>
      </c>
      <c r="H10" s="41">
        <f>$B$14*H3</f>
        <v>7514.880000000001</v>
      </c>
      <c r="I10" s="41">
        <f t="shared" ref="I10:N10" si="5">$B$14*I3</f>
        <v>7740.3264000000008</v>
      </c>
      <c r="J10" s="41">
        <f t="shared" si="5"/>
        <v>7972.5361920000005</v>
      </c>
      <c r="K10" s="41">
        <f t="shared" si="5"/>
        <v>8211.7122777600016</v>
      </c>
      <c r="L10" s="41">
        <f t="shared" si="5"/>
        <v>8458.0636460927999</v>
      </c>
      <c r="M10" s="41">
        <f t="shared" si="5"/>
        <v>8711.8055554755847</v>
      </c>
      <c r="N10" s="41">
        <f t="shared" si="5"/>
        <v>8973.1597221398533</v>
      </c>
    </row>
    <row r="11" spans="1:15" x14ac:dyDescent="0.25">
      <c r="A11" s="45" t="s">
        <v>97</v>
      </c>
      <c r="B11" s="52">
        <v>2000</v>
      </c>
      <c r="D11" t="s">
        <v>75</v>
      </c>
      <c r="G11" s="41">
        <f>Mortgage!K29</f>
        <v>24603.415292867267</v>
      </c>
      <c r="H11" s="41">
        <f>Mortgage!K41</f>
        <v>24098.816853417051</v>
      </c>
      <c r="I11" s="41">
        <f>Mortgage!K53</f>
        <v>23577.57246238743</v>
      </c>
      <c r="J11" s="41">
        <f>Mortgage!K65</f>
        <v>23039.13299460812</v>
      </c>
      <c r="K11" s="41">
        <f>Mortgage!K77</f>
        <v>22482.931210086674</v>
      </c>
      <c r="L11" s="41">
        <f>Mortgage!K89</f>
        <v>21908.381156427487</v>
      </c>
      <c r="M11" s="41">
        <f>Mortgage!K101</f>
        <v>21314.877551537385</v>
      </c>
      <c r="N11" s="41">
        <f>Mortgage!K113</f>
        <v>20701.795145967742</v>
      </c>
    </row>
    <row r="12" spans="1:15" x14ac:dyDescent="0.25">
      <c r="A12" s="45" t="s">
        <v>15</v>
      </c>
      <c r="B12" s="51">
        <v>1.498E-2</v>
      </c>
      <c r="D12" t="s">
        <v>4</v>
      </c>
      <c r="G12" s="41">
        <f t="shared" ref="G12:N12" si="6">$B$12*$B$3</f>
        <v>18725</v>
      </c>
      <c r="H12" s="41">
        <f t="shared" si="6"/>
        <v>18725</v>
      </c>
      <c r="I12" s="41">
        <f t="shared" si="6"/>
        <v>18725</v>
      </c>
      <c r="J12" s="41">
        <f t="shared" si="6"/>
        <v>18725</v>
      </c>
      <c r="K12" s="41">
        <f t="shared" si="6"/>
        <v>18725</v>
      </c>
      <c r="L12" s="41">
        <f t="shared" si="6"/>
        <v>18725</v>
      </c>
      <c r="M12" s="41">
        <f t="shared" si="6"/>
        <v>18725</v>
      </c>
      <c r="N12" s="41">
        <f t="shared" si="6"/>
        <v>18725</v>
      </c>
    </row>
    <row r="13" spans="1:15" x14ac:dyDescent="0.25">
      <c r="A13" s="45" t="s">
        <v>18</v>
      </c>
      <c r="B13" s="51">
        <v>0.25</v>
      </c>
      <c r="D13" t="s">
        <v>5</v>
      </c>
      <c r="G13" s="41">
        <f t="shared" ref="G13:N13" si="7">$B$17</f>
        <v>100000</v>
      </c>
      <c r="H13" s="41">
        <f t="shared" si="7"/>
        <v>100000</v>
      </c>
      <c r="I13" s="41">
        <f t="shared" si="7"/>
        <v>100000</v>
      </c>
      <c r="J13" s="41">
        <f t="shared" si="7"/>
        <v>100000</v>
      </c>
      <c r="K13" s="41">
        <f t="shared" si="7"/>
        <v>100000</v>
      </c>
      <c r="L13" s="41">
        <f t="shared" si="7"/>
        <v>100000</v>
      </c>
      <c r="M13" s="41">
        <f t="shared" si="7"/>
        <v>100000</v>
      </c>
      <c r="N13" s="41">
        <f t="shared" si="7"/>
        <v>100000</v>
      </c>
    </row>
    <row r="14" spans="1:15" x14ac:dyDescent="0.25">
      <c r="A14" s="45" t="s">
        <v>99</v>
      </c>
      <c r="B14" s="46">
        <f>G10/G3</f>
        <v>4.1999999999999996E-2</v>
      </c>
      <c r="D14" t="s">
        <v>6</v>
      </c>
      <c r="G14" s="41">
        <f>G3*$B$19</f>
        <v>3474.2857142857147</v>
      </c>
      <c r="H14" s="41">
        <f t="shared" ref="H14:N14" si="8">H3*$B$19</f>
        <v>3578.5142857142864</v>
      </c>
      <c r="I14" s="41">
        <f t="shared" si="8"/>
        <v>3685.869714285715</v>
      </c>
      <c r="J14" s="41">
        <f t="shared" si="8"/>
        <v>3796.4458057142865</v>
      </c>
      <c r="K14" s="41">
        <f t="shared" si="8"/>
        <v>3910.3391798857151</v>
      </c>
      <c r="L14" s="41">
        <f t="shared" si="8"/>
        <v>4027.6493552822867</v>
      </c>
      <c r="M14" s="41">
        <f t="shared" si="8"/>
        <v>4148.4788359407548</v>
      </c>
      <c r="N14" s="41">
        <f t="shared" si="8"/>
        <v>4272.9332010189783</v>
      </c>
    </row>
    <row r="15" spans="1:15" x14ac:dyDescent="0.25">
      <c r="A15" s="45" t="s">
        <v>16</v>
      </c>
      <c r="B15" s="49">
        <v>0.21</v>
      </c>
      <c r="D15" s="67" t="s">
        <v>9</v>
      </c>
      <c r="E15" s="67"/>
      <c r="F15" s="67"/>
      <c r="G15" s="68">
        <f>$B$4*$B$43</f>
        <v>22500</v>
      </c>
      <c r="H15" s="68">
        <f t="shared" ref="H15:N15" si="9">$B$4*$B$43</f>
        <v>22500</v>
      </c>
      <c r="I15" s="68">
        <f t="shared" si="9"/>
        <v>22500</v>
      </c>
      <c r="J15" s="68">
        <f t="shared" si="9"/>
        <v>22500</v>
      </c>
      <c r="K15" s="68">
        <f t="shared" si="9"/>
        <v>22500</v>
      </c>
      <c r="L15" s="68">
        <f t="shared" si="9"/>
        <v>22500</v>
      </c>
      <c r="M15" s="68">
        <f t="shared" si="9"/>
        <v>22500</v>
      </c>
      <c r="N15" s="68">
        <f t="shared" si="9"/>
        <v>22500</v>
      </c>
    </row>
    <row r="16" spans="1:15" x14ac:dyDescent="0.25">
      <c r="A16" s="45" t="s">
        <v>17</v>
      </c>
      <c r="B16" s="49">
        <v>20</v>
      </c>
      <c r="D16" s="69" t="s">
        <v>3</v>
      </c>
      <c r="G16" s="63">
        <f>G37*$O$16</f>
        <v>0</v>
      </c>
      <c r="H16" s="63">
        <f t="shared" ref="H16:N16" si="10">H37*$O$16</f>
        <v>0</v>
      </c>
      <c r="I16" s="63">
        <f t="shared" si="10"/>
        <v>0</v>
      </c>
      <c r="J16" s="63">
        <f t="shared" si="10"/>
        <v>0</v>
      </c>
      <c r="K16" s="63">
        <f t="shared" si="10"/>
        <v>0</v>
      </c>
      <c r="L16" s="63">
        <f t="shared" si="10"/>
        <v>0</v>
      </c>
      <c r="M16" s="63">
        <f t="shared" si="10"/>
        <v>0</v>
      </c>
      <c r="N16" s="63">
        <f t="shared" si="10"/>
        <v>0</v>
      </c>
      <c r="O16" s="1">
        <v>0.15</v>
      </c>
    </row>
    <row r="17" spans="1:15" x14ac:dyDescent="0.25">
      <c r="A17" s="45" t="s">
        <v>5</v>
      </c>
      <c r="B17" s="49">
        <v>100000</v>
      </c>
      <c r="C17" s="44"/>
      <c r="D17" s="59" t="s">
        <v>10</v>
      </c>
      <c r="G17" s="70">
        <f>SUM(G7:G16)</f>
        <v>205403.72957858155</v>
      </c>
      <c r="H17" s="70">
        <f t="shared" ref="H17:N17" si="11">SUM(H7:H16)</f>
        <v>205376.49799627418</v>
      </c>
      <c r="I17" s="70">
        <f t="shared" si="11"/>
        <v>205347.44176524458</v>
      </c>
      <c r="J17" s="70">
        <f t="shared" si="11"/>
        <v>205316.47641129384</v>
      </c>
      <c r="K17" s="70">
        <f t="shared" si="11"/>
        <v>205283.51408540554</v>
      </c>
      <c r="L17" s="70">
        <f t="shared" si="11"/>
        <v>205248.46344038378</v>
      </c>
      <c r="M17" s="70">
        <f t="shared" si="11"/>
        <v>205211.22950328537</v>
      </c>
      <c r="N17" s="70">
        <f t="shared" si="11"/>
        <v>205171.71354351207</v>
      </c>
      <c r="O17" t="s">
        <v>133</v>
      </c>
    </row>
    <row r="18" spans="1:15" x14ac:dyDescent="0.25">
      <c r="A18" s="45" t="s">
        <v>73</v>
      </c>
      <c r="B18" s="52">
        <v>30</v>
      </c>
      <c r="D18" s="59" t="s">
        <v>61</v>
      </c>
      <c r="G18" s="64">
        <f t="shared" ref="G18:N18" si="12">G5-G17</f>
        <v>30847.698992847028</v>
      </c>
      <c r="H18" s="64">
        <f t="shared" si="12"/>
        <v>38587.844860868703</v>
      </c>
      <c r="I18" s="64">
        <f t="shared" si="12"/>
        <v>46586.217663326883</v>
      </c>
      <c r="J18" s="64">
        <f t="shared" si="12"/>
        <v>54851.594537277619</v>
      </c>
      <c r="K18" s="64">
        <f t="shared" si="12"/>
        <v>63393.056798251666</v>
      </c>
      <c r="L18" s="64">
        <f t="shared" si="12"/>
        <v>72220.000688676839</v>
      </c>
      <c r="M18" s="64">
        <f t="shared" si="12"/>
        <v>81342.148513296503</v>
      </c>
      <c r="N18" s="64">
        <f t="shared" si="12"/>
        <v>90769.560175762716</v>
      </c>
      <c r="O18" s="1">
        <v>0.25</v>
      </c>
    </row>
    <row r="19" spans="1:15" ht="15.75" thickBot="1" x14ac:dyDescent="0.3">
      <c r="A19" s="57" t="s">
        <v>6</v>
      </c>
      <c r="B19" s="80">
        <v>0.02</v>
      </c>
      <c r="D19" t="s">
        <v>62</v>
      </c>
      <c r="G19" s="2">
        <f>IF(G18&lt;0,0,G18*$O$18)</f>
        <v>7711.9247482117571</v>
      </c>
      <c r="H19" s="2">
        <f t="shared" ref="H19:N19" si="13">IF(H18&lt;0,0,H18*$O$18)</f>
        <v>9646.9612152171758</v>
      </c>
      <c r="I19" s="2">
        <f t="shared" si="13"/>
        <v>11646.554415831721</v>
      </c>
      <c r="J19" s="2">
        <f t="shared" si="13"/>
        <v>13712.898634319405</v>
      </c>
      <c r="K19" s="2">
        <f t="shared" si="13"/>
        <v>15848.264199562916</v>
      </c>
      <c r="L19" s="2">
        <f t="shared" si="13"/>
        <v>18055.00017216921</v>
      </c>
      <c r="M19" s="2">
        <f t="shared" si="13"/>
        <v>20335.537128324126</v>
      </c>
      <c r="N19" s="2">
        <f t="shared" si="13"/>
        <v>22692.390043940679</v>
      </c>
    </row>
    <row r="20" spans="1:15" ht="15.75" thickBot="1" x14ac:dyDescent="0.3">
      <c r="A20" s="108" t="s">
        <v>83</v>
      </c>
      <c r="B20" s="109"/>
      <c r="D20" s="59" t="s">
        <v>63</v>
      </c>
      <c r="G20" s="71">
        <f>G18-G19</f>
        <v>23135.774244635271</v>
      </c>
      <c r="H20" s="71">
        <f t="shared" ref="H20:N20" si="14">H18-H19</f>
        <v>28940.883645651527</v>
      </c>
      <c r="I20" s="71">
        <f t="shared" si="14"/>
        <v>34939.663247495162</v>
      </c>
      <c r="J20" s="71">
        <f t="shared" si="14"/>
        <v>41138.695902958214</v>
      </c>
      <c r="K20" s="71">
        <f t="shared" si="14"/>
        <v>47544.792598688749</v>
      </c>
      <c r="L20" s="71">
        <f t="shared" si="14"/>
        <v>54165.000516507629</v>
      </c>
      <c r="M20" s="71">
        <f t="shared" si="14"/>
        <v>61006.611384972377</v>
      </c>
      <c r="N20" s="71">
        <f t="shared" si="14"/>
        <v>68077.170131822029</v>
      </c>
    </row>
    <row r="21" spans="1:15" ht="15.75" thickBot="1" x14ac:dyDescent="0.3">
      <c r="A21" s="78" t="s">
        <v>43</v>
      </c>
      <c r="B21" s="81">
        <v>40000</v>
      </c>
    </row>
    <row r="22" spans="1:15" ht="15.75" thickBot="1" x14ac:dyDescent="0.3">
      <c r="A22" s="45" t="s">
        <v>44</v>
      </c>
      <c r="B22" s="46">
        <v>2.2799999999999998</v>
      </c>
      <c r="D22" s="113" t="s">
        <v>65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5"/>
    </row>
    <row r="23" spans="1:15" x14ac:dyDescent="0.25">
      <c r="A23" s="45" t="s">
        <v>45</v>
      </c>
      <c r="B23" s="52">
        <f>B21/B24</f>
        <v>11111.111111111111</v>
      </c>
      <c r="D23" s="59" t="s">
        <v>66</v>
      </c>
      <c r="G23" s="60">
        <v>2013</v>
      </c>
      <c r="H23" s="60">
        <v>2014</v>
      </c>
      <c r="I23" s="60">
        <v>2015</v>
      </c>
      <c r="J23" s="60">
        <v>2016</v>
      </c>
      <c r="K23" s="60">
        <v>2017</v>
      </c>
      <c r="L23" s="60">
        <v>2018</v>
      </c>
      <c r="M23" s="60">
        <v>2019</v>
      </c>
      <c r="N23" s="60">
        <v>2020</v>
      </c>
    </row>
    <row r="24" spans="1:15" x14ac:dyDescent="0.25">
      <c r="A24" s="75" t="s">
        <v>96</v>
      </c>
      <c r="B24" s="46">
        <v>3.6</v>
      </c>
      <c r="D24" t="s">
        <v>76</v>
      </c>
      <c r="G24" s="61">
        <v>1000</v>
      </c>
      <c r="H24" s="61">
        <v>1000</v>
      </c>
      <c r="I24" s="61">
        <v>1000</v>
      </c>
      <c r="J24" s="61">
        <v>1000</v>
      </c>
      <c r="K24" s="61">
        <v>1000</v>
      </c>
      <c r="L24" s="61">
        <v>1000</v>
      </c>
      <c r="M24" s="61">
        <v>1000</v>
      </c>
      <c r="N24" s="61">
        <v>1000</v>
      </c>
    </row>
    <row r="25" spans="1:15" x14ac:dyDescent="0.25">
      <c r="A25" s="45" t="s">
        <v>46</v>
      </c>
      <c r="B25" s="76">
        <f>B23*B22</f>
        <v>25333.333333333332</v>
      </c>
      <c r="D25" t="s">
        <v>77</v>
      </c>
      <c r="G25" s="41">
        <v>51043.725409311039</v>
      </c>
      <c r="H25" s="41">
        <v>43618.610403091603</v>
      </c>
      <c r="I25" s="41">
        <v>41735.579845404718</v>
      </c>
      <c r="J25" s="41">
        <v>45579.885772507419</v>
      </c>
      <c r="K25" s="41">
        <v>55343.10000518505</v>
      </c>
      <c r="L25" s="41">
        <v>71223.334318423527</v>
      </c>
      <c r="M25" s="41">
        <v>93425.468442094483</v>
      </c>
      <c r="N25" s="41">
        <v>122161.38617671536</v>
      </c>
    </row>
    <row r="26" spans="1:15" x14ac:dyDescent="0.25">
      <c r="A26" s="45" t="s">
        <v>47</v>
      </c>
      <c r="B26" s="46">
        <v>7</v>
      </c>
      <c r="D26" t="s">
        <v>90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</row>
    <row r="27" spans="1:15" x14ac:dyDescent="0.25">
      <c r="A27" s="45" t="s">
        <v>48</v>
      </c>
      <c r="B27" s="53">
        <f>B25/B26</f>
        <v>3619.0476190476188</v>
      </c>
      <c r="D27" t="s">
        <v>91</v>
      </c>
      <c r="G27" s="41">
        <f t="shared" ref="G27:N27" si="15">(G10/360)*$B$41</f>
        <v>608</v>
      </c>
      <c r="H27" s="41">
        <f t="shared" si="15"/>
        <v>626.24000000000012</v>
      </c>
      <c r="I27" s="41">
        <f t="shared" si="15"/>
        <v>645.02720000000011</v>
      </c>
      <c r="J27" s="41">
        <f t="shared" si="15"/>
        <v>664.378016</v>
      </c>
      <c r="K27" s="41">
        <f t="shared" si="15"/>
        <v>684.30935648000013</v>
      </c>
      <c r="L27" s="41">
        <f t="shared" si="15"/>
        <v>704.83863717439999</v>
      </c>
      <c r="M27" s="41">
        <f t="shared" si="15"/>
        <v>725.9837962896321</v>
      </c>
      <c r="N27" s="41">
        <f t="shared" si="15"/>
        <v>747.76331017832115</v>
      </c>
    </row>
    <row r="28" spans="1:15" x14ac:dyDescent="0.25">
      <c r="A28" s="45" t="s">
        <v>148</v>
      </c>
      <c r="B28" s="54">
        <v>5</v>
      </c>
      <c r="D28" t="s">
        <v>85</v>
      </c>
      <c r="G28" s="41">
        <f t="shared" ref="G28:N28" si="16">$B$37*$B$39</f>
        <v>279997.28999999998</v>
      </c>
      <c r="H28" s="41">
        <f t="shared" si="16"/>
        <v>279997.28999999998</v>
      </c>
      <c r="I28" s="41">
        <f t="shared" si="16"/>
        <v>279997.28999999998</v>
      </c>
      <c r="J28" s="41">
        <f t="shared" si="16"/>
        <v>279997.28999999998</v>
      </c>
      <c r="K28" s="41">
        <f t="shared" si="16"/>
        <v>279997.28999999998</v>
      </c>
      <c r="L28" s="41">
        <f t="shared" si="16"/>
        <v>279997.28999999998</v>
      </c>
      <c r="M28" s="41">
        <f t="shared" si="16"/>
        <v>279997.28999999998</v>
      </c>
      <c r="N28" s="41">
        <f t="shared" si="16"/>
        <v>279997.28999999998</v>
      </c>
    </row>
    <row r="29" spans="1:15" x14ac:dyDescent="0.25">
      <c r="A29" s="45" t="s">
        <v>49</v>
      </c>
      <c r="B29" s="55">
        <v>0.8</v>
      </c>
      <c r="D29" t="s">
        <v>86</v>
      </c>
      <c r="G29" s="41">
        <f>$B$40*$B$42</f>
        <v>675000</v>
      </c>
      <c r="H29" s="41">
        <f t="shared" ref="H29:N29" si="17">$B$40*$B$42</f>
        <v>675000</v>
      </c>
      <c r="I29" s="41">
        <f t="shared" si="17"/>
        <v>675000</v>
      </c>
      <c r="J29" s="41">
        <f t="shared" si="17"/>
        <v>675000</v>
      </c>
      <c r="K29" s="41">
        <f t="shared" si="17"/>
        <v>675000</v>
      </c>
      <c r="L29" s="41">
        <f t="shared" si="17"/>
        <v>675000</v>
      </c>
      <c r="M29" s="41">
        <f t="shared" si="17"/>
        <v>675000</v>
      </c>
      <c r="N29" s="41">
        <f t="shared" si="17"/>
        <v>675000</v>
      </c>
    </row>
    <row r="30" spans="1:15" x14ac:dyDescent="0.25">
      <c r="A30" s="45" t="s">
        <v>50</v>
      </c>
      <c r="B30" s="46">
        <v>12</v>
      </c>
      <c r="D30" t="s">
        <v>84</v>
      </c>
      <c r="G30" s="63">
        <f>G15</f>
        <v>22500</v>
      </c>
      <c r="H30" s="63">
        <f t="shared" ref="H30:N30" si="18">G30+H15</f>
        <v>45000</v>
      </c>
      <c r="I30" s="63">
        <f t="shared" si="18"/>
        <v>67500</v>
      </c>
      <c r="J30" s="63">
        <f t="shared" si="18"/>
        <v>90000</v>
      </c>
      <c r="K30" s="63">
        <f t="shared" si="18"/>
        <v>112500</v>
      </c>
      <c r="L30" s="63">
        <f t="shared" si="18"/>
        <v>135000</v>
      </c>
      <c r="M30" s="63">
        <f t="shared" si="18"/>
        <v>157500</v>
      </c>
      <c r="N30" s="63">
        <f t="shared" si="18"/>
        <v>180000</v>
      </c>
    </row>
    <row r="31" spans="1:15" x14ac:dyDescent="0.25">
      <c r="A31" s="45" t="s">
        <v>51</v>
      </c>
      <c r="B31" s="52">
        <f>B27*B29</f>
        <v>2895.2380952380954</v>
      </c>
      <c r="D31" s="59" t="s">
        <v>67</v>
      </c>
      <c r="G31" s="64">
        <f t="shared" ref="G31:N31" si="19">SUM(G24:G30)</f>
        <v>1030149.015409311</v>
      </c>
      <c r="H31" s="64">
        <f t="shared" si="19"/>
        <v>1045242.1404030916</v>
      </c>
      <c r="I31" s="64">
        <f t="shared" si="19"/>
        <v>1065877.8970454047</v>
      </c>
      <c r="J31" s="64">
        <f t="shared" si="19"/>
        <v>1092241.5537885074</v>
      </c>
      <c r="K31" s="64">
        <f t="shared" si="19"/>
        <v>1124524.6993616652</v>
      </c>
      <c r="L31" s="64">
        <f t="shared" si="19"/>
        <v>1162925.4629555978</v>
      </c>
      <c r="M31" s="64">
        <f t="shared" si="19"/>
        <v>1207648.7422383842</v>
      </c>
      <c r="N31" s="64">
        <f t="shared" si="19"/>
        <v>1258906.4394868936</v>
      </c>
    </row>
    <row r="32" spans="1:15" x14ac:dyDescent="0.25">
      <c r="A32" s="45" t="s">
        <v>52</v>
      </c>
      <c r="B32" s="48">
        <v>0.6</v>
      </c>
    </row>
    <row r="33" spans="1:14" x14ac:dyDescent="0.25">
      <c r="A33" s="45" t="s">
        <v>53</v>
      </c>
      <c r="B33" s="56">
        <v>3</v>
      </c>
      <c r="D33" s="59" t="s">
        <v>68</v>
      </c>
    </row>
    <row r="34" spans="1:14" x14ac:dyDescent="0.25">
      <c r="A34" s="45" t="s">
        <v>57</v>
      </c>
      <c r="B34" s="48">
        <v>0.03</v>
      </c>
      <c r="D34" t="s">
        <v>69</v>
      </c>
      <c r="G34" s="64">
        <f>Mortgage!J29</f>
        <v>748701.64518358745</v>
      </c>
      <c r="H34" s="64">
        <f>Mortgage!J41</f>
        <v>732900.8599277247</v>
      </c>
      <c r="I34" s="64">
        <f>Mortgage!J53</f>
        <v>716578.83028083225</v>
      </c>
      <c r="J34" s="64">
        <f>Mortgage!J65</f>
        <v>699718.36116616009</v>
      </c>
      <c r="K34" s="64">
        <f>Mortgage!J77</f>
        <v>682301.69026696682</v>
      </c>
      <c r="L34" s="64">
        <f>Mortgage!J89</f>
        <v>664310.46931411454</v>
      </c>
      <c r="M34" s="64">
        <f>Mortgage!J101</f>
        <v>645725.74475637206</v>
      </c>
      <c r="N34" s="64">
        <f>Mortgage!J113</f>
        <v>626527.93779305986</v>
      </c>
    </row>
    <row r="35" spans="1:14" ht="15.75" thickBot="1" x14ac:dyDescent="0.3">
      <c r="A35" s="57" t="s">
        <v>58</v>
      </c>
      <c r="B35" s="58">
        <v>0.04</v>
      </c>
      <c r="D35" s="65" t="s">
        <v>70</v>
      </c>
      <c r="G35" s="66">
        <f t="shared" ref="G35:N35" si="20">(G10/365)*$B$18</f>
        <v>599.67123287671234</v>
      </c>
      <c r="H35" s="66">
        <f t="shared" si="20"/>
        <v>617.66136986301376</v>
      </c>
      <c r="I35" s="66">
        <f t="shared" si="20"/>
        <v>636.19121095890409</v>
      </c>
      <c r="J35" s="66">
        <f t="shared" si="20"/>
        <v>655.27694728767131</v>
      </c>
      <c r="K35" s="66">
        <f t="shared" si="20"/>
        <v>674.93525570630152</v>
      </c>
      <c r="L35" s="66">
        <f t="shared" si="20"/>
        <v>695.18331337749044</v>
      </c>
      <c r="M35" s="66">
        <f t="shared" si="20"/>
        <v>716.0388127788151</v>
      </c>
      <c r="N35" s="66">
        <f t="shared" si="20"/>
        <v>737.51997716217966</v>
      </c>
    </row>
    <row r="36" spans="1:14" ht="15.75" thickBot="1" x14ac:dyDescent="0.3">
      <c r="A36" s="108" t="s">
        <v>87</v>
      </c>
      <c r="B36" s="109"/>
      <c r="D36" s="65" t="s">
        <v>71</v>
      </c>
      <c r="G36" s="3">
        <f t="shared" ref="G36:N36" si="21">G19</f>
        <v>7711.9247482117571</v>
      </c>
      <c r="H36" s="3">
        <f t="shared" si="21"/>
        <v>9646.9612152171758</v>
      </c>
      <c r="I36" s="3">
        <f t="shared" si="21"/>
        <v>11646.554415831721</v>
      </c>
      <c r="J36" s="3">
        <f t="shared" si="21"/>
        <v>13712.898634319405</v>
      </c>
      <c r="K36" s="3">
        <f t="shared" si="21"/>
        <v>15848.264199562916</v>
      </c>
      <c r="L36" s="3">
        <f t="shared" si="21"/>
        <v>18055.00017216921</v>
      </c>
      <c r="M36" s="3">
        <f t="shared" si="21"/>
        <v>20335.537128324126</v>
      </c>
      <c r="N36" s="3">
        <f t="shared" si="21"/>
        <v>22692.390043940679</v>
      </c>
    </row>
    <row r="37" spans="1:14" x14ac:dyDescent="0.25">
      <c r="A37" s="78" t="s">
        <v>112</v>
      </c>
      <c r="B37" s="86">
        <v>0.97</v>
      </c>
      <c r="D37" s="65" t="s">
        <v>74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</row>
    <row r="38" spans="1:14" x14ac:dyDescent="0.25">
      <c r="A38" s="45" t="s">
        <v>88</v>
      </c>
      <c r="B38" s="88">
        <f>B37*B39</f>
        <v>279997.28999999998</v>
      </c>
      <c r="D38" s="59" t="s">
        <v>72</v>
      </c>
      <c r="G38" s="64">
        <f>SUM(G34:G37)</f>
        <v>757013.24116467591</v>
      </c>
      <c r="H38" s="64">
        <f t="shared" ref="H38:N38" si="22">SUM(H34:H37)</f>
        <v>743165.4825128048</v>
      </c>
      <c r="I38" s="64">
        <f t="shared" si="22"/>
        <v>728861.57590762281</v>
      </c>
      <c r="J38" s="64">
        <f t="shared" si="22"/>
        <v>714086.53674776724</v>
      </c>
      <c r="K38" s="64">
        <f t="shared" si="22"/>
        <v>698824.88972223608</v>
      </c>
      <c r="L38" s="64">
        <f t="shared" si="22"/>
        <v>683060.65279966115</v>
      </c>
      <c r="M38" s="64">
        <f t="shared" si="22"/>
        <v>666777.32069747499</v>
      </c>
      <c r="N38" s="64">
        <f t="shared" si="22"/>
        <v>649957.84781416261</v>
      </c>
    </row>
    <row r="39" spans="1:14" x14ac:dyDescent="0.25">
      <c r="A39" s="75" t="s">
        <v>111</v>
      </c>
      <c r="B39" s="56">
        <v>288657</v>
      </c>
    </row>
    <row r="40" spans="1:14" x14ac:dyDescent="0.25">
      <c r="A40" s="45" t="s">
        <v>110</v>
      </c>
      <c r="B40" s="56">
        <v>150</v>
      </c>
      <c r="D40" s="59" t="s">
        <v>78</v>
      </c>
    </row>
    <row r="41" spans="1:14" x14ac:dyDescent="0.25">
      <c r="A41" s="45" t="s">
        <v>92</v>
      </c>
      <c r="B41" s="46">
        <v>30</v>
      </c>
      <c r="D41" t="s">
        <v>79</v>
      </c>
      <c r="G41" s="61">
        <v>250000</v>
      </c>
      <c r="H41" s="61">
        <v>250000</v>
      </c>
      <c r="I41" s="61">
        <v>250000</v>
      </c>
      <c r="J41" s="61">
        <v>250000</v>
      </c>
      <c r="K41" s="61">
        <v>250000</v>
      </c>
      <c r="L41" s="61">
        <v>250000</v>
      </c>
      <c r="M41" s="61">
        <v>250000</v>
      </c>
      <c r="N41" s="61">
        <v>250000</v>
      </c>
    </row>
    <row r="42" spans="1:14" ht="15.75" thickBot="1" x14ac:dyDescent="0.3">
      <c r="A42" s="57" t="s">
        <v>109</v>
      </c>
      <c r="B42" s="87">
        <v>4500</v>
      </c>
      <c r="D42" s="65" t="s">
        <v>80</v>
      </c>
      <c r="G42" s="64">
        <f t="shared" ref="G42:N42" si="23">F42+G20</f>
        <v>23135.774244635271</v>
      </c>
      <c r="H42" s="64">
        <f t="shared" si="23"/>
        <v>52076.657890286799</v>
      </c>
      <c r="I42" s="64">
        <f t="shared" si="23"/>
        <v>87016.321137781953</v>
      </c>
      <c r="J42" s="64">
        <f t="shared" si="23"/>
        <v>128155.01704074017</v>
      </c>
      <c r="K42" s="64">
        <f t="shared" si="23"/>
        <v>175699.80963942892</v>
      </c>
      <c r="L42" s="64">
        <f t="shared" si="23"/>
        <v>229864.81015593655</v>
      </c>
      <c r="M42" s="64">
        <f t="shared" si="23"/>
        <v>290871.42154090892</v>
      </c>
      <c r="N42" s="64">
        <f t="shared" si="23"/>
        <v>358948.59167273098</v>
      </c>
    </row>
    <row r="43" spans="1:14" ht="15.75" thickBot="1" x14ac:dyDescent="0.3">
      <c r="A43" s="75" t="s">
        <v>89</v>
      </c>
      <c r="B43" s="43">
        <f>B42*B40</f>
        <v>675000</v>
      </c>
      <c r="D43" s="59" t="s">
        <v>81</v>
      </c>
      <c r="G43" s="71">
        <f t="shared" ref="G43:N43" si="24">G38+SUM(G41:G42)</f>
        <v>1030149.0154093112</v>
      </c>
      <c r="H43" s="71">
        <f t="shared" si="24"/>
        <v>1045242.1404030917</v>
      </c>
      <c r="I43" s="71">
        <f t="shared" si="24"/>
        <v>1065877.8970454047</v>
      </c>
      <c r="J43" s="71">
        <f t="shared" si="24"/>
        <v>1092241.5537885074</v>
      </c>
      <c r="K43" s="71">
        <f t="shared" si="24"/>
        <v>1124524.6993616649</v>
      </c>
      <c r="L43" s="71">
        <f t="shared" si="24"/>
        <v>1162925.4629555978</v>
      </c>
      <c r="M43" s="71">
        <f t="shared" si="24"/>
        <v>1207648.742238384</v>
      </c>
      <c r="N43" s="71">
        <f t="shared" si="24"/>
        <v>1258906.4394868936</v>
      </c>
    </row>
    <row r="44" spans="1:14" ht="16.5" thickTop="1" thickBot="1" x14ac:dyDescent="0.3">
      <c r="A44" s="108" t="s">
        <v>100</v>
      </c>
      <c r="B44" s="109"/>
    </row>
    <row r="45" spans="1:14" x14ac:dyDescent="0.25">
      <c r="A45" s="78" t="s">
        <v>101</v>
      </c>
      <c r="B45" s="82">
        <f>B28</f>
        <v>5</v>
      </c>
      <c r="D45" s="73" t="s">
        <v>82</v>
      </c>
      <c r="E45" s="73"/>
      <c r="F45" s="73"/>
      <c r="G45" s="74">
        <f>G31-G43</f>
        <v>0</v>
      </c>
      <c r="H45" s="74">
        <f t="shared" ref="H45:N45" si="25">H31-H43</f>
        <v>0</v>
      </c>
      <c r="I45" s="74">
        <f t="shared" si="25"/>
        <v>0</v>
      </c>
      <c r="J45" s="74">
        <f t="shared" si="25"/>
        <v>0</v>
      </c>
      <c r="K45" s="74">
        <f t="shared" si="25"/>
        <v>0</v>
      </c>
      <c r="L45" s="74">
        <f t="shared" si="25"/>
        <v>0</v>
      </c>
      <c r="M45" s="74">
        <f t="shared" si="25"/>
        <v>0</v>
      </c>
      <c r="N45" s="74">
        <f t="shared" si="25"/>
        <v>0</v>
      </c>
    </row>
    <row r="46" spans="1:14" x14ac:dyDescent="0.25">
      <c r="A46" s="45" t="s">
        <v>102</v>
      </c>
      <c r="B46" s="53">
        <f>B15+((G8+G9)/($B$7*12))</f>
        <v>0.52099999999999991</v>
      </c>
    </row>
    <row r="47" spans="1:14" x14ac:dyDescent="0.25">
      <c r="A47" s="45" t="s">
        <v>103</v>
      </c>
      <c r="B47" s="46">
        <f>B45-B46</f>
        <v>4.4790000000000001</v>
      </c>
      <c r="D47" t="s">
        <v>134</v>
      </c>
      <c r="G47">
        <v>1.46</v>
      </c>
    </row>
    <row r="48" spans="1:14" x14ac:dyDescent="0.25">
      <c r="A48" s="45" t="s">
        <v>104</v>
      </c>
      <c r="B48" s="46">
        <f>B47/B45</f>
        <v>0.89580000000000004</v>
      </c>
      <c r="D48" t="s">
        <v>135</v>
      </c>
      <c r="G48" s="103">
        <v>1.5E-3</v>
      </c>
    </row>
    <row r="49" spans="1:7" x14ac:dyDescent="0.25">
      <c r="A49" s="45" t="s">
        <v>105</v>
      </c>
      <c r="B49" s="83">
        <f>G7+SUM(G11:G16)</f>
        <v>187302.70100715299</v>
      </c>
      <c r="D49" t="s">
        <v>136</v>
      </c>
      <c r="G49" s="103">
        <v>8.1299999999999997E-2</v>
      </c>
    </row>
    <row r="50" spans="1:7" x14ac:dyDescent="0.25">
      <c r="A50" s="45" t="s">
        <v>106</v>
      </c>
      <c r="B50" s="84">
        <f>B49/B47</f>
        <v>41817.972986638313</v>
      </c>
      <c r="D50" t="s">
        <v>137</v>
      </c>
      <c r="G50" s="103">
        <f>G49-G48</f>
        <v>7.9799999999999996E-2</v>
      </c>
    </row>
    <row r="51" spans="1:7" x14ac:dyDescent="0.25">
      <c r="A51" s="45" t="s">
        <v>107</v>
      </c>
      <c r="B51" s="56">
        <f>B49/B48</f>
        <v>209089.86493319154</v>
      </c>
      <c r="D51" t="s">
        <v>138</v>
      </c>
      <c r="G51" s="103">
        <f>G50*G47+G48</f>
        <v>0.11800799999999999</v>
      </c>
    </row>
    <row r="52" spans="1:7" ht="15.75" thickBot="1" x14ac:dyDescent="0.3">
      <c r="A52" s="57" t="s">
        <v>108</v>
      </c>
      <c r="B52" s="85">
        <f>B50/12</f>
        <v>3484.8310822198596</v>
      </c>
      <c r="D52" t="s">
        <v>139</v>
      </c>
      <c r="G52" s="103">
        <f>(N41+N42)/(N41+N42+N34+N37)</f>
        <v>0.49288560093977257</v>
      </c>
    </row>
    <row r="53" spans="1:7" x14ac:dyDescent="0.25">
      <c r="D53" t="s">
        <v>140</v>
      </c>
      <c r="G53" s="103">
        <f>1-G52</f>
        <v>0.50711439906022737</v>
      </c>
    </row>
    <row r="54" spans="1:7" x14ac:dyDescent="0.25">
      <c r="D54" t="s">
        <v>141</v>
      </c>
      <c r="G54" s="103">
        <f>Mortgage!Interest_Rate</f>
        <v>3.2500000000000001E-2</v>
      </c>
    </row>
    <row r="55" spans="1:7" x14ac:dyDescent="0.25">
      <c r="D55" t="s">
        <v>142</v>
      </c>
      <c r="G55" s="103">
        <f>G54*(1-B13)</f>
        <v>2.4375000000000001E-2</v>
      </c>
    </row>
    <row r="56" spans="1:7" x14ac:dyDescent="0.25">
      <c r="D56" t="s">
        <v>143</v>
      </c>
      <c r="G56" s="103">
        <f>(G55*G53)+(G51*G52)</f>
        <v>7.0525357472793718E-2</v>
      </c>
    </row>
    <row r="57" spans="1:7" x14ac:dyDescent="0.25">
      <c r="D57" s="66"/>
    </row>
    <row r="58" spans="1:7" x14ac:dyDescent="0.25">
      <c r="D58" s="66"/>
    </row>
  </sheetData>
  <mergeCells count="6">
    <mergeCell ref="A44:B44"/>
    <mergeCell ref="A1:B1"/>
    <mergeCell ref="A20:B20"/>
    <mergeCell ref="D1:N1"/>
    <mergeCell ref="D22:N22"/>
    <mergeCell ref="A36:B36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9"/>
  <sheetViews>
    <sheetView workbookViewId="0">
      <selection activeCell="E17" sqref="E17"/>
    </sheetView>
  </sheetViews>
  <sheetFormatPr defaultColWidth="9.140625" defaultRowHeight="15.75" x14ac:dyDescent="0.25"/>
  <cols>
    <col min="1" max="1" width="5.28515625" style="16" customWidth="1"/>
    <col min="2" max="2" width="14.42578125" style="16" customWidth="1"/>
    <col min="3" max="3" width="17" style="16" customWidth="1"/>
    <col min="4" max="4" width="17.140625" style="16" bestFit="1" customWidth="1"/>
    <col min="5" max="5" width="12.85546875" style="16" customWidth="1"/>
    <col min="6" max="6" width="13.140625" style="16" customWidth="1"/>
    <col min="7" max="8" width="13" style="16" customWidth="1"/>
    <col min="9" max="9" width="17.42578125" style="16" customWidth="1"/>
    <col min="10" max="10" width="17.140625" style="4" bestFit="1" customWidth="1"/>
    <col min="11" max="11" width="14" style="4" bestFit="1" customWidth="1"/>
    <col min="12" max="13" width="9.140625" style="4"/>
    <col min="14" max="14" width="15.140625" style="4" bestFit="1" customWidth="1"/>
    <col min="15" max="15" width="12.42578125" style="4" bestFit="1" customWidth="1"/>
    <col min="16" max="16384" width="9.140625" style="4"/>
  </cols>
  <sheetData>
    <row r="1" spans="1:9" ht="23.25" x14ac:dyDescent="0.35">
      <c r="A1" s="118" t="s">
        <v>19</v>
      </c>
      <c r="B1" s="118"/>
      <c r="C1" s="118"/>
      <c r="D1" s="118"/>
      <c r="E1" s="118"/>
      <c r="F1" s="118"/>
      <c r="G1" s="118"/>
      <c r="H1" s="118"/>
      <c r="I1" s="118"/>
    </row>
    <row r="2" spans="1:9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x14ac:dyDescent="0.25">
      <c r="A3" s="6"/>
      <c r="B3" s="6"/>
      <c r="C3" s="6"/>
      <c r="D3" s="7" t="s">
        <v>20</v>
      </c>
      <c r="E3" s="6"/>
      <c r="F3" s="8"/>
      <c r="G3" s="8"/>
      <c r="H3" s="6"/>
      <c r="I3" s="6"/>
    </row>
    <row r="4" spans="1:9" x14ac:dyDescent="0.25">
      <c r="A4" s="116" t="s">
        <v>21</v>
      </c>
      <c r="B4" s="116"/>
      <c r="C4" s="117"/>
      <c r="D4" s="9">
        <f>0.8*(Forecast!G28+Forecast!G29)</f>
        <v>763997.83200000005</v>
      </c>
      <c r="E4" s="6"/>
      <c r="F4" s="119"/>
      <c r="G4" s="119"/>
      <c r="H4" s="119"/>
      <c r="I4" s="119"/>
    </row>
    <row r="5" spans="1:9" x14ac:dyDescent="0.25">
      <c r="A5" s="116" t="s">
        <v>22</v>
      </c>
      <c r="B5" s="116"/>
      <c r="C5" s="117"/>
      <c r="D5" s="10">
        <v>3.2500000000000001E-2</v>
      </c>
      <c r="E5" s="6">
        <f>Interest_Rate/12</f>
        <v>2.7083333333333334E-3</v>
      </c>
      <c r="F5" s="120"/>
      <c r="G5" s="120"/>
      <c r="H5" s="120"/>
      <c r="I5" s="120"/>
    </row>
    <row r="6" spans="1:9" x14ac:dyDescent="0.25">
      <c r="A6" s="116" t="s">
        <v>23</v>
      </c>
      <c r="B6" s="116"/>
      <c r="C6" s="117"/>
      <c r="D6" s="11">
        <v>30</v>
      </c>
      <c r="E6" s="6"/>
      <c r="F6" s="12"/>
      <c r="G6" s="13"/>
      <c r="H6" s="6"/>
      <c r="I6" s="14"/>
    </row>
    <row r="7" spans="1:9" x14ac:dyDescent="0.25">
      <c r="A7" s="116" t="s">
        <v>24</v>
      </c>
      <c r="B7" s="116"/>
      <c r="C7" s="117"/>
      <c r="D7" s="15">
        <v>41306</v>
      </c>
      <c r="E7" s="6"/>
      <c r="F7" s="12"/>
      <c r="G7" s="13"/>
      <c r="H7" s="6"/>
      <c r="I7" s="14"/>
    </row>
    <row r="8" spans="1:9" x14ac:dyDescent="0.25">
      <c r="A8" s="116" t="s">
        <v>25</v>
      </c>
      <c r="B8" s="116"/>
      <c r="C8" s="117"/>
      <c r="D8" s="9">
        <v>0</v>
      </c>
      <c r="F8" s="12"/>
      <c r="G8" s="13"/>
      <c r="H8" s="6"/>
      <c r="I8" s="14"/>
    </row>
    <row r="9" spans="1:9" x14ac:dyDescent="0.25">
      <c r="A9" s="17"/>
      <c r="B9" s="17"/>
      <c r="C9" s="17"/>
      <c r="D9" s="18"/>
      <c r="E9" s="6"/>
      <c r="F9" s="19"/>
      <c r="G9" s="19"/>
      <c r="H9" s="6"/>
      <c r="I9" s="14"/>
    </row>
    <row r="10" spans="1:9" x14ac:dyDescent="0.25">
      <c r="A10" s="20"/>
      <c r="B10" s="20"/>
      <c r="C10" s="20"/>
      <c r="D10" s="6"/>
      <c r="E10" s="6"/>
      <c r="F10" s="6"/>
      <c r="G10" s="6"/>
      <c r="H10" s="6"/>
      <c r="I10" s="14"/>
    </row>
    <row r="11" spans="1:9" x14ac:dyDescent="0.25">
      <c r="A11" s="116" t="s">
        <v>26</v>
      </c>
      <c r="B11" s="116"/>
      <c r="C11" s="117"/>
      <c r="D11" s="21">
        <f>IF(Values_Entered,-PMT(Interest_Rate/12,Loan_Years*12,Loan_Amount),"")</f>
        <v>3324.9668424399906</v>
      </c>
      <c r="E11" s="6"/>
      <c r="F11" s="22"/>
      <c r="G11" s="22"/>
      <c r="H11" s="6"/>
      <c r="I11" s="14"/>
    </row>
    <row r="12" spans="1:9" x14ac:dyDescent="0.25">
      <c r="A12" s="116" t="s">
        <v>27</v>
      </c>
      <c r="B12" s="116"/>
      <c r="C12" s="117"/>
      <c r="D12" s="23">
        <f>IF(Values_Entered,Loan_Years*12,"")</f>
        <v>360</v>
      </c>
      <c r="E12" s="6"/>
      <c r="F12" s="22"/>
      <c r="G12" s="22"/>
      <c r="H12" s="6"/>
      <c r="I12" s="14"/>
    </row>
    <row r="13" spans="1:9" x14ac:dyDescent="0.25">
      <c r="A13" s="116" t="s">
        <v>28</v>
      </c>
      <c r="B13" s="116"/>
      <c r="C13" s="117"/>
      <c r="D13" s="23">
        <f>IF(Values_Entered,Number_of_Payments,"")</f>
        <v>360</v>
      </c>
      <c r="E13" s="6"/>
      <c r="F13" s="24"/>
      <c r="G13" s="24"/>
      <c r="H13" s="6"/>
      <c r="I13" s="14"/>
    </row>
    <row r="14" spans="1:9" x14ac:dyDescent="0.25">
      <c r="A14" s="116" t="s">
        <v>29</v>
      </c>
      <c r="B14" s="116"/>
      <c r="C14" s="117"/>
      <c r="D14" s="21">
        <f>IF(Values_Entered,SUMIF(Beg_Bal,"&gt;0",Extra_Pay),"")</f>
        <v>0</v>
      </c>
      <c r="E14" s="6"/>
      <c r="F14" s="24"/>
      <c r="G14" s="24"/>
      <c r="H14" s="6"/>
      <c r="I14" s="14"/>
    </row>
    <row r="15" spans="1:9" x14ac:dyDescent="0.25">
      <c r="A15" s="116" t="s">
        <v>30</v>
      </c>
      <c r="B15" s="116"/>
      <c r="C15" s="117"/>
      <c r="D15" s="21">
        <f>IF(Values_Entered,SUMIF(Beg_Bal,"&gt;0",Int),"")</f>
        <v>432990.23127839615</v>
      </c>
      <c r="E15" s="6"/>
      <c r="F15" s="22"/>
      <c r="G15" s="22"/>
      <c r="H15" s="6"/>
      <c r="I15" s="14"/>
    </row>
    <row r="16" spans="1:9" x14ac:dyDescent="0.25">
      <c r="A16" s="5"/>
      <c r="B16" s="5"/>
      <c r="C16" s="5"/>
      <c r="D16" s="5"/>
      <c r="E16" s="18"/>
      <c r="F16" s="18"/>
      <c r="G16" s="18"/>
      <c r="H16" s="5"/>
      <c r="I16" s="5"/>
    </row>
    <row r="17" spans="1:16" s="26" customFormat="1" ht="32.1" customHeight="1" x14ac:dyDescent="0.25">
      <c r="A17" s="25" t="s">
        <v>31</v>
      </c>
      <c r="B17" s="25" t="s">
        <v>32</v>
      </c>
      <c r="C17" s="25" t="s">
        <v>33</v>
      </c>
      <c r="D17" s="25" t="s">
        <v>34</v>
      </c>
      <c r="E17" s="25" t="s">
        <v>35</v>
      </c>
      <c r="F17" s="25" t="s">
        <v>36</v>
      </c>
      <c r="G17" s="25" t="s">
        <v>37</v>
      </c>
      <c r="H17" s="25" t="s">
        <v>38</v>
      </c>
      <c r="I17" s="25" t="s">
        <v>39</v>
      </c>
    </row>
    <row r="18" spans="1:16" s="31" customFormat="1" ht="18.95" customHeight="1" x14ac:dyDescent="0.25">
      <c r="A18" s="27">
        <f>IF(Values_Entered,1,"")</f>
        <v>1</v>
      </c>
      <c r="B18" s="28">
        <f>IF(Pay_Num&lt;&gt;"",Loan_Start,"")</f>
        <v>41306</v>
      </c>
      <c r="C18" s="29">
        <f>IF(Values_Entered,Loan_Amount,"")</f>
        <v>763997.83200000005</v>
      </c>
      <c r="D18" s="29">
        <f>IF(Pay_Num&lt;&gt;"",Scheduled_Monthly_Payment,"")</f>
        <v>3324.9668424399906</v>
      </c>
      <c r="E18" s="30">
        <f>IF(Pay_Num&lt;&gt;"",Scheduled_Extra_Payments,"")</f>
        <v>0</v>
      </c>
      <c r="F18" s="29">
        <f>IF(Pay_Num&lt;&gt;"",Sched_Pay+Extra_Pay,"")</f>
        <v>3324.9668424399906</v>
      </c>
      <c r="G18" s="29">
        <f>IF(Pay_Num&lt;&gt;"",Total_Pay-Int,"")</f>
        <v>1255.8060474399904</v>
      </c>
      <c r="H18" s="29">
        <f>IF(Pay_Num&lt;&gt;"",Beg_Bal*Interest_Rate/12,"")</f>
        <v>2069.1607950000002</v>
      </c>
      <c r="I18" s="29">
        <f>IF(Pay_Num&lt;&gt;"",Beg_Bal-Princ,"")</f>
        <v>762742.02595256001</v>
      </c>
    </row>
    <row r="19" spans="1:16" s="31" customFormat="1" ht="18.95" customHeight="1" x14ac:dyDescent="0.25">
      <c r="A19" s="27">
        <f t="shared" ref="A19:A82" si="0">IF(Values_Entered,A18+1,"")</f>
        <v>2</v>
      </c>
      <c r="B19" s="28">
        <f t="shared" ref="B19:B82" si="1">IF(Pay_Num&lt;&gt;"",DATE(YEAR(B18),MONTH(B18)+1,DAY(B18)),"")</f>
        <v>41334</v>
      </c>
      <c r="C19" s="29">
        <f>IF(Pay_Num&lt;&gt;"",I18,"")</f>
        <v>762742.02595256001</v>
      </c>
      <c r="D19" s="29">
        <f>IF(Pay_Num&lt;&gt;"",Scheduled_Monthly_Payment,"")</f>
        <v>3324.9668424399906</v>
      </c>
      <c r="E19" s="30">
        <f>IF(Pay_Num&lt;&gt;"",Scheduled_Extra_Payments,"")</f>
        <v>0</v>
      </c>
      <c r="F19" s="29">
        <f t="shared" ref="F19:F82" si="2">IF(Pay_Num&lt;&gt;"",Sched_Pay+Extra_Pay,"")</f>
        <v>3324.9668424399906</v>
      </c>
      <c r="G19" s="29">
        <f t="shared" ref="G19:G82" si="3">IF(Pay_Num&lt;&gt;"",Total_Pay-Int,"")</f>
        <v>1259.2071888184737</v>
      </c>
      <c r="H19" s="29">
        <f>IF(Pay_Num&lt;&gt;"",Beg_Bal*Interest_Rate/12,"")</f>
        <v>2065.7596536215169</v>
      </c>
      <c r="I19" s="29">
        <f t="shared" ref="I19:I82" si="4">IF(Pay_Num&lt;&gt;"",Beg_Bal-Princ,"")</f>
        <v>761482.81876374152</v>
      </c>
    </row>
    <row r="20" spans="1:16" s="31" customFormat="1" ht="18.95" customHeight="1" x14ac:dyDescent="0.25">
      <c r="A20" s="27">
        <f t="shared" si="0"/>
        <v>3</v>
      </c>
      <c r="B20" s="28">
        <f t="shared" si="1"/>
        <v>41365</v>
      </c>
      <c r="C20" s="29">
        <f t="shared" ref="C20:C83" si="5">IF(Pay_Num&lt;&gt;"",I19,"")</f>
        <v>761482.81876374152</v>
      </c>
      <c r="D20" s="29">
        <f t="shared" ref="D20:D83" si="6">IF(Pay_Num&lt;&gt;"",Scheduled_Monthly_Payment,"")</f>
        <v>3324.9668424399906</v>
      </c>
      <c r="E20" s="30">
        <f t="shared" ref="E20:E82" si="7">IF(Pay_Num&lt;&gt;"",Scheduled_Extra_Payments,"")</f>
        <v>0</v>
      </c>
      <c r="F20" s="29">
        <f t="shared" si="2"/>
        <v>3324.9668424399906</v>
      </c>
      <c r="G20" s="29">
        <f t="shared" si="3"/>
        <v>1262.6175416215242</v>
      </c>
      <c r="H20" s="29">
        <f t="shared" ref="H20:H83" si="8">IF(Pay_Num&lt;&gt;"",Beg_Bal*Interest_Rate/12,"")</f>
        <v>2062.3493008184664</v>
      </c>
      <c r="I20" s="29">
        <f t="shared" si="4"/>
        <v>760220.20122211997</v>
      </c>
    </row>
    <row r="21" spans="1:16" s="31" customFormat="1" ht="18.95" customHeight="1" x14ac:dyDescent="0.25">
      <c r="A21" s="27">
        <f t="shared" si="0"/>
        <v>4</v>
      </c>
      <c r="B21" s="28">
        <f t="shared" si="1"/>
        <v>41395</v>
      </c>
      <c r="C21" s="29">
        <f t="shared" si="5"/>
        <v>760220.20122211997</v>
      </c>
      <c r="D21" s="29">
        <f t="shared" si="6"/>
        <v>3324.9668424399906</v>
      </c>
      <c r="E21" s="30">
        <f t="shared" si="7"/>
        <v>0</v>
      </c>
      <c r="F21" s="29">
        <f t="shared" si="2"/>
        <v>3324.9668424399906</v>
      </c>
      <c r="G21" s="29">
        <f t="shared" si="3"/>
        <v>1266.0371307967489</v>
      </c>
      <c r="H21" s="29">
        <f t="shared" si="8"/>
        <v>2058.9297116432417</v>
      </c>
      <c r="I21" s="29">
        <f t="shared" si="4"/>
        <v>758954.16409132327</v>
      </c>
    </row>
    <row r="22" spans="1:16" s="31" customFormat="1" ht="18.95" customHeight="1" x14ac:dyDescent="0.25">
      <c r="A22" s="27">
        <f t="shared" si="0"/>
        <v>5</v>
      </c>
      <c r="B22" s="28">
        <f t="shared" si="1"/>
        <v>41426</v>
      </c>
      <c r="C22" s="29">
        <f t="shared" si="5"/>
        <v>758954.16409132327</v>
      </c>
      <c r="D22" s="29">
        <f t="shared" si="6"/>
        <v>3324.9668424399906</v>
      </c>
      <c r="E22" s="30">
        <f t="shared" si="7"/>
        <v>0</v>
      </c>
      <c r="F22" s="29">
        <f t="shared" si="2"/>
        <v>3324.9668424399906</v>
      </c>
      <c r="G22" s="29">
        <f t="shared" si="3"/>
        <v>1269.4659813593235</v>
      </c>
      <c r="H22" s="29">
        <f t="shared" si="8"/>
        <v>2055.5008610806672</v>
      </c>
      <c r="I22" s="29">
        <f t="shared" si="4"/>
        <v>757684.69810996391</v>
      </c>
    </row>
    <row r="23" spans="1:16" s="34" customFormat="1" ht="18.95" customHeight="1" x14ac:dyDescent="0.25">
      <c r="A23" s="27">
        <f t="shared" si="0"/>
        <v>6</v>
      </c>
      <c r="B23" s="28">
        <f t="shared" si="1"/>
        <v>41456</v>
      </c>
      <c r="C23" s="29">
        <f>IF(Pay_Num&lt;&gt;"",I22,"")</f>
        <v>757684.69810996391</v>
      </c>
      <c r="D23" s="29">
        <f t="shared" si="6"/>
        <v>3324.9668424399906</v>
      </c>
      <c r="E23" s="30">
        <f t="shared" si="7"/>
        <v>0</v>
      </c>
      <c r="F23" s="29">
        <f t="shared" si="2"/>
        <v>3324.9668424399906</v>
      </c>
      <c r="G23" s="29">
        <f t="shared" si="3"/>
        <v>1272.9041183921718</v>
      </c>
      <c r="H23" s="29">
        <f t="shared" si="8"/>
        <v>2052.0627240478188</v>
      </c>
      <c r="I23" s="29">
        <f t="shared" si="4"/>
        <v>756411.79399157176</v>
      </c>
      <c r="J23" s="32">
        <v>41639</v>
      </c>
      <c r="K23" s="33">
        <v>1</v>
      </c>
      <c r="L23" s="34">
        <v>12</v>
      </c>
      <c r="N23" s="35">
        <f>CUMPRINC($E$5,$D$12,Loan_Amount,K23,L23,0)</f>
        <v>-15296.186816412619</v>
      </c>
      <c r="O23" s="35">
        <f>Loan_Amount+N23</f>
        <v>748701.64518358745</v>
      </c>
      <c r="P23" s="34">
        <f>CUMIPMT($E$5,$D$12,Loan_Amount,K23,L23,0)</f>
        <v>-24603.41529286727</v>
      </c>
    </row>
    <row r="24" spans="1:16" s="34" customFormat="1" ht="18.95" customHeight="1" x14ac:dyDescent="0.25">
      <c r="A24" s="27">
        <f t="shared" si="0"/>
        <v>7</v>
      </c>
      <c r="B24" s="28">
        <f t="shared" si="1"/>
        <v>41487</v>
      </c>
      <c r="C24" s="29">
        <f t="shared" si="5"/>
        <v>756411.79399157176</v>
      </c>
      <c r="D24" s="29">
        <f t="shared" si="6"/>
        <v>3324.9668424399906</v>
      </c>
      <c r="E24" s="30">
        <f t="shared" si="7"/>
        <v>0</v>
      </c>
      <c r="F24" s="29">
        <f t="shared" si="2"/>
        <v>3324.9668424399906</v>
      </c>
      <c r="G24" s="29">
        <f t="shared" si="3"/>
        <v>1276.3515670461506</v>
      </c>
      <c r="H24" s="29">
        <f t="shared" si="8"/>
        <v>2048.61527539384</v>
      </c>
      <c r="I24" s="29">
        <f t="shared" si="4"/>
        <v>755135.44242452562</v>
      </c>
      <c r="J24" s="32">
        <v>42004</v>
      </c>
      <c r="K24" s="33">
        <v>13</v>
      </c>
      <c r="L24" s="34">
        <v>24</v>
      </c>
      <c r="N24" s="35">
        <f>CUMPRINC($E$5,$D$12,Loan_Amount,K23,L24,0)</f>
        <v>-31096.97207227545</v>
      </c>
      <c r="O24" s="35">
        <f>Loan_Amount+N24</f>
        <v>732900.85992772458</v>
      </c>
    </row>
    <row r="25" spans="1:16" s="34" customFormat="1" ht="18.95" customHeight="1" x14ac:dyDescent="0.25">
      <c r="A25" s="27">
        <f t="shared" si="0"/>
        <v>8</v>
      </c>
      <c r="B25" s="28">
        <f t="shared" si="1"/>
        <v>41518</v>
      </c>
      <c r="C25" s="29">
        <f>IF(Pay_Num&lt;&gt;"",I24,"")</f>
        <v>755135.44242452562</v>
      </c>
      <c r="D25" s="29">
        <f t="shared" si="6"/>
        <v>3324.9668424399906</v>
      </c>
      <c r="E25" s="30">
        <f t="shared" si="7"/>
        <v>0</v>
      </c>
      <c r="F25" s="29">
        <f t="shared" si="2"/>
        <v>3324.9668424399906</v>
      </c>
      <c r="G25" s="29">
        <f t="shared" si="3"/>
        <v>1279.8083525402335</v>
      </c>
      <c r="H25" s="29">
        <f t="shared" si="8"/>
        <v>2045.1584898997571</v>
      </c>
      <c r="I25" s="29">
        <f t="shared" si="4"/>
        <v>753855.63407198538</v>
      </c>
      <c r="J25" s="32">
        <v>42369</v>
      </c>
      <c r="K25" s="33">
        <v>25</v>
      </c>
      <c r="L25" s="34">
        <v>36</v>
      </c>
      <c r="N25" s="35">
        <f>CUMPRINC($E$5,$D$12,Loan_Amount,K23,L25,0)</f>
        <v>-47419.001719167907</v>
      </c>
      <c r="O25" s="35">
        <f>Loan_Amount+N25</f>
        <v>716578.83028083213</v>
      </c>
    </row>
    <row r="26" spans="1:16" s="34" customFormat="1" ht="18.95" customHeight="1" x14ac:dyDescent="0.25">
      <c r="A26" s="27">
        <f t="shared" si="0"/>
        <v>9</v>
      </c>
      <c r="B26" s="28">
        <f t="shared" si="1"/>
        <v>41548</v>
      </c>
      <c r="C26" s="29">
        <f t="shared" si="5"/>
        <v>753855.63407198538</v>
      </c>
      <c r="D26" s="29">
        <f t="shared" si="6"/>
        <v>3324.9668424399906</v>
      </c>
      <c r="E26" s="30">
        <f t="shared" si="7"/>
        <v>0</v>
      </c>
      <c r="F26" s="29">
        <f t="shared" si="2"/>
        <v>3324.9668424399906</v>
      </c>
      <c r="G26" s="29">
        <f t="shared" si="3"/>
        <v>1283.2745001616968</v>
      </c>
      <c r="H26" s="29">
        <f t="shared" si="8"/>
        <v>2041.6923422782938</v>
      </c>
      <c r="I26" s="29">
        <f t="shared" si="4"/>
        <v>752572.35957182373</v>
      </c>
      <c r="J26" s="33"/>
      <c r="K26" s="33"/>
    </row>
    <row r="27" spans="1:16" s="34" customFormat="1" ht="18.95" customHeight="1" x14ac:dyDescent="0.25">
      <c r="A27" s="27">
        <f t="shared" si="0"/>
        <v>10</v>
      </c>
      <c r="B27" s="28">
        <f t="shared" si="1"/>
        <v>41579</v>
      </c>
      <c r="C27" s="29">
        <f t="shared" si="5"/>
        <v>752572.35957182373</v>
      </c>
      <c r="D27" s="29">
        <f t="shared" si="6"/>
        <v>3324.9668424399906</v>
      </c>
      <c r="E27" s="30">
        <f t="shared" si="7"/>
        <v>0</v>
      </c>
      <c r="F27" s="29">
        <f t="shared" si="2"/>
        <v>3324.9668424399906</v>
      </c>
      <c r="G27" s="29">
        <f t="shared" si="3"/>
        <v>1286.7500352663012</v>
      </c>
      <c r="H27" s="29">
        <f t="shared" si="8"/>
        <v>2038.2168071736894</v>
      </c>
      <c r="I27" s="29">
        <f t="shared" si="4"/>
        <v>751285.60953655746</v>
      </c>
      <c r="J27" s="36" t="s">
        <v>40</v>
      </c>
    </row>
    <row r="28" spans="1:16" s="34" customFormat="1" ht="18.95" customHeight="1" x14ac:dyDescent="0.25">
      <c r="A28" s="27">
        <f t="shared" si="0"/>
        <v>11</v>
      </c>
      <c r="B28" s="28">
        <f t="shared" si="1"/>
        <v>41609</v>
      </c>
      <c r="C28" s="29">
        <f t="shared" si="5"/>
        <v>751285.60953655746</v>
      </c>
      <c r="D28" s="29">
        <f t="shared" si="6"/>
        <v>3324.9668424399906</v>
      </c>
      <c r="E28" s="30">
        <f t="shared" si="7"/>
        <v>0</v>
      </c>
      <c r="F28" s="29">
        <f t="shared" si="2"/>
        <v>3324.9668424399906</v>
      </c>
      <c r="G28" s="29">
        <f t="shared" si="3"/>
        <v>1290.234983278481</v>
      </c>
      <c r="H28" s="29">
        <f t="shared" si="8"/>
        <v>2034.7318591615096</v>
      </c>
      <c r="I28" s="29">
        <f t="shared" si="4"/>
        <v>749995.37455327902</v>
      </c>
      <c r="J28" s="34" t="s">
        <v>41</v>
      </c>
      <c r="K28" s="34" t="s">
        <v>42</v>
      </c>
    </row>
    <row r="29" spans="1:16" s="34" customFormat="1" ht="18.95" customHeight="1" x14ac:dyDescent="0.25">
      <c r="A29" s="27">
        <f t="shared" si="0"/>
        <v>12</v>
      </c>
      <c r="B29" s="28">
        <f t="shared" si="1"/>
        <v>41640</v>
      </c>
      <c r="C29" s="29">
        <f t="shared" si="5"/>
        <v>749995.37455327902</v>
      </c>
      <c r="D29" s="29">
        <f t="shared" si="6"/>
        <v>3324.9668424399906</v>
      </c>
      <c r="E29" s="30">
        <f t="shared" si="7"/>
        <v>0</v>
      </c>
      <c r="F29" s="29">
        <f t="shared" si="2"/>
        <v>3324.9668424399906</v>
      </c>
      <c r="G29" s="29">
        <f t="shared" si="3"/>
        <v>1293.7293696915265</v>
      </c>
      <c r="H29" s="29">
        <f t="shared" si="8"/>
        <v>2031.2374727484641</v>
      </c>
      <c r="I29" s="29">
        <f t="shared" si="4"/>
        <v>748701.64518358745</v>
      </c>
      <c r="J29" s="37">
        <f>I29</f>
        <v>748701.64518358745</v>
      </c>
      <c r="K29" s="37">
        <f>SUM(H18:H29)</f>
        <v>24603.415292867267</v>
      </c>
    </row>
    <row r="30" spans="1:16" s="34" customFormat="1" ht="18.95" customHeight="1" x14ac:dyDescent="0.25">
      <c r="A30" s="27">
        <f t="shared" si="0"/>
        <v>13</v>
      </c>
      <c r="B30" s="28">
        <f t="shared" si="1"/>
        <v>41671</v>
      </c>
      <c r="C30" s="29">
        <f t="shared" si="5"/>
        <v>748701.64518358745</v>
      </c>
      <c r="D30" s="29">
        <f t="shared" si="6"/>
        <v>3324.9668424399906</v>
      </c>
      <c r="E30" s="30">
        <f t="shared" si="7"/>
        <v>0</v>
      </c>
      <c r="F30" s="29">
        <f t="shared" si="2"/>
        <v>3324.9668424399906</v>
      </c>
      <c r="G30" s="29">
        <f t="shared" si="3"/>
        <v>1297.2332200677745</v>
      </c>
      <c r="H30" s="29">
        <f t="shared" si="8"/>
        <v>2027.7336223722161</v>
      </c>
      <c r="I30" s="29">
        <f t="shared" si="4"/>
        <v>747404.41196351964</v>
      </c>
    </row>
    <row r="31" spans="1:16" s="34" customFormat="1" ht="18.95" customHeight="1" x14ac:dyDescent="0.25">
      <c r="A31" s="27">
        <f t="shared" si="0"/>
        <v>14</v>
      </c>
      <c r="B31" s="28">
        <f t="shared" si="1"/>
        <v>41699</v>
      </c>
      <c r="C31" s="29">
        <f t="shared" si="5"/>
        <v>747404.41196351964</v>
      </c>
      <c r="D31" s="29">
        <f t="shared" si="6"/>
        <v>3324.9668424399906</v>
      </c>
      <c r="E31" s="30">
        <f t="shared" si="7"/>
        <v>0</v>
      </c>
      <c r="F31" s="29">
        <f t="shared" si="2"/>
        <v>3324.9668424399906</v>
      </c>
      <c r="G31" s="29">
        <f t="shared" si="3"/>
        <v>1300.7465600387916</v>
      </c>
      <c r="H31" s="29">
        <f t="shared" si="8"/>
        <v>2024.220282401199</v>
      </c>
      <c r="I31" s="29">
        <f t="shared" si="4"/>
        <v>746103.66540348087</v>
      </c>
    </row>
    <row r="32" spans="1:16" s="34" customFormat="1" ht="18.95" customHeight="1" x14ac:dyDescent="0.25">
      <c r="A32" s="27">
        <f t="shared" si="0"/>
        <v>15</v>
      </c>
      <c r="B32" s="28">
        <f t="shared" si="1"/>
        <v>41730</v>
      </c>
      <c r="C32" s="29">
        <f t="shared" si="5"/>
        <v>746103.66540348087</v>
      </c>
      <c r="D32" s="29">
        <f t="shared" si="6"/>
        <v>3324.9668424399906</v>
      </c>
      <c r="E32" s="30">
        <f t="shared" si="7"/>
        <v>0</v>
      </c>
      <c r="F32" s="29">
        <f t="shared" si="2"/>
        <v>3324.9668424399906</v>
      </c>
      <c r="G32" s="29">
        <f t="shared" si="3"/>
        <v>1304.2694153055634</v>
      </c>
      <c r="H32" s="29">
        <f t="shared" si="8"/>
        <v>2020.6974271344272</v>
      </c>
      <c r="I32" s="29">
        <f t="shared" si="4"/>
        <v>744799.3959881753</v>
      </c>
    </row>
    <row r="33" spans="1:11" s="34" customFormat="1" x14ac:dyDescent="0.25">
      <c r="A33" s="27">
        <f t="shared" si="0"/>
        <v>16</v>
      </c>
      <c r="B33" s="28">
        <f t="shared" si="1"/>
        <v>41760</v>
      </c>
      <c r="C33" s="29">
        <f t="shared" si="5"/>
        <v>744799.3959881753</v>
      </c>
      <c r="D33" s="29">
        <f t="shared" si="6"/>
        <v>3324.9668424399906</v>
      </c>
      <c r="E33" s="30">
        <f t="shared" si="7"/>
        <v>0</v>
      </c>
      <c r="F33" s="29">
        <f t="shared" si="2"/>
        <v>3324.9668424399906</v>
      </c>
      <c r="G33" s="29">
        <f t="shared" si="3"/>
        <v>1307.8018116386822</v>
      </c>
      <c r="H33" s="29">
        <f t="shared" si="8"/>
        <v>2017.1650308013084</v>
      </c>
      <c r="I33" s="29">
        <f t="shared" si="4"/>
        <v>743491.59417653666</v>
      </c>
    </row>
    <row r="34" spans="1:11" s="34" customFormat="1" x14ac:dyDescent="0.25">
      <c r="A34" s="27">
        <f t="shared" si="0"/>
        <v>17</v>
      </c>
      <c r="B34" s="28">
        <f t="shared" si="1"/>
        <v>41791</v>
      </c>
      <c r="C34" s="29">
        <f t="shared" si="5"/>
        <v>743491.59417653666</v>
      </c>
      <c r="D34" s="29">
        <f t="shared" si="6"/>
        <v>3324.9668424399906</v>
      </c>
      <c r="E34" s="30">
        <f t="shared" si="7"/>
        <v>0</v>
      </c>
      <c r="F34" s="29">
        <f t="shared" si="2"/>
        <v>3324.9668424399906</v>
      </c>
      <c r="G34" s="29">
        <f t="shared" si="3"/>
        <v>1311.343774878537</v>
      </c>
      <c r="H34" s="29">
        <f t="shared" si="8"/>
        <v>2013.6230675614536</v>
      </c>
      <c r="I34" s="29">
        <f t="shared" si="4"/>
        <v>742180.25040165812</v>
      </c>
    </row>
    <row r="35" spans="1:11" s="34" customFormat="1" x14ac:dyDescent="0.25">
      <c r="A35" s="27">
        <f t="shared" si="0"/>
        <v>18</v>
      </c>
      <c r="B35" s="28">
        <f t="shared" si="1"/>
        <v>41821</v>
      </c>
      <c r="C35" s="29">
        <f t="shared" si="5"/>
        <v>742180.25040165812</v>
      </c>
      <c r="D35" s="29">
        <f t="shared" si="6"/>
        <v>3324.9668424399906</v>
      </c>
      <c r="E35" s="30">
        <f t="shared" si="7"/>
        <v>0</v>
      </c>
      <c r="F35" s="29">
        <f t="shared" si="2"/>
        <v>3324.9668424399906</v>
      </c>
      <c r="G35" s="29">
        <f t="shared" si="3"/>
        <v>1314.8953309354999</v>
      </c>
      <c r="H35" s="29">
        <f t="shared" si="8"/>
        <v>2010.0715115044907</v>
      </c>
      <c r="I35" s="29">
        <f t="shared" si="4"/>
        <v>740865.35507072264</v>
      </c>
    </row>
    <row r="36" spans="1:11" s="34" customFormat="1" x14ac:dyDescent="0.25">
      <c r="A36" s="27">
        <f t="shared" si="0"/>
        <v>19</v>
      </c>
      <c r="B36" s="28">
        <f t="shared" si="1"/>
        <v>41852</v>
      </c>
      <c r="C36" s="29">
        <f t="shared" si="5"/>
        <v>740865.35507072264</v>
      </c>
      <c r="D36" s="29">
        <f t="shared" si="6"/>
        <v>3324.9668424399906</v>
      </c>
      <c r="E36" s="30">
        <f t="shared" si="7"/>
        <v>0</v>
      </c>
      <c r="F36" s="29">
        <f t="shared" si="2"/>
        <v>3324.9668424399906</v>
      </c>
      <c r="G36" s="29">
        <f t="shared" si="3"/>
        <v>1318.4565057901166</v>
      </c>
      <c r="H36" s="29">
        <f t="shared" si="8"/>
        <v>2006.510336649874</v>
      </c>
      <c r="I36" s="29">
        <f t="shared" si="4"/>
        <v>739546.89856493252</v>
      </c>
    </row>
    <row r="37" spans="1:11" s="34" customFormat="1" x14ac:dyDescent="0.25">
      <c r="A37" s="27">
        <f t="shared" si="0"/>
        <v>20</v>
      </c>
      <c r="B37" s="28">
        <f t="shared" si="1"/>
        <v>41883</v>
      </c>
      <c r="C37" s="29">
        <f t="shared" si="5"/>
        <v>739546.89856493252</v>
      </c>
      <c r="D37" s="29">
        <f t="shared" si="6"/>
        <v>3324.9668424399906</v>
      </c>
      <c r="E37" s="30">
        <f t="shared" si="7"/>
        <v>0</v>
      </c>
      <c r="F37" s="29">
        <f t="shared" si="2"/>
        <v>3324.9668424399906</v>
      </c>
      <c r="G37" s="29">
        <f t="shared" si="3"/>
        <v>1322.0273254932983</v>
      </c>
      <c r="H37" s="29">
        <f t="shared" si="8"/>
        <v>2002.9395169466923</v>
      </c>
      <c r="I37" s="29">
        <f t="shared" si="4"/>
        <v>738224.87123943924</v>
      </c>
    </row>
    <row r="38" spans="1:11" s="34" customFormat="1" x14ac:dyDescent="0.25">
      <c r="A38" s="27">
        <f t="shared" si="0"/>
        <v>21</v>
      </c>
      <c r="B38" s="28">
        <f t="shared" si="1"/>
        <v>41913</v>
      </c>
      <c r="C38" s="29">
        <f t="shared" si="5"/>
        <v>738224.87123943924</v>
      </c>
      <c r="D38" s="29">
        <f t="shared" si="6"/>
        <v>3324.9668424399906</v>
      </c>
      <c r="E38" s="30">
        <f t="shared" si="7"/>
        <v>0</v>
      </c>
      <c r="F38" s="29">
        <f t="shared" si="2"/>
        <v>3324.9668424399906</v>
      </c>
      <c r="G38" s="29">
        <f t="shared" si="3"/>
        <v>1325.6078161665093</v>
      </c>
      <c r="H38" s="29">
        <f t="shared" si="8"/>
        <v>1999.3590262734813</v>
      </c>
      <c r="I38" s="29">
        <f t="shared" si="4"/>
        <v>736899.26342327276</v>
      </c>
    </row>
    <row r="39" spans="1:11" s="34" customFormat="1" x14ac:dyDescent="0.25">
      <c r="A39" s="27">
        <f t="shared" si="0"/>
        <v>22</v>
      </c>
      <c r="B39" s="28">
        <f t="shared" si="1"/>
        <v>41944</v>
      </c>
      <c r="C39" s="29">
        <f t="shared" si="5"/>
        <v>736899.26342327276</v>
      </c>
      <c r="D39" s="29">
        <f t="shared" si="6"/>
        <v>3324.9668424399906</v>
      </c>
      <c r="E39" s="30">
        <f t="shared" si="7"/>
        <v>0</v>
      </c>
      <c r="F39" s="29">
        <f t="shared" si="2"/>
        <v>3324.9668424399906</v>
      </c>
      <c r="G39" s="29">
        <f t="shared" si="3"/>
        <v>1329.19800400196</v>
      </c>
      <c r="H39" s="29">
        <f t="shared" si="8"/>
        <v>1995.7688384380306</v>
      </c>
      <c r="I39" s="29">
        <f t="shared" si="4"/>
        <v>735570.06541927077</v>
      </c>
    </row>
    <row r="40" spans="1:11" s="34" customFormat="1" x14ac:dyDescent="0.25">
      <c r="A40" s="27">
        <f t="shared" si="0"/>
        <v>23</v>
      </c>
      <c r="B40" s="28">
        <f t="shared" si="1"/>
        <v>41974</v>
      </c>
      <c r="C40" s="29">
        <f t="shared" si="5"/>
        <v>735570.06541927077</v>
      </c>
      <c r="D40" s="29">
        <f t="shared" si="6"/>
        <v>3324.9668424399906</v>
      </c>
      <c r="E40" s="30">
        <f t="shared" si="7"/>
        <v>0</v>
      </c>
      <c r="F40" s="29">
        <f t="shared" si="2"/>
        <v>3324.9668424399906</v>
      </c>
      <c r="G40" s="29">
        <f t="shared" si="3"/>
        <v>1332.7979152627988</v>
      </c>
      <c r="H40" s="29">
        <f t="shared" si="8"/>
        <v>1992.1689271771918</v>
      </c>
      <c r="I40" s="29">
        <f t="shared" si="4"/>
        <v>734237.26750400802</v>
      </c>
      <c r="J40" s="34" t="s">
        <v>41</v>
      </c>
      <c r="K40" s="34" t="s">
        <v>42</v>
      </c>
    </row>
    <row r="41" spans="1:11" s="34" customFormat="1" x14ac:dyDescent="0.25">
      <c r="A41" s="27">
        <f t="shared" si="0"/>
        <v>24</v>
      </c>
      <c r="B41" s="28">
        <f t="shared" si="1"/>
        <v>42005</v>
      </c>
      <c r="C41" s="29">
        <f t="shared" si="5"/>
        <v>734237.26750400802</v>
      </c>
      <c r="D41" s="29">
        <f t="shared" si="6"/>
        <v>3324.9668424399906</v>
      </c>
      <c r="E41" s="30">
        <f t="shared" si="7"/>
        <v>0</v>
      </c>
      <c r="F41" s="29">
        <f t="shared" si="2"/>
        <v>3324.9668424399906</v>
      </c>
      <c r="G41" s="29">
        <f t="shared" si="3"/>
        <v>1336.407576283302</v>
      </c>
      <c r="H41" s="29">
        <f t="shared" si="8"/>
        <v>1988.5592661566886</v>
      </c>
      <c r="I41" s="29">
        <f t="shared" si="4"/>
        <v>732900.8599277247</v>
      </c>
      <c r="J41" s="37">
        <f>I41</f>
        <v>732900.8599277247</v>
      </c>
      <c r="K41" s="37">
        <f>SUM(H30:H41)</f>
        <v>24098.816853417051</v>
      </c>
    </row>
    <row r="42" spans="1:11" s="34" customFormat="1" x14ac:dyDescent="0.25">
      <c r="A42" s="27">
        <f t="shared" si="0"/>
        <v>25</v>
      </c>
      <c r="B42" s="28">
        <f t="shared" si="1"/>
        <v>42036</v>
      </c>
      <c r="C42" s="29">
        <f t="shared" si="5"/>
        <v>732900.8599277247</v>
      </c>
      <c r="D42" s="29">
        <f t="shared" si="6"/>
        <v>3324.9668424399906</v>
      </c>
      <c r="E42" s="30">
        <f t="shared" si="7"/>
        <v>0</v>
      </c>
      <c r="F42" s="29">
        <f t="shared" si="2"/>
        <v>3324.9668424399906</v>
      </c>
      <c r="G42" s="29">
        <f t="shared" si="3"/>
        <v>1340.0270134690693</v>
      </c>
      <c r="H42" s="29">
        <f t="shared" si="8"/>
        <v>1984.9398289709213</v>
      </c>
      <c r="I42" s="29">
        <f t="shared" si="4"/>
        <v>731560.83291425568</v>
      </c>
    </row>
    <row r="43" spans="1:11" s="34" customFormat="1" x14ac:dyDescent="0.25">
      <c r="A43" s="27">
        <f t="shared" si="0"/>
        <v>26</v>
      </c>
      <c r="B43" s="28">
        <f t="shared" si="1"/>
        <v>42064</v>
      </c>
      <c r="C43" s="29">
        <f t="shared" si="5"/>
        <v>731560.83291425568</v>
      </c>
      <c r="D43" s="29">
        <f t="shared" si="6"/>
        <v>3324.9668424399906</v>
      </c>
      <c r="E43" s="30">
        <f t="shared" si="7"/>
        <v>0</v>
      </c>
      <c r="F43" s="29">
        <f t="shared" si="2"/>
        <v>3324.9668424399906</v>
      </c>
      <c r="G43" s="29">
        <f t="shared" si="3"/>
        <v>1343.6562532972148</v>
      </c>
      <c r="H43" s="29">
        <f t="shared" si="8"/>
        <v>1981.3105891427758</v>
      </c>
      <c r="I43" s="29">
        <f t="shared" si="4"/>
        <v>730217.17666095844</v>
      </c>
    </row>
    <row r="44" spans="1:11" s="34" customFormat="1" x14ac:dyDescent="0.25">
      <c r="A44" s="27">
        <f t="shared" si="0"/>
        <v>27</v>
      </c>
      <c r="B44" s="28">
        <f t="shared" si="1"/>
        <v>42095</v>
      </c>
      <c r="C44" s="29">
        <f t="shared" si="5"/>
        <v>730217.17666095844</v>
      </c>
      <c r="D44" s="29">
        <f t="shared" si="6"/>
        <v>3324.9668424399906</v>
      </c>
      <c r="E44" s="30">
        <f t="shared" si="7"/>
        <v>0</v>
      </c>
      <c r="F44" s="29">
        <f t="shared" si="2"/>
        <v>3324.9668424399906</v>
      </c>
      <c r="G44" s="29">
        <f t="shared" si="3"/>
        <v>1347.2953223165614</v>
      </c>
      <c r="H44" s="29">
        <f t="shared" si="8"/>
        <v>1977.6715201234292</v>
      </c>
      <c r="I44" s="29">
        <f t="shared" si="4"/>
        <v>728869.88133864186</v>
      </c>
    </row>
    <row r="45" spans="1:11" s="34" customFormat="1" x14ac:dyDescent="0.25">
      <c r="A45" s="27">
        <f t="shared" si="0"/>
        <v>28</v>
      </c>
      <c r="B45" s="28">
        <f t="shared" si="1"/>
        <v>42125</v>
      </c>
      <c r="C45" s="29">
        <f t="shared" si="5"/>
        <v>728869.88133864186</v>
      </c>
      <c r="D45" s="29">
        <f t="shared" si="6"/>
        <v>3324.9668424399906</v>
      </c>
      <c r="E45" s="30">
        <f t="shared" si="7"/>
        <v>0</v>
      </c>
      <c r="F45" s="29">
        <f t="shared" si="2"/>
        <v>3324.9668424399906</v>
      </c>
      <c r="G45" s="29">
        <f t="shared" si="3"/>
        <v>1350.9442471478353</v>
      </c>
      <c r="H45" s="29">
        <f t="shared" si="8"/>
        <v>1974.0225952921553</v>
      </c>
      <c r="I45" s="29">
        <f t="shared" si="4"/>
        <v>727518.93709149398</v>
      </c>
    </row>
    <row r="46" spans="1:11" s="34" customFormat="1" x14ac:dyDescent="0.25">
      <c r="A46" s="27">
        <f t="shared" si="0"/>
        <v>29</v>
      </c>
      <c r="B46" s="28">
        <f t="shared" si="1"/>
        <v>42156</v>
      </c>
      <c r="C46" s="29">
        <f t="shared" si="5"/>
        <v>727518.93709149398</v>
      </c>
      <c r="D46" s="29">
        <f t="shared" si="6"/>
        <v>3324.9668424399906</v>
      </c>
      <c r="E46" s="30">
        <f t="shared" si="7"/>
        <v>0</v>
      </c>
      <c r="F46" s="29">
        <f t="shared" si="2"/>
        <v>3324.9668424399906</v>
      </c>
      <c r="G46" s="29">
        <f t="shared" si="3"/>
        <v>1354.6030544838611</v>
      </c>
      <c r="H46" s="29">
        <f t="shared" si="8"/>
        <v>1970.3637879561295</v>
      </c>
      <c r="I46" s="29">
        <f t="shared" si="4"/>
        <v>726164.33403701009</v>
      </c>
    </row>
    <row r="47" spans="1:11" s="34" customFormat="1" x14ac:dyDescent="0.25">
      <c r="A47" s="27">
        <f t="shared" si="0"/>
        <v>30</v>
      </c>
      <c r="B47" s="28">
        <f t="shared" si="1"/>
        <v>42186</v>
      </c>
      <c r="C47" s="29">
        <f t="shared" si="5"/>
        <v>726164.33403701009</v>
      </c>
      <c r="D47" s="29">
        <f t="shared" si="6"/>
        <v>3324.9668424399906</v>
      </c>
      <c r="E47" s="30">
        <f t="shared" si="7"/>
        <v>0</v>
      </c>
      <c r="F47" s="29">
        <f t="shared" si="2"/>
        <v>3324.9668424399906</v>
      </c>
      <c r="G47" s="29">
        <f t="shared" si="3"/>
        <v>1358.271771089755</v>
      </c>
      <c r="H47" s="29">
        <f t="shared" si="8"/>
        <v>1966.6950713502356</v>
      </c>
      <c r="I47" s="29">
        <f t="shared" si="4"/>
        <v>724806.06226592034</v>
      </c>
    </row>
    <row r="48" spans="1:11" s="34" customFormat="1" x14ac:dyDescent="0.25">
      <c r="A48" s="27">
        <f t="shared" si="0"/>
        <v>31</v>
      </c>
      <c r="B48" s="28">
        <f t="shared" si="1"/>
        <v>42217</v>
      </c>
      <c r="C48" s="29">
        <f t="shared" si="5"/>
        <v>724806.06226592034</v>
      </c>
      <c r="D48" s="29">
        <f t="shared" si="6"/>
        <v>3324.9668424399906</v>
      </c>
      <c r="E48" s="30">
        <f t="shared" si="7"/>
        <v>0</v>
      </c>
      <c r="F48" s="29">
        <f t="shared" si="2"/>
        <v>3324.9668424399906</v>
      </c>
      <c r="G48" s="29">
        <f t="shared" si="3"/>
        <v>1361.9504238031229</v>
      </c>
      <c r="H48" s="29">
        <f t="shared" si="8"/>
        <v>1963.0164186368677</v>
      </c>
      <c r="I48" s="29">
        <f t="shared" si="4"/>
        <v>723444.11184211716</v>
      </c>
    </row>
    <row r="49" spans="1:11" s="34" customFormat="1" x14ac:dyDescent="0.25">
      <c r="A49" s="27">
        <f t="shared" si="0"/>
        <v>32</v>
      </c>
      <c r="B49" s="28">
        <f t="shared" si="1"/>
        <v>42248</v>
      </c>
      <c r="C49" s="29">
        <f t="shared" si="5"/>
        <v>723444.11184211716</v>
      </c>
      <c r="D49" s="29">
        <f t="shared" si="6"/>
        <v>3324.9668424399906</v>
      </c>
      <c r="E49" s="30">
        <f t="shared" si="7"/>
        <v>0</v>
      </c>
      <c r="F49" s="29">
        <f t="shared" si="2"/>
        <v>3324.9668424399906</v>
      </c>
      <c r="G49" s="29">
        <f t="shared" si="3"/>
        <v>1365.6390395342567</v>
      </c>
      <c r="H49" s="29">
        <f t="shared" si="8"/>
        <v>1959.327802905734</v>
      </c>
      <c r="I49" s="29">
        <f t="shared" si="4"/>
        <v>722078.4728025829</v>
      </c>
    </row>
    <row r="50" spans="1:11" s="34" customFormat="1" x14ac:dyDescent="0.25">
      <c r="A50" s="27">
        <f t="shared" si="0"/>
        <v>33</v>
      </c>
      <c r="B50" s="28">
        <f t="shared" si="1"/>
        <v>42278</v>
      </c>
      <c r="C50" s="29">
        <f t="shared" si="5"/>
        <v>722078.4728025829</v>
      </c>
      <c r="D50" s="29">
        <f t="shared" si="6"/>
        <v>3324.9668424399906</v>
      </c>
      <c r="E50" s="30">
        <f t="shared" si="7"/>
        <v>0</v>
      </c>
      <c r="F50" s="29">
        <f t="shared" si="2"/>
        <v>3324.9668424399906</v>
      </c>
      <c r="G50" s="29">
        <f t="shared" si="3"/>
        <v>1369.3376452663285</v>
      </c>
      <c r="H50" s="29">
        <f>IF(Pay_Num&lt;&gt;"",Beg_Bal*Interest_Rate/12,"")</f>
        <v>1955.6291971736621</v>
      </c>
      <c r="I50" s="29">
        <f t="shared" si="4"/>
        <v>720709.13515731657</v>
      </c>
    </row>
    <row r="51" spans="1:11" s="34" customFormat="1" x14ac:dyDescent="0.25">
      <c r="A51" s="27">
        <f t="shared" si="0"/>
        <v>34</v>
      </c>
      <c r="B51" s="28">
        <f t="shared" si="1"/>
        <v>42309</v>
      </c>
      <c r="C51" s="29">
        <f t="shared" si="5"/>
        <v>720709.13515731657</v>
      </c>
      <c r="D51" s="29">
        <f t="shared" si="6"/>
        <v>3324.9668424399906</v>
      </c>
      <c r="E51" s="30">
        <f t="shared" si="7"/>
        <v>0</v>
      </c>
      <c r="F51" s="29">
        <f t="shared" si="2"/>
        <v>3324.9668424399906</v>
      </c>
      <c r="G51" s="29">
        <f t="shared" si="3"/>
        <v>1373.0462680555913</v>
      </c>
      <c r="H51" s="29">
        <f t="shared" si="8"/>
        <v>1951.9205743843993</v>
      </c>
      <c r="I51" s="29">
        <f t="shared" si="4"/>
        <v>719336.08888926101</v>
      </c>
    </row>
    <row r="52" spans="1:11" s="34" customFormat="1" x14ac:dyDescent="0.25">
      <c r="A52" s="27">
        <f t="shared" si="0"/>
        <v>35</v>
      </c>
      <c r="B52" s="28">
        <f t="shared" si="1"/>
        <v>42339</v>
      </c>
      <c r="C52" s="29">
        <f t="shared" si="5"/>
        <v>719336.08888926101</v>
      </c>
      <c r="D52" s="29">
        <f t="shared" si="6"/>
        <v>3324.9668424399906</v>
      </c>
      <c r="E52" s="30">
        <f t="shared" si="7"/>
        <v>0</v>
      </c>
      <c r="F52" s="29">
        <f t="shared" si="2"/>
        <v>3324.9668424399906</v>
      </c>
      <c r="G52" s="29">
        <f t="shared" si="3"/>
        <v>1376.7649350315753</v>
      </c>
      <c r="H52" s="29">
        <f t="shared" si="8"/>
        <v>1948.2019074084153</v>
      </c>
      <c r="I52" s="29">
        <f t="shared" si="4"/>
        <v>717959.32395422948</v>
      </c>
      <c r="J52" s="34" t="s">
        <v>41</v>
      </c>
      <c r="K52" s="34" t="s">
        <v>42</v>
      </c>
    </row>
    <row r="53" spans="1:11" s="34" customFormat="1" x14ac:dyDescent="0.25">
      <c r="A53" s="27">
        <f t="shared" si="0"/>
        <v>36</v>
      </c>
      <c r="B53" s="28">
        <f t="shared" si="1"/>
        <v>42370</v>
      </c>
      <c r="C53" s="29">
        <f t="shared" si="5"/>
        <v>717959.32395422948</v>
      </c>
      <c r="D53" s="29">
        <f t="shared" si="6"/>
        <v>3324.9668424399906</v>
      </c>
      <c r="E53" s="30">
        <f t="shared" si="7"/>
        <v>0</v>
      </c>
      <c r="F53" s="29">
        <f t="shared" si="2"/>
        <v>3324.9668424399906</v>
      </c>
      <c r="G53" s="29">
        <f t="shared" si="3"/>
        <v>1380.4936733972856</v>
      </c>
      <c r="H53" s="29">
        <f t="shared" si="8"/>
        <v>1944.473169042705</v>
      </c>
      <c r="I53" s="29">
        <f t="shared" si="4"/>
        <v>716578.83028083225</v>
      </c>
      <c r="J53" s="37">
        <f>I53</f>
        <v>716578.83028083225</v>
      </c>
      <c r="K53" s="37">
        <f>SUM(H42:H53)</f>
        <v>23577.57246238743</v>
      </c>
    </row>
    <row r="54" spans="1:11" s="34" customFormat="1" x14ac:dyDescent="0.25">
      <c r="A54" s="27">
        <f t="shared" si="0"/>
        <v>37</v>
      </c>
      <c r="B54" s="28">
        <f t="shared" si="1"/>
        <v>42401</v>
      </c>
      <c r="C54" s="29">
        <f t="shared" si="5"/>
        <v>716578.83028083225</v>
      </c>
      <c r="D54" s="29">
        <f t="shared" si="6"/>
        <v>3324.9668424399906</v>
      </c>
      <c r="E54" s="30">
        <f t="shared" si="7"/>
        <v>0</v>
      </c>
      <c r="F54" s="29">
        <f t="shared" si="2"/>
        <v>3324.9668424399906</v>
      </c>
      <c r="G54" s="29">
        <f t="shared" si="3"/>
        <v>1384.2325104294032</v>
      </c>
      <c r="H54" s="29">
        <f t="shared" si="8"/>
        <v>1940.7343320105874</v>
      </c>
      <c r="I54" s="29">
        <f t="shared" si="4"/>
        <v>715194.59777040279</v>
      </c>
    </row>
    <row r="55" spans="1:11" s="34" customFormat="1" x14ac:dyDescent="0.25">
      <c r="A55" s="27">
        <f t="shared" si="0"/>
        <v>38</v>
      </c>
      <c r="B55" s="28">
        <f t="shared" si="1"/>
        <v>42430</v>
      </c>
      <c r="C55" s="29">
        <f t="shared" si="5"/>
        <v>715194.59777040279</v>
      </c>
      <c r="D55" s="29">
        <f t="shared" si="6"/>
        <v>3324.9668424399906</v>
      </c>
      <c r="E55" s="30">
        <f t="shared" si="7"/>
        <v>0</v>
      </c>
      <c r="F55" s="29">
        <f t="shared" si="2"/>
        <v>3324.9668424399906</v>
      </c>
      <c r="G55" s="29">
        <f t="shared" si="3"/>
        <v>1387.9814734784829</v>
      </c>
      <c r="H55" s="29">
        <f t="shared" si="8"/>
        <v>1936.9853689615077</v>
      </c>
      <c r="I55" s="29">
        <f t="shared" si="4"/>
        <v>713806.6162969243</v>
      </c>
    </row>
    <row r="56" spans="1:11" s="34" customFormat="1" x14ac:dyDescent="0.25">
      <c r="A56" s="27">
        <f t="shared" si="0"/>
        <v>39</v>
      </c>
      <c r="B56" s="28">
        <f t="shared" si="1"/>
        <v>42461</v>
      </c>
      <c r="C56" s="29">
        <f t="shared" si="5"/>
        <v>713806.6162969243</v>
      </c>
      <c r="D56" s="29">
        <f t="shared" si="6"/>
        <v>3324.9668424399906</v>
      </c>
      <c r="E56" s="30">
        <f t="shared" si="7"/>
        <v>0</v>
      </c>
      <c r="F56" s="29">
        <f t="shared" si="2"/>
        <v>3324.9668424399906</v>
      </c>
      <c r="G56" s="29">
        <f t="shared" si="3"/>
        <v>1391.7405899691539</v>
      </c>
      <c r="H56" s="29">
        <f t="shared" si="8"/>
        <v>1933.2262524708367</v>
      </c>
      <c r="I56" s="29">
        <f t="shared" si="4"/>
        <v>712414.87570695509</v>
      </c>
    </row>
    <row r="57" spans="1:11" s="34" customFormat="1" x14ac:dyDescent="0.25">
      <c r="A57" s="27">
        <f t="shared" si="0"/>
        <v>40</v>
      </c>
      <c r="B57" s="28">
        <f t="shared" si="1"/>
        <v>42491</v>
      </c>
      <c r="C57" s="29">
        <f t="shared" si="5"/>
        <v>712414.87570695509</v>
      </c>
      <c r="D57" s="29">
        <f t="shared" si="6"/>
        <v>3324.9668424399906</v>
      </c>
      <c r="E57" s="30">
        <f t="shared" si="7"/>
        <v>0</v>
      </c>
      <c r="F57" s="29">
        <f t="shared" si="2"/>
        <v>3324.9668424399906</v>
      </c>
      <c r="G57" s="29">
        <f t="shared" si="3"/>
        <v>1395.5098874003206</v>
      </c>
      <c r="H57" s="29">
        <f t="shared" si="8"/>
        <v>1929.45695503967</v>
      </c>
      <c r="I57" s="29">
        <f t="shared" si="4"/>
        <v>711019.36581955478</v>
      </c>
    </row>
    <row r="58" spans="1:11" s="34" customFormat="1" x14ac:dyDescent="0.25">
      <c r="A58" s="27">
        <f t="shared" si="0"/>
        <v>41</v>
      </c>
      <c r="B58" s="28">
        <f t="shared" si="1"/>
        <v>42522</v>
      </c>
      <c r="C58" s="29">
        <f t="shared" si="5"/>
        <v>711019.36581955478</v>
      </c>
      <c r="D58" s="29">
        <f t="shared" si="6"/>
        <v>3324.9668424399906</v>
      </c>
      <c r="E58" s="30">
        <f t="shared" si="7"/>
        <v>0</v>
      </c>
      <c r="F58" s="29">
        <f t="shared" si="2"/>
        <v>3324.9668424399906</v>
      </c>
      <c r="G58" s="29">
        <f t="shared" si="3"/>
        <v>1399.2893933453631</v>
      </c>
      <c r="H58" s="29">
        <f t="shared" si="8"/>
        <v>1925.6774490946275</v>
      </c>
      <c r="I58" s="29">
        <f t="shared" si="4"/>
        <v>709620.07642620942</v>
      </c>
    </row>
    <row r="59" spans="1:11" s="34" customFormat="1" x14ac:dyDescent="0.25">
      <c r="A59" s="27">
        <f t="shared" si="0"/>
        <v>42</v>
      </c>
      <c r="B59" s="28">
        <f t="shared" si="1"/>
        <v>42552</v>
      </c>
      <c r="C59" s="29">
        <f t="shared" si="5"/>
        <v>709620.07642620942</v>
      </c>
      <c r="D59" s="29">
        <f t="shared" si="6"/>
        <v>3324.9668424399906</v>
      </c>
      <c r="E59" s="30">
        <f t="shared" si="7"/>
        <v>0</v>
      </c>
      <c r="F59" s="29">
        <f t="shared" si="2"/>
        <v>3324.9668424399906</v>
      </c>
      <c r="G59" s="29">
        <f t="shared" si="3"/>
        <v>1403.0791354523401</v>
      </c>
      <c r="H59" s="29">
        <f t="shared" si="8"/>
        <v>1921.8877069876505</v>
      </c>
      <c r="I59" s="29">
        <f t="shared" si="4"/>
        <v>708216.99729075702</v>
      </c>
    </row>
    <row r="60" spans="1:11" s="34" customFormat="1" x14ac:dyDescent="0.25">
      <c r="A60" s="27">
        <f t="shared" si="0"/>
        <v>43</v>
      </c>
      <c r="B60" s="28">
        <f t="shared" si="1"/>
        <v>42583</v>
      </c>
      <c r="C60" s="29">
        <f t="shared" si="5"/>
        <v>708216.99729075702</v>
      </c>
      <c r="D60" s="29">
        <f t="shared" si="6"/>
        <v>3324.9668424399906</v>
      </c>
      <c r="E60" s="30">
        <f t="shared" si="7"/>
        <v>0</v>
      </c>
      <c r="F60" s="29">
        <f t="shared" si="2"/>
        <v>3324.9668424399906</v>
      </c>
      <c r="G60" s="29">
        <f t="shared" si="3"/>
        <v>1406.8791414441903</v>
      </c>
      <c r="H60" s="29">
        <f t="shared" si="8"/>
        <v>1918.0877009958003</v>
      </c>
      <c r="I60" s="29">
        <f t="shared" si="4"/>
        <v>706810.1181493128</v>
      </c>
    </row>
    <row r="61" spans="1:11" s="34" customFormat="1" x14ac:dyDescent="0.25">
      <c r="A61" s="27">
        <f t="shared" si="0"/>
        <v>44</v>
      </c>
      <c r="B61" s="28">
        <f t="shared" si="1"/>
        <v>42614</v>
      </c>
      <c r="C61" s="29">
        <f t="shared" si="5"/>
        <v>706810.1181493128</v>
      </c>
      <c r="D61" s="29">
        <f t="shared" si="6"/>
        <v>3324.9668424399906</v>
      </c>
      <c r="E61" s="30">
        <f t="shared" si="7"/>
        <v>0</v>
      </c>
      <c r="F61" s="29">
        <f t="shared" si="2"/>
        <v>3324.9668424399906</v>
      </c>
      <c r="G61" s="29">
        <f t="shared" si="3"/>
        <v>1410.6894391189351</v>
      </c>
      <c r="H61" s="29">
        <f t="shared" si="8"/>
        <v>1914.2774033210555</v>
      </c>
      <c r="I61" s="29">
        <f t="shared" si="4"/>
        <v>705399.42871019384</v>
      </c>
    </row>
    <row r="62" spans="1:11" s="34" customFormat="1" x14ac:dyDescent="0.25">
      <c r="A62" s="27">
        <f t="shared" si="0"/>
        <v>45</v>
      </c>
      <c r="B62" s="28">
        <f t="shared" si="1"/>
        <v>42644</v>
      </c>
      <c r="C62" s="29">
        <f t="shared" si="5"/>
        <v>705399.42871019384</v>
      </c>
      <c r="D62" s="29">
        <f t="shared" si="6"/>
        <v>3324.9668424399906</v>
      </c>
      <c r="E62" s="30">
        <f t="shared" si="7"/>
        <v>0</v>
      </c>
      <c r="F62" s="29">
        <f t="shared" si="2"/>
        <v>3324.9668424399906</v>
      </c>
      <c r="G62" s="29">
        <f t="shared" si="3"/>
        <v>1414.5100563498825</v>
      </c>
      <c r="H62" s="29">
        <f t="shared" si="8"/>
        <v>1910.4567860901082</v>
      </c>
      <c r="I62" s="29">
        <f t="shared" si="4"/>
        <v>703984.91865384392</v>
      </c>
    </row>
    <row r="63" spans="1:11" s="34" customFormat="1" x14ac:dyDescent="0.25">
      <c r="A63" s="27">
        <f t="shared" si="0"/>
        <v>46</v>
      </c>
      <c r="B63" s="28">
        <f t="shared" si="1"/>
        <v>42675</v>
      </c>
      <c r="C63" s="29">
        <f t="shared" si="5"/>
        <v>703984.91865384392</v>
      </c>
      <c r="D63" s="29">
        <f t="shared" si="6"/>
        <v>3324.9668424399906</v>
      </c>
      <c r="E63" s="30">
        <f t="shared" si="7"/>
        <v>0</v>
      </c>
      <c r="F63" s="29">
        <f t="shared" si="2"/>
        <v>3324.9668424399906</v>
      </c>
      <c r="G63" s="29">
        <f t="shared" si="3"/>
        <v>1418.3410210858299</v>
      </c>
      <c r="H63" s="29">
        <f t="shared" si="8"/>
        <v>1906.6258213541607</v>
      </c>
      <c r="I63" s="29">
        <f t="shared" si="4"/>
        <v>702566.57763275807</v>
      </c>
    </row>
    <row r="64" spans="1:11" s="34" customFormat="1" x14ac:dyDescent="0.25">
      <c r="A64" s="27">
        <f t="shared" si="0"/>
        <v>47</v>
      </c>
      <c r="B64" s="28">
        <f t="shared" si="1"/>
        <v>42705</v>
      </c>
      <c r="C64" s="29">
        <f t="shared" si="5"/>
        <v>702566.57763275807</v>
      </c>
      <c r="D64" s="29">
        <f t="shared" si="6"/>
        <v>3324.9668424399906</v>
      </c>
      <c r="E64" s="30">
        <f t="shared" si="7"/>
        <v>0</v>
      </c>
      <c r="F64" s="29">
        <f t="shared" si="2"/>
        <v>3324.9668424399906</v>
      </c>
      <c r="G64" s="29">
        <f t="shared" si="3"/>
        <v>1422.1823613512709</v>
      </c>
      <c r="H64" s="29">
        <f t="shared" si="8"/>
        <v>1902.7844810887198</v>
      </c>
      <c r="I64" s="29">
        <f t="shared" si="4"/>
        <v>701144.39527140674</v>
      </c>
      <c r="J64" s="34" t="s">
        <v>41</v>
      </c>
      <c r="K64" s="34" t="s">
        <v>42</v>
      </c>
    </row>
    <row r="65" spans="1:11" s="34" customFormat="1" x14ac:dyDescent="0.25">
      <c r="A65" s="27">
        <f t="shared" si="0"/>
        <v>48</v>
      </c>
      <c r="B65" s="28">
        <f t="shared" si="1"/>
        <v>42736</v>
      </c>
      <c r="C65" s="29">
        <f t="shared" si="5"/>
        <v>701144.39527140674</v>
      </c>
      <c r="D65" s="29">
        <f t="shared" si="6"/>
        <v>3324.9668424399906</v>
      </c>
      <c r="E65" s="30">
        <f t="shared" si="7"/>
        <v>0</v>
      </c>
      <c r="F65" s="29">
        <f t="shared" si="2"/>
        <v>3324.9668424399906</v>
      </c>
      <c r="G65" s="29">
        <f t="shared" si="3"/>
        <v>1426.0341052465974</v>
      </c>
      <c r="H65" s="29">
        <f t="shared" si="8"/>
        <v>1898.9327371933932</v>
      </c>
      <c r="I65" s="29">
        <f t="shared" si="4"/>
        <v>699718.36116616009</v>
      </c>
      <c r="J65" s="37">
        <f>I65</f>
        <v>699718.36116616009</v>
      </c>
      <c r="K65" s="37">
        <f>SUM(H54:H65)</f>
        <v>23039.13299460812</v>
      </c>
    </row>
    <row r="66" spans="1:11" s="34" customFormat="1" x14ac:dyDescent="0.25">
      <c r="A66" s="27">
        <f t="shared" si="0"/>
        <v>49</v>
      </c>
      <c r="B66" s="28">
        <f t="shared" si="1"/>
        <v>42767</v>
      </c>
      <c r="C66" s="29">
        <f t="shared" si="5"/>
        <v>699718.36116616009</v>
      </c>
      <c r="D66" s="29">
        <f t="shared" si="6"/>
        <v>3324.9668424399906</v>
      </c>
      <c r="E66" s="30">
        <f t="shared" si="7"/>
        <v>0</v>
      </c>
      <c r="F66" s="29">
        <f t="shared" si="2"/>
        <v>3324.9668424399906</v>
      </c>
      <c r="G66" s="29">
        <f t="shared" si="3"/>
        <v>1429.8962809483071</v>
      </c>
      <c r="H66" s="29">
        <f t="shared" si="8"/>
        <v>1895.0705614916835</v>
      </c>
      <c r="I66" s="29">
        <f t="shared" si="4"/>
        <v>698288.46488521178</v>
      </c>
    </row>
    <row r="67" spans="1:11" s="34" customFormat="1" x14ac:dyDescent="0.25">
      <c r="A67" s="27">
        <f t="shared" si="0"/>
        <v>50</v>
      </c>
      <c r="B67" s="28">
        <f t="shared" si="1"/>
        <v>42795</v>
      </c>
      <c r="C67" s="29">
        <f t="shared" si="5"/>
        <v>698288.46488521178</v>
      </c>
      <c r="D67" s="29">
        <f t="shared" si="6"/>
        <v>3324.9668424399906</v>
      </c>
      <c r="E67" s="30">
        <f t="shared" si="7"/>
        <v>0</v>
      </c>
      <c r="F67" s="29">
        <f t="shared" si="2"/>
        <v>3324.9668424399906</v>
      </c>
      <c r="G67" s="29">
        <f t="shared" si="3"/>
        <v>1433.7689167092085</v>
      </c>
      <c r="H67" s="29">
        <f t="shared" si="8"/>
        <v>1891.1979257307821</v>
      </c>
      <c r="I67" s="29">
        <f t="shared" si="4"/>
        <v>696854.69596850255</v>
      </c>
    </row>
    <row r="68" spans="1:11" s="34" customFormat="1" x14ac:dyDescent="0.25">
      <c r="A68" s="27">
        <f t="shared" si="0"/>
        <v>51</v>
      </c>
      <c r="B68" s="28">
        <f t="shared" si="1"/>
        <v>42826</v>
      </c>
      <c r="C68" s="29">
        <f t="shared" si="5"/>
        <v>696854.69596850255</v>
      </c>
      <c r="D68" s="29">
        <f t="shared" si="6"/>
        <v>3324.9668424399906</v>
      </c>
      <c r="E68" s="30">
        <f t="shared" si="7"/>
        <v>0</v>
      </c>
      <c r="F68" s="29">
        <f t="shared" si="2"/>
        <v>3324.9668424399906</v>
      </c>
      <c r="G68" s="29">
        <f t="shared" si="3"/>
        <v>1437.6520408586293</v>
      </c>
      <c r="H68" s="29">
        <f t="shared" si="8"/>
        <v>1887.3148015813613</v>
      </c>
      <c r="I68" s="29">
        <f t="shared" si="4"/>
        <v>695417.04392764391</v>
      </c>
    </row>
    <row r="69" spans="1:11" s="34" customFormat="1" x14ac:dyDescent="0.25">
      <c r="A69" s="27">
        <f t="shared" si="0"/>
        <v>52</v>
      </c>
      <c r="B69" s="28">
        <f t="shared" si="1"/>
        <v>42856</v>
      </c>
      <c r="C69" s="29">
        <f t="shared" si="5"/>
        <v>695417.04392764391</v>
      </c>
      <c r="D69" s="29">
        <f t="shared" si="6"/>
        <v>3324.9668424399906</v>
      </c>
      <c r="E69" s="30">
        <f t="shared" si="7"/>
        <v>0</v>
      </c>
      <c r="F69" s="29">
        <f t="shared" si="2"/>
        <v>3324.9668424399906</v>
      </c>
      <c r="G69" s="29">
        <f t="shared" si="3"/>
        <v>1441.5456818026216</v>
      </c>
      <c r="H69" s="29">
        <f t="shared" si="8"/>
        <v>1883.421160637369</v>
      </c>
      <c r="I69" s="29">
        <f t="shared" si="4"/>
        <v>693975.49824584124</v>
      </c>
    </row>
    <row r="70" spans="1:11" s="34" customFormat="1" x14ac:dyDescent="0.25">
      <c r="A70" s="27">
        <f t="shared" si="0"/>
        <v>53</v>
      </c>
      <c r="B70" s="28">
        <f t="shared" si="1"/>
        <v>42887</v>
      </c>
      <c r="C70" s="29">
        <f t="shared" si="5"/>
        <v>693975.49824584124</v>
      </c>
      <c r="D70" s="29">
        <f t="shared" si="6"/>
        <v>3324.9668424399906</v>
      </c>
      <c r="E70" s="30">
        <f t="shared" si="7"/>
        <v>0</v>
      </c>
      <c r="F70" s="29">
        <f t="shared" si="2"/>
        <v>3324.9668424399906</v>
      </c>
      <c r="G70" s="29">
        <f t="shared" si="3"/>
        <v>1445.4498680241704</v>
      </c>
      <c r="H70" s="29">
        <f t="shared" si="8"/>
        <v>1879.5169744158202</v>
      </c>
      <c r="I70" s="29">
        <f t="shared" si="4"/>
        <v>692530.04837781703</v>
      </c>
    </row>
    <row r="71" spans="1:11" s="34" customFormat="1" x14ac:dyDescent="0.25">
      <c r="A71" s="27">
        <f t="shared" si="0"/>
        <v>54</v>
      </c>
      <c r="B71" s="28">
        <f t="shared" si="1"/>
        <v>42917</v>
      </c>
      <c r="C71" s="29">
        <f t="shared" si="5"/>
        <v>692530.04837781703</v>
      </c>
      <c r="D71" s="29">
        <f t="shared" si="6"/>
        <v>3324.9668424399906</v>
      </c>
      <c r="E71" s="30">
        <f t="shared" si="7"/>
        <v>0</v>
      </c>
      <c r="F71" s="29">
        <f t="shared" si="2"/>
        <v>3324.9668424399906</v>
      </c>
      <c r="G71" s="29">
        <f t="shared" si="3"/>
        <v>1449.3646280834027</v>
      </c>
      <c r="H71" s="29">
        <f t="shared" si="8"/>
        <v>1875.6022143565879</v>
      </c>
      <c r="I71" s="29">
        <f t="shared" si="4"/>
        <v>691080.68374973361</v>
      </c>
    </row>
    <row r="72" spans="1:11" s="34" customFormat="1" x14ac:dyDescent="0.25">
      <c r="A72" s="27">
        <f t="shared" si="0"/>
        <v>55</v>
      </c>
      <c r="B72" s="28">
        <f t="shared" si="1"/>
        <v>42948</v>
      </c>
      <c r="C72" s="29">
        <f t="shared" si="5"/>
        <v>691080.68374973361</v>
      </c>
      <c r="D72" s="29">
        <f t="shared" si="6"/>
        <v>3324.9668424399906</v>
      </c>
      <c r="E72" s="30">
        <f t="shared" si="7"/>
        <v>0</v>
      </c>
      <c r="F72" s="29">
        <f t="shared" si="2"/>
        <v>3324.9668424399906</v>
      </c>
      <c r="G72" s="29">
        <f t="shared" si="3"/>
        <v>1453.2899906177954</v>
      </c>
      <c r="H72" s="29">
        <f t="shared" si="8"/>
        <v>1871.6768518221952</v>
      </c>
      <c r="I72" s="29">
        <f t="shared" si="4"/>
        <v>689627.39375911583</v>
      </c>
    </row>
    <row r="73" spans="1:11" s="34" customFormat="1" x14ac:dyDescent="0.25">
      <c r="A73" s="27">
        <f t="shared" si="0"/>
        <v>56</v>
      </c>
      <c r="B73" s="28">
        <f t="shared" si="1"/>
        <v>42979</v>
      </c>
      <c r="C73" s="29">
        <f t="shared" si="5"/>
        <v>689627.39375911583</v>
      </c>
      <c r="D73" s="29">
        <f t="shared" si="6"/>
        <v>3324.9668424399906</v>
      </c>
      <c r="E73" s="30">
        <f t="shared" si="7"/>
        <v>0</v>
      </c>
      <c r="F73" s="29">
        <f t="shared" si="2"/>
        <v>3324.9668424399906</v>
      </c>
      <c r="G73" s="29">
        <f t="shared" si="3"/>
        <v>1457.2259843423851</v>
      </c>
      <c r="H73" s="29">
        <f t="shared" si="8"/>
        <v>1867.7408580976055</v>
      </c>
      <c r="I73" s="29">
        <f t="shared" si="4"/>
        <v>688170.16777477344</v>
      </c>
    </row>
    <row r="74" spans="1:11" s="34" customFormat="1" x14ac:dyDescent="0.25">
      <c r="A74" s="27">
        <f t="shared" si="0"/>
        <v>57</v>
      </c>
      <c r="B74" s="28">
        <f t="shared" si="1"/>
        <v>43009</v>
      </c>
      <c r="C74" s="29">
        <f t="shared" si="5"/>
        <v>688170.16777477344</v>
      </c>
      <c r="D74" s="29">
        <f t="shared" si="6"/>
        <v>3324.9668424399906</v>
      </c>
      <c r="E74" s="30">
        <f t="shared" si="7"/>
        <v>0</v>
      </c>
      <c r="F74" s="29">
        <f t="shared" si="2"/>
        <v>3324.9668424399906</v>
      </c>
      <c r="G74" s="29">
        <f t="shared" si="3"/>
        <v>1461.1726380499792</v>
      </c>
      <c r="H74" s="29">
        <f t="shared" si="8"/>
        <v>1863.7942043900114</v>
      </c>
      <c r="I74" s="29">
        <f t="shared" si="4"/>
        <v>686708.9951367235</v>
      </c>
    </row>
    <row r="75" spans="1:11" s="34" customFormat="1" x14ac:dyDescent="0.25">
      <c r="A75" s="27">
        <f t="shared" si="0"/>
        <v>58</v>
      </c>
      <c r="B75" s="28">
        <f t="shared" si="1"/>
        <v>43040</v>
      </c>
      <c r="C75" s="29">
        <f t="shared" si="5"/>
        <v>686708.9951367235</v>
      </c>
      <c r="D75" s="29">
        <f t="shared" si="6"/>
        <v>3324.9668424399906</v>
      </c>
      <c r="E75" s="30">
        <f t="shared" si="7"/>
        <v>0</v>
      </c>
      <c r="F75" s="29">
        <f t="shared" si="2"/>
        <v>3324.9668424399906</v>
      </c>
      <c r="G75" s="29">
        <f t="shared" si="3"/>
        <v>1465.1299806113645</v>
      </c>
      <c r="H75" s="29">
        <f t="shared" si="8"/>
        <v>1859.8368618286261</v>
      </c>
      <c r="I75" s="29">
        <f t="shared" si="4"/>
        <v>685243.86515611212</v>
      </c>
    </row>
    <row r="76" spans="1:11" s="34" customFormat="1" x14ac:dyDescent="0.25">
      <c r="A76" s="27">
        <f t="shared" si="0"/>
        <v>59</v>
      </c>
      <c r="B76" s="28">
        <f t="shared" si="1"/>
        <v>43070</v>
      </c>
      <c r="C76" s="29">
        <f t="shared" si="5"/>
        <v>685243.86515611212</v>
      </c>
      <c r="D76" s="29">
        <f t="shared" si="6"/>
        <v>3324.9668424399906</v>
      </c>
      <c r="E76" s="30">
        <f t="shared" si="7"/>
        <v>0</v>
      </c>
      <c r="F76" s="29">
        <f t="shared" si="2"/>
        <v>3324.9668424399906</v>
      </c>
      <c r="G76" s="29">
        <f t="shared" si="3"/>
        <v>1469.0980409755202</v>
      </c>
      <c r="H76" s="29">
        <f t="shared" si="8"/>
        <v>1855.8688014644704</v>
      </c>
      <c r="I76" s="29">
        <f t="shared" si="4"/>
        <v>683774.76711513661</v>
      </c>
      <c r="J76" s="34" t="s">
        <v>41</v>
      </c>
      <c r="K76" s="34" t="s">
        <v>42</v>
      </c>
    </row>
    <row r="77" spans="1:11" s="34" customFormat="1" x14ac:dyDescent="0.25">
      <c r="A77" s="27">
        <f t="shared" si="0"/>
        <v>60</v>
      </c>
      <c r="B77" s="28">
        <f t="shared" si="1"/>
        <v>43101</v>
      </c>
      <c r="C77" s="29">
        <f t="shared" si="5"/>
        <v>683774.76711513661</v>
      </c>
      <c r="D77" s="29">
        <f t="shared" si="6"/>
        <v>3324.9668424399906</v>
      </c>
      <c r="E77" s="30">
        <f t="shared" si="7"/>
        <v>0</v>
      </c>
      <c r="F77" s="29">
        <f t="shared" si="2"/>
        <v>3324.9668424399906</v>
      </c>
      <c r="G77" s="29">
        <f t="shared" si="3"/>
        <v>1473.076848169829</v>
      </c>
      <c r="H77" s="29">
        <f t="shared" si="8"/>
        <v>1851.8899942701617</v>
      </c>
      <c r="I77" s="29">
        <f t="shared" si="4"/>
        <v>682301.69026696682</v>
      </c>
      <c r="J77" s="37">
        <f>I77</f>
        <v>682301.69026696682</v>
      </c>
      <c r="K77" s="37">
        <f>SUM(H66:H77)</f>
        <v>22482.931210086674</v>
      </c>
    </row>
    <row r="78" spans="1:11" s="34" customFormat="1" x14ac:dyDescent="0.25">
      <c r="A78" s="27">
        <f t="shared" si="0"/>
        <v>61</v>
      </c>
      <c r="B78" s="28">
        <f t="shared" si="1"/>
        <v>43132</v>
      </c>
      <c r="C78" s="29">
        <f t="shared" si="5"/>
        <v>682301.69026696682</v>
      </c>
      <c r="D78" s="29">
        <f t="shared" si="6"/>
        <v>3324.9668424399906</v>
      </c>
      <c r="E78" s="30">
        <f t="shared" si="7"/>
        <v>0</v>
      </c>
      <c r="F78" s="29">
        <f t="shared" si="2"/>
        <v>3324.9668424399906</v>
      </c>
      <c r="G78" s="29">
        <f t="shared" si="3"/>
        <v>1477.0664313002887</v>
      </c>
      <c r="H78" s="29">
        <f t="shared" si="8"/>
        <v>1847.9004111397019</v>
      </c>
      <c r="I78" s="29">
        <f t="shared" si="4"/>
        <v>680824.62383566657</v>
      </c>
    </row>
    <row r="79" spans="1:11" s="34" customFormat="1" x14ac:dyDescent="0.25">
      <c r="A79" s="27">
        <f t="shared" si="0"/>
        <v>62</v>
      </c>
      <c r="B79" s="28">
        <f t="shared" si="1"/>
        <v>43160</v>
      </c>
      <c r="C79" s="29">
        <f t="shared" si="5"/>
        <v>680824.62383566657</v>
      </c>
      <c r="D79" s="29">
        <f t="shared" si="6"/>
        <v>3324.9668424399906</v>
      </c>
      <c r="E79" s="30">
        <f t="shared" si="7"/>
        <v>0</v>
      </c>
      <c r="F79" s="29">
        <f t="shared" si="2"/>
        <v>3324.9668424399906</v>
      </c>
      <c r="G79" s="29">
        <f t="shared" si="3"/>
        <v>1481.0668195517271</v>
      </c>
      <c r="H79" s="29">
        <f t="shared" si="8"/>
        <v>1843.9000228882635</v>
      </c>
      <c r="I79" s="29">
        <f t="shared" si="4"/>
        <v>679343.55701611482</v>
      </c>
    </row>
    <row r="80" spans="1:11" s="34" customFormat="1" x14ac:dyDescent="0.25">
      <c r="A80" s="27">
        <f t="shared" si="0"/>
        <v>63</v>
      </c>
      <c r="B80" s="28">
        <f t="shared" si="1"/>
        <v>43191</v>
      </c>
      <c r="C80" s="29">
        <f t="shared" si="5"/>
        <v>679343.55701611482</v>
      </c>
      <c r="D80" s="29">
        <f t="shared" si="6"/>
        <v>3324.9668424399906</v>
      </c>
      <c r="E80" s="30">
        <f t="shared" si="7"/>
        <v>0</v>
      </c>
      <c r="F80" s="29">
        <f t="shared" si="2"/>
        <v>3324.9668424399906</v>
      </c>
      <c r="G80" s="29">
        <f t="shared" si="3"/>
        <v>1485.0780421880129</v>
      </c>
      <c r="H80" s="29">
        <f t="shared" si="8"/>
        <v>1839.8888002519777</v>
      </c>
      <c r="I80" s="29">
        <f t="shared" si="4"/>
        <v>677858.47897392686</v>
      </c>
    </row>
    <row r="81" spans="1:11" s="34" customFormat="1" x14ac:dyDescent="0.25">
      <c r="A81" s="27">
        <f t="shared" si="0"/>
        <v>64</v>
      </c>
      <c r="B81" s="28">
        <f t="shared" si="1"/>
        <v>43221</v>
      </c>
      <c r="C81" s="29">
        <f t="shared" si="5"/>
        <v>677858.47897392686</v>
      </c>
      <c r="D81" s="29">
        <f t="shared" si="6"/>
        <v>3324.9668424399906</v>
      </c>
      <c r="E81" s="30">
        <f t="shared" si="7"/>
        <v>0</v>
      </c>
      <c r="F81" s="29">
        <f t="shared" si="2"/>
        <v>3324.9668424399906</v>
      </c>
      <c r="G81" s="29">
        <f t="shared" si="3"/>
        <v>1489.1001285522718</v>
      </c>
      <c r="H81" s="29">
        <f t="shared" si="8"/>
        <v>1835.8667138877188</v>
      </c>
      <c r="I81" s="29">
        <f t="shared" si="4"/>
        <v>676369.37884537457</v>
      </c>
    </row>
    <row r="82" spans="1:11" s="34" customFormat="1" x14ac:dyDescent="0.25">
      <c r="A82" s="27">
        <f t="shared" si="0"/>
        <v>65</v>
      </c>
      <c r="B82" s="28">
        <f t="shared" si="1"/>
        <v>43252</v>
      </c>
      <c r="C82" s="29">
        <f t="shared" si="5"/>
        <v>676369.37884537457</v>
      </c>
      <c r="D82" s="29">
        <f t="shared" si="6"/>
        <v>3324.9668424399906</v>
      </c>
      <c r="E82" s="30">
        <f t="shared" si="7"/>
        <v>0</v>
      </c>
      <c r="F82" s="29">
        <f t="shared" si="2"/>
        <v>3324.9668424399906</v>
      </c>
      <c r="G82" s="29">
        <f t="shared" si="3"/>
        <v>1493.1331080671009</v>
      </c>
      <c r="H82" s="29">
        <f t="shared" si="8"/>
        <v>1831.8337343728897</v>
      </c>
      <c r="I82" s="29">
        <f t="shared" si="4"/>
        <v>674876.24573730747</v>
      </c>
    </row>
    <row r="83" spans="1:11" s="34" customFormat="1" x14ac:dyDescent="0.25">
      <c r="A83" s="27">
        <f t="shared" ref="A83:A146" si="9">IF(Values_Entered,A82+1,"")</f>
        <v>66</v>
      </c>
      <c r="B83" s="28">
        <f t="shared" ref="B83:B146" si="10">IF(Pay_Num&lt;&gt;"",DATE(YEAR(B82),MONTH(B82)+1,DAY(B82)),"")</f>
        <v>43282</v>
      </c>
      <c r="C83" s="29">
        <f t="shared" si="5"/>
        <v>674876.24573730747</v>
      </c>
      <c r="D83" s="29">
        <f t="shared" si="6"/>
        <v>3324.9668424399906</v>
      </c>
      <c r="E83" s="30">
        <f t="shared" ref="E83:E146" si="11">IF(Pay_Num&lt;&gt;"",Scheduled_Extra_Payments,"")</f>
        <v>0</v>
      </c>
      <c r="F83" s="29">
        <f t="shared" ref="F83:F146" si="12">IF(Pay_Num&lt;&gt;"",Sched_Pay+Extra_Pay,"")</f>
        <v>3324.9668424399906</v>
      </c>
      <c r="G83" s="29">
        <f t="shared" ref="G83:G146" si="13">IF(Pay_Num&lt;&gt;"",Total_Pay-Int,"")</f>
        <v>1497.1770102347828</v>
      </c>
      <c r="H83" s="29">
        <f t="shared" si="8"/>
        <v>1827.7898322052079</v>
      </c>
      <c r="I83" s="29">
        <f t="shared" ref="I83:I146" si="14">IF(Pay_Num&lt;&gt;"",Beg_Bal-Princ,"")</f>
        <v>673379.06872707268</v>
      </c>
    </row>
    <row r="84" spans="1:11" s="34" customFormat="1" x14ac:dyDescent="0.25">
      <c r="A84" s="27">
        <f t="shared" si="9"/>
        <v>67</v>
      </c>
      <c r="B84" s="28">
        <f t="shared" si="10"/>
        <v>43313</v>
      </c>
      <c r="C84" s="29">
        <f t="shared" ref="C84:C147" si="15">IF(Pay_Num&lt;&gt;"",I83,"")</f>
        <v>673379.06872707268</v>
      </c>
      <c r="D84" s="29">
        <f t="shared" ref="D84:D147" si="16">IF(Pay_Num&lt;&gt;"",Scheduled_Monthly_Payment,"")</f>
        <v>3324.9668424399906</v>
      </c>
      <c r="E84" s="30">
        <f t="shared" si="11"/>
        <v>0</v>
      </c>
      <c r="F84" s="29">
        <f t="shared" si="12"/>
        <v>3324.9668424399906</v>
      </c>
      <c r="G84" s="29">
        <f t="shared" si="13"/>
        <v>1501.2318646375022</v>
      </c>
      <c r="H84" s="29">
        <f t="shared" ref="H84:H147" si="17">IF(Pay_Num&lt;&gt;"",Beg_Bal*Interest_Rate/12,"")</f>
        <v>1823.7349778024884</v>
      </c>
      <c r="I84" s="29">
        <f t="shared" si="14"/>
        <v>671877.83686243522</v>
      </c>
    </row>
    <row r="85" spans="1:11" s="34" customFormat="1" x14ac:dyDescent="0.25">
      <c r="A85" s="27">
        <f t="shared" si="9"/>
        <v>68</v>
      </c>
      <c r="B85" s="28">
        <f t="shared" si="10"/>
        <v>43344</v>
      </c>
      <c r="C85" s="29">
        <f t="shared" si="15"/>
        <v>671877.83686243522</v>
      </c>
      <c r="D85" s="29">
        <f t="shared" si="16"/>
        <v>3324.9668424399906</v>
      </c>
      <c r="E85" s="30">
        <f t="shared" si="11"/>
        <v>0</v>
      </c>
      <c r="F85" s="29">
        <f t="shared" si="12"/>
        <v>3324.9668424399906</v>
      </c>
      <c r="G85" s="29">
        <f t="shared" si="13"/>
        <v>1505.2977009375618</v>
      </c>
      <c r="H85" s="29">
        <f t="shared" si="17"/>
        <v>1819.6691415024288</v>
      </c>
      <c r="I85" s="29">
        <f t="shared" si="14"/>
        <v>670372.53916149761</v>
      </c>
    </row>
    <row r="86" spans="1:11" s="34" customFormat="1" x14ac:dyDescent="0.25">
      <c r="A86" s="27">
        <f t="shared" si="9"/>
        <v>69</v>
      </c>
      <c r="B86" s="28">
        <f t="shared" si="10"/>
        <v>43374</v>
      </c>
      <c r="C86" s="29">
        <f t="shared" si="15"/>
        <v>670372.53916149761</v>
      </c>
      <c r="D86" s="29">
        <f t="shared" si="16"/>
        <v>3324.9668424399906</v>
      </c>
      <c r="E86" s="30">
        <f t="shared" si="11"/>
        <v>0</v>
      </c>
      <c r="F86" s="29">
        <f t="shared" si="12"/>
        <v>3324.9668424399906</v>
      </c>
      <c r="G86" s="29">
        <f t="shared" si="13"/>
        <v>1509.3745488776012</v>
      </c>
      <c r="H86" s="29">
        <f t="shared" si="17"/>
        <v>1815.5922935623894</v>
      </c>
      <c r="I86" s="29">
        <f t="shared" si="14"/>
        <v>668863.16461262002</v>
      </c>
    </row>
    <row r="87" spans="1:11" s="34" customFormat="1" x14ac:dyDescent="0.25">
      <c r="A87" s="27">
        <f t="shared" si="9"/>
        <v>70</v>
      </c>
      <c r="B87" s="28">
        <f t="shared" si="10"/>
        <v>43405</v>
      </c>
      <c r="C87" s="29">
        <f t="shared" si="15"/>
        <v>668863.16461262002</v>
      </c>
      <c r="D87" s="29">
        <f t="shared" si="16"/>
        <v>3324.9668424399906</v>
      </c>
      <c r="E87" s="30">
        <f t="shared" si="11"/>
        <v>0</v>
      </c>
      <c r="F87" s="29">
        <f t="shared" si="12"/>
        <v>3324.9668424399906</v>
      </c>
      <c r="G87" s="29">
        <f t="shared" si="13"/>
        <v>1513.4624382808113</v>
      </c>
      <c r="H87" s="29">
        <f t="shared" si="17"/>
        <v>1811.5044041591793</v>
      </c>
      <c r="I87" s="29">
        <f t="shared" si="14"/>
        <v>667349.70217433921</v>
      </c>
    </row>
    <row r="88" spans="1:11" s="34" customFormat="1" x14ac:dyDescent="0.25">
      <c r="A88" s="27">
        <f t="shared" si="9"/>
        <v>71</v>
      </c>
      <c r="B88" s="28">
        <f t="shared" si="10"/>
        <v>43435</v>
      </c>
      <c r="C88" s="29">
        <f t="shared" si="15"/>
        <v>667349.70217433921</v>
      </c>
      <c r="D88" s="29">
        <f t="shared" si="16"/>
        <v>3324.9668424399906</v>
      </c>
      <c r="E88" s="30">
        <f t="shared" si="11"/>
        <v>0</v>
      </c>
      <c r="F88" s="29">
        <f t="shared" si="12"/>
        <v>3324.9668424399906</v>
      </c>
      <c r="G88" s="29">
        <f t="shared" si="13"/>
        <v>1517.5613990511554</v>
      </c>
      <c r="H88" s="29">
        <f t="shared" si="17"/>
        <v>1807.4054433888352</v>
      </c>
      <c r="I88" s="29">
        <f t="shared" si="14"/>
        <v>665832.14077528811</v>
      </c>
      <c r="J88" s="34" t="s">
        <v>41</v>
      </c>
      <c r="K88" s="34" t="s">
        <v>42</v>
      </c>
    </row>
    <row r="89" spans="1:11" s="34" customFormat="1" x14ac:dyDescent="0.25">
      <c r="A89" s="27">
        <f t="shared" si="9"/>
        <v>72</v>
      </c>
      <c r="B89" s="28">
        <f t="shared" si="10"/>
        <v>43466</v>
      </c>
      <c r="C89" s="29">
        <f t="shared" si="15"/>
        <v>665832.14077528811</v>
      </c>
      <c r="D89" s="29">
        <f t="shared" si="16"/>
        <v>3324.9668424399906</v>
      </c>
      <c r="E89" s="30">
        <f t="shared" si="11"/>
        <v>0</v>
      </c>
      <c r="F89" s="29">
        <f t="shared" si="12"/>
        <v>3324.9668424399906</v>
      </c>
      <c r="G89" s="29">
        <f t="shared" si="13"/>
        <v>1521.6714611735852</v>
      </c>
      <c r="H89" s="29">
        <f t="shared" si="17"/>
        <v>1803.2953812664055</v>
      </c>
      <c r="I89" s="29">
        <f t="shared" si="14"/>
        <v>664310.46931411454</v>
      </c>
      <c r="J89" s="37">
        <f>I89</f>
        <v>664310.46931411454</v>
      </c>
      <c r="K89" s="37">
        <f>SUM(H78:H89)</f>
        <v>21908.381156427487</v>
      </c>
    </row>
    <row r="90" spans="1:11" s="34" customFormat="1" x14ac:dyDescent="0.25">
      <c r="A90" s="27">
        <f t="shared" si="9"/>
        <v>73</v>
      </c>
      <c r="B90" s="28">
        <f t="shared" si="10"/>
        <v>43497</v>
      </c>
      <c r="C90" s="29">
        <f t="shared" si="15"/>
        <v>664310.46931411454</v>
      </c>
      <c r="D90" s="29">
        <f t="shared" si="16"/>
        <v>3324.9668424399906</v>
      </c>
      <c r="E90" s="30">
        <f t="shared" si="11"/>
        <v>0</v>
      </c>
      <c r="F90" s="29">
        <f t="shared" si="12"/>
        <v>3324.9668424399906</v>
      </c>
      <c r="G90" s="29">
        <f t="shared" si="13"/>
        <v>1525.7926547142636</v>
      </c>
      <c r="H90" s="29">
        <f t="shared" si="17"/>
        <v>1799.1741877257271</v>
      </c>
      <c r="I90" s="29">
        <f t="shared" si="14"/>
        <v>662784.67665940023</v>
      </c>
    </row>
    <row r="91" spans="1:11" s="34" customFormat="1" x14ac:dyDescent="0.25">
      <c r="A91" s="27">
        <f t="shared" si="9"/>
        <v>74</v>
      </c>
      <c r="B91" s="28">
        <f t="shared" si="10"/>
        <v>43525</v>
      </c>
      <c r="C91" s="29">
        <f t="shared" si="15"/>
        <v>662784.67665940023</v>
      </c>
      <c r="D91" s="29">
        <f t="shared" si="16"/>
        <v>3324.9668424399906</v>
      </c>
      <c r="E91" s="30">
        <f t="shared" si="11"/>
        <v>0</v>
      </c>
      <c r="F91" s="29">
        <f t="shared" si="12"/>
        <v>3324.9668424399906</v>
      </c>
      <c r="G91" s="29">
        <f t="shared" si="13"/>
        <v>1529.9250098207815</v>
      </c>
      <c r="H91" s="29">
        <f t="shared" si="17"/>
        <v>1795.0418326192091</v>
      </c>
      <c r="I91" s="29">
        <f t="shared" si="14"/>
        <v>661254.7516495795</v>
      </c>
    </row>
    <row r="92" spans="1:11" s="34" customFormat="1" x14ac:dyDescent="0.25">
      <c r="A92" s="27">
        <f t="shared" si="9"/>
        <v>75</v>
      </c>
      <c r="B92" s="28">
        <f t="shared" si="10"/>
        <v>43556</v>
      </c>
      <c r="C92" s="29">
        <f t="shared" si="15"/>
        <v>661254.7516495795</v>
      </c>
      <c r="D92" s="29">
        <f t="shared" si="16"/>
        <v>3324.9668424399906</v>
      </c>
      <c r="E92" s="30">
        <f t="shared" si="11"/>
        <v>0</v>
      </c>
      <c r="F92" s="29">
        <f t="shared" si="12"/>
        <v>3324.9668424399906</v>
      </c>
      <c r="G92" s="29">
        <f t="shared" si="13"/>
        <v>1534.0685567223793</v>
      </c>
      <c r="H92" s="29">
        <f t="shared" si="17"/>
        <v>1790.8982857176113</v>
      </c>
      <c r="I92" s="29">
        <f t="shared" si="14"/>
        <v>659720.68309285713</v>
      </c>
    </row>
    <row r="93" spans="1:11" s="34" customFormat="1" x14ac:dyDescent="0.25">
      <c r="A93" s="27">
        <f t="shared" si="9"/>
        <v>76</v>
      </c>
      <c r="B93" s="28">
        <f t="shared" si="10"/>
        <v>43586</v>
      </c>
      <c r="C93" s="29">
        <f t="shared" si="15"/>
        <v>659720.68309285713</v>
      </c>
      <c r="D93" s="29">
        <f t="shared" si="16"/>
        <v>3324.9668424399906</v>
      </c>
      <c r="E93" s="30">
        <f t="shared" si="11"/>
        <v>0</v>
      </c>
      <c r="F93" s="29">
        <f t="shared" si="12"/>
        <v>3324.9668424399906</v>
      </c>
      <c r="G93" s="29">
        <f t="shared" si="13"/>
        <v>1538.2233257301693</v>
      </c>
      <c r="H93" s="29">
        <f t="shared" si="17"/>
        <v>1786.7435167098213</v>
      </c>
      <c r="I93" s="29">
        <f t="shared" si="14"/>
        <v>658182.45976712694</v>
      </c>
    </row>
    <row r="94" spans="1:11" s="34" customFormat="1" x14ac:dyDescent="0.25">
      <c r="A94" s="27">
        <f t="shared" si="9"/>
        <v>77</v>
      </c>
      <c r="B94" s="28">
        <f t="shared" si="10"/>
        <v>43617</v>
      </c>
      <c r="C94" s="29">
        <f t="shared" si="15"/>
        <v>658182.45976712694</v>
      </c>
      <c r="D94" s="29">
        <f t="shared" si="16"/>
        <v>3324.9668424399906</v>
      </c>
      <c r="E94" s="30">
        <f t="shared" si="11"/>
        <v>0</v>
      </c>
      <c r="F94" s="29">
        <f t="shared" si="12"/>
        <v>3324.9668424399906</v>
      </c>
      <c r="G94" s="29">
        <f t="shared" si="13"/>
        <v>1542.389347237355</v>
      </c>
      <c r="H94" s="29">
        <f t="shared" si="17"/>
        <v>1782.5774952026356</v>
      </c>
      <c r="I94" s="29">
        <f t="shared" si="14"/>
        <v>656640.07041988964</v>
      </c>
    </row>
    <row r="95" spans="1:11" s="34" customFormat="1" x14ac:dyDescent="0.25">
      <c r="A95" s="27">
        <f t="shared" si="9"/>
        <v>78</v>
      </c>
      <c r="B95" s="28">
        <f t="shared" si="10"/>
        <v>43647</v>
      </c>
      <c r="C95" s="29">
        <f t="shared" si="15"/>
        <v>656640.07041988964</v>
      </c>
      <c r="D95" s="29">
        <f t="shared" si="16"/>
        <v>3324.9668424399906</v>
      </c>
      <c r="E95" s="30">
        <f t="shared" si="11"/>
        <v>0</v>
      </c>
      <c r="F95" s="29">
        <f t="shared" si="12"/>
        <v>3324.9668424399906</v>
      </c>
      <c r="G95" s="29">
        <f t="shared" si="13"/>
        <v>1546.5666517194561</v>
      </c>
      <c r="H95" s="29">
        <f t="shared" si="17"/>
        <v>1778.4001907205345</v>
      </c>
      <c r="I95" s="29">
        <f t="shared" si="14"/>
        <v>655093.50376817014</v>
      </c>
    </row>
    <row r="96" spans="1:11" s="34" customFormat="1" x14ac:dyDescent="0.25">
      <c r="A96" s="27">
        <f t="shared" si="9"/>
        <v>79</v>
      </c>
      <c r="B96" s="28">
        <f t="shared" si="10"/>
        <v>43678</v>
      </c>
      <c r="C96" s="29">
        <f t="shared" si="15"/>
        <v>655093.50376817014</v>
      </c>
      <c r="D96" s="29">
        <f t="shared" si="16"/>
        <v>3324.9668424399906</v>
      </c>
      <c r="E96" s="30">
        <f t="shared" si="11"/>
        <v>0</v>
      </c>
      <c r="F96" s="29">
        <f t="shared" si="12"/>
        <v>3324.9668424399906</v>
      </c>
      <c r="G96" s="29">
        <f t="shared" si="13"/>
        <v>1550.7552697345297</v>
      </c>
      <c r="H96" s="29">
        <f t="shared" si="17"/>
        <v>1774.2115727054609</v>
      </c>
      <c r="I96" s="29">
        <f t="shared" si="14"/>
        <v>653542.7484984356</v>
      </c>
    </row>
    <row r="97" spans="1:11" s="34" customFormat="1" x14ac:dyDescent="0.25">
      <c r="A97" s="27">
        <f t="shared" si="9"/>
        <v>80</v>
      </c>
      <c r="B97" s="28">
        <f t="shared" si="10"/>
        <v>43709</v>
      </c>
      <c r="C97" s="29">
        <f t="shared" si="15"/>
        <v>653542.7484984356</v>
      </c>
      <c r="D97" s="29">
        <f t="shared" si="16"/>
        <v>3324.9668424399906</v>
      </c>
      <c r="E97" s="30">
        <f t="shared" si="11"/>
        <v>0</v>
      </c>
      <c r="F97" s="29">
        <f t="shared" si="12"/>
        <v>3324.9668424399906</v>
      </c>
      <c r="G97" s="29">
        <f t="shared" si="13"/>
        <v>1554.9552319233942</v>
      </c>
      <c r="H97" s="29">
        <f t="shared" si="17"/>
        <v>1770.0116105165964</v>
      </c>
      <c r="I97" s="29">
        <f t="shared" si="14"/>
        <v>651987.79326651222</v>
      </c>
    </row>
    <row r="98" spans="1:11" s="34" customFormat="1" x14ac:dyDescent="0.25">
      <c r="A98" s="27">
        <f t="shared" si="9"/>
        <v>81</v>
      </c>
      <c r="B98" s="28">
        <f t="shared" si="10"/>
        <v>43739</v>
      </c>
      <c r="C98" s="29">
        <f t="shared" si="15"/>
        <v>651987.79326651222</v>
      </c>
      <c r="D98" s="29">
        <f t="shared" si="16"/>
        <v>3324.9668424399906</v>
      </c>
      <c r="E98" s="30">
        <f t="shared" si="11"/>
        <v>0</v>
      </c>
      <c r="F98" s="29">
        <f t="shared" si="12"/>
        <v>3324.9668424399906</v>
      </c>
      <c r="G98" s="29">
        <f t="shared" si="13"/>
        <v>1559.1665690098532</v>
      </c>
      <c r="H98" s="29">
        <f t="shared" si="17"/>
        <v>1765.8002734301374</v>
      </c>
      <c r="I98" s="29">
        <f t="shared" si="14"/>
        <v>650428.62669750233</v>
      </c>
    </row>
    <row r="99" spans="1:11" s="34" customFormat="1" x14ac:dyDescent="0.25">
      <c r="A99" s="27">
        <f t="shared" si="9"/>
        <v>82</v>
      </c>
      <c r="B99" s="28">
        <f t="shared" si="10"/>
        <v>43770</v>
      </c>
      <c r="C99" s="29">
        <f t="shared" si="15"/>
        <v>650428.62669750233</v>
      </c>
      <c r="D99" s="29">
        <f t="shared" si="16"/>
        <v>3324.9668424399906</v>
      </c>
      <c r="E99" s="30">
        <f t="shared" si="11"/>
        <v>0</v>
      </c>
      <c r="F99" s="29">
        <f t="shared" si="12"/>
        <v>3324.9668424399906</v>
      </c>
      <c r="G99" s="29">
        <f t="shared" si="13"/>
        <v>1563.3893118009219</v>
      </c>
      <c r="H99" s="29">
        <f t="shared" si="17"/>
        <v>1761.5775306390688</v>
      </c>
      <c r="I99" s="29">
        <f t="shared" si="14"/>
        <v>648865.23738570139</v>
      </c>
    </row>
    <row r="100" spans="1:11" s="34" customFormat="1" x14ac:dyDescent="0.25">
      <c r="A100" s="27">
        <f t="shared" si="9"/>
        <v>83</v>
      </c>
      <c r="B100" s="28">
        <f t="shared" si="10"/>
        <v>43800</v>
      </c>
      <c r="C100" s="29">
        <f t="shared" si="15"/>
        <v>648865.23738570139</v>
      </c>
      <c r="D100" s="29">
        <f t="shared" si="16"/>
        <v>3324.9668424399906</v>
      </c>
      <c r="E100" s="30">
        <f t="shared" si="11"/>
        <v>0</v>
      </c>
      <c r="F100" s="29">
        <f t="shared" si="12"/>
        <v>3324.9668424399906</v>
      </c>
      <c r="G100" s="29">
        <f t="shared" si="13"/>
        <v>1567.6234911870495</v>
      </c>
      <c r="H100" s="29">
        <f t="shared" si="17"/>
        <v>1757.3433512529411</v>
      </c>
      <c r="I100" s="29">
        <f t="shared" si="14"/>
        <v>647297.61389451439</v>
      </c>
      <c r="J100" s="34" t="s">
        <v>41</v>
      </c>
      <c r="K100" s="34" t="s">
        <v>42</v>
      </c>
    </row>
    <row r="101" spans="1:11" s="34" customFormat="1" x14ac:dyDescent="0.25">
      <c r="A101" s="27">
        <f t="shared" si="9"/>
        <v>84</v>
      </c>
      <c r="B101" s="28">
        <f t="shared" si="10"/>
        <v>43831</v>
      </c>
      <c r="C101" s="29">
        <f t="shared" si="15"/>
        <v>647297.61389451439</v>
      </c>
      <c r="D101" s="29">
        <f t="shared" si="16"/>
        <v>3324.9668424399906</v>
      </c>
      <c r="E101" s="30">
        <f t="shared" si="11"/>
        <v>0</v>
      </c>
      <c r="F101" s="29">
        <f t="shared" si="12"/>
        <v>3324.9668424399906</v>
      </c>
      <c r="G101" s="29">
        <f t="shared" si="13"/>
        <v>1571.8691381423475</v>
      </c>
      <c r="H101" s="29">
        <f t="shared" si="17"/>
        <v>1753.0977042976431</v>
      </c>
      <c r="I101" s="29">
        <f t="shared" si="14"/>
        <v>645725.74475637206</v>
      </c>
      <c r="J101" s="37">
        <f>I101</f>
        <v>645725.74475637206</v>
      </c>
      <c r="K101" s="37">
        <f>SUM(H90:H101)</f>
        <v>21314.877551537385</v>
      </c>
    </row>
    <row r="102" spans="1:11" s="34" customFormat="1" x14ac:dyDescent="0.25">
      <c r="A102" s="27">
        <f t="shared" si="9"/>
        <v>85</v>
      </c>
      <c r="B102" s="28">
        <f t="shared" si="10"/>
        <v>43862</v>
      </c>
      <c r="C102" s="29">
        <f t="shared" si="15"/>
        <v>645725.74475637206</v>
      </c>
      <c r="D102" s="29">
        <f t="shared" si="16"/>
        <v>3324.9668424399906</v>
      </c>
      <c r="E102" s="30">
        <f t="shared" si="11"/>
        <v>0</v>
      </c>
      <c r="F102" s="29">
        <f t="shared" si="12"/>
        <v>3324.9668424399906</v>
      </c>
      <c r="G102" s="29">
        <f t="shared" si="13"/>
        <v>1576.1262837248162</v>
      </c>
      <c r="H102" s="29">
        <f t="shared" si="17"/>
        <v>1748.8405587151744</v>
      </c>
      <c r="I102" s="29">
        <f t="shared" si="14"/>
        <v>644149.61847264727</v>
      </c>
    </row>
    <row r="103" spans="1:11" s="34" customFormat="1" x14ac:dyDescent="0.25">
      <c r="A103" s="27">
        <f t="shared" si="9"/>
        <v>86</v>
      </c>
      <c r="B103" s="28">
        <f t="shared" si="10"/>
        <v>43891</v>
      </c>
      <c r="C103" s="29">
        <f t="shared" si="15"/>
        <v>644149.61847264727</v>
      </c>
      <c r="D103" s="29">
        <f t="shared" si="16"/>
        <v>3324.9668424399906</v>
      </c>
      <c r="E103" s="30">
        <f t="shared" si="11"/>
        <v>0</v>
      </c>
      <c r="F103" s="29">
        <f t="shared" si="12"/>
        <v>3324.9668424399906</v>
      </c>
      <c r="G103" s="29">
        <f t="shared" si="13"/>
        <v>1580.3949590765708</v>
      </c>
      <c r="H103" s="29">
        <f t="shared" si="17"/>
        <v>1744.5718833634198</v>
      </c>
      <c r="I103" s="29">
        <f t="shared" si="14"/>
        <v>642569.22351357073</v>
      </c>
    </row>
    <row r="104" spans="1:11" s="34" customFormat="1" x14ac:dyDescent="0.25">
      <c r="A104" s="27">
        <f t="shared" si="9"/>
        <v>87</v>
      </c>
      <c r="B104" s="28">
        <f t="shared" si="10"/>
        <v>43922</v>
      </c>
      <c r="C104" s="29">
        <f t="shared" si="15"/>
        <v>642569.22351357073</v>
      </c>
      <c r="D104" s="29">
        <f t="shared" si="16"/>
        <v>3324.9668424399906</v>
      </c>
      <c r="E104" s="30">
        <f t="shared" si="11"/>
        <v>0</v>
      </c>
      <c r="F104" s="29">
        <f t="shared" si="12"/>
        <v>3324.9668424399906</v>
      </c>
      <c r="G104" s="29">
        <f t="shared" si="13"/>
        <v>1584.6751954240699</v>
      </c>
      <c r="H104" s="29">
        <f t="shared" si="17"/>
        <v>1740.2916470159207</v>
      </c>
      <c r="I104" s="29">
        <f t="shared" si="14"/>
        <v>640984.54831814661</v>
      </c>
    </row>
    <row r="105" spans="1:11" s="34" customFormat="1" x14ac:dyDescent="0.25">
      <c r="A105" s="27">
        <f t="shared" si="9"/>
        <v>88</v>
      </c>
      <c r="B105" s="28">
        <f t="shared" si="10"/>
        <v>43952</v>
      </c>
      <c r="C105" s="29">
        <f t="shared" si="15"/>
        <v>640984.54831814661</v>
      </c>
      <c r="D105" s="29">
        <f t="shared" si="16"/>
        <v>3324.9668424399906</v>
      </c>
      <c r="E105" s="30">
        <f t="shared" si="11"/>
        <v>0</v>
      </c>
      <c r="F105" s="29">
        <f t="shared" si="12"/>
        <v>3324.9668424399906</v>
      </c>
      <c r="G105" s="29">
        <f t="shared" si="13"/>
        <v>1588.9670240783435</v>
      </c>
      <c r="H105" s="29">
        <f t="shared" si="17"/>
        <v>1735.9998183616472</v>
      </c>
      <c r="I105" s="29">
        <f t="shared" si="14"/>
        <v>639395.58129406825</v>
      </c>
    </row>
    <row r="106" spans="1:11" s="34" customFormat="1" x14ac:dyDescent="0.25">
      <c r="A106" s="27">
        <f t="shared" si="9"/>
        <v>89</v>
      </c>
      <c r="B106" s="28">
        <f t="shared" si="10"/>
        <v>43983</v>
      </c>
      <c r="C106" s="29">
        <f t="shared" si="15"/>
        <v>639395.58129406825</v>
      </c>
      <c r="D106" s="29">
        <f t="shared" si="16"/>
        <v>3324.9668424399906</v>
      </c>
      <c r="E106" s="30">
        <f t="shared" si="11"/>
        <v>0</v>
      </c>
      <c r="F106" s="29">
        <f t="shared" si="12"/>
        <v>3324.9668424399906</v>
      </c>
      <c r="G106" s="29">
        <f t="shared" si="13"/>
        <v>1593.2704764352222</v>
      </c>
      <c r="H106" s="29">
        <f t="shared" si="17"/>
        <v>1731.6963660047684</v>
      </c>
      <c r="I106" s="29">
        <f t="shared" si="14"/>
        <v>637802.31081763306</v>
      </c>
    </row>
    <row r="107" spans="1:11" s="34" customFormat="1" x14ac:dyDescent="0.25">
      <c r="A107" s="27">
        <f t="shared" si="9"/>
        <v>90</v>
      </c>
      <c r="B107" s="28">
        <f t="shared" si="10"/>
        <v>44013</v>
      </c>
      <c r="C107" s="29">
        <f t="shared" si="15"/>
        <v>637802.31081763306</v>
      </c>
      <c r="D107" s="29">
        <f t="shared" si="16"/>
        <v>3324.9668424399906</v>
      </c>
      <c r="E107" s="30">
        <f t="shared" si="11"/>
        <v>0</v>
      </c>
      <c r="F107" s="29">
        <f t="shared" si="12"/>
        <v>3324.9668424399906</v>
      </c>
      <c r="G107" s="29">
        <f t="shared" si="13"/>
        <v>1597.5855839755677</v>
      </c>
      <c r="H107" s="29">
        <f t="shared" si="17"/>
        <v>1727.3812584644229</v>
      </c>
      <c r="I107" s="29">
        <f t="shared" si="14"/>
        <v>636204.72523365752</v>
      </c>
    </row>
    <row r="108" spans="1:11" s="34" customFormat="1" x14ac:dyDescent="0.25">
      <c r="A108" s="27">
        <f t="shared" si="9"/>
        <v>91</v>
      </c>
      <c r="B108" s="28">
        <f t="shared" si="10"/>
        <v>44044</v>
      </c>
      <c r="C108" s="29">
        <f t="shared" si="15"/>
        <v>636204.72523365752</v>
      </c>
      <c r="D108" s="29">
        <f t="shared" si="16"/>
        <v>3324.9668424399906</v>
      </c>
      <c r="E108" s="30">
        <f t="shared" si="11"/>
        <v>0</v>
      </c>
      <c r="F108" s="29">
        <f t="shared" si="12"/>
        <v>3324.9668424399906</v>
      </c>
      <c r="G108" s="29">
        <f t="shared" si="13"/>
        <v>1601.9123782655015</v>
      </c>
      <c r="H108" s="29">
        <f t="shared" si="17"/>
        <v>1723.0544641744891</v>
      </c>
      <c r="I108" s="29">
        <f t="shared" si="14"/>
        <v>634602.812855392</v>
      </c>
    </row>
    <row r="109" spans="1:11" s="34" customFormat="1" x14ac:dyDescent="0.25">
      <c r="A109" s="27">
        <f t="shared" si="9"/>
        <v>92</v>
      </c>
      <c r="B109" s="28">
        <f t="shared" si="10"/>
        <v>44075</v>
      </c>
      <c r="C109" s="29">
        <f t="shared" si="15"/>
        <v>634602.812855392</v>
      </c>
      <c r="D109" s="29">
        <f t="shared" si="16"/>
        <v>3324.9668424399906</v>
      </c>
      <c r="E109" s="30">
        <f t="shared" si="11"/>
        <v>0</v>
      </c>
      <c r="F109" s="29">
        <f t="shared" si="12"/>
        <v>3324.9668424399906</v>
      </c>
      <c r="G109" s="29">
        <f t="shared" si="13"/>
        <v>1606.250890956637</v>
      </c>
      <c r="H109" s="29">
        <f t="shared" si="17"/>
        <v>1718.7159514833536</v>
      </c>
      <c r="I109" s="29">
        <f t="shared" si="14"/>
        <v>632996.56196443539</v>
      </c>
    </row>
    <row r="110" spans="1:11" s="34" customFormat="1" x14ac:dyDescent="0.25">
      <c r="A110" s="27">
        <f t="shared" si="9"/>
        <v>93</v>
      </c>
      <c r="B110" s="28">
        <f t="shared" si="10"/>
        <v>44105</v>
      </c>
      <c r="C110" s="29">
        <f t="shared" si="15"/>
        <v>632996.56196443539</v>
      </c>
      <c r="D110" s="29">
        <f t="shared" si="16"/>
        <v>3324.9668424399906</v>
      </c>
      <c r="E110" s="30">
        <f t="shared" si="11"/>
        <v>0</v>
      </c>
      <c r="F110" s="29">
        <f t="shared" si="12"/>
        <v>3324.9668424399906</v>
      </c>
      <c r="G110" s="29">
        <f t="shared" si="13"/>
        <v>1610.6011537863114</v>
      </c>
      <c r="H110" s="29">
        <f t="shared" si="17"/>
        <v>1714.3656886536792</v>
      </c>
      <c r="I110" s="29">
        <f t="shared" si="14"/>
        <v>631385.96081064909</v>
      </c>
    </row>
    <row r="111" spans="1:11" s="34" customFormat="1" x14ac:dyDescent="0.25">
      <c r="A111" s="27">
        <f t="shared" si="9"/>
        <v>94</v>
      </c>
      <c r="B111" s="28">
        <f t="shared" si="10"/>
        <v>44136</v>
      </c>
      <c r="C111" s="29">
        <f t="shared" si="15"/>
        <v>631385.96081064909</v>
      </c>
      <c r="D111" s="29">
        <f t="shared" si="16"/>
        <v>3324.9668424399906</v>
      </c>
      <c r="E111" s="30">
        <f t="shared" si="11"/>
        <v>0</v>
      </c>
      <c r="F111" s="29">
        <f t="shared" si="12"/>
        <v>3324.9668424399906</v>
      </c>
      <c r="G111" s="29">
        <f t="shared" si="13"/>
        <v>1614.963198577816</v>
      </c>
      <c r="H111" s="29">
        <f t="shared" si="17"/>
        <v>1710.0036438621746</v>
      </c>
      <c r="I111" s="29">
        <f t="shared" si="14"/>
        <v>629770.99761207122</v>
      </c>
    </row>
    <row r="112" spans="1:11" s="34" customFormat="1" x14ac:dyDescent="0.25">
      <c r="A112" s="27">
        <f t="shared" si="9"/>
        <v>95</v>
      </c>
      <c r="B112" s="28">
        <f t="shared" si="10"/>
        <v>44166</v>
      </c>
      <c r="C112" s="29">
        <f t="shared" si="15"/>
        <v>629770.99761207122</v>
      </c>
      <c r="D112" s="29">
        <f t="shared" si="16"/>
        <v>3324.9668424399906</v>
      </c>
      <c r="E112" s="30">
        <f t="shared" si="11"/>
        <v>0</v>
      </c>
      <c r="F112" s="29">
        <f t="shared" si="12"/>
        <v>3324.9668424399906</v>
      </c>
      <c r="G112" s="29">
        <f t="shared" si="13"/>
        <v>1619.3370572406311</v>
      </c>
      <c r="H112" s="29">
        <f t="shared" si="17"/>
        <v>1705.6297851993595</v>
      </c>
      <c r="I112" s="29">
        <f t="shared" si="14"/>
        <v>628151.66055483057</v>
      </c>
      <c r="J112" s="34" t="s">
        <v>41</v>
      </c>
      <c r="K112" s="34" t="s">
        <v>42</v>
      </c>
    </row>
    <row r="113" spans="1:11" s="34" customFormat="1" x14ac:dyDescent="0.25">
      <c r="A113" s="27">
        <f t="shared" si="9"/>
        <v>96</v>
      </c>
      <c r="B113" s="28">
        <f t="shared" si="10"/>
        <v>44197</v>
      </c>
      <c r="C113" s="29">
        <f t="shared" si="15"/>
        <v>628151.66055483057</v>
      </c>
      <c r="D113" s="29">
        <f t="shared" si="16"/>
        <v>3324.9668424399906</v>
      </c>
      <c r="E113" s="30">
        <f t="shared" si="11"/>
        <v>0</v>
      </c>
      <c r="F113" s="29">
        <f t="shared" si="12"/>
        <v>3324.9668424399906</v>
      </c>
      <c r="G113" s="29">
        <f t="shared" si="13"/>
        <v>1623.7227617706578</v>
      </c>
      <c r="H113" s="29">
        <f t="shared" si="17"/>
        <v>1701.2440806693328</v>
      </c>
      <c r="I113" s="29">
        <f t="shared" si="14"/>
        <v>626527.93779305986</v>
      </c>
      <c r="J113" s="37">
        <f>I113</f>
        <v>626527.93779305986</v>
      </c>
      <c r="K113" s="37">
        <f>SUM(H102:H113)</f>
        <v>20701.795145967742</v>
      </c>
    </row>
    <row r="114" spans="1:11" s="34" customFormat="1" x14ac:dyDescent="0.25">
      <c r="A114" s="27">
        <f t="shared" si="9"/>
        <v>97</v>
      </c>
      <c r="B114" s="28">
        <f t="shared" si="10"/>
        <v>44228</v>
      </c>
      <c r="C114" s="29">
        <f t="shared" si="15"/>
        <v>626527.93779305986</v>
      </c>
      <c r="D114" s="29">
        <f t="shared" si="16"/>
        <v>3324.9668424399906</v>
      </c>
      <c r="E114" s="30">
        <f t="shared" si="11"/>
        <v>0</v>
      </c>
      <c r="F114" s="29">
        <f t="shared" si="12"/>
        <v>3324.9668424399906</v>
      </c>
      <c r="G114" s="29">
        <f t="shared" si="13"/>
        <v>1628.1203442504536</v>
      </c>
      <c r="H114" s="29">
        <f t="shared" si="17"/>
        <v>1696.846498189537</v>
      </c>
      <c r="I114" s="29">
        <f t="shared" si="14"/>
        <v>624899.81744880939</v>
      </c>
    </row>
    <row r="115" spans="1:11" s="34" customFormat="1" x14ac:dyDescent="0.25">
      <c r="A115" s="27">
        <f t="shared" si="9"/>
        <v>98</v>
      </c>
      <c r="B115" s="28">
        <f t="shared" si="10"/>
        <v>44256</v>
      </c>
      <c r="C115" s="29">
        <f t="shared" si="15"/>
        <v>624899.81744880939</v>
      </c>
      <c r="D115" s="29">
        <f t="shared" si="16"/>
        <v>3324.9668424399906</v>
      </c>
      <c r="E115" s="30">
        <f t="shared" si="11"/>
        <v>0</v>
      </c>
      <c r="F115" s="29">
        <f t="shared" si="12"/>
        <v>3324.9668424399906</v>
      </c>
      <c r="G115" s="29">
        <f t="shared" si="13"/>
        <v>1632.529836849465</v>
      </c>
      <c r="H115" s="29">
        <f t="shared" si="17"/>
        <v>1692.4370055905256</v>
      </c>
      <c r="I115" s="29">
        <f t="shared" si="14"/>
        <v>623267.28761195997</v>
      </c>
    </row>
    <row r="116" spans="1:11" s="34" customFormat="1" x14ac:dyDescent="0.25">
      <c r="A116" s="27">
        <f t="shared" si="9"/>
        <v>99</v>
      </c>
      <c r="B116" s="28">
        <f t="shared" si="10"/>
        <v>44287</v>
      </c>
      <c r="C116" s="29">
        <f t="shared" si="15"/>
        <v>623267.28761195997</v>
      </c>
      <c r="D116" s="29">
        <f t="shared" si="16"/>
        <v>3324.9668424399906</v>
      </c>
      <c r="E116" s="30">
        <f t="shared" si="11"/>
        <v>0</v>
      </c>
      <c r="F116" s="29">
        <f t="shared" si="12"/>
        <v>3324.9668424399906</v>
      </c>
      <c r="G116" s="29">
        <f t="shared" si="13"/>
        <v>1636.9512718242656</v>
      </c>
      <c r="H116" s="29">
        <f t="shared" si="17"/>
        <v>1688.015570615725</v>
      </c>
      <c r="I116" s="29">
        <f t="shared" si="14"/>
        <v>621630.33634013566</v>
      </c>
    </row>
    <row r="117" spans="1:11" s="34" customFormat="1" x14ac:dyDescent="0.25">
      <c r="A117" s="27">
        <f t="shared" si="9"/>
        <v>100</v>
      </c>
      <c r="B117" s="28">
        <f t="shared" si="10"/>
        <v>44317</v>
      </c>
      <c r="C117" s="29">
        <f t="shared" si="15"/>
        <v>621630.33634013566</v>
      </c>
      <c r="D117" s="29">
        <f t="shared" si="16"/>
        <v>3324.9668424399906</v>
      </c>
      <c r="E117" s="30">
        <f t="shared" si="11"/>
        <v>0</v>
      </c>
      <c r="F117" s="29">
        <f t="shared" si="12"/>
        <v>3324.9668424399906</v>
      </c>
      <c r="G117" s="29">
        <f t="shared" si="13"/>
        <v>1641.3846815187899</v>
      </c>
      <c r="H117" s="29">
        <f t="shared" si="17"/>
        <v>1683.5821609212007</v>
      </c>
      <c r="I117" s="29">
        <f t="shared" si="14"/>
        <v>619988.95165861689</v>
      </c>
    </row>
    <row r="118" spans="1:11" s="34" customFormat="1" x14ac:dyDescent="0.25">
      <c r="A118" s="27">
        <f t="shared" si="9"/>
        <v>101</v>
      </c>
      <c r="B118" s="28">
        <f t="shared" si="10"/>
        <v>44348</v>
      </c>
      <c r="C118" s="29">
        <f t="shared" si="15"/>
        <v>619988.95165861689</v>
      </c>
      <c r="D118" s="29">
        <f t="shared" si="16"/>
        <v>3324.9668424399906</v>
      </c>
      <c r="E118" s="30">
        <f t="shared" si="11"/>
        <v>0</v>
      </c>
      <c r="F118" s="29">
        <f t="shared" si="12"/>
        <v>3324.9668424399906</v>
      </c>
      <c r="G118" s="29">
        <f t="shared" si="13"/>
        <v>1645.8300983645697</v>
      </c>
      <c r="H118" s="29">
        <f t="shared" si="17"/>
        <v>1679.1367440754209</v>
      </c>
      <c r="I118" s="29">
        <f t="shared" si="14"/>
        <v>618343.12156025227</v>
      </c>
    </row>
    <row r="119" spans="1:11" s="34" customFormat="1" x14ac:dyDescent="0.25">
      <c r="A119" s="27">
        <f t="shared" si="9"/>
        <v>102</v>
      </c>
      <c r="B119" s="28">
        <f t="shared" si="10"/>
        <v>44378</v>
      </c>
      <c r="C119" s="29">
        <f t="shared" si="15"/>
        <v>618343.12156025227</v>
      </c>
      <c r="D119" s="29">
        <f t="shared" si="16"/>
        <v>3324.9668424399906</v>
      </c>
      <c r="E119" s="30">
        <f t="shared" si="11"/>
        <v>0</v>
      </c>
      <c r="F119" s="29">
        <f t="shared" si="12"/>
        <v>3324.9668424399906</v>
      </c>
      <c r="G119" s="29">
        <f t="shared" si="13"/>
        <v>1650.2875548809741</v>
      </c>
      <c r="H119" s="29">
        <f t="shared" si="17"/>
        <v>1674.6792875590165</v>
      </c>
      <c r="I119" s="29">
        <f t="shared" si="14"/>
        <v>616692.83400537132</v>
      </c>
    </row>
    <row r="120" spans="1:11" s="34" customFormat="1" x14ac:dyDescent="0.25">
      <c r="A120" s="27">
        <f t="shared" si="9"/>
        <v>103</v>
      </c>
      <c r="B120" s="28">
        <f t="shared" si="10"/>
        <v>44409</v>
      </c>
      <c r="C120" s="29">
        <f t="shared" si="15"/>
        <v>616692.83400537132</v>
      </c>
      <c r="D120" s="29">
        <f t="shared" si="16"/>
        <v>3324.9668424399906</v>
      </c>
      <c r="E120" s="30">
        <f t="shared" si="11"/>
        <v>0</v>
      </c>
      <c r="F120" s="29">
        <f t="shared" si="12"/>
        <v>3324.9668424399906</v>
      </c>
      <c r="G120" s="29">
        <f t="shared" si="13"/>
        <v>1654.7570836754433</v>
      </c>
      <c r="H120" s="29">
        <f t="shared" si="17"/>
        <v>1670.2097587645474</v>
      </c>
      <c r="I120" s="29">
        <f t="shared" si="14"/>
        <v>615038.07692169584</v>
      </c>
    </row>
    <row r="121" spans="1:11" s="34" customFormat="1" x14ac:dyDescent="0.25">
      <c r="A121" s="27">
        <f t="shared" si="9"/>
        <v>104</v>
      </c>
      <c r="B121" s="28">
        <f t="shared" si="10"/>
        <v>44440</v>
      </c>
      <c r="C121" s="29">
        <f t="shared" si="15"/>
        <v>615038.07692169584</v>
      </c>
      <c r="D121" s="29">
        <f t="shared" si="16"/>
        <v>3324.9668424399906</v>
      </c>
      <c r="E121" s="30">
        <f t="shared" si="11"/>
        <v>0</v>
      </c>
      <c r="F121" s="29">
        <f t="shared" si="12"/>
        <v>3324.9668424399906</v>
      </c>
      <c r="G121" s="29">
        <f t="shared" si="13"/>
        <v>1659.238717443731</v>
      </c>
      <c r="H121" s="29">
        <f t="shared" si="17"/>
        <v>1665.7281249962596</v>
      </c>
      <c r="I121" s="29">
        <f t="shared" si="14"/>
        <v>613378.83820425207</v>
      </c>
    </row>
    <row r="122" spans="1:11" s="34" customFormat="1" x14ac:dyDescent="0.25">
      <c r="A122" s="27">
        <f t="shared" si="9"/>
        <v>105</v>
      </c>
      <c r="B122" s="28">
        <f t="shared" si="10"/>
        <v>44470</v>
      </c>
      <c r="C122" s="29">
        <f t="shared" si="15"/>
        <v>613378.83820425207</v>
      </c>
      <c r="D122" s="29">
        <f t="shared" si="16"/>
        <v>3324.9668424399906</v>
      </c>
      <c r="E122" s="30">
        <f t="shared" si="11"/>
        <v>0</v>
      </c>
      <c r="F122" s="29">
        <f t="shared" si="12"/>
        <v>3324.9668424399906</v>
      </c>
      <c r="G122" s="29">
        <f t="shared" si="13"/>
        <v>1663.7324889701413</v>
      </c>
      <c r="H122" s="29">
        <f t="shared" si="17"/>
        <v>1661.2343534698493</v>
      </c>
      <c r="I122" s="29">
        <f t="shared" si="14"/>
        <v>611715.10571528191</v>
      </c>
    </row>
    <row r="123" spans="1:11" s="34" customFormat="1" x14ac:dyDescent="0.25">
      <c r="A123" s="27">
        <f t="shared" si="9"/>
        <v>106</v>
      </c>
      <c r="B123" s="28">
        <f t="shared" si="10"/>
        <v>44501</v>
      </c>
      <c r="C123" s="29">
        <f t="shared" si="15"/>
        <v>611715.10571528191</v>
      </c>
      <c r="D123" s="29">
        <f t="shared" si="16"/>
        <v>3324.9668424399906</v>
      </c>
      <c r="E123" s="30">
        <f t="shared" si="11"/>
        <v>0</v>
      </c>
      <c r="F123" s="29">
        <f t="shared" si="12"/>
        <v>3324.9668424399906</v>
      </c>
      <c r="G123" s="29">
        <f t="shared" si="13"/>
        <v>1668.2384311277685</v>
      </c>
      <c r="H123" s="29">
        <f t="shared" si="17"/>
        <v>1656.7284113122221</v>
      </c>
      <c r="I123" s="29">
        <f t="shared" si="14"/>
        <v>610046.86728415417</v>
      </c>
    </row>
    <row r="124" spans="1:11" s="34" customFormat="1" x14ac:dyDescent="0.25">
      <c r="A124" s="27">
        <f t="shared" si="9"/>
        <v>107</v>
      </c>
      <c r="B124" s="28">
        <f t="shared" si="10"/>
        <v>44531</v>
      </c>
      <c r="C124" s="29">
        <f t="shared" si="15"/>
        <v>610046.86728415417</v>
      </c>
      <c r="D124" s="29">
        <f t="shared" si="16"/>
        <v>3324.9668424399906</v>
      </c>
      <c r="E124" s="30">
        <f t="shared" si="11"/>
        <v>0</v>
      </c>
      <c r="F124" s="29">
        <f t="shared" si="12"/>
        <v>3324.9668424399906</v>
      </c>
      <c r="G124" s="29">
        <f t="shared" si="13"/>
        <v>1672.7565768787397</v>
      </c>
      <c r="H124" s="29">
        <f t="shared" si="17"/>
        <v>1652.2102655612509</v>
      </c>
      <c r="I124" s="29">
        <f t="shared" si="14"/>
        <v>608374.11070727545</v>
      </c>
      <c r="J124" s="34" t="s">
        <v>41</v>
      </c>
      <c r="K124" s="34" t="s">
        <v>42</v>
      </c>
    </row>
    <row r="125" spans="1:11" s="34" customFormat="1" x14ac:dyDescent="0.25">
      <c r="A125" s="27">
        <f t="shared" si="9"/>
        <v>108</v>
      </c>
      <c r="B125" s="28">
        <f t="shared" si="10"/>
        <v>44562</v>
      </c>
      <c r="C125" s="29">
        <f t="shared" si="15"/>
        <v>608374.11070727545</v>
      </c>
      <c r="D125" s="29">
        <f t="shared" si="16"/>
        <v>3324.9668424399906</v>
      </c>
      <c r="E125" s="30">
        <f t="shared" si="11"/>
        <v>0</v>
      </c>
      <c r="F125" s="29">
        <f t="shared" si="12"/>
        <v>3324.9668424399906</v>
      </c>
      <c r="G125" s="29">
        <f t="shared" si="13"/>
        <v>1677.2869592744528</v>
      </c>
      <c r="H125" s="29">
        <f t="shared" si="17"/>
        <v>1647.6798831655378</v>
      </c>
      <c r="I125" s="29">
        <f t="shared" si="14"/>
        <v>606696.82374800101</v>
      </c>
      <c r="J125" s="37">
        <f>I125</f>
        <v>606696.82374800101</v>
      </c>
      <c r="K125" s="37">
        <f>SUM(H114:H125)</f>
        <v>20068.488064221092</v>
      </c>
    </row>
    <row r="126" spans="1:11" s="34" customFormat="1" x14ac:dyDescent="0.25">
      <c r="A126" s="27">
        <f t="shared" si="9"/>
        <v>109</v>
      </c>
      <c r="B126" s="28">
        <f t="shared" si="10"/>
        <v>44593</v>
      </c>
      <c r="C126" s="29">
        <f t="shared" si="15"/>
        <v>606696.82374800101</v>
      </c>
      <c r="D126" s="29">
        <f t="shared" si="16"/>
        <v>3324.9668424399906</v>
      </c>
      <c r="E126" s="30">
        <f t="shared" si="11"/>
        <v>0</v>
      </c>
      <c r="F126" s="29">
        <f t="shared" si="12"/>
        <v>3324.9668424399906</v>
      </c>
      <c r="G126" s="29">
        <f t="shared" si="13"/>
        <v>1681.8296114558214</v>
      </c>
      <c r="H126" s="29">
        <f t="shared" si="17"/>
        <v>1643.1372309841693</v>
      </c>
      <c r="I126" s="29">
        <f t="shared" si="14"/>
        <v>605014.99413654523</v>
      </c>
    </row>
    <row r="127" spans="1:11" s="34" customFormat="1" x14ac:dyDescent="0.25">
      <c r="A127" s="27">
        <f t="shared" si="9"/>
        <v>110</v>
      </c>
      <c r="B127" s="28">
        <f t="shared" si="10"/>
        <v>44621</v>
      </c>
      <c r="C127" s="29">
        <f t="shared" si="15"/>
        <v>605014.99413654523</v>
      </c>
      <c r="D127" s="29">
        <f t="shared" si="16"/>
        <v>3324.9668424399906</v>
      </c>
      <c r="E127" s="30">
        <f t="shared" si="11"/>
        <v>0</v>
      </c>
      <c r="F127" s="29">
        <f t="shared" si="12"/>
        <v>3324.9668424399906</v>
      </c>
      <c r="G127" s="29">
        <f t="shared" si="13"/>
        <v>1686.3845666535137</v>
      </c>
      <c r="H127" s="29">
        <f t="shared" si="17"/>
        <v>1638.5822757864769</v>
      </c>
      <c r="I127" s="29">
        <f t="shared" si="14"/>
        <v>603328.60956989171</v>
      </c>
    </row>
    <row r="128" spans="1:11" s="34" customFormat="1" x14ac:dyDescent="0.25">
      <c r="A128" s="27">
        <f t="shared" si="9"/>
        <v>111</v>
      </c>
      <c r="B128" s="28">
        <f t="shared" si="10"/>
        <v>44652</v>
      </c>
      <c r="C128" s="29">
        <f t="shared" si="15"/>
        <v>603328.60956989171</v>
      </c>
      <c r="D128" s="29">
        <f t="shared" si="16"/>
        <v>3324.9668424399906</v>
      </c>
      <c r="E128" s="30">
        <f t="shared" si="11"/>
        <v>0</v>
      </c>
      <c r="F128" s="29">
        <f t="shared" si="12"/>
        <v>3324.9668424399906</v>
      </c>
      <c r="G128" s="29">
        <f t="shared" si="13"/>
        <v>1690.9518581882005</v>
      </c>
      <c r="H128" s="29">
        <f t="shared" si="17"/>
        <v>1634.0149842517901</v>
      </c>
      <c r="I128" s="29">
        <f t="shared" si="14"/>
        <v>601637.65771170345</v>
      </c>
    </row>
    <row r="129" spans="1:11" s="34" customFormat="1" x14ac:dyDescent="0.25">
      <c r="A129" s="27">
        <f t="shared" si="9"/>
        <v>112</v>
      </c>
      <c r="B129" s="28">
        <f t="shared" si="10"/>
        <v>44682</v>
      </c>
      <c r="C129" s="29">
        <f t="shared" si="15"/>
        <v>601637.65771170345</v>
      </c>
      <c r="D129" s="29">
        <f t="shared" si="16"/>
        <v>3324.9668424399906</v>
      </c>
      <c r="E129" s="30">
        <f t="shared" si="11"/>
        <v>0</v>
      </c>
      <c r="F129" s="29">
        <f t="shared" si="12"/>
        <v>3324.9668424399906</v>
      </c>
      <c r="G129" s="29">
        <f t="shared" si="13"/>
        <v>1695.5315194707937</v>
      </c>
      <c r="H129" s="29">
        <f t="shared" si="17"/>
        <v>1629.4353229691969</v>
      </c>
      <c r="I129" s="29">
        <f t="shared" si="14"/>
        <v>599942.12619223271</v>
      </c>
    </row>
    <row r="130" spans="1:11" s="34" customFormat="1" x14ac:dyDescent="0.25">
      <c r="A130" s="27">
        <f t="shared" si="9"/>
        <v>113</v>
      </c>
      <c r="B130" s="28">
        <f t="shared" si="10"/>
        <v>44713</v>
      </c>
      <c r="C130" s="29">
        <f t="shared" si="15"/>
        <v>599942.12619223271</v>
      </c>
      <c r="D130" s="29">
        <f t="shared" si="16"/>
        <v>3324.9668424399906</v>
      </c>
      <c r="E130" s="30">
        <f t="shared" si="11"/>
        <v>0</v>
      </c>
      <c r="F130" s="29">
        <f t="shared" si="12"/>
        <v>3324.9668424399906</v>
      </c>
      <c r="G130" s="29">
        <f t="shared" si="13"/>
        <v>1700.1235840026936</v>
      </c>
      <c r="H130" s="29">
        <f t="shared" si="17"/>
        <v>1624.843258437297</v>
      </c>
      <c r="I130" s="29">
        <f t="shared" si="14"/>
        <v>598242.00260822999</v>
      </c>
    </row>
    <row r="131" spans="1:11" s="34" customFormat="1" x14ac:dyDescent="0.25">
      <c r="A131" s="27">
        <f t="shared" si="9"/>
        <v>114</v>
      </c>
      <c r="B131" s="28">
        <f t="shared" si="10"/>
        <v>44743</v>
      </c>
      <c r="C131" s="29">
        <f t="shared" si="15"/>
        <v>598242.00260822999</v>
      </c>
      <c r="D131" s="29">
        <f t="shared" si="16"/>
        <v>3324.9668424399906</v>
      </c>
      <c r="E131" s="30">
        <f t="shared" si="11"/>
        <v>0</v>
      </c>
      <c r="F131" s="29">
        <f t="shared" si="12"/>
        <v>3324.9668424399906</v>
      </c>
      <c r="G131" s="29">
        <f t="shared" si="13"/>
        <v>1704.7280853760342</v>
      </c>
      <c r="H131" s="29">
        <f t="shared" si="17"/>
        <v>1620.2387570639564</v>
      </c>
      <c r="I131" s="29">
        <f t="shared" si="14"/>
        <v>596537.2745228539</v>
      </c>
    </row>
    <row r="132" spans="1:11" s="34" customFormat="1" x14ac:dyDescent="0.25">
      <c r="A132" s="27">
        <f t="shared" si="9"/>
        <v>115</v>
      </c>
      <c r="B132" s="28">
        <f t="shared" si="10"/>
        <v>44774</v>
      </c>
      <c r="C132" s="29">
        <f t="shared" si="15"/>
        <v>596537.2745228539</v>
      </c>
      <c r="D132" s="29">
        <f t="shared" si="16"/>
        <v>3324.9668424399906</v>
      </c>
      <c r="E132" s="30">
        <f t="shared" si="11"/>
        <v>0</v>
      </c>
      <c r="F132" s="29">
        <f t="shared" si="12"/>
        <v>3324.9668424399906</v>
      </c>
      <c r="G132" s="29">
        <f t="shared" si="13"/>
        <v>1709.3450572739278</v>
      </c>
      <c r="H132" s="29">
        <f t="shared" si="17"/>
        <v>1615.6217851660629</v>
      </c>
      <c r="I132" s="29">
        <f t="shared" si="14"/>
        <v>594827.92946557992</v>
      </c>
    </row>
    <row r="133" spans="1:11" s="34" customFormat="1" x14ac:dyDescent="0.25">
      <c r="A133" s="27">
        <f t="shared" si="9"/>
        <v>116</v>
      </c>
      <c r="B133" s="28">
        <f t="shared" si="10"/>
        <v>44805</v>
      </c>
      <c r="C133" s="29">
        <f t="shared" si="15"/>
        <v>594827.92946557992</v>
      </c>
      <c r="D133" s="29">
        <f t="shared" si="16"/>
        <v>3324.9668424399906</v>
      </c>
      <c r="E133" s="30">
        <f t="shared" si="11"/>
        <v>0</v>
      </c>
      <c r="F133" s="29">
        <f t="shared" si="12"/>
        <v>3324.9668424399906</v>
      </c>
      <c r="G133" s="29">
        <f t="shared" si="13"/>
        <v>1713.9745334707115</v>
      </c>
      <c r="H133" s="29">
        <f t="shared" si="17"/>
        <v>1610.9923089692791</v>
      </c>
      <c r="I133" s="29">
        <f t="shared" si="14"/>
        <v>593113.95493210922</v>
      </c>
    </row>
    <row r="134" spans="1:11" s="34" customFormat="1" x14ac:dyDescent="0.25">
      <c r="A134" s="27">
        <f t="shared" si="9"/>
        <v>117</v>
      </c>
      <c r="B134" s="28">
        <f t="shared" si="10"/>
        <v>44835</v>
      </c>
      <c r="C134" s="29">
        <f t="shared" si="15"/>
        <v>593113.95493210922</v>
      </c>
      <c r="D134" s="29">
        <f t="shared" si="16"/>
        <v>3324.9668424399906</v>
      </c>
      <c r="E134" s="30">
        <f t="shared" si="11"/>
        <v>0</v>
      </c>
      <c r="F134" s="29">
        <f t="shared" si="12"/>
        <v>3324.9668424399906</v>
      </c>
      <c r="G134" s="29">
        <f t="shared" si="13"/>
        <v>1718.6165478321948</v>
      </c>
      <c r="H134" s="29">
        <f t="shared" si="17"/>
        <v>1606.3502946077958</v>
      </c>
      <c r="I134" s="29">
        <f t="shared" si="14"/>
        <v>591395.33838427707</v>
      </c>
    </row>
    <row r="135" spans="1:11" s="34" customFormat="1" x14ac:dyDescent="0.25">
      <c r="A135" s="27">
        <f t="shared" si="9"/>
        <v>118</v>
      </c>
      <c r="B135" s="28">
        <f t="shared" si="10"/>
        <v>44866</v>
      </c>
      <c r="C135" s="29">
        <f t="shared" si="15"/>
        <v>591395.33838427707</v>
      </c>
      <c r="D135" s="29">
        <f t="shared" si="16"/>
        <v>3324.9668424399906</v>
      </c>
      <c r="E135" s="30">
        <f t="shared" si="11"/>
        <v>0</v>
      </c>
      <c r="F135" s="29">
        <f t="shared" si="12"/>
        <v>3324.9668424399906</v>
      </c>
      <c r="G135" s="29">
        <f t="shared" si="13"/>
        <v>1723.2711343159069</v>
      </c>
      <c r="H135" s="29">
        <f t="shared" si="17"/>
        <v>1601.6957081240837</v>
      </c>
      <c r="I135" s="29">
        <f t="shared" si="14"/>
        <v>589672.0672499612</v>
      </c>
    </row>
    <row r="136" spans="1:11" s="34" customFormat="1" x14ac:dyDescent="0.25">
      <c r="A136" s="27">
        <f t="shared" si="9"/>
        <v>119</v>
      </c>
      <c r="B136" s="28">
        <f t="shared" si="10"/>
        <v>44896</v>
      </c>
      <c r="C136" s="29">
        <f t="shared" si="15"/>
        <v>589672.0672499612</v>
      </c>
      <c r="D136" s="29">
        <f t="shared" si="16"/>
        <v>3324.9668424399906</v>
      </c>
      <c r="E136" s="30">
        <f t="shared" si="11"/>
        <v>0</v>
      </c>
      <c r="F136" s="29">
        <f t="shared" si="12"/>
        <v>3324.9668424399906</v>
      </c>
      <c r="G136" s="29">
        <f t="shared" si="13"/>
        <v>1727.9383269713455</v>
      </c>
      <c r="H136" s="29">
        <f t="shared" si="17"/>
        <v>1597.0285154686451</v>
      </c>
      <c r="I136" s="29">
        <f t="shared" si="14"/>
        <v>587944.12892298982</v>
      </c>
      <c r="J136" s="34" t="s">
        <v>41</v>
      </c>
      <c r="K136" s="34" t="s">
        <v>42</v>
      </c>
    </row>
    <row r="137" spans="1:11" s="34" customFormat="1" x14ac:dyDescent="0.25">
      <c r="A137" s="27">
        <f t="shared" si="9"/>
        <v>120</v>
      </c>
      <c r="B137" s="28">
        <f t="shared" si="10"/>
        <v>44927</v>
      </c>
      <c r="C137" s="29">
        <f t="shared" si="15"/>
        <v>587944.12892298982</v>
      </c>
      <c r="D137" s="29">
        <f t="shared" si="16"/>
        <v>3324.9668424399906</v>
      </c>
      <c r="E137" s="30">
        <f t="shared" si="11"/>
        <v>0</v>
      </c>
      <c r="F137" s="29">
        <f t="shared" si="12"/>
        <v>3324.9668424399906</v>
      </c>
      <c r="G137" s="29">
        <f t="shared" si="13"/>
        <v>1732.6181599402264</v>
      </c>
      <c r="H137" s="29">
        <f t="shared" si="17"/>
        <v>1592.3486824997642</v>
      </c>
      <c r="I137" s="29">
        <f t="shared" si="14"/>
        <v>586211.51076304959</v>
      </c>
      <c r="J137" s="37">
        <f>I137</f>
        <v>586211.51076304959</v>
      </c>
      <c r="K137" s="37">
        <f>SUM(H126:H137)</f>
        <v>19414.289124328516</v>
      </c>
    </row>
    <row r="138" spans="1:11" s="34" customFormat="1" x14ac:dyDescent="0.25">
      <c r="A138" s="27">
        <f t="shared" si="9"/>
        <v>121</v>
      </c>
      <c r="B138" s="28">
        <f t="shared" si="10"/>
        <v>44958</v>
      </c>
      <c r="C138" s="29">
        <f t="shared" si="15"/>
        <v>586211.51076304959</v>
      </c>
      <c r="D138" s="29">
        <f t="shared" si="16"/>
        <v>3324.9668424399906</v>
      </c>
      <c r="E138" s="30">
        <f t="shared" si="11"/>
        <v>0</v>
      </c>
      <c r="F138" s="29">
        <f t="shared" si="12"/>
        <v>3324.9668424399906</v>
      </c>
      <c r="G138" s="29">
        <f t="shared" si="13"/>
        <v>1737.3106674567314</v>
      </c>
      <c r="H138" s="29">
        <f t="shared" si="17"/>
        <v>1587.6561749832592</v>
      </c>
      <c r="I138" s="29">
        <f t="shared" si="14"/>
        <v>584474.20009559288</v>
      </c>
    </row>
    <row r="139" spans="1:11" s="34" customFormat="1" x14ac:dyDescent="0.25">
      <c r="A139" s="27">
        <f t="shared" si="9"/>
        <v>122</v>
      </c>
      <c r="B139" s="28">
        <f t="shared" si="10"/>
        <v>44986</v>
      </c>
      <c r="C139" s="29">
        <f t="shared" si="15"/>
        <v>584474.20009559288</v>
      </c>
      <c r="D139" s="29">
        <f t="shared" si="16"/>
        <v>3324.9668424399906</v>
      </c>
      <c r="E139" s="30">
        <f t="shared" si="11"/>
        <v>0</v>
      </c>
      <c r="F139" s="29">
        <f t="shared" si="12"/>
        <v>3324.9668424399906</v>
      </c>
      <c r="G139" s="29">
        <f t="shared" si="13"/>
        <v>1742.0158838477598</v>
      </c>
      <c r="H139" s="29">
        <f t="shared" si="17"/>
        <v>1582.9509585922308</v>
      </c>
      <c r="I139" s="29">
        <f t="shared" si="14"/>
        <v>582732.18421174516</v>
      </c>
    </row>
    <row r="140" spans="1:11" s="34" customFormat="1" x14ac:dyDescent="0.25">
      <c r="A140" s="27">
        <f t="shared" si="9"/>
        <v>123</v>
      </c>
      <c r="B140" s="28">
        <f t="shared" si="10"/>
        <v>45017</v>
      </c>
      <c r="C140" s="29">
        <f t="shared" si="15"/>
        <v>582732.18421174516</v>
      </c>
      <c r="D140" s="29">
        <f t="shared" si="16"/>
        <v>3324.9668424399906</v>
      </c>
      <c r="E140" s="30">
        <f t="shared" si="11"/>
        <v>0</v>
      </c>
      <c r="F140" s="29">
        <f t="shared" si="12"/>
        <v>3324.9668424399906</v>
      </c>
      <c r="G140" s="29">
        <f t="shared" si="13"/>
        <v>1746.7338435331806</v>
      </c>
      <c r="H140" s="29">
        <f t="shared" si="17"/>
        <v>1578.2329989068101</v>
      </c>
      <c r="I140" s="29">
        <f t="shared" si="14"/>
        <v>580985.45036821195</v>
      </c>
    </row>
    <row r="141" spans="1:11" s="34" customFormat="1" x14ac:dyDescent="0.25">
      <c r="A141" s="27">
        <f t="shared" si="9"/>
        <v>124</v>
      </c>
      <c r="B141" s="28">
        <f t="shared" si="10"/>
        <v>45047</v>
      </c>
      <c r="C141" s="29">
        <f t="shared" si="15"/>
        <v>580985.45036821195</v>
      </c>
      <c r="D141" s="29">
        <f t="shared" si="16"/>
        <v>3324.9668424399906</v>
      </c>
      <c r="E141" s="30">
        <f t="shared" si="11"/>
        <v>0</v>
      </c>
      <c r="F141" s="29">
        <f t="shared" si="12"/>
        <v>3324.9668424399906</v>
      </c>
      <c r="G141" s="29">
        <f t="shared" si="13"/>
        <v>1751.4645810260834</v>
      </c>
      <c r="H141" s="29">
        <f t="shared" si="17"/>
        <v>1573.5022614139073</v>
      </c>
      <c r="I141" s="29">
        <f t="shared" si="14"/>
        <v>579233.98578718584</v>
      </c>
    </row>
    <row r="142" spans="1:11" s="34" customFormat="1" x14ac:dyDescent="0.25">
      <c r="A142" s="27">
        <f t="shared" si="9"/>
        <v>125</v>
      </c>
      <c r="B142" s="28">
        <f t="shared" si="10"/>
        <v>45078</v>
      </c>
      <c r="C142" s="29">
        <f t="shared" si="15"/>
        <v>579233.98578718584</v>
      </c>
      <c r="D142" s="29">
        <f t="shared" si="16"/>
        <v>3324.9668424399906</v>
      </c>
      <c r="E142" s="30">
        <f t="shared" si="11"/>
        <v>0</v>
      </c>
      <c r="F142" s="29">
        <f t="shared" si="12"/>
        <v>3324.9668424399906</v>
      </c>
      <c r="G142" s="29">
        <f t="shared" si="13"/>
        <v>1756.2081309330288</v>
      </c>
      <c r="H142" s="29">
        <f t="shared" si="17"/>
        <v>1568.7587115069618</v>
      </c>
      <c r="I142" s="29">
        <f t="shared" si="14"/>
        <v>577477.77765625285</v>
      </c>
    </row>
    <row r="143" spans="1:11" s="34" customFormat="1" x14ac:dyDescent="0.25">
      <c r="A143" s="27">
        <f t="shared" si="9"/>
        <v>126</v>
      </c>
      <c r="B143" s="28">
        <f t="shared" si="10"/>
        <v>45108</v>
      </c>
      <c r="C143" s="29">
        <f t="shared" si="15"/>
        <v>577477.77765625285</v>
      </c>
      <c r="D143" s="29">
        <f t="shared" si="16"/>
        <v>3324.9668424399906</v>
      </c>
      <c r="E143" s="30">
        <f t="shared" si="11"/>
        <v>0</v>
      </c>
      <c r="F143" s="29">
        <f t="shared" si="12"/>
        <v>3324.9668424399906</v>
      </c>
      <c r="G143" s="29">
        <f t="shared" si="13"/>
        <v>1760.9645279543058</v>
      </c>
      <c r="H143" s="29">
        <f t="shared" si="17"/>
        <v>1564.0023144856848</v>
      </c>
      <c r="I143" s="29">
        <f t="shared" si="14"/>
        <v>575716.8131282985</v>
      </c>
    </row>
    <row r="144" spans="1:11" s="34" customFormat="1" x14ac:dyDescent="0.25">
      <c r="A144" s="27">
        <f t="shared" si="9"/>
        <v>127</v>
      </c>
      <c r="B144" s="28">
        <f t="shared" si="10"/>
        <v>45139</v>
      </c>
      <c r="C144" s="29">
        <f t="shared" si="15"/>
        <v>575716.8131282985</v>
      </c>
      <c r="D144" s="29">
        <f t="shared" si="16"/>
        <v>3324.9668424399906</v>
      </c>
      <c r="E144" s="30">
        <f t="shared" si="11"/>
        <v>0</v>
      </c>
      <c r="F144" s="29">
        <f t="shared" si="12"/>
        <v>3324.9668424399906</v>
      </c>
      <c r="G144" s="29">
        <f t="shared" si="13"/>
        <v>1765.7338068841821</v>
      </c>
      <c r="H144" s="29">
        <f t="shared" si="17"/>
        <v>1559.2330355558086</v>
      </c>
      <c r="I144" s="29">
        <f t="shared" si="14"/>
        <v>573951.07932141435</v>
      </c>
    </row>
    <row r="145" spans="1:11" s="34" customFormat="1" x14ac:dyDescent="0.25">
      <c r="A145" s="27">
        <f t="shared" si="9"/>
        <v>128</v>
      </c>
      <c r="B145" s="28">
        <f t="shared" si="10"/>
        <v>45170</v>
      </c>
      <c r="C145" s="29">
        <f t="shared" si="15"/>
        <v>573951.07932141435</v>
      </c>
      <c r="D145" s="29">
        <f t="shared" si="16"/>
        <v>3324.9668424399906</v>
      </c>
      <c r="E145" s="30">
        <f t="shared" si="11"/>
        <v>0</v>
      </c>
      <c r="F145" s="29">
        <f t="shared" si="12"/>
        <v>3324.9668424399906</v>
      </c>
      <c r="G145" s="29">
        <f t="shared" si="13"/>
        <v>1770.51600261116</v>
      </c>
      <c r="H145" s="29">
        <f t="shared" si="17"/>
        <v>1554.4508398288306</v>
      </c>
      <c r="I145" s="29">
        <f t="shared" si="14"/>
        <v>572180.56331880321</v>
      </c>
    </row>
    <row r="146" spans="1:11" s="34" customFormat="1" x14ac:dyDescent="0.25">
      <c r="A146" s="27">
        <f t="shared" si="9"/>
        <v>129</v>
      </c>
      <c r="B146" s="28">
        <f t="shared" si="10"/>
        <v>45200</v>
      </c>
      <c r="C146" s="29">
        <f t="shared" si="15"/>
        <v>572180.56331880321</v>
      </c>
      <c r="D146" s="29">
        <f t="shared" si="16"/>
        <v>3324.9668424399906</v>
      </c>
      <c r="E146" s="30">
        <f t="shared" si="11"/>
        <v>0</v>
      </c>
      <c r="F146" s="29">
        <f t="shared" si="12"/>
        <v>3324.9668424399906</v>
      </c>
      <c r="G146" s="29">
        <f t="shared" si="13"/>
        <v>1775.3111501182318</v>
      </c>
      <c r="H146" s="29">
        <f t="shared" si="17"/>
        <v>1549.6556923217588</v>
      </c>
      <c r="I146" s="29">
        <f t="shared" si="14"/>
        <v>570405.25216868496</v>
      </c>
    </row>
    <row r="147" spans="1:11" s="34" customFormat="1" x14ac:dyDescent="0.25">
      <c r="A147" s="27">
        <f t="shared" ref="A147:A210" si="18">IF(Values_Entered,A146+1,"")</f>
        <v>130</v>
      </c>
      <c r="B147" s="28">
        <f t="shared" ref="B147:B210" si="19">IF(Pay_Num&lt;&gt;"",DATE(YEAR(B146),MONTH(B146)+1,DAY(B146)),"")</f>
        <v>45231</v>
      </c>
      <c r="C147" s="29">
        <f t="shared" si="15"/>
        <v>570405.25216868496</v>
      </c>
      <c r="D147" s="29">
        <f t="shared" si="16"/>
        <v>3324.9668424399906</v>
      </c>
      <c r="E147" s="30">
        <f t="shared" ref="E147:E210" si="20">IF(Pay_Num&lt;&gt;"",Scheduled_Extra_Payments,"")</f>
        <v>0</v>
      </c>
      <c r="F147" s="29">
        <f t="shared" ref="F147:F210" si="21">IF(Pay_Num&lt;&gt;"",Sched_Pay+Extra_Pay,"")</f>
        <v>3324.9668424399906</v>
      </c>
      <c r="G147" s="29">
        <f t="shared" ref="G147:G210" si="22">IF(Pay_Num&lt;&gt;"",Total_Pay-Int,"")</f>
        <v>1780.1192844831355</v>
      </c>
      <c r="H147" s="29">
        <f t="shared" si="17"/>
        <v>1544.8475579568551</v>
      </c>
      <c r="I147" s="29">
        <f t="shared" ref="I147:I210" si="23">IF(Pay_Num&lt;&gt;"",Beg_Bal-Princ,"")</f>
        <v>568625.13288420183</v>
      </c>
    </row>
    <row r="148" spans="1:11" s="34" customFormat="1" x14ac:dyDescent="0.25">
      <c r="A148" s="27">
        <f t="shared" si="18"/>
        <v>131</v>
      </c>
      <c r="B148" s="28">
        <f t="shared" si="19"/>
        <v>45261</v>
      </c>
      <c r="C148" s="29">
        <f t="shared" ref="C148:C211" si="24">IF(Pay_Num&lt;&gt;"",I147,"")</f>
        <v>568625.13288420183</v>
      </c>
      <c r="D148" s="29">
        <f t="shared" ref="D148:D211" si="25">IF(Pay_Num&lt;&gt;"",Scheduled_Monthly_Payment,"")</f>
        <v>3324.9668424399906</v>
      </c>
      <c r="E148" s="30">
        <f t="shared" si="20"/>
        <v>0</v>
      </c>
      <c r="F148" s="29">
        <f t="shared" si="21"/>
        <v>3324.9668424399906</v>
      </c>
      <c r="G148" s="29">
        <f t="shared" si="22"/>
        <v>1784.9404408786106</v>
      </c>
      <c r="H148" s="29">
        <f t="shared" ref="H148:H211" si="26">IF(Pay_Num&lt;&gt;"",Beg_Bal*Interest_Rate/12,"")</f>
        <v>1540.02640156138</v>
      </c>
      <c r="I148" s="29">
        <f t="shared" si="23"/>
        <v>566840.19244332321</v>
      </c>
      <c r="J148" s="34" t="s">
        <v>41</v>
      </c>
      <c r="K148" s="34" t="s">
        <v>42</v>
      </c>
    </row>
    <row r="149" spans="1:11" s="34" customFormat="1" x14ac:dyDescent="0.25">
      <c r="A149" s="27">
        <f t="shared" si="18"/>
        <v>132</v>
      </c>
      <c r="B149" s="28">
        <f t="shared" si="19"/>
        <v>45292</v>
      </c>
      <c r="C149" s="29">
        <f t="shared" si="24"/>
        <v>566840.19244332321</v>
      </c>
      <c r="D149" s="29">
        <f t="shared" si="25"/>
        <v>3324.9668424399906</v>
      </c>
      <c r="E149" s="30">
        <f t="shared" si="20"/>
        <v>0</v>
      </c>
      <c r="F149" s="29">
        <f t="shared" si="21"/>
        <v>3324.9668424399906</v>
      </c>
      <c r="G149" s="29">
        <f t="shared" si="22"/>
        <v>1789.7746545726568</v>
      </c>
      <c r="H149" s="29">
        <f t="shared" si="26"/>
        <v>1535.1921878673338</v>
      </c>
      <c r="I149" s="29">
        <f t="shared" si="23"/>
        <v>565050.41778875049</v>
      </c>
      <c r="J149" s="37">
        <f>I149</f>
        <v>565050.41778875049</v>
      </c>
      <c r="K149" s="37">
        <f>SUM(H138:H149)</f>
        <v>18738.509134980821</v>
      </c>
    </row>
    <row r="150" spans="1:11" s="34" customFormat="1" x14ac:dyDescent="0.25">
      <c r="A150" s="27">
        <f t="shared" si="18"/>
        <v>133</v>
      </c>
      <c r="B150" s="28">
        <f t="shared" si="19"/>
        <v>45323</v>
      </c>
      <c r="C150" s="29">
        <f t="shared" si="24"/>
        <v>565050.41778875049</v>
      </c>
      <c r="D150" s="29">
        <f t="shared" si="25"/>
        <v>3324.9668424399906</v>
      </c>
      <c r="E150" s="30">
        <f t="shared" si="20"/>
        <v>0</v>
      </c>
      <c r="F150" s="29">
        <f t="shared" si="21"/>
        <v>3324.9668424399906</v>
      </c>
      <c r="G150" s="29">
        <f t="shared" si="22"/>
        <v>1794.6219609287912</v>
      </c>
      <c r="H150" s="29">
        <f t="shared" si="26"/>
        <v>1530.3448815111994</v>
      </c>
      <c r="I150" s="29">
        <f t="shared" si="23"/>
        <v>563255.79582782171</v>
      </c>
    </row>
    <row r="151" spans="1:11" s="34" customFormat="1" x14ac:dyDescent="0.25">
      <c r="A151" s="27">
        <f t="shared" si="18"/>
        <v>134</v>
      </c>
      <c r="B151" s="28">
        <f t="shared" si="19"/>
        <v>45352</v>
      </c>
      <c r="C151" s="29">
        <f t="shared" si="24"/>
        <v>563255.79582782171</v>
      </c>
      <c r="D151" s="29">
        <f t="shared" si="25"/>
        <v>3324.9668424399906</v>
      </c>
      <c r="E151" s="30">
        <f t="shared" si="20"/>
        <v>0</v>
      </c>
      <c r="F151" s="29">
        <f t="shared" si="21"/>
        <v>3324.9668424399906</v>
      </c>
      <c r="G151" s="29">
        <f t="shared" si="22"/>
        <v>1799.4823954063068</v>
      </c>
      <c r="H151" s="29">
        <f t="shared" si="26"/>
        <v>1525.4844470336839</v>
      </c>
      <c r="I151" s="29">
        <f t="shared" si="23"/>
        <v>561456.31343241537</v>
      </c>
    </row>
    <row r="152" spans="1:11" s="34" customFormat="1" x14ac:dyDescent="0.25">
      <c r="A152" s="27">
        <f t="shared" si="18"/>
        <v>135</v>
      </c>
      <c r="B152" s="28">
        <f t="shared" si="19"/>
        <v>45383</v>
      </c>
      <c r="C152" s="29">
        <f t="shared" si="24"/>
        <v>561456.31343241537</v>
      </c>
      <c r="D152" s="29">
        <f t="shared" si="25"/>
        <v>3324.9668424399906</v>
      </c>
      <c r="E152" s="30">
        <f t="shared" si="20"/>
        <v>0</v>
      </c>
      <c r="F152" s="29">
        <f t="shared" si="21"/>
        <v>3324.9668424399906</v>
      </c>
      <c r="G152" s="29">
        <f t="shared" si="22"/>
        <v>1804.3559935605324</v>
      </c>
      <c r="H152" s="29">
        <f t="shared" si="26"/>
        <v>1520.6108488794582</v>
      </c>
      <c r="I152" s="29">
        <f t="shared" si="23"/>
        <v>559651.95743885485</v>
      </c>
    </row>
    <row r="153" spans="1:11" s="34" customFormat="1" x14ac:dyDescent="0.25">
      <c r="A153" s="27">
        <f t="shared" si="18"/>
        <v>136</v>
      </c>
      <c r="B153" s="28">
        <f t="shared" si="19"/>
        <v>45413</v>
      </c>
      <c r="C153" s="29">
        <f t="shared" si="24"/>
        <v>559651.95743885485</v>
      </c>
      <c r="D153" s="29">
        <f t="shared" si="25"/>
        <v>3324.9668424399906</v>
      </c>
      <c r="E153" s="30">
        <f t="shared" si="20"/>
        <v>0</v>
      </c>
      <c r="F153" s="29">
        <f t="shared" si="21"/>
        <v>3324.9668424399906</v>
      </c>
      <c r="G153" s="29">
        <f t="shared" si="22"/>
        <v>1809.2427910430922</v>
      </c>
      <c r="H153" s="29">
        <f t="shared" si="26"/>
        <v>1515.7240513968984</v>
      </c>
      <c r="I153" s="29">
        <f t="shared" si="23"/>
        <v>557842.71464781172</v>
      </c>
    </row>
    <row r="154" spans="1:11" s="34" customFormat="1" x14ac:dyDescent="0.25">
      <c r="A154" s="27">
        <f t="shared" si="18"/>
        <v>137</v>
      </c>
      <c r="B154" s="28">
        <f t="shared" si="19"/>
        <v>45444</v>
      </c>
      <c r="C154" s="29">
        <f t="shared" si="24"/>
        <v>557842.71464781172</v>
      </c>
      <c r="D154" s="29">
        <f t="shared" si="25"/>
        <v>3324.9668424399906</v>
      </c>
      <c r="E154" s="30">
        <f t="shared" si="20"/>
        <v>0</v>
      </c>
      <c r="F154" s="29">
        <f t="shared" si="21"/>
        <v>3324.9668424399906</v>
      </c>
      <c r="G154" s="29">
        <f t="shared" si="22"/>
        <v>1814.1428236021673</v>
      </c>
      <c r="H154" s="29">
        <f t="shared" si="26"/>
        <v>1510.8240188378234</v>
      </c>
      <c r="I154" s="29">
        <f t="shared" si="23"/>
        <v>556028.57182420953</v>
      </c>
    </row>
    <row r="155" spans="1:11" s="34" customFormat="1" x14ac:dyDescent="0.25">
      <c r="A155" s="27">
        <f t="shared" si="18"/>
        <v>138</v>
      </c>
      <c r="B155" s="28">
        <f t="shared" si="19"/>
        <v>45474</v>
      </c>
      <c r="C155" s="29">
        <f t="shared" si="24"/>
        <v>556028.57182420953</v>
      </c>
      <c r="D155" s="29">
        <f t="shared" si="25"/>
        <v>3324.9668424399906</v>
      </c>
      <c r="E155" s="30">
        <f t="shared" si="20"/>
        <v>0</v>
      </c>
      <c r="F155" s="29">
        <f t="shared" si="21"/>
        <v>3324.9668424399906</v>
      </c>
      <c r="G155" s="29">
        <f t="shared" si="22"/>
        <v>1819.0561270827563</v>
      </c>
      <c r="H155" s="29">
        <f t="shared" si="26"/>
        <v>1505.9107153572343</v>
      </c>
      <c r="I155" s="29">
        <f t="shared" si="23"/>
        <v>554209.51569712674</v>
      </c>
    </row>
    <row r="156" spans="1:11" s="34" customFormat="1" x14ac:dyDescent="0.25">
      <c r="A156" s="27">
        <f t="shared" si="18"/>
        <v>139</v>
      </c>
      <c r="B156" s="28">
        <f t="shared" si="19"/>
        <v>45505</v>
      </c>
      <c r="C156" s="29">
        <f t="shared" si="24"/>
        <v>554209.51569712674</v>
      </c>
      <c r="D156" s="29">
        <f t="shared" si="25"/>
        <v>3324.9668424399906</v>
      </c>
      <c r="E156" s="30">
        <f t="shared" si="20"/>
        <v>0</v>
      </c>
      <c r="F156" s="29">
        <f t="shared" si="21"/>
        <v>3324.9668424399906</v>
      </c>
      <c r="G156" s="29">
        <f t="shared" si="22"/>
        <v>1823.9827374269389</v>
      </c>
      <c r="H156" s="29">
        <f t="shared" si="26"/>
        <v>1500.9841050130517</v>
      </c>
      <c r="I156" s="29">
        <f t="shared" si="23"/>
        <v>552385.53295969975</v>
      </c>
    </row>
    <row r="157" spans="1:11" s="34" customFormat="1" x14ac:dyDescent="0.25">
      <c r="A157" s="27">
        <f t="shared" si="18"/>
        <v>140</v>
      </c>
      <c r="B157" s="28">
        <f t="shared" si="19"/>
        <v>45536</v>
      </c>
      <c r="C157" s="29">
        <f t="shared" si="24"/>
        <v>552385.53295969975</v>
      </c>
      <c r="D157" s="29">
        <f t="shared" si="25"/>
        <v>3324.9668424399906</v>
      </c>
      <c r="E157" s="30">
        <f t="shared" si="20"/>
        <v>0</v>
      </c>
      <c r="F157" s="29">
        <f t="shared" si="21"/>
        <v>3324.9668424399906</v>
      </c>
      <c r="G157" s="29">
        <f t="shared" si="22"/>
        <v>1828.9226906741371</v>
      </c>
      <c r="H157" s="29">
        <f t="shared" si="26"/>
        <v>1496.0441517658535</v>
      </c>
      <c r="I157" s="29">
        <f t="shared" si="23"/>
        <v>550556.61026902567</v>
      </c>
    </row>
    <row r="158" spans="1:11" s="34" customFormat="1" x14ac:dyDescent="0.25">
      <c r="A158" s="27">
        <f t="shared" si="18"/>
        <v>141</v>
      </c>
      <c r="B158" s="28">
        <f t="shared" si="19"/>
        <v>45566</v>
      </c>
      <c r="C158" s="29">
        <f t="shared" si="24"/>
        <v>550556.61026902567</v>
      </c>
      <c r="D158" s="29">
        <f t="shared" si="25"/>
        <v>3324.9668424399906</v>
      </c>
      <c r="E158" s="30">
        <f t="shared" si="20"/>
        <v>0</v>
      </c>
      <c r="F158" s="29">
        <f t="shared" si="21"/>
        <v>3324.9668424399906</v>
      </c>
      <c r="G158" s="29">
        <f t="shared" si="22"/>
        <v>1833.8760229613792</v>
      </c>
      <c r="H158" s="29">
        <f t="shared" si="26"/>
        <v>1491.0908194786114</v>
      </c>
      <c r="I158" s="29">
        <f t="shared" si="23"/>
        <v>548722.73424606433</v>
      </c>
    </row>
    <row r="159" spans="1:11" s="34" customFormat="1" x14ac:dyDescent="0.25">
      <c r="A159" s="27">
        <f t="shared" si="18"/>
        <v>142</v>
      </c>
      <c r="B159" s="28">
        <f t="shared" si="19"/>
        <v>45597</v>
      </c>
      <c r="C159" s="29">
        <f t="shared" si="24"/>
        <v>548722.73424606433</v>
      </c>
      <c r="D159" s="29">
        <f t="shared" si="25"/>
        <v>3324.9668424399906</v>
      </c>
      <c r="E159" s="30">
        <f t="shared" si="20"/>
        <v>0</v>
      </c>
      <c r="F159" s="29">
        <f t="shared" si="21"/>
        <v>3324.9668424399906</v>
      </c>
      <c r="G159" s="29">
        <f t="shared" si="22"/>
        <v>1838.8427705235663</v>
      </c>
      <c r="H159" s="29">
        <f t="shared" si="26"/>
        <v>1486.1240719164243</v>
      </c>
      <c r="I159" s="29">
        <f t="shared" si="23"/>
        <v>546883.89147554082</v>
      </c>
    </row>
    <row r="160" spans="1:11" s="34" customFormat="1" x14ac:dyDescent="0.25">
      <c r="A160" s="27">
        <f t="shared" si="18"/>
        <v>143</v>
      </c>
      <c r="B160" s="28">
        <f t="shared" si="19"/>
        <v>45627</v>
      </c>
      <c r="C160" s="29">
        <f t="shared" si="24"/>
        <v>546883.89147554082</v>
      </c>
      <c r="D160" s="29">
        <f t="shared" si="25"/>
        <v>3324.9668424399906</v>
      </c>
      <c r="E160" s="30">
        <f t="shared" si="20"/>
        <v>0</v>
      </c>
      <c r="F160" s="29">
        <f t="shared" si="21"/>
        <v>3324.9668424399906</v>
      </c>
      <c r="G160" s="29">
        <f t="shared" si="22"/>
        <v>1843.8229696937342</v>
      </c>
      <c r="H160" s="29">
        <f t="shared" si="26"/>
        <v>1481.1438727462564</v>
      </c>
      <c r="I160" s="29">
        <f t="shared" si="23"/>
        <v>545040.06850584713</v>
      </c>
      <c r="J160" s="34" t="s">
        <v>41</v>
      </c>
      <c r="K160" s="34" t="s">
        <v>42</v>
      </c>
    </row>
    <row r="161" spans="1:11" s="34" customFormat="1" x14ac:dyDescent="0.25">
      <c r="A161" s="27">
        <f t="shared" si="18"/>
        <v>144</v>
      </c>
      <c r="B161" s="28">
        <f t="shared" si="19"/>
        <v>45658</v>
      </c>
      <c r="C161" s="29">
        <f t="shared" si="24"/>
        <v>545040.06850584713</v>
      </c>
      <c r="D161" s="29">
        <f t="shared" si="25"/>
        <v>3324.9668424399906</v>
      </c>
      <c r="E161" s="30">
        <f t="shared" si="20"/>
        <v>0</v>
      </c>
      <c r="F161" s="29">
        <f t="shared" si="21"/>
        <v>3324.9668424399906</v>
      </c>
      <c r="G161" s="29">
        <f t="shared" si="22"/>
        <v>1848.8166569033212</v>
      </c>
      <c r="H161" s="29">
        <f t="shared" si="26"/>
        <v>1476.1501855366694</v>
      </c>
      <c r="I161" s="29">
        <f t="shared" si="23"/>
        <v>543191.25184894376</v>
      </c>
      <c r="J161" s="37">
        <f>I161</f>
        <v>543191.25184894376</v>
      </c>
      <c r="K161" s="37">
        <f>SUM(H150:H161)</f>
        <v>18040.436169473163</v>
      </c>
    </row>
    <row r="162" spans="1:11" s="34" customFormat="1" x14ac:dyDescent="0.25">
      <c r="A162" s="27">
        <f t="shared" si="18"/>
        <v>145</v>
      </c>
      <c r="B162" s="28">
        <f t="shared" si="19"/>
        <v>45689</v>
      </c>
      <c r="C162" s="29">
        <f t="shared" si="24"/>
        <v>543191.25184894376</v>
      </c>
      <c r="D162" s="29">
        <f t="shared" si="25"/>
        <v>3324.9668424399906</v>
      </c>
      <c r="E162" s="30">
        <f t="shared" si="20"/>
        <v>0</v>
      </c>
      <c r="F162" s="29">
        <f t="shared" si="21"/>
        <v>3324.9668424399906</v>
      </c>
      <c r="G162" s="29">
        <f t="shared" si="22"/>
        <v>1853.8238686824345</v>
      </c>
      <c r="H162" s="29">
        <f t="shared" si="26"/>
        <v>1471.1429737575561</v>
      </c>
      <c r="I162" s="29">
        <f t="shared" si="23"/>
        <v>541337.42798026127</v>
      </c>
    </row>
    <row r="163" spans="1:11" s="34" customFormat="1" x14ac:dyDescent="0.25">
      <c r="A163" s="27">
        <f t="shared" si="18"/>
        <v>146</v>
      </c>
      <c r="B163" s="28">
        <f t="shared" si="19"/>
        <v>45717</v>
      </c>
      <c r="C163" s="29">
        <f t="shared" si="24"/>
        <v>541337.42798026127</v>
      </c>
      <c r="D163" s="29">
        <f t="shared" si="25"/>
        <v>3324.9668424399906</v>
      </c>
      <c r="E163" s="30">
        <f t="shared" si="20"/>
        <v>0</v>
      </c>
      <c r="F163" s="29">
        <f t="shared" si="21"/>
        <v>3324.9668424399906</v>
      </c>
      <c r="G163" s="29">
        <f t="shared" si="22"/>
        <v>1858.8446416601164</v>
      </c>
      <c r="H163" s="29">
        <f t="shared" si="26"/>
        <v>1466.1222007798742</v>
      </c>
      <c r="I163" s="29">
        <f t="shared" si="23"/>
        <v>539478.58333860117</v>
      </c>
    </row>
    <row r="164" spans="1:11" s="34" customFormat="1" x14ac:dyDescent="0.25">
      <c r="A164" s="27">
        <f t="shared" si="18"/>
        <v>147</v>
      </c>
      <c r="B164" s="28">
        <f t="shared" si="19"/>
        <v>45748</v>
      </c>
      <c r="C164" s="29">
        <f t="shared" si="24"/>
        <v>539478.58333860117</v>
      </c>
      <c r="D164" s="29">
        <f t="shared" si="25"/>
        <v>3324.9668424399906</v>
      </c>
      <c r="E164" s="30">
        <f t="shared" si="20"/>
        <v>0</v>
      </c>
      <c r="F164" s="29">
        <f t="shared" si="21"/>
        <v>3324.9668424399906</v>
      </c>
      <c r="G164" s="29">
        <f t="shared" si="22"/>
        <v>1863.8790125646126</v>
      </c>
      <c r="H164" s="29">
        <f t="shared" si="26"/>
        <v>1461.087829875378</v>
      </c>
      <c r="I164" s="29">
        <f t="shared" si="23"/>
        <v>537614.7043260365</v>
      </c>
    </row>
    <row r="165" spans="1:11" s="34" customFormat="1" x14ac:dyDescent="0.25">
      <c r="A165" s="27">
        <f t="shared" si="18"/>
        <v>148</v>
      </c>
      <c r="B165" s="28">
        <f t="shared" si="19"/>
        <v>45778</v>
      </c>
      <c r="C165" s="29">
        <f t="shared" si="24"/>
        <v>537614.7043260365</v>
      </c>
      <c r="D165" s="29">
        <f t="shared" si="25"/>
        <v>3324.9668424399906</v>
      </c>
      <c r="E165" s="30">
        <f t="shared" si="20"/>
        <v>0</v>
      </c>
      <c r="F165" s="29">
        <f t="shared" si="21"/>
        <v>3324.9668424399906</v>
      </c>
      <c r="G165" s="29">
        <f t="shared" si="22"/>
        <v>1868.9270182236417</v>
      </c>
      <c r="H165" s="29">
        <f t="shared" si="26"/>
        <v>1456.039824216349</v>
      </c>
      <c r="I165" s="29">
        <f t="shared" si="23"/>
        <v>535745.77730781282</v>
      </c>
    </row>
    <row r="166" spans="1:11" s="34" customFormat="1" x14ac:dyDescent="0.25">
      <c r="A166" s="27">
        <f t="shared" si="18"/>
        <v>149</v>
      </c>
      <c r="B166" s="28">
        <f t="shared" si="19"/>
        <v>45809</v>
      </c>
      <c r="C166" s="29">
        <f t="shared" si="24"/>
        <v>535745.77730781282</v>
      </c>
      <c r="D166" s="29">
        <f t="shared" si="25"/>
        <v>3324.9668424399906</v>
      </c>
      <c r="E166" s="30">
        <f t="shared" si="20"/>
        <v>0</v>
      </c>
      <c r="F166" s="29">
        <f t="shared" si="21"/>
        <v>3324.9668424399906</v>
      </c>
      <c r="G166" s="29">
        <f t="shared" si="22"/>
        <v>1873.9886955646641</v>
      </c>
      <c r="H166" s="29">
        <f t="shared" si="26"/>
        <v>1450.9781468753265</v>
      </c>
      <c r="I166" s="29">
        <f t="shared" si="23"/>
        <v>533871.78861224814</v>
      </c>
    </row>
    <row r="167" spans="1:11" s="34" customFormat="1" x14ac:dyDescent="0.25">
      <c r="A167" s="27">
        <f t="shared" si="18"/>
        <v>150</v>
      </c>
      <c r="B167" s="28">
        <f t="shared" si="19"/>
        <v>45839</v>
      </c>
      <c r="C167" s="29">
        <f t="shared" si="24"/>
        <v>533871.78861224814</v>
      </c>
      <c r="D167" s="29">
        <f t="shared" si="25"/>
        <v>3324.9668424399906</v>
      </c>
      <c r="E167" s="30">
        <f t="shared" si="20"/>
        <v>0</v>
      </c>
      <c r="F167" s="29">
        <f t="shared" si="21"/>
        <v>3324.9668424399906</v>
      </c>
      <c r="G167" s="29">
        <f t="shared" si="22"/>
        <v>1879.0640816151517</v>
      </c>
      <c r="H167" s="29">
        <f t="shared" si="26"/>
        <v>1445.9027608248389</v>
      </c>
      <c r="I167" s="29">
        <f t="shared" si="23"/>
        <v>531992.72453063296</v>
      </c>
    </row>
    <row r="168" spans="1:11" s="34" customFormat="1" x14ac:dyDescent="0.25">
      <c r="A168" s="27">
        <f t="shared" si="18"/>
        <v>151</v>
      </c>
      <c r="B168" s="28">
        <f t="shared" si="19"/>
        <v>45870</v>
      </c>
      <c r="C168" s="29">
        <f t="shared" si="24"/>
        <v>531992.72453063296</v>
      </c>
      <c r="D168" s="29">
        <f t="shared" si="25"/>
        <v>3324.9668424399906</v>
      </c>
      <c r="E168" s="30">
        <f t="shared" si="20"/>
        <v>0</v>
      </c>
      <c r="F168" s="29">
        <f t="shared" si="21"/>
        <v>3324.9668424399906</v>
      </c>
      <c r="G168" s="29">
        <f t="shared" si="22"/>
        <v>1884.1532135028594</v>
      </c>
      <c r="H168" s="29">
        <f t="shared" si="26"/>
        <v>1440.8136289371312</v>
      </c>
      <c r="I168" s="29">
        <f t="shared" si="23"/>
        <v>530108.57131713012</v>
      </c>
    </row>
    <row r="169" spans="1:11" s="34" customFormat="1" x14ac:dyDescent="0.25">
      <c r="A169" s="27">
        <f t="shared" si="18"/>
        <v>152</v>
      </c>
      <c r="B169" s="28">
        <f t="shared" si="19"/>
        <v>45901</v>
      </c>
      <c r="C169" s="29">
        <f t="shared" si="24"/>
        <v>530108.57131713012</v>
      </c>
      <c r="D169" s="29">
        <f t="shared" si="25"/>
        <v>3324.9668424399906</v>
      </c>
      <c r="E169" s="30">
        <f t="shared" si="20"/>
        <v>0</v>
      </c>
      <c r="F169" s="29">
        <f t="shared" si="21"/>
        <v>3324.9668424399906</v>
      </c>
      <c r="G169" s="29">
        <f t="shared" si="22"/>
        <v>1889.2561284560963</v>
      </c>
      <c r="H169" s="29">
        <f t="shared" si="26"/>
        <v>1435.7107139838943</v>
      </c>
      <c r="I169" s="29">
        <f t="shared" si="23"/>
        <v>528219.31518867402</v>
      </c>
    </row>
    <row r="170" spans="1:11" s="34" customFormat="1" x14ac:dyDescent="0.25">
      <c r="A170" s="27">
        <f t="shared" si="18"/>
        <v>153</v>
      </c>
      <c r="B170" s="28">
        <f t="shared" si="19"/>
        <v>45931</v>
      </c>
      <c r="C170" s="29">
        <f t="shared" si="24"/>
        <v>528219.31518867402</v>
      </c>
      <c r="D170" s="29">
        <f t="shared" si="25"/>
        <v>3324.9668424399906</v>
      </c>
      <c r="E170" s="30">
        <f t="shared" si="20"/>
        <v>0</v>
      </c>
      <c r="F170" s="29">
        <f t="shared" si="21"/>
        <v>3324.9668424399906</v>
      </c>
      <c r="G170" s="29">
        <f t="shared" si="22"/>
        <v>1894.3728638039984</v>
      </c>
      <c r="H170" s="29">
        <f t="shared" si="26"/>
        <v>1430.5939786359922</v>
      </c>
      <c r="I170" s="29">
        <f t="shared" si="23"/>
        <v>526324.94232487003</v>
      </c>
    </row>
    <row r="171" spans="1:11" s="34" customFormat="1" x14ac:dyDescent="0.25">
      <c r="A171" s="27">
        <f t="shared" si="18"/>
        <v>154</v>
      </c>
      <c r="B171" s="28">
        <f t="shared" si="19"/>
        <v>45962</v>
      </c>
      <c r="C171" s="29">
        <f t="shared" si="24"/>
        <v>526324.94232487003</v>
      </c>
      <c r="D171" s="29">
        <f t="shared" si="25"/>
        <v>3324.9668424399906</v>
      </c>
      <c r="E171" s="30">
        <f t="shared" si="20"/>
        <v>0</v>
      </c>
      <c r="F171" s="29">
        <f t="shared" si="21"/>
        <v>3324.9668424399906</v>
      </c>
      <c r="G171" s="29">
        <f t="shared" si="22"/>
        <v>1899.5034569768011</v>
      </c>
      <c r="H171" s="29">
        <f t="shared" si="26"/>
        <v>1425.4633854631895</v>
      </c>
      <c r="I171" s="29">
        <f t="shared" si="23"/>
        <v>524425.43886789319</v>
      </c>
    </row>
    <row r="172" spans="1:11" s="34" customFormat="1" x14ac:dyDescent="0.25">
      <c r="A172" s="27">
        <f t="shared" si="18"/>
        <v>155</v>
      </c>
      <c r="B172" s="28">
        <f t="shared" si="19"/>
        <v>45992</v>
      </c>
      <c r="C172" s="29">
        <f t="shared" si="24"/>
        <v>524425.43886789319</v>
      </c>
      <c r="D172" s="29">
        <f t="shared" si="25"/>
        <v>3324.9668424399906</v>
      </c>
      <c r="E172" s="30">
        <f t="shared" si="20"/>
        <v>0</v>
      </c>
      <c r="F172" s="29">
        <f t="shared" si="21"/>
        <v>3324.9668424399906</v>
      </c>
      <c r="G172" s="29">
        <f t="shared" si="22"/>
        <v>1904.6479455061133</v>
      </c>
      <c r="H172" s="29">
        <f t="shared" si="26"/>
        <v>1420.3188969338773</v>
      </c>
      <c r="I172" s="29">
        <f t="shared" si="23"/>
        <v>522520.7909223871</v>
      </c>
    </row>
    <row r="173" spans="1:11" s="34" customFormat="1" x14ac:dyDescent="0.25">
      <c r="A173" s="27">
        <f t="shared" si="18"/>
        <v>156</v>
      </c>
      <c r="B173" s="28">
        <f t="shared" si="19"/>
        <v>46023</v>
      </c>
      <c r="C173" s="29">
        <f t="shared" si="24"/>
        <v>522520.7909223871</v>
      </c>
      <c r="D173" s="29">
        <f t="shared" si="25"/>
        <v>3324.9668424399906</v>
      </c>
      <c r="E173" s="30">
        <f t="shared" si="20"/>
        <v>0</v>
      </c>
      <c r="F173" s="29">
        <f t="shared" si="21"/>
        <v>3324.9668424399906</v>
      </c>
      <c r="G173" s="29">
        <f t="shared" si="22"/>
        <v>1909.8063670251922</v>
      </c>
      <c r="H173" s="29">
        <f t="shared" si="26"/>
        <v>1415.1604754147984</v>
      </c>
      <c r="I173" s="29">
        <f t="shared" si="23"/>
        <v>520610.98455536191</v>
      </c>
    </row>
    <row r="174" spans="1:11" s="34" customFormat="1" x14ac:dyDescent="0.25">
      <c r="A174" s="27">
        <f t="shared" si="18"/>
        <v>157</v>
      </c>
      <c r="B174" s="28">
        <f t="shared" si="19"/>
        <v>46054</v>
      </c>
      <c r="C174" s="29">
        <f t="shared" si="24"/>
        <v>520610.98455536191</v>
      </c>
      <c r="D174" s="29">
        <f t="shared" si="25"/>
        <v>3324.9668424399906</v>
      </c>
      <c r="E174" s="30">
        <f t="shared" si="20"/>
        <v>0</v>
      </c>
      <c r="F174" s="29">
        <f t="shared" si="21"/>
        <v>3324.9668424399906</v>
      </c>
      <c r="G174" s="29">
        <f t="shared" si="22"/>
        <v>1914.9787592692189</v>
      </c>
      <c r="H174" s="29">
        <f t="shared" si="26"/>
        <v>1409.9880831707717</v>
      </c>
      <c r="I174" s="29">
        <f t="shared" si="23"/>
        <v>518696.00579609268</v>
      </c>
    </row>
    <row r="175" spans="1:11" s="34" customFormat="1" x14ac:dyDescent="0.25">
      <c r="A175" s="27">
        <f t="shared" si="18"/>
        <v>158</v>
      </c>
      <c r="B175" s="28">
        <f t="shared" si="19"/>
        <v>46082</v>
      </c>
      <c r="C175" s="29">
        <f t="shared" si="24"/>
        <v>518696.00579609268</v>
      </c>
      <c r="D175" s="29">
        <f t="shared" si="25"/>
        <v>3324.9668424399906</v>
      </c>
      <c r="E175" s="30">
        <f t="shared" si="20"/>
        <v>0</v>
      </c>
      <c r="F175" s="29">
        <f t="shared" si="21"/>
        <v>3324.9668424399906</v>
      </c>
      <c r="G175" s="29">
        <f t="shared" si="22"/>
        <v>1920.1651600755729</v>
      </c>
      <c r="H175" s="29">
        <f t="shared" si="26"/>
        <v>1404.8016823644177</v>
      </c>
      <c r="I175" s="29">
        <f t="shared" si="23"/>
        <v>516775.84063601709</v>
      </c>
    </row>
    <row r="176" spans="1:11" s="34" customFormat="1" x14ac:dyDescent="0.25">
      <c r="A176" s="27">
        <f t="shared" si="18"/>
        <v>159</v>
      </c>
      <c r="B176" s="28">
        <f t="shared" si="19"/>
        <v>46113</v>
      </c>
      <c r="C176" s="29">
        <f t="shared" si="24"/>
        <v>516775.84063601709</v>
      </c>
      <c r="D176" s="29">
        <f t="shared" si="25"/>
        <v>3324.9668424399906</v>
      </c>
      <c r="E176" s="30">
        <f t="shared" si="20"/>
        <v>0</v>
      </c>
      <c r="F176" s="29">
        <f t="shared" si="21"/>
        <v>3324.9668424399906</v>
      </c>
      <c r="G176" s="29">
        <f t="shared" si="22"/>
        <v>1925.3656073841109</v>
      </c>
      <c r="H176" s="29">
        <f t="shared" si="26"/>
        <v>1399.6012350558797</v>
      </c>
      <c r="I176" s="29">
        <f t="shared" si="23"/>
        <v>514850.47502863297</v>
      </c>
    </row>
    <row r="177" spans="1:9" s="34" customFormat="1" x14ac:dyDescent="0.25">
      <c r="A177" s="27">
        <f t="shared" si="18"/>
        <v>160</v>
      </c>
      <c r="B177" s="28">
        <f t="shared" si="19"/>
        <v>46143</v>
      </c>
      <c r="C177" s="29">
        <f t="shared" si="24"/>
        <v>514850.47502863297</v>
      </c>
      <c r="D177" s="29">
        <f t="shared" si="25"/>
        <v>3324.9668424399906</v>
      </c>
      <c r="E177" s="30">
        <f t="shared" si="20"/>
        <v>0</v>
      </c>
      <c r="F177" s="29">
        <f t="shared" si="21"/>
        <v>3324.9668424399906</v>
      </c>
      <c r="G177" s="29">
        <f t="shared" si="22"/>
        <v>1930.5801392374431</v>
      </c>
      <c r="H177" s="29">
        <f t="shared" si="26"/>
        <v>1394.3867032025476</v>
      </c>
      <c r="I177" s="29">
        <f t="shared" si="23"/>
        <v>512919.89488939551</v>
      </c>
    </row>
    <row r="178" spans="1:9" s="34" customFormat="1" x14ac:dyDescent="0.25">
      <c r="A178" s="27">
        <f t="shared" si="18"/>
        <v>161</v>
      </c>
      <c r="B178" s="28">
        <f t="shared" si="19"/>
        <v>46174</v>
      </c>
      <c r="C178" s="29">
        <f t="shared" si="24"/>
        <v>512919.89488939551</v>
      </c>
      <c r="D178" s="29">
        <f t="shared" si="25"/>
        <v>3324.9668424399906</v>
      </c>
      <c r="E178" s="30">
        <f t="shared" si="20"/>
        <v>0</v>
      </c>
      <c r="F178" s="29">
        <f t="shared" si="21"/>
        <v>3324.9668424399906</v>
      </c>
      <c r="G178" s="29">
        <f t="shared" si="22"/>
        <v>1935.8087937812109</v>
      </c>
      <c r="H178" s="29">
        <f t="shared" si="26"/>
        <v>1389.1580486587798</v>
      </c>
      <c r="I178" s="29">
        <f t="shared" si="23"/>
        <v>510984.0860956143</v>
      </c>
    </row>
    <row r="179" spans="1:9" s="34" customFormat="1" x14ac:dyDescent="0.25">
      <c r="A179" s="27">
        <f t="shared" si="18"/>
        <v>162</v>
      </c>
      <c r="B179" s="28">
        <f t="shared" si="19"/>
        <v>46204</v>
      </c>
      <c r="C179" s="29">
        <f t="shared" si="24"/>
        <v>510984.0860956143</v>
      </c>
      <c r="D179" s="29">
        <f t="shared" si="25"/>
        <v>3324.9668424399906</v>
      </c>
      <c r="E179" s="30">
        <f t="shared" si="20"/>
        <v>0</v>
      </c>
      <c r="F179" s="29">
        <f t="shared" si="21"/>
        <v>3324.9668424399906</v>
      </c>
      <c r="G179" s="29">
        <f t="shared" si="22"/>
        <v>1941.0516092643684</v>
      </c>
      <c r="H179" s="29">
        <f t="shared" si="26"/>
        <v>1383.9152331756222</v>
      </c>
      <c r="I179" s="29">
        <f t="shared" si="23"/>
        <v>509043.0344863499</v>
      </c>
    </row>
    <row r="180" spans="1:9" s="34" customFormat="1" x14ac:dyDescent="0.25">
      <c r="A180" s="27">
        <f t="shared" si="18"/>
        <v>163</v>
      </c>
      <c r="B180" s="28">
        <f t="shared" si="19"/>
        <v>46235</v>
      </c>
      <c r="C180" s="29">
        <f t="shared" si="24"/>
        <v>509043.0344863499</v>
      </c>
      <c r="D180" s="29">
        <f t="shared" si="25"/>
        <v>3324.9668424399906</v>
      </c>
      <c r="E180" s="30">
        <f t="shared" si="20"/>
        <v>0</v>
      </c>
      <c r="F180" s="29">
        <f t="shared" si="21"/>
        <v>3324.9668424399906</v>
      </c>
      <c r="G180" s="29">
        <f t="shared" si="22"/>
        <v>1946.3086240394596</v>
      </c>
      <c r="H180" s="29">
        <f t="shared" si="26"/>
        <v>1378.658218400531</v>
      </c>
      <c r="I180" s="29">
        <f t="shared" si="23"/>
        <v>507096.72586231044</v>
      </c>
    </row>
    <row r="181" spans="1:9" s="34" customFormat="1" x14ac:dyDescent="0.25">
      <c r="A181" s="27">
        <f t="shared" si="18"/>
        <v>164</v>
      </c>
      <c r="B181" s="28">
        <f t="shared" si="19"/>
        <v>46266</v>
      </c>
      <c r="C181" s="29">
        <f t="shared" si="24"/>
        <v>507096.72586231044</v>
      </c>
      <c r="D181" s="29">
        <f t="shared" si="25"/>
        <v>3324.9668424399906</v>
      </c>
      <c r="E181" s="30">
        <f t="shared" si="20"/>
        <v>0</v>
      </c>
      <c r="F181" s="29">
        <f t="shared" si="21"/>
        <v>3324.9668424399906</v>
      </c>
      <c r="G181" s="29">
        <f t="shared" si="22"/>
        <v>1951.5798765628997</v>
      </c>
      <c r="H181" s="29">
        <f t="shared" si="26"/>
        <v>1373.3869658770909</v>
      </c>
      <c r="I181" s="29">
        <f t="shared" si="23"/>
        <v>505145.14598574757</v>
      </c>
    </row>
    <row r="182" spans="1:9" s="34" customFormat="1" x14ac:dyDescent="0.25">
      <c r="A182" s="27">
        <f t="shared" si="18"/>
        <v>165</v>
      </c>
      <c r="B182" s="28">
        <f t="shared" si="19"/>
        <v>46296</v>
      </c>
      <c r="C182" s="29">
        <f t="shared" si="24"/>
        <v>505145.14598574757</v>
      </c>
      <c r="D182" s="29">
        <f t="shared" si="25"/>
        <v>3324.9668424399906</v>
      </c>
      <c r="E182" s="30">
        <f t="shared" si="20"/>
        <v>0</v>
      </c>
      <c r="F182" s="29">
        <f t="shared" si="21"/>
        <v>3324.9668424399906</v>
      </c>
      <c r="G182" s="29">
        <f t="shared" si="22"/>
        <v>1956.8654053952575</v>
      </c>
      <c r="H182" s="29">
        <f t="shared" si="26"/>
        <v>1368.1014370447331</v>
      </c>
      <c r="I182" s="29">
        <f t="shared" si="23"/>
        <v>503188.28058035229</v>
      </c>
    </row>
    <row r="183" spans="1:9" s="34" customFormat="1" x14ac:dyDescent="0.25">
      <c r="A183" s="27">
        <f t="shared" si="18"/>
        <v>166</v>
      </c>
      <c r="B183" s="28">
        <f t="shared" si="19"/>
        <v>46327</v>
      </c>
      <c r="C183" s="29">
        <f t="shared" si="24"/>
        <v>503188.28058035229</v>
      </c>
      <c r="D183" s="29">
        <f t="shared" si="25"/>
        <v>3324.9668424399906</v>
      </c>
      <c r="E183" s="30">
        <f t="shared" si="20"/>
        <v>0</v>
      </c>
      <c r="F183" s="29">
        <f t="shared" si="21"/>
        <v>3324.9668424399906</v>
      </c>
      <c r="G183" s="29">
        <f t="shared" si="22"/>
        <v>1962.1652492015364</v>
      </c>
      <c r="H183" s="29">
        <f t="shared" si="26"/>
        <v>1362.8015932384542</v>
      </c>
      <c r="I183" s="29">
        <f t="shared" si="23"/>
        <v>501226.11533115077</v>
      </c>
    </row>
    <row r="184" spans="1:9" s="34" customFormat="1" x14ac:dyDescent="0.25">
      <c r="A184" s="27">
        <f t="shared" si="18"/>
        <v>167</v>
      </c>
      <c r="B184" s="28">
        <f t="shared" si="19"/>
        <v>46357</v>
      </c>
      <c r="C184" s="29">
        <f t="shared" si="24"/>
        <v>501226.11533115077</v>
      </c>
      <c r="D184" s="29">
        <f t="shared" si="25"/>
        <v>3324.9668424399906</v>
      </c>
      <c r="E184" s="30">
        <f t="shared" si="20"/>
        <v>0</v>
      </c>
      <c r="F184" s="29">
        <f t="shared" si="21"/>
        <v>3324.9668424399906</v>
      </c>
      <c r="G184" s="29">
        <f t="shared" si="22"/>
        <v>1967.4794467514573</v>
      </c>
      <c r="H184" s="29">
        <f t="shared" si="26"/>
        <v>1357.4873956885333</v>
      </c>
      <c r="I184" s="29">
        <f t="shared" si="23"/>
        <v>499258.63588439929</v>
      </c>
    </row>
    <row r="185" spans="1:9" s="34" customFormat="1" x14ac:dyDescent="0.25">
      <c r="A185" s="27">
        <f t="shared" si="18"/>
        <v>168</v>
      </c>
      <c r="B185" s="28">
        <f t="shared" si="19"/>
        <v>46388</v>
      </c>
      <c r="C185" s="29">
        <f t="shared" si="24"/>
        <v>499258.63588439929</v>
      </c>
      <c r="D185" s="29">
        <f t="shared" si="25"/>
        <v>3324.9668424399906</v>
      </c>
      <c r="E185" s="30">
        <f t="shared" si="20"/>
        <v>0</v>
      </c>
      <c r="F185" s="29">
        <f t="shared" si="21"/>
        <v>3324.9668424399906</v>
      </c>
      <c r="G185" s="29">
        <f t="shared" si="22"/>
        <v>1972.8080369197426</v>
      </c>
      <c r="H185" s="29">
        <f t="shared" si="26"/>
        <v>1352.1588055202481</v>
      </c>
      <c r="I185" s="29">
        <f t="shared" si="23"/>
        <v>497285.82784747955</v>
      </c>
    </row>
    <row r="186" spans="1:9" s="34" customFormat="1" x14ac:dyDescent="0.25">
      <c r="A186" s="27">
        <f t="shared" si="18"/>
        <v>169</v>
      </c>
      <c r="B186" s="28">
        <f t="shared" si="19"/>
        <v>46419</v>
      </c>
      <c r="C186" s="29">
        <f t="shared" si="24"/>
        <v>497285.82784747955</v>
      </c>
      <c r="D186" s="29">
        <f t="shared" si="25"/>
        <v>3324.9668424399906</v>
      </c>
      <c r="E186" s="30">
        <f t="shared" si="20"/>
        <v>0</v>
      </c>
      <c r="F186" s="29">
        <f t="shared" si="21"/>
        <v>3324.9668424399906</v>
      </c>
      <c r="G186" s="29">
        <f t="shared" si="22"/>
        <v>1978.1510586864001</v>
      </c>
      <c r="H186" s="29">
        <f t="shared" si="26"/>
        <v>1346.8157837535905</v>
      </c>
      <c r="I186" s="29">
        <f t="shared" si="23"/>
        <v>495307.67678879318</v>
      </c>
    </row>
    <row r="187" spans="1:9" s="34" customFormat="1" x14ac:dyDescent="0.25">
      <c r="A187" s="27">
        <f t="shared" si="18"/>
        <v>170</v>
      </c>
      <c r="B187" s="28">
        <f t="shared" si="19"/>
        <v>46447</v>
      </c>
      <c r="C187" s="29">
        <f t="shared" si="24"/>
        <v>495307.67678879318</v>
      </c>
      <c r="D187" s="29">
        <f t="shared" si="25"/>
        <v>3324.9668424399906</v>
      </c>
      <c r="E187" s="30">
        <f t="shared" si="20"/>
        <v>0</v>
      </c>
      <c r="F187" s="29">
        <f t="shared" si="21"/>
        <v>3324.9668424399906</v>
      </c>
      <c r="G187" s="29">
        <f t="shared" si="22"/>
        <v>1983.5085511370091</v>
      </c>
      <c r="H187" s="29">
        <f t="shared" si="26"/>
        <v>1341.4582913029815</v>
      </c>
      <c r="I187" s="29">
        <f t="shared" si="23"/>
        <v>493324.16823765618</v>
      </c>
    </row>
    <row r="188" spans="1:9" s="34" customFormat="1" x14ac:dyDescent="0.25">
      <c r="A188" s="27">
        <f t="shared" si="18"/>
        <v>171</v>
      </c>
      <c r="B188" s="28">
        <f t="shared" si="19"/>
        <v>46478</v>
      </c>
      <c r="C188" s="29">
        <f t="shared" si="24"/>
        <v>493324.16823765618</v>
      </c>
      <c r="D188" s="29">
        <f t="shared" si="25"/>
        <v>3324.9668424399906</v>
      </c>
      <c r="E188" s="30">
        <f t="shared" si="20"/>
        <v>0</v>
      </c>
      <c r="F188" s="29">
        <f t="shared" si="21"/>
        <v>3324.9668424399906</v>
      </c>
      <c r="G188" s="29">
        <f t="shared" si="22"/>
        <v>1988.8805534630051</v>
      </c>
      <c r="H188" s="29">
        <f t="shared" si="26"/>
        <v>1336.0862889769855</v>
      </c>
      <c r="I188" s="29">
        <f t="shared" si="23"/>
        <v>491335.28768419317</v>
      </c>
    </row>
    <row r="189" spans="1:9" s="34" customFormat="1" x14ac:dyDescent="0.25">
      <c r="A189" s="27">
        <f t="shared" si="18"/>
        <v>172</v>
      </c>
      <c r="B189" s="28">
        <f t="shared" si="19"/>
        <v>46508</v>
      </c>
      <c r="C189" s="29">
        <f t="shared" si="24"/>
        <v>491335.28768419317</v>
      </c>
      <c r="D189" s="29">
        <f t="shared" si="25"/>
        <v>3324.9668424399906</v>
      </c>
      <c r="E189" s="30">
        <f t="shared" si="20"/>
        <v>0</v>
      </c>
      <c r="F189" s="29">
        <f t="shared" si="21"/>
        <v>3324.9668424399906</v>
      </c>
      <c r="G189" s="29">
        <f t="shared" si="22"/>
        <v>1994.2671049619673</v>
      </c>
      <c r="H189" s="29">
        <f t="shared" si="26"/>
        <v>1330.6997374780233</v>
      </c>
      <c r="I189" s="29">
        <f t="shared" si="23"/>
        <v>489341.0205792312</v>
      </c>
    </row>
    <row r="190" spans="1:9" s="34" customFormat="1" x14ac:dyDescent="0.25">
      <c r="A190" s="27">
        <f t="shared" si="18"/>
        <v>173</v>
      </c>
      <c r="B190" s="28">
        <f t="shared" si="19"/>
        <v>46539</v>
      </c>
      <c r="C190" s="29">
        <f t="shared" si="24"/>
        <v>489341.0205792312</v>
      </c>
      <c r="D190" s="29">
        <f t="shared" si="25"/>
        <v>3324.9668424399906</v>
      </c>
      <c r="E190" s="30">
        <f t="shared" si="20"/>
        <v>0</v>
      </c>
      <c r="F190" s="29">
        <f t="shared" si="21"/>
        <v>3324.9668424399906</v>
      </c>
      <c r="G190" s="29">
        <f t="shared" si="22"/>
        <v>1999.668245037906</v>
      </c>
      <c r="H190" s="29">
        <f t="shared" si="26"/>
        <v>1325.2985974020846</v>
      </c>
      <c r="I190" s="29">
        <f t="shared" si="23"/>
        <v>487341.3523341933</v>
      </c>
    </row>
    <row r="191" spans="1:9" s="34" customFormat="1" x14ac:dyDescent="0.25">
      <c r="A191" s="27">
        <f t="shared" si="18"/>
        <v>174</v>
      </c>
      <c r="B191" s="28">
        <f t="shared" si="19"/>
        <v>46569</v>
      </c>
      <c r="C191" s="29">
        <f t="shared" si="24"/>
        <v>487341.3523341933</v>
      </c>
      <c r="D191" s="29">
        <f t="shared" si="25"/>
        <v>3324.9668424399906</v>
      </c>
      <c r="E191" s="30">
        <f t="shared" si="20"/>
        <v>0</v>
      </c>
      <c r="F191" s="29">
        <f t="shared" si="21"/>
        <v>3324.9668424399906</v>
      </c>
      <c r="G191" s="29">
        <f t="shared" si="22"/>
        <v>2005.0840132015503</v>
      </c>
      <c r="H191" s="29">
        <f t="shared" si="26"/>
        <v>1319.8828292384403</v>
      </c>
      <c r="I191" s="29">
        <f t="shared" si="23"/>
        <v>485336.26832099177</v>
      </c>
    </row>
    <row r="192" spans="1:9" s="34" customFormat="1" x14ac:dyDescent="0.25">
      <c r="A192" s="27">
        <f t="shared" si="18"/>
        <v>175</v>
      </c>
      <c r="B192" s="28">
        <f t="shared" si="19"/>
        <v>46600</v>
      </c>
      <c r="C192" s="29">
        <f t="shared" si="24"/>
        <v>485336.26832099177</v>
      </c>
      <c r="D192" s="29">
        <f t="shared" si="25"/>
        <v>3324.9668424399906</v>
      </c>
      <c r="E192" s="30">
        <f t="shared" si="20"/>
        <v>0</v>
      </c>
      <c r="F192" s="29">
        <f t="shared" si="21"/>
        <v>3324.9668424399906</v>
      </c>
      <c r="G192" s="29">
        <f t="shared" si="22"/>
        <v>2010.5144490706377</v>
      </c>
      <c r="H192" s="29">
        <f t="shared" si="26"/>
        <v>1314.4523933693529</v>
      </c>
      <c r="I192" s="29">
        <f t="shared" si="23"/>
        <v>483325.75387192116</v>
      </c>
    </row>
    <row r="193" spans="1:9" s="34" customFormat="1" x14ac:dyDescent="0.25">
      <c r="A193" s="27">
        <f t="shared" si="18"/>
        <v>176</v>
      </c>
      <c r="B193" s="28">
        <f t="shared" si="19"/>
        <v>46631</v>
      </c>
      <c r="C193" s="29">
        <f t="shared" si="24"/>
        <v>483325.75387192116</v>
      </c>
      <c r="D193" s="29">
        <f t="shared" si="25"/>
        <v>3324.9668424399906</v>
      </c>
      <c r="E193" s="30">
        <f t="shared" si="20"/>
        <v>0</v>
      </c>
      <c r="F193" s="29">
        <f t="shared" si="21"/>
        <v>3324.9668424399906</v>
      </c>
      <c r="G193" s="29">
        <f t="shared" si="22"/>
        <v>2015.9595923702041</v>
      </c>
      <c r="H193" s="29">
        <f t="shared" si="26"/>
        <v>1309.0072500697866</v>
      </c>
      <c r="I193" s="29">
        <f t="shared" si="23"/>
        <v>481309.79427955096</v>
      </c>
    </row>
    <row r="194" spans="1:9" s="34" customFormat="1" x14ac:dyDescent="0.25">
      <c r="A194" s="27">
        <f t="shared" si="18"/>
        <v>177</v>
      </c>
      <c r="B194" s="28">
        <f t="shared" si="19"/>
        <v>46661</v>
      </c>
      <c r="C194" s="29">
        <f t="shared" si="24"/>
        <v>481309.79427955096</v>
      </c>
      <c r="D194" s="29">
        <f t="shared" si="25"/>
        <v>3324.9668424399906</v>
      </c>
      <c r="E194" s="30">
        <f t="shared" si="20"/>
        <v>0</v>
      </c>
      <c r="F194" s="29">
        <f t="shared" si="21"/>
        <v>3324.9668424399906</v>
      </c>
      <c r="G194" s="29">
        <f t="shared" si="22"/>
        <v>2021.4194829328733</v>
      </c>
      <c r="H194" s="29">
        <f t="shared" si="26"/>
        <v>1303.5473595071173</v>
      </c>
      <c r="I194" s="29">
        <f t="shared" si="23"/>
        <v>479288.37479661807</v>
      </c>
    </row>
    <row r="195" spans="1:9" s="34" customFormat="1" x14ac:dyDescent="0.25">
      <c r="A195" s="27">
        <f t="shared" si="18"/>
        <v>178</v>
      </c>
      <c r="B195" s="28">
        <f t="shared" si="19"/>
        <v>46692</v>
      </c>
      <c r="C195" s="29">
        <f t="shared" si="24"/>
        <v>479288.37479661807</v>
      </c>
      <c r="D195" s="29">
        <f t="shared" si="25"/>
        <v>3324.9668424399906</v>
      </c>
      <c r="E195" s="30">
        <f t="shared" si="20"/>
        <v>0</v>
      </c>
      <c r="F195" s="29">
        <f t="shared" si="21"/>
        <v>3324.9668424399906</v>
      </c>
      <c r="G195" s="29">
        <f t="shared" si="22"/>
        <v>2026.89416069915</v>
      </c>
      <c r="H195" s="29">
        <f t="shared" si="26"/>
        <v>1298.0726817408406</v>
      </c>
      <c r="I195" s="29">
        <f t="shared" si="23"/>
        <v>477261.48063591891</v>
      </c>
    </row>
    <row r="196" spans="1:9" s="34" customFormat="1" x14ac:dyDescent="0.25">
      <c r="A196" s="27">
        <f t="shared" si="18"/>
        <v>179</v>
      </c>
      <c r="B196" s="28">
        <f t="shared" si="19"/>
        <v>46722</v>
      </c>
      <c r="C196" s="29">
        <f t="shared" si="24"/>
        <v>477261.48063591891</v>
      </c>
      <c r="D196" s="29">
        <f t="shared" si="25"/>
        <v>3324.9668424399906</v>
      </c>
      <c r="E196" s="30">
        <f t="shared" si="20"/>
        <v>0</v>
      </c>
      <c r="F196" s="29">
        <f t="shared" si="21"/>
        <v>3324.9668424399906</v>
      </c>
      <c r="G196" s="29">
        <f t="shared" si="22"/>
        <v>2032.3836657177101</v>
      </c>
      <c r="H196" s="29">
        <f t="shared" si="26"/>
        <v>1292.5831767222805</v>
      </c>
      <c r="I196" s="29">
        <f t="shared" si="23"/>
        <v>475229.09697020118</v>
      </c>
    </row>
    <row r="197" spans="1:9" s="34" customFormat="1" x14ac:dyDescent="0.25">
      <c r="A197" s="27">
        <f t="shared" si="18"/>
        <v>180</v>
      </c>
      <c r="B197" s="28">
        <f t="shared" si="19"/>
        <v>46753</v>
      </c>
      <c r="C197" s="29">
        <f t="shared" si="24"/>
        <v>475229.09697020118</v>
      </c>
      <c r="D197" s="29">
        <f t="shared" si="25"/>
        <v>3324.9668424399906</v>
      </c>
      <c r="E197" s="30">
        <f t="shared" si="20"/>
        <v>0</v>
      </c>
      <c r="F197" s="29">
        <f t="shared" si="21"/>
        <v>3324.9668424399906</v>
      </c>
      <c r="G197" s="29">
        <f t="shared" si="22"/>
        <v>2037.8880381456956</v>
      </c>
      <c r="H197" s="29">
        <f t="shared" si="26"/>
        <v>1287.078804294295</v>
      </c>
      <c r="I197" s="29">
        <f t="shared" si="23"/>
        <v>473191.20893205551</v>
      </c>
    </row>
    <row r="198" spans="1:9" s="34" customFormat="1" x14ac:dyDescent="0.25">
      <c r="A198" s="27">
        <f t="shared" si="18"/>
        <v>181</v>
      </c>
      <c r="B198" s="28">
        <f t="shared" si="19"/>
        <v>46784</v>
      </c>
      <c r="C198" s="29">
        <f t="shared" si="24"/>
        <v>473191.20893205551</v>
      </c>
      <c r="D198" s="29">
        <f t="shared" si="25"/>
        <v>3324.9668424399906</v>
      </c>
      <c r="E198" s="30">
        <f t="shared" si="20"/>
        <v>0</v>
      </c>
      <c r="F198" s="29">
        <f t="shared" si="21"/>
        <v>3324.9668424399906</v>
      </c>
      <c r="G198" s="29">
        <f t="shared" si="22"/>
        <v>2043.4073182490069</v>
      </c>
      <c r="H198" s="29">
        <f t="shared" si="26"/>
        <v>1281.5595241909837</v>
      </c>
      <c r="I198" s="29">
        <f t="shared" si="23"/>
        <v>471147.80161380651</v>
      </c>
    </row>
    <row r="199" spans="1:9" s="34" customFormat="1" x14ac:dyDescent="0.25">
      <c r="A199" s="27">
        <f t="shared" si="18"/>
        <v>182</v>
      </c>
      <c r="B199" s="28">
        <f t="shared" si="19"/>
        <v>46813</v>
      </c>
      <c r="C199" s="29">
        <f t="shared" si="24"/>
        <v>471147.80161380651</v>
      </c>
      <c r="D199" s="29">
        <f t="shared" si="25"/>
        <v>3324.9668424399906</v>
      </c>
      <c r="E199" s="30">
        <f t="shared" si="20"/>
        <v>0</v>
      </c>
      <c r="F199" s="29">
        <f t="shared" si="21"/>
        <v>3324.9668424399906</v>
      </c>
      <c r="G199" s="29">
        <f t="shared" si="22"/>
        <v>2048.9415464025979</v>
      </c>
      <c r="H199" s="29">
        <f t="shared" si="26"/>
        <v>1276.0252960373925</v>
      </c>
      <c r="I199" s="29">
        <f t="shared" si="23"/>
        <v>469098.86006740393</v>
      </c>
    </row>
    <row r="200" spans="1:9" s="34" customFormat="1" x14ac:dyDescent="0.25">
      <c r="A200" s="27">
        <f t="shared" si="18"/>
        <v>183</v>
      </c>
      <c r="B200" s="28">
        <f t="shared" si="19"/>
        <v>46844</v>
      </c>
      <c r="C200" s="29">
        <f t="shared" si="24"/>
        <v>469098.86006740393</v>
      </c>
      <c r="D200" s="29">
        <f t="shared" si="25"/>
        <v>3324.9668424399906</v>
      </c>
      <c r="E200" s="30">
        <f t="shared" si="20"/>
        <v>0</v>
      </c>
      <c r="F200" s="29">
        <f t="shared" si="21"/>
        <v>3324.9668424399906</v>
      </c>
      <c r="G200" s="29">
        <f t="shared" si="22"/>
        <v>2054.4907630907719</v>
      </c>
      <c r="H200" s="29">
        <f t="shared" si="26"/>
        <v>1270.4760793492189</v>
      </c>
      <c r="I200" s="29">
        <f t="shared" si="23"/>
        <v>467044.36930431315</v>
      </c>
    </row>
    <row r="201" spans="1:9" s="34" customFormat="1" x14ac:dyDescent="0.25">
      <c r="A201" s="27">
        <f t="shared" si="18"/>
        <v>184</v>
      </c>
      <c r="B201" s="28">
        <f t="shared" si="19"/>
        <v>46874</v>
      </c>
      <c r="C201" s="29">
        <f t="shared" si="24"/>
        <v>467044.36930431315</v>
      </c>
      <c r="D201" s="29">
        <f t="shared" si="25"/>
        <v>3324.9668424399906</v>
      </c>
      <c r="E201" s="30">
        <f t="shared" si="20"/>
        <v>0</v>
      </c>
      <c r="F201" s="29">
        <f t="shared" si="21"/>
        <v>3324.9668424399906</v>
      </c>
      <c r="G201" s="29">
        <f t="shared" si="22"/>
        <v>2060.0550089074759</v>
      </c>
      <c r="H201" s="29">
        <f t="shared" si="26"/>
        <v>1264.9118335325149</v>
      </c>
      <c r="I201" s="29">
        <f t="shared" si="23"/>
        <v>464984.3142954057</v>
      </c>
    </row>
    <row r="202" spans="1:9" s="34" customFormat="1" x14ac:dyDescent="0.25">
      <c r="A202" s="27">
        <f t="shared" si="18"/>
        <v>185</v>
      </c>
      <c r="B202" s="28">
        <f t="shared" si="19"/>
        <v>46905</v>
      </c>
      <c r="C202" s="29">
        <f t="shared" si="24"/>
        <v>464984.3142954057</v>
      </c>
      <c r="D202" s="29">
        <f t="shared" si="25"/>
        <v>3324.9668424399906</v>
      </c>
      <c r="E202" s="30">
        <f t="shared" si="20"/>
        <v>0</v>
      </c>
      <c r="F202" s="29">
        <f t="shared" si="21"/>
        <v>3324.9668424399906</v>
      </c>
      <c r="G202" s="29">
        <f t="shared" si="22"/>
        <v>2065.6343245566004</v>
      </c>
      <c r="H202" s="29">
        <f t="shared" si="26"/>
        <v>1259.3325178833904</v>
      </c>
      <c r="I202" s="29">
        <f t="shared" si="23"/>
        <v>462918.67997084907</v>
      </c>
    </row>
    <row r="203" spans="1:9" s="34" customFormat="1" x14ac:dyDescent="0.25">
      <c r="A203" s="27">
        <f t="shared" si="18"/>
        <v>186</v>
      </c>
      <c r="B203" s="28">
        <f t="shared" si="19"/>
        <v>46935</v>
      </c>
      <c r="C203" s="29">
        <f t="shared" si="24"/>
        <v>462918.67997084907</v>
      </c>
      <c r="D203" s="29">
        <f t="shared" si="25"/>
        <v>3324.9668424399906</v>
      </c>
      <c r="E203" s="30">
        <f t="shared" si="20"/>
        <v>0</v>
      </c>
      <c r="F203" s="29">
        <f t="shared" si="21"/>
        <v>3324.9668424399906</v>
      </c>
      <c r="G203" s="29">
        <f t="shared" si="22"/>
        <v>2071.2287508522741</v>
      </c>
      <c r="H203" s="29">
        <f t="shared" si="26"/>
        <v>1253.7380915877163</v>
      </c>
      <c r="I203" s="29">
        <f t="shared" si="23"/>
        <v>460847.45121999679</v>
      </c>
    </row>
    <row r="204" spans="1:9" s="34" customFormat="1" x14ac:dyDescent="0.25">
      <c r="A204" s="27">
        <f t="shared" si="18"/>
        <v>187</v>
      </c>
      <c r="B204" s="28">
        <f t="shared" si="19"/>
        <v>46966</v>
      </c>
      <c r="C204" s="29">
        <f t="shared" si="24"/>
        <v>460847.45121999679</v>
      </c>
      <c r="D204" s="29">
        <f t="shared" si="25"/>
        <v>3324.9668424399906</v>
      </c>
      <c r="E204" s="30">
        <f t="shared" si="20"/>
        <v>0</v>
      </c>
      <c r="F204" s="29">
        <f t="shared" si="21"/>
        <v>3324.9668424399906</v>
      </c>
      <c r="G204" s="29">
        <f t="shared" si="22"/>
        <v>2076.8383287191659</v>
      </c>
      <c r="H204" s="29">
        <f t="shared" si="26"/>
        <v>1248.1285137208247</v>
      </c>
      <c r="I204" s="29">
        <f t="shared" si="23"/>
        <v>458770.61289127765</v>
      </c>
    </row>
    <row r="205" spans="1:9" s="34" customFormat="1" x14ac:dyDescent="0.25">
      <c r="A205" s="27">
        <f t="shared" si="18"/>
        <v>188</v>
      </c>
      <c r="B205" s="28">
        <f t="shared" si="19"/>
        <v>46997</v>
      </c>
      <c r="C205" s="29">
        <f t="shared" si="24"/>
        <v>458770.61289127765</v>
      </c>
      <c r="D205" s="29">
        <f t="shared" si="25"/>
        <v>3324.9668424399906</v>
      </c>
      <c r="E205" s="30">
        <f t="shared" si="20"/>
        <v>0</v>
      </c>
      <c r="F205" s="29">
        <f t="shared" si="21"/>
        <v>3324.9668424399906</v>
      </c>
      <c r="G205" s="29">
        <f t="shared" si="22"/>
        <v>2082.4630991927806</v>
      </c>
      <c r="H205" s="29">
        <f t="shared" si="26"/>
        <v>1242.5037432472102</v>
      </c>
      <c r="I205" s="29">
        <f t="shared" si="23"/>
        <v>456688.14979208488</v>
      </c>
    </row>
    <row r="206" spans="1:9" s="34" customFormat="1" x14ac:dyDescent="0.25">
      <c r="A206" s="27">
        <f t="shared" si="18"/>
        <v>189</v>
      </c>
      <c r="B206" s="28">
        <f t="shared" si="19"/>
        <v>47027</v>
      </c>
      <c r="C206" s="29">
        <f t="shared" si="24"/>
        <v>456688.14979208488</v>
      </c>
      <c r="D206" s="29">
        <f t="shared" si="25"/>
        <v>3324.9668424399906</v>
      </c>
      <c r="E206" s="30">
        <f t="shared" si="20"/>
        <v>0</v>
      </c>
      <c r="F206" s="29">
        <f t="shared" si="21"/>
        <v>3324.9668424399906</v>
      </c>
      <c r="G206" s="29">
        <f t="shared" si="22"/>
        <v>2088.1031034197604</v>
      </c>
      <c r="H206" s="29">
        <f t="shared" si="26"/>
        <v>1236.86373902023</v>
      </c>
      <c r="I206" s="29">
        <f t="shared" si="23"/>
        <v>454600.04668866511</v>
      </c>
    </row>
    <row r="207" spans="1:9" s="34" customFormat="1" x14ac:dyDescent="0.25">
      <c r="A207" s="27">
        <f t="shared" si="18"/>
        <v>190</v>
      </c>
      <c r="B207" s="28">
        <f t="shared" si="19"/>
        <v>47058</v>
      </c>
      <c r="C207" s="29">
        <f t="shared" si="24"/>
        <v>454600.04668866511</v>
      </c>
      <c r="D207" s="29">
        <f t="shared" si="25"/>
        <v>3324.9668424399906</v>
      </c>
      <c r="E207" s="30">
        <f t="shared" si="20"/>
        <v>0</v>
      </c>
      <c r="F207" s="29">
        <f t="shared" si="21"/>
        <v>3324.9668424399906</v>
      </c>
      <c r="G207" s="29">
        <f t="shared" si="22"/>
        <v>2093.7583826581895</v>
      </c>
      <c r="H207" s="29">
        <f t="shared" si="26"/>
        <v>1231.2084597818014</v>
      </c>
      <c r="I207" s="29">
        <f t="shared" si="23"/>
        <v>452506.28830600693</v>
      </c>
    </row>
    <row r="208" spans="1:9" s="34" customFormat="1" x14ac:dyDescent="0.25">
      <c r="A208" s="27">
        <f t="shared" si="18"/>
        <v>191</v>
      </c>
      <c r="B208" s="28">
        <f t="shared" si="19"/>
        <v>47088</v>
      </c>
      <c r="C208" s="29">
        <f t="shared" si="24"/>
        <v>452506.28830600693</v>
      </c>
      <c r="D208" s="29">
        <f t="shared" si="25"/>
        <v>3324.9668424399906</v>
      </c>
      <c r="E208" s="30">
        <f t="shared" si="20"/>
        <v>0</v>
      </c>
      <c r="F208" s="29">
        <f t="shared" si="21"/>
        <v>3324.9668424399906</v>
      </c>
      <c r="G208" s="29">
        <f t="shared" si="22"/>
        <v>2099.4289782778887</v>
      </c>
      <c r="H208" s="29">
        <f t="shared" si="26"/>
        <v>1225.5378641621021</v>
      </c>
      <c r="I208" s="29">
        <f t="shared" si="23"/>
        <v>450406.85932772903</v>
      </c>
    </row>
    <row r="209" spans="1:9" s="34" customFormat="1" x14ac:dyDescent="0.25">
      <c r="A209" s="27">
        <f t="shared" si="18"/>
        <v>192</v>
      </c>
      <c r="B209" s="28">
        <f t="shared" si="19"/>
        <v>47119</v>
      </c>
      <c r="C209" s="29">
        <f t="shared" si="24"/>
        <v>450406.85932772903</v>
      </c>
      <c r="D209" s="29">
        <f t="shared" si="25"/>
        <v>3324.9668424399906</v>
      </c>
      <c r="E209" s="30">
        <f t="shared" si="20"/>
        <v>0</v>
      </c>
      <c r="F209" s="29">
        <f t="shared" si="21"/>
        <v>3324.9668424399906</v>
      </c>
      <c r="G209" s="29">
        <f t="shared" si="22"/>
        <v>2105.1149317607242</v>
      </c>
      <c r="H209" s="29">
        <f t="shared" si="26"/>
        <v>1219.8519106792662</v>
      </c>
      <c r="I209" s="29">
        <f t="shared" si="23"/>
        <v>448301.74439596833</v>
      </c>
    </row>
    <row r="210" spans="1:9" s="34" customFormat="1" x14ac:dyDescent="0.25">
      <c r="A210" s="27">
        <f t="shared" si="18"/>
        <v>193</v>
      </c>
      <c r="B210" s="28">
        <f t="shared" si="19"/>
        <v>47150</v>
      </c>
      <c r="C210" s="29">
        <f t="shared" si="24"/>
        <v>448301.74439596833</v>
      </c>
      <c r="D210" s="29">
        <f t="shared" si="25"/>
        <v>3324.9668424399906</v>
      </c>
      <c r="E210" s="30">
        <f t="shared" si="20"/>
        <v>0</v>
      </c>
      <c r="F210" s="29">
        <f t="shared" si="21"/>
        <v>3324.9668424399906</v>
      </c>
      <c r="G210" s="29">
        <f t="shared" si="22"/>
        <v>2110.8162847009098</v>
      </c>
      <c r="H210" s="29">
        <f t="shared" si="26"/>
        <v>1214.150557739081</v>
      </c>
      <c r="I210" s="29">
        <f t="shared" si="23"/>
        <v>446190.92811126739</v>
      </c>
    </row>
    <row r="211" spans="1:9" s="34" customFormat="1" x14ac:dyDescent="0.25">
      <c r="A211" s="27">
        <f t="shared" ref="A211:A274" si="27">IF(Values_Entered,A210+1,"")</f>
        <v>194</v>
      </c>
      <c r="B211" s="28">
        <f t="shared" ref="B211:B274" si="28">IF(Pay_Num&lt;&gt;"",DATE(YEAR(B210),MONTH(B210)+1,DAY(B210)),"")</f>
        <v>47178</v>
      </c>
      <c r="C211" s="29">
        <f t="shared" si="24"/>
        <v>446190.92811126739</v>
      </c>
      <c r="D211" s="29">
        <f t="shared" si="25"/>
        <v>3324.9668424399906</v>
      </c>
      <c r="E211" s="30">
        <f t="shared" ref="E211:E274" si="29">IF(Pay_Num&lt;&gt;"",Scheduled_Extra_Payments,"")</f>
        <v>0</v>
      </c>
      <c r="F211" s="29">
        <f t="shared" ref="F211:F274" si="30">IF(Pay_Num&lt;&gt;"",Sched_Pay+Extra_Pay,"")</f>
        <v>3324.9668424399906</v>
      </c>
      <c r="G211" s="29">
        <f t="shared" ref="G211:G274" si="31">IF(Pay_Num&lt;&gt;"",Total_Pay-Int,"")</f>
        <v>2116.5330788053079</v>
      </c>
      <c r="H211" s="29">
        <f t="shared" si="26"/>
        <v>1208.4337636346825</v>
      </c>
      <c r="I211" s="29">
        <f t="shared" ref="I211:I274" si="32">IF(Pay_Num&lt;&gt;"",Beg_Bal-Princ,"")</f>
        <v>444074.39503246208</v>
      </c>
    </row>
    <row r="212" spans="1:9" s="34" customFormat="1" x14ac:dyDescent="0.25">
      <c r="A212" s="27">
        <f t="shared" si="27"/>
        <v>195</v>
      </c>
      <c r="B212" s="28">
        <f t="shared" si="28"/>
        <v>47209</v>
      </c>
      <c r="C212" s="29">
        <f t="shared" ref="C212:C275" si="33">IF(Pay_Num&lt;&gt;"",I211,"")</f>
        <v>444074.39503246208</v>
      </c>
      <c r="D212" s="29">
        <f t="shared" ref="D212:D275" si="34">IF(Pay_Num&lt;&gt;"",Scheduled_Monthly_Payment,"")</f>
        <v>3324.9668424399906</v>
      </c>
      <c r="E212" s="30">
        <f t="shared" si="29"/>
        <v>0</v>
      </c>
      <c r="F212" s="29">
        <f t="shared" si="30"/>
        <v>3324.9668424399906</v>
      </c>
      <c r="G212" s="29">
        <f t="shared" si="31"/>
        <v>2122.2653558937391</v>
      </c>
      <c r="H212" s="29">
        <f t="shared" ref="H212:H275" si="35">IF(Pay_Num&lt;&gt;"",Beg_Bal*Interest_Rate/12,"")</f>
        <v>1202.7014865462515</v>
      </c>
      <c r="I212" s="29">
        <f t="shared" si="32"/>
        <v>441952.12967656832</v>
      </c>
    </row>
    <row r="213" spans="1:9" s="34" customFormat="1" x14ac:dyDescent="0.25">
      <c r="A213" s="27">
        <f t="shared" si="27"/>
        <v>196</v>
      </c>
      <c r="B213" s="28">
        <f t="shared" si="28"/>
        <v>47239</v>
      </c>
      <c r="C213" s="29">
        <f t="shared" si="33"/>
        <v>441952.12967656832</v>
      </c>
      <c r="D213" s="29">
        <f t="shared" si="34"/>
        <v>3324.9668424399906</v>
      </c>
      <c r="E213" s="30">
        <f t="shared" si="29"/>
        <v>0</v>
      </c>
      <c r="F213" s="29">
        <f t="shared" si="30"/>
        <v>3324.9668424399906</v>
      </c>
      <c r="G213" s="29">
        <f t="shared" si="31"/>
        <v>2128.013157899285</v>
      </c>
      <c r="H213" s="29">
        <f t="shared" si="35"/>
        <v>1196.9536845407058</v>
      </c>
      <c r="I213" s="29">
        <f t="shared" si="32"/>
        <v>439824.11651866906</v>
      </c>
    </row>
    <row r="214" spans="1:9" s="34" customFormat="1" x14ac:dyDescent="0.25">
      <c r="A214" s="27">
        <f t="shared" si="27"/>
        <v>197</v>
      </c>
      <c r="B214" s="28">
        <f t="shared" si="28"/>
        <v>47270</v>
      </c>
      <c r="C214" s="29">
        <f t="shared" si="33"/>
        <v>439824.11651866906</v>
      </c>
      <c r="D214" s="29">
        <f t="shared" si="34"/>
        <v>3324.9668424399906</v>
      </c>
      <c r="E214" s="30">
        <f t="shared" si="29"/>
        <v>0</v>
      </c>
      <c r="F214" s="29">
        <f t="shared" si="30"/>
        <v>3324.9668424399906</v>
      </c>
      <c r="G214" s="29">
        <f t="shared" si="31"/>
        <v>2133.7765268685953</v>
      </c>
      <c r="H214" s="29">
        <f t="shared" si="35"/>
        <v>1191.1903155713956</v>
      </c>
      <c r="I214" s="29">
        <f t="shared" si="32"/>
        <v>437690.33999180049</v>
      </c>
    </row>
    <row r="215" spans="1:9" s="34" customFormat="1" x14ac:dyDescent="0.25">
      <c r="A215" s="27">
        <f t="shared" si="27"/>
        <v>198</v>
      </c>
      <c r="B215" s="28">
        <f t="shared" si="28"/>
        <v>47300</v>
      </c>
      <c r="C215" s="29">
        <f t="shared" si="33"/>
        <v>437690.33999180049</v>
      </c>
      <c r="D215" s="29">
        <f t="shared" si="34"/>
        <v>3324.9668424399906</v>
      </c>
      <c r="E215" s="30">
        <f t="shared" si="29"/>
        <v>0</v>
      </c>
      <c r="F215" s="29">
        <f t="shared" si="30"/>
        <v>3324.9668424399906</v>
      </c>
      <c r="G215" s="29">
        <f t="shared" si="31"/>
        <v>2139.5555049621976</v>
      </c>
      <c r="H215" s="29">
        <f t="shared" si="35"/>
        <v>1185.411337477793</v>
      </c>
      <c r="I215" s="29">
        <f t="shared" si="32"/>
        <v>435550.78448683827</v>
      </c>
    </row>
    <row r="216" spans="1:9" s="34" customFormat="1" x14ac:dyDescent="0.25">
      <c r="A216" s="27">
        <f t="shared" si="27"/>
        <v>199</v>
      </c>
      <c r="B216" s="28">
        <f t="shared" si="28"/>
        <v>47331</v>
      </c>
      <c r="C216" s="29">
        <f t="shared" si="33"/>
        <v>435550.78448683827</v>
      </c>
      <c r="D216" s="29">
        <f t="shared" si="34"/>
        <v>3324.9668424399906</v>
      </c>
      <c r="E216" s="30">
        <f t="shared" si="29"/>
        <v>0</v>
      </c>
      <c r="F216" s="29">
        <f t="shared" si="30"/>
        <v>3324.9668424399906</v>
      </c>
      <c r="G216" s="29">
        <f t="shared" si="31"/>
        <v>2145.3501344548035</v>
      </c>
      <c r="H216" s="29">
        <f t="shared" si="35"/>
        <v>1179.6167079851871</v>
      </c>
      <c r="I216" s="29">
        <f t="shared" si="32"/>
        <v>433405.43435238348</v>
      </c>
    </row>
    <row r="217" spans="1:9" s="34" customFormat="1" x14ac:dyDescent="0.25">
      <c r="A217" s="27">
        <f t="shared" si="27"/>
        <v>200</v>
      </c>
      <c r="B217" s="28">
        <f t="shared" si="28"/>
        <v>47362</v>
      </c>
      <c r="C217" s="29">
        <f t="shared" si="33"/>
        <v>433405.43435238348</v>
      </c>
      <c r="D217" s="29">
        <f t="shared" si="34"/>
        <v>3324.9668424399906</v>
      </c>
      <c r="E217" s="30">
        <f t="shared" si="29"/>
        <v>0</v>
      </c>
      <c r="F217" s="29">
        <f t="shared" si="30"/>
        <v>3324.9668424399906</v>
      </c>
      <c r="G217" s="29">
        <f t="shared" si="31"/>
        <v>2151.1604577356184</v>
      </c>
      <c r="H217" s="29">
        <f t="shared" si="35"/>
        <v>1173.806384704372</v>
      </c>
      <c r="I217" s="29">
        <f t="shared" si="32"/>
        <v>431254.27389464789</v>
      </c>
    </row>
    <row r="218" spans="1:9" s="34" customFormat="1" x14ac:dyDescent="0.25">
      <c r="A218" s="27">
        <f t="shared" si="27"/>
        <v>201</v>
      </c>
      <c r="B218" s="28">
        <f t="shared" si="28"/>
        <v>47392</v>
      </c>
      <c r="C218" s="29">
        <f t="shared" si="33"/>
        <v>431254.27389464789</v>
      </c>
      <c r="D218" s="29">
        <f t="shared" si="34"/>
        <v>3324.9668424399906</v>
      </c>
      <c r="E218" s="30">
        <f t="shared" si="29"/>
        <v>0</v>
      </c>
      <c r="F218" s="29">
        <f t="shared" si="30"/>
        <v>3324.9668424399906</v>
      </c>
      <c r="G218" s="29">
        <f t="shared" si="31"/>
        <v>2156.9865173086528</v>
      </c>
      <c r="H218" s="29">
        <f t="shared" si="35"/>
        <v>1167.9803251313381</v>
      </c>
      <c r="I218" s="29">
        <f t="shared" si="32"/>
        <v>429097.28737733926</v>
      </c>
    </row>
    <row r="219" spans="1:9" s="34" customFormat="1" x14ac:dyDescent="0.25">
      <c r="A219" s="27">
        <f t="shared" si="27"/>
        <v>202</v>
      </c>
      <c r="B219" s="28">
        <f t="shared" si="28"/>
        <v>47423</v>
      </c>
      <c r="C219" s="29">
        <f t="shared" si="33"/>
        <v>429097.28737733926</v>
      </c>
      <c r="D219" s="29">
        <f t="shared" si="34"/>
        <v>3324.9668424399906</v>
      </c>
      <c r="E219" s="30">
        <f t="shared" si="29"/>
        <v>0</v>
      </c>
      <c r="F219" s="29">
        <f t="shared" si="30"/>
        <v>3324.9668424399906</v>
      </c>
      <c r="G219" s="29">
        <f t="shared" si="31"/>
        <v>2162.8283557930299</v>
      </c>
      <c r="H219" s="29">
        <f t="shared" si="35"/>
        <v>1162.1384866469605</v>
      </c>
      <c r="I219" s="29">
        <f t="shared" si="32"/>
        <v>426934.45902154624</v>
      </c>
    </row>
    <row r="220" spans="1:9" s="34" customFormat="1" x14ac:dyDescent="0.25">
      <c r="A220" s="27">
        <f t="shared" si="27"/>
        <v>203</v>
      </c>
      <c r="B220" s="28">
        <f t="shared" si="28"/>
        <v>47453</v>
      </c>
      <c r="C220" s="29">
        <f t="shared" si="33"/>
        <v>426934.45902154624</v>
      </c>
      <c r="D220" s="29">
        <f t="shared" si="34"/>
        <v>3324.9668424399906</v>
      </c>
      <c r="E220" s="30">
        <f t="shared" si="29"/>
        <v>0</v>
      </c>
      <c r="F220" s="29">
        <f t="shared" si="30"/>
        <v>3324.9668424399906</v>
      </c>
      <c r="G220" s="29">
        <f t="shared" si="31"/>
        <v>2168.6860159233029</v>
      </c>
      <c r="H220" s="29">
        <f t="shared" si="35"/>
        <v>1156.2808265166877</v>
      </c>
      <c r="I220" s="29">
        <f t="shared" si="32"/>
        <v>424765.77300562296</v>
      </c>
    </row>
    <row r="221" spans="1:9" s="34" customFormat="1" x14ac:dyDescent="0.25">
      <c r="A221" s="27">
        <f t="shared" si="27"/>
        <v>204</v>
      </c>
      <c r="B221" s="28">
        <f t="shared" si="28"/>
        <v>47484</v>
      </c>
      <c r="C221" s="29">
        <f t="shared" si="33"/>
        <v>424765.77300562296</v>
      </c>
      <c r="D221" s="29">
        <f t="shared" si="34"/>
        <v>3324.9668424399906</v>
      </c>
      <c r="E221" s="30">
        <f t="shared" si="29"/>
        <v>0</v>
      </c>
      <c r="F221" s="29">
        <f t="shared" si="30"/>
        <v>3324.9668424399906</v>
      </c>
      <c r="G221" s="29">
        <f t="shared" si="31"/>
        <v>2174.5595405497616</v>
      </c>
      <c r="H221" s="29">
        <f t="shared" si="35"/>
        <v>1150.4073018902288</v>
      </c>
      <c r="I221" s="29">
        <f t="shared" si="32"/>
        <v>422591.2134650732</v>
      </c>
    </row>
    <row r="222" spans="1:9" s="34" customFormat="1" x14ac:dyDescent="0.25">
      <c r="A222" s="27">
        <f t="shared" si="27"/>
        <v>205</v>
      </c>
      <c r="B222" s="28">
        <f t="shared" si="28"/>
        <v>47515</v>
      </c>
      <c r="C222" s="29">
        <f t="shared" si="33"/>
        <v>422591.2134650732</v>
      </c>
      <c r="D222" s="29">
        <f t="shared" si="34"/>
        <v>3324.9668424399906</v>
      </c>
      <c r="E222" s="30">
        <f t="shared" si="29"/>
        <v>0</v>
      </c>
      <c r="F222" s="29">
        <f t="shared" si="30"/>
        <v>3324.9668424399906</v>
      </c>
      <c r="G222" s="29">
        <f t="shared" si="31"/>
        <v>2180.448972638751</v>
      </c>
      <c r="H222" s="29">
        <f t="shared" si="35"/>
        <v>1144.5178698012398</v>
      </c>
      <c r="I222" s="29">
        <f t="shared" si="32"/>
        <v>420410.76449243445</v>
      </c>
    </row>
    <row r="223" spans="1:9" s="34" customFormat="1" x14ac:dyDescent="0.25">
      <c r="A223" s="27">
        <f t="shared" si="27"/>
        <v>206</v>
      </c>
      <c r="B223" s="28">
        <f t="shared" si="28"/>
        <v>47543</v>
      </c>
      <c r="C223" s="29">
        <f t="shared" si="33"/>
        <v>420410.76449243445</v>
      </c>
      <c r="D223" s="29">
        <f t="shared" si="34"/>
        <v>3324.9668424399906</v>
      </c>
      <c r="E223" s="30">
        <f t="shared" si="29"/>
        <v>0</v>
      </c>
      <c r="F223" s="29">
        <f t="shared" si="30"/>
        <v>3324.9668424399906</v>
      </c>
      <c r="G223" s="29">
        <f t="shared" si="31"/>
        <v>2186.3543552729807</v>
      </c>
      <c r="H223" s="29">
        <f t="shared" si="35"/>
        <v>1138.6124871670099</v>
      </c>
      <c r="I223" s="29">
        <f t="shared" si="32"/>
        <v>418224.4101371615</v>
      </c>
    </row>
    <row r="224" spans="1:9" s="34" customFormat="1" x14ac:dyDescent="0.25">
      <c r="A224" s="27">
        <f t="shared" si="27"/>
        <v>207</v>
      </c>
      <c r="B224" s="28">
        <f t="shared" si="28"/>
        <v>47574</v>
      </c>
      <c r="C224" s="29">
        <f t="shared" si="33"/>
        <v>418224.4101371615</v>
      </c>
      <c r="D224" s="29">
        <f t="shared" si="34"/>
        <v>3324.9668424399906</v>
      </c>
      <c r="E224" s="30">
        <f t="shared" si="29"/>
        <v>0</v>
      </c>
      <c r="F224" s="29">
        <f t="shared" si="30"/>
        <v>3324.9668424399906</v>
      </c>
      <c r="G224" s="29">
        <f t="shared" si="31"/>
        <v>2192.2757316518446</v>
      </c>
      <c r="H224" s="29">
        <f t="shared" si="35"/>
        <v>1132.6911107881458</v>
      </c>
      <c r="I224" s="29">
        <f t="shared" si="32"/>
        <v>416032.13440550963</v>
      </c>
    </row>
    <row r="225" spans="1:9" s="34" customFormat="1" x14ac:dyDescent="0.25">
      <c r="A225" s="27">
        <f t="shared" si="27"/>
        <v>208</v>
      </c>
      <c r="B225" s="28">
        <f t="shared" si="28"/>
        <v>47604</v>
      </c>
      <c r="C225" s="29">
        <f t="shared" si="33"/>
        <v>416032.13440550963</v>
      </c>
      <c r="D225" s="29">
        <f t="shared" si="34"/>
        <v>3324.9668424399906</v>
      </c>
      <c r="E225" s="30">
        <f t="shared" si="29"/>
        <v>0</v>
      </c>
      <c r="F225" s="29">
        <f t="shared" si="30"/>
        <v>3324.9668424399906</v>
      </c>
      <c r="G225" s="29">
        <f t="shared" si="31"/>
        <v>2198.213145091735</v>
      </c>
      <c r="H225" s="29">
        <f t="shared" si="35"/>
        <v>1126.7536973482554</v>
      </c>
      <c r="I225" s="29">
        <f t="shared" si="32"/>
        <v>413833.9212604179</v>
      </c>
    </row>
    <row r="226" spans="1:9" s="34" customFormat="1" x14ac:dyDescent="0.25">
      <c r="A226" s="27">
        <f t="shared" si="27"/>
        <v>209</v>
      </c>
      <c r="B226" s="28">
        <f t="shared" si="28"/>
        <v>47635</v>
      </c>
      <c r="C226" s="29">
        <f t="shared" si="33"/>
        <v>413833.9212604179</v>
      </c>
      <c r="D226" s="29">
        <f t="shared" si="34"/>
        <v>3324.9668424399906</v>
      </c>
      <c r="E226" s="30">
        <f t="shared" si="29"/>
        <v>0</v>
      </c>
      <c r="F226" s="29">
        <f t="shared" si="30"/>
        <v>3324.9668424399906</v>
      </c>
      <c r="G226" s="29">
        <f t="shared" si="31"/>
        <v>2204.166639026359</v>
      </c>
      <c r="H226" s="29">
        <f t="shared" si="35"/>
        <v>1120.8002034136318</v>
      </c>
      <c r="I226" s="29">
        <f t="shared" si="32"/>
        <v>411629.75462139153</v>
      </c>
    </row>
    <row r="227" spans="1:9" s="34" customFormat="1" x14ac:dyDescent="0.25">
      <c r="A227" s="27">
        <f t="shared" si="27"/>
        <v>210</v>
      </c>
      <c r="B227" s="28">
        <f t="shared" si="28"/>
        <v>47665</v>
      </c>
      <c r="C227" s="29">
        <f t="shared" si="33"/>
        <v>411629.75462139153</v>
      </c>
      <c r="D227" s="29">
        <f t="shared" si="34"/>
        <v>3324.9668424399906</v>
      </c>
      <c r="E227" s="30">
        <f t="shared" si="29"/>
        <v>0</v>
      </c>
      <c r="F227" s="29">
        <f t="shared" si="30"/>
        <v>3324.9668424399906</v>
      </c>
      <c r="G227" s="29">
        <f t="shared" si="31"/>
        <v>2210.1362570070551</v>
      </c>
      <c r="H227" s="29">
        <f t="shared" si="35"/>
        <v>1114.8305854329353</v>
      </c>
      <c r="I227" s="29">
        <f t="shared" si="32"/>
        <v>409419.61836438446</v>
      </c>
    </row>
    <row r="228" spans="1:9" s="34" customFormat="1" x14ac:dyDescent="0.25">
      <c r="A228" s="27">
        <f t="shared" si="27"/>
        <v>211</v>
      </c>
      <c r="B228" s="28">
        <f t="shared" si="28"/>
        <v>47696</v>
      </c>
      <c r="C228" s="29">
        <f t="shared" si="33"/>
        <v>409419.61836438446</v>
      </c>
      <c r="D228" s="29">
        <f t="shared" si="34"/>
        <v>3324.9668424399906</v>
      </c>
      <c r="E228" s="30">
        <f t="shared" si="29"/>
        <v>0</v>
      </c>
      <c r="F228" s="29">
        <f t="shared" si="30"/>
        <v>3324.9668424399906</v>
      </c>
      <c r="G228" s="29">
        <f t="shared" si="31"/>
        <v>2216.1220427031158</v>
      </c>
      <c r="H228" s="29">
        <f t="shared" si="35"/>
        <v>1108.8447997368746</v>
      </c>
      <c r="I228" s="29">
        <f t="shared" si="32"/>
        <v>407203.49632168136</v>
      </c>
    </row>
    <row r="229" spans="1:9" s="34" customFormat="1" x14ac:dyDescent="0.25">
      <c r="A229" s="27">
        <f t="shared" si="27"/>
        <v>212</v>
      </c>
      <c r="B229" s="28">
        <f t="shared" si="28"/>
        <v>47727</v>
      </c>
      <c r="C229" s="29">
        <f t="shared" si="33"/>
        <v>407203.49632168136</v>
      </c>
      <c r="D229" s="29">
        <f t="shared" si="34"/>
        <v>3324.9668424399906</v>
      </c>
      <c r="E229" s="30">
        <f t="shared" si="29"/>
        <v>0</v>
      </c>
      <c r="F229" s="29">
        <f t="shared" si="30"/>
        <v>3324.9668424399906</v>
      </c>
      <c r="G229" s="29">
        <f t="shared" si="31"/>
        <v>2222.1240399021035</v>
      </c>
      <c r="H229" s="29">
        <f t="shared" si="35"/>
        <v>1102.8428025378871</v>
      </c>
      <c r="I229" s="29">
        <f t="shared" si="32"/>
        <v>404981.37228177924</v>
      </c>
    </row>
    <row r="230" spans="1:9" s="34" customFormat="1" x14ac:dyDescent="0.25">
      <c r="A230" s="27">
        <f t="shared" si="27"/>
        <v>213</v>
      </c>
      <c r="B230" s="28">
        <f t="shared" si="28"/>
        <v>47757</v>
      </c>
      <c r="C230" s="29">
        <f t="shared" si="33"/>
        <v>404981.37228177924</v>
      </c>
      <c r="D230" s="29">
        <f t="shared" si="34"/>
        <v>3324.9668424399906</v>
      </c>
      <c r="E230" s="30">
        <f t="shared" si="29"/>
        <v>0</v>
      </c>
      <c r="F230" s="29">
        <f t="shared" si="30"/>
        <v>3324.9668424399906</v>
      </c>
      <c r="G230" s="29">
        <f t="shared" si="31"/>
        <v>2228.1422925101715</v>
      </c>
      <c r="H230" s="29">
        <f t="shared" si="35"/>
        <v>1096.8245499298189</v>
      </c>
      <c r="I230" s="29">
        <f t="shared" si="32"/>
        <v>402753.22998926905</v>
      </c>
    </row>
    <row r="231" spans="1:9" s="34" customFormat="1" x14ac:dyDescent="0.25">
      <c r="A231" s="27">
        <f t="shared" si="27"/>
        <v>214</v>
      </c>
      <c r="B231" s="28">
        <f t="shared" si="28"/>
        <v>47788</v>
      </c>
      <c r="C231" s="29">
        <f t="shared" si="33"/>
        <v>402753.22998926905</v>
      </c>
      <c r="D231" s="29">
        <f t="shared" si="34"/>
        <v>3324.9668424399906</v>
      </c>
      <c r="E231" s="30">
        <f t="shared" si="29"/>
        <v>0</v>
      </c>
      <c r="F231" s="29">
        <f t="shared" si="30"/>
        <v>3324.9668424399906</v>
      </c>
      <c r="G231" s="29">
        <f t="shared" si="31"/>
        <v>2234.1768445523867</v>
      </c>
      <c r="H231" s="29">
        <f t="shared" si="35"/>
        <v>1090.7899978876037</v>
      </c>
      <c r="I231" s="29">
        <f t="shared" si="32"/>
        <v>400519.05314471666</v>
      </c>
    </row>
    <row r="232" spans="1:9" s="34" customFormat="1" x14ac:dyDescent="0.25">
      <c r="A232" s="27">
        <f t="shared" si="27"/>
        <v>215</v>
      </c>
      <c r="B232" s="28">
        <f t="shared" si="28"/>
        <v>47818</v>
      </c>
      <c r="C232" s="29">
        <f t="shared" si="33"/>
        <v>400519.05314471666</v>
      </c>
      <c r="D232" s="29">
        <f t="shared" si="34"/>
        <v>3324.9668424399906</v>
      </c>
      <c r="E232" s="30">
        <f t="shared" si="29"/>
        <v>0</v>
      </c>
      <c r="F232" s="29">
        <f t="shared" si="30"/>
        <v>3324.9668424399906</v>
      </c>
      <c r="G232" s="29">
        <f t="shared" si="31"/>
        <v>2240.2277401730498</v>
      </c>
      <c r="H232" s="29">
        <f t="shared" si="35"/>
        <v>1084.739102266941</v>
      </c>
      <c r="I232" s="29">
        <f t="shared" si="32"/>
        <v>398278.8254045436</v>
      </c>
    </row>
    <row r="233" spans="1:9" s="34" customFormat="1" x14ac:dyDescent="0.25">
      <c r="A233" s="27">
        <f t="shared" si="27"/>
        <v>216</v>
      </c>
      <c r="B233" s="28">
        <f t="shared" si="28"/>
        <v>47849</v>
      </c>
      <c r="C233" s="29">
        <f t="shared" si="33"/>
        <v>398278.8254045436</v>
      </c>
      <c r="D233" s="29">
        <f t="shared" si="34"/>
        <v>3324.9668424399906</v>
      </c>
      <c r="E233" s="30">
        <f t="shared" si="29"/>
        <v>0</v>
      </c>
      <c r="F233" s="29">
        <f t="shared" si="30"/>
        <v>3324.9668424399906</v>
      </c>
      <c r="G233" s="29">
        <f t="shared" si="31"/>
        <v>2246.2950236360184</v>
      </c>
      <c r="H233" s="29">
        <f t="shared" si="35"/>
        <v>1078.6718188039724</v>
      </c>
      <c r="I233" s="29">
        <f t="shared" si="32"/>
        <v>396032.53038090758</v>
      </c>
    </row>
    <row r="234" spans="1:9" s="34" customFormat="1" x14ac:dyDescent="0.25">
      <c r="A234" s="27">
        <f t="shared" si="27"/>
        <v>217</v>
      </c>
      <c r="B234" s="28">
        <f t="shared" si="28"/>
        <v>47880</v>
      </c>
      <c r="C234" s="29">
        <f t="shared" si="33"/>
        <v>396032.53038090758</v>
      </c>
      <c r="D234" s="29">
        <f t="shared" si="34"/>
        <v>3324.9668424399906</v>
      </c>
      <c r="E234" s="30">
        <f t="shared" si="29"/>
        <v>0</v>
      </c>
      <c r="F234" s="29">
        <f t="shared" si="30"/>
        <v>3324.9668424399906</v>
      </c>
      <c r="G234" s="29">
        <f t="shared" si="31"/>
        <v>2252.3787393250323</v>
      </c>
      <c r="H234" s="29">
        <f t="shared" si="35"/>
        <v>1072.5881031149581</v>
      </c>
      <c r="I234" s="29">
        <f t="shared" si="32"/>
        <v>393780.15164158255</v>
      </c>
    </row>
    <row r="235" spans="1:9" s="34" customFormat="1" x14ac:dyDescent="0.25">
      <c r="A235" s="27">
        <f t="shared" si="27"/>
        <v>218</v>
      </c>
      <c r="B235" s="28">
        <f t="shared" si="28"/>
        <v>47908</v>
      </c>
      <c r="C235" s="29">
        <f t="shared" si="33"/>
        <v>393780.15164158255</v>
      </c>
      <c r="D235" s="29">
        <f t="shared" si="34"/>
        <v>3324.9668424399906</v>
      </c>
      <c r="E235" s="30">
        <f t="shared" si="29"/>
        <v>0</v>
      </c>
      <c r="F235" s="29">
        <f t="shared" si="30"/>
        <v>3324.9668424399906</v>
      </c>
      <c r="G235" s="29">
        <f t="shared" si="31"/>
        <v>2258.4789317440382</v>
      </c>
      <c r="H235" s="29">
        <f t="shared" si="35"/>
        <v>1066.4879106959527</v>
      </c>
      <c r="I235" s="29">
        <f t="shared" si="32"/>
        <v>391521.67270983849</v>
      </c>
    </row>
    <row r="236" spans="1:9" s="34" customFormat="1" x14ac:dyDescent="0.25">
      <c r="A236" s="27">
        <f t="shared" si="27"/>
        <v>219</v>
      </c>
      <c r="B236" s="28">
        <f t="shared" si="28"/>
        <v>47939</v>
      </c>
      <c r="C236" s="29">
        <f t="shared" si="33"/>
        <v>391521.67270983849</v>
      </c>
      <c r="D236" s="29">
        <f t="shared" si="34"/>
        <v>3324.9668424399906</v>
      </c>
      <c r="E236" s="30">
        <f t="shared" si="29"/>
        <v>0</v>
      </c>
      <c r="F236" s="29">
        <f t="shared" si="30"/>
        <v>3324.9668424399906</v>
      </c>
      <c r="G236" s="29">
        <f t="shared" si="31"/>
        <v>2264.595645517511</v>
      </c>
      <c r="H236" s="29">
        <f t="shared" si="35"/>
        <v>1060.3711969224794</v>
      </c>
      <c r="I236" s="29">
        <f t="shared" si="32"/>
        <v>389257.07706432097</v>
      </c>
    </row>
    <row r="237" spans="1:9" s="34" customFormat="1" x14ac:dyDescent="0.25">
      <c r="A237" s="27">
        <f t="shared" si="27"/>
        <v>220</v>
      </c>
      <c r="B237" s="28">
        <f t="shared" si="28"/>
        <v>47969</v>
      </c>
      <c r="C237" s="29">
        <f t="shared" si="33"/>
        <v>389257.07706432097</v>
      </c>
      <c r="D237" s="29">
        <f t="shared" si="34"/>
        <v>3324.9668424399906</v>
      </c>
      <c r="E237" s="30">
        <f t="shared" si="29"/>
        <v>0</v>
      </c>
      <c r="F237" s="29">
        <f t="shared" si="30"/>
        <v>3324.9668424399906</v>
      </c>
      <c r="G237" s="29">
        <f t="shared" si="31"/>
        <v>2270.7289253907879</v>
      </c>
      <c r="H237" s="29">
        <f t="shared" si="35"/>
        <v>1054.2379170492027</v>
      </c>
      <c r="I237" s="29">
        <f t="shared" si="32"/>
        <v>386986.34813893016</v>
      </c>
    </row>
    <row r="238" spans="1:9" s="34" customFormat="1" x14ac:dyDescent="0.25">
      <c r="A238" s="27">
        <f t="shared" si="27"/>
        <v>221</v>
      </c>
      <c r="B238" s="28">
        <f t="shared" si="28"/>
        <v>48000</v>
      </c>
      <c r="C238" s="29">
        <f t="shared" si="33"/>
        <v>386986.34813893016</v>
      </c>
      <c r="D238" s="29">
        <f t="shared" si="34"/>
        <v>3324.9668424399906</v>
      </c>
      <c r="E238" s="30">
        <f t="shared" si="29"/>
        <v>0</v>
      </c>
      <c r="F238" s="29">
        <f t="shared" si="30"/>
        <v>3324.9668424399906</v>
      </c>
      <c r="G238" s="29">
        <f t="shared" si="31"/>
        <v>2276.8788162303881</v>
      </c>
      <c r="H238" s="29">
        <f t="shared" si="35"/>
        <v>1048.0880262096025</v>
      </c>
      <c r="I238" s="29">
        <f t="shared" si="32"/>
        <v>384709.46932269976</v>
      </c>
    </row>
    <row r="239" spans="1:9" s="34" customFormat="1" x14ac:dyDescent="0.25">
      <c r="A239" s="27">
        <f t="shared" si="27"/>
        <v>222</v>
      </c>
      <c r="B239" s="28">
        <f t="shared" si="28"/>
        <v>48030</v>
      </c>
      <c r="C239" s="29">
        <f t="shared" si="33"/>
        <v>384709.46932269976</v>
      </c>
      <c r="D239" s="29">
        <f t="shared" si="34"/>
        <v>3324.9668424399906</v>
      </c>
      <c r="E239" s="30">
        <f t="shared" si="29"/>
        <v>0</v>
      </c>
      <c r="F239" s="29">
        <f t="shared" si="30"/>
        <v>3324.9668424399906</v>
      </c>
      <c r="G239" s="29">
        <f t="shared" si="31"/>
        <v>2283.0453630243455</v>
      </c>
      <c r="H239" s="29">
        <f t="shared" si="35"/>
        <v>1041.9214794156453</v>
      </c>
      <c r="I239" s="29">
        <f t="shared" si="32"/>
        <v>382426.42395967542</v>
      </c>
    </row>
    <row r="240" spans="1:9" s="34" customFormat="1" x14ac:dyDescent="0.25">
      <c r="A240" s="27">
        <f t="shared" si="27"/>
        <v>223</v>
      </c>
      <c r="B240" s="28">
        <f t="shared" si="28"/>
        <v>48061</v>
      </c>
      <c r="C240" s="29">
        <f t="shared" si="33"/>
        <v>382426.42395967542</v>
      </c>
      <c r="D240" s="29">
        <f t="shared" si="34"/>
        <v>3324.9668424399906</v>
      </c>
      <c r="E240" s="30">
        <f t="shared" si="29"/>
        <v>0</v>
      </c>
      <c r="F240" s="29">
        <f t="shared" si="30"/>
        <v>3324.9668424399906</v>
      </c>
      <c r="G240" s="29">
        <f t="shared" si="31"/>
        <v>2289.2286108825365</v>
      </c>
      <c r="H240" s="29">
        <f t="shared" si="35"/>
        <v>1035.7382315574544</v>
      </c>
      <c r="I240" s="29">
        <f t="shared" si="32"/>
        <v>380137.19534879288</v>
      </c>
    </row>
    <row r="241" spans="1:9" s="34" customFormat="1" x14ac:dyDescent="0.25">
      <c r="A241" s="27">
        <f t="shared" si="27"/>
        <v>224</v>
      </c>
      <c r="B241" s="28">
        <f t="shared" si="28"/>
        <v>48092</v>
      </c>
      <c r="C241" s="29">
        <f t="shared" si="33"/>
        <v>380137.19534879288</v>
      </c>
      <c r="D241" s="29">
        <f t="shared" si="34"/>
        <v>3324.9668424399906</v>
      </c>
      <c r="E241" s="30">
        <f t="shared" si="29"/>
        <v>0</v>
      </c>
      <c r="F241" s="29">
        <f t="shared" si="30"/>
        <v>3324.9668424399906</v>
      </c>
      <c r="G241" s="29">
        <f t="shared" si="31"/>
        <v>2295.4286050370101</v>
      </c>
      <c r="H241" s="29">
        <f t="shared" si="35"/>
        <v>1029.5382374029807</v>
      </c>
      <c r="I241" s="29">
        <f t="shared" si="32"/>
        <v>377841.7667437559</v>
      </c>
    </row>
    <row r="242" spans="1:9" s="34" customFormat="1" x14ac:dyDescent="0.25">
      <c r="A242" s="27">
        <f t="shared" si="27"/>
        <v>225</v>
      </c>
      <c r="B242" s="28">
        <f t="shared" si="28"/>
        <v>48122</v>
      </c>
      <c r="C242" s="29">
        <f t="shared" si="33"/>
        <v>377841.7667437559</v>
      </c>
      <c r="D242" s="29">
        <f t="shared" si="34"/>
        <v>3324.9668424399906</v>
      </c>
      <c r="E242" s="30">
        <f t="shared" si="29"/>
        <v>0</v>
      </c>
      <c r="F242" s="29">
        <f t="shared" si="30"/>
        <v>3324.9668424399906</v>
      </c>
      <c r="G242" s="29">
        <f t="shared" si="31"/>
        <v>2301.6453908423182</v>
      </c>
      <c r="H242" s="29">
        <f t="shared" si="35"/>
        <v>1023.3214515976723</v>
      </c>
      <c r="I242" s="29">
        <f t="shared" si="32"/>
        <v>375540.12135291356</v>
      </c>
    </row>
    <row r="243" spans="1:9" s="34" customFormat="1" x14ac:dyDescent="0.25">
      <c r="A243" s="27">
        <f t="shared" si="27"/>
        <v>226</v>
      </c>
      <c r="B243" s="28">
        <f t="shared" si="28"/>
        <v>48153</v>
      </c>
      <c r="C243" s="29">
        <f t="shared" si="33"/>
        <v>375540.12135291356</v>
      </c>
      <c r="D243" s="29">
        <f t="shared" si="34"/>
        <v>3324.9668424399906</v>
      </c>
      <c r="E243" s="30">
        <f t="shared" si="29"/>
        <v>0</v>
      </c>
      <c r="F243" s="29">
        <f t="shared" si="30"/>
        <v>3324.9668424399906</v>
      </c>
      <c r="G243" s="29">
        <f t="shared" si="31"/>
        <v>2307.8790137758497</v>
      </c>
      <c r="H243" s="29">
        <f t="shared" si="35"/>
        <v>1017.0878286641409</v>
      </c>
      <c r="I243" s="29">
        <f t="shared" si="32"/>
        <v>373232.24233913771</v>
      </c>
    </row>
    <row r="244" spans="1:9" s="34" customFormat="1" x14ac:dyDescent="0.25">
      <c r="A244" s="27">
        <f t="shared" si="27"/>
        <v>227</v>
      </c>
      <c r="B244" s="28">
        <f t="shared" si="28"/>
        <v>48183</v>
      </c>
      <c r="C244" s="29">
        <f t="shared" si="33"/>
        <v>373232.24233913771</v>
      </c>
      <c r="D244" s="29">
        <f t="shared" si="34"/>
        <v>3324.9668424399906</v>
      </c>
      <c r="E244" s="30">
        <f t="shared" si="29"/>
        <v>0</v>
      </c>
      <c r="F244" s="29">
        <f t="shared" si="30"/>
        <v>3324.9668424399906</v>
      </c>
      <c r="G244" s="29">
        <f t="shared" si="31"/>
        <v>2314.1295194381592</v>
      </c>
      <c r="H244" s="29">
        <f t="shared" si="35"/>
        <v>1010.8373230018314</v>
      </c>
      <c r="I244" s="29">
        <f t="shared" si="32"/>
        <v>370918.11281969957</v>
      </c>
    </row>
    <row r="245" spans="1:9" s="34" customFormat="1" x14ac:dyDescent="0.25">
      <c r="A245" s="27">
        <f t="shared" si="27"/>
        <v>228</v>
      </c>
      <c r="B245" s="28">
        <f t="shared" si="28"/>
        <v>48214</v>
      </c>
      <c r="C245" s="29">
        <f t="shared" si="33"/>
        <v>370918.11281969957</v>
      </c>
      <c r="D245" s="29">
        <f t="shared" si="34"/>
        <v>3324.9668424399906</v>
      </c>
      <c r="E245" s="30">
        <f t="shared" si="29"/>
        <v>0</v>
      </c>
      <c r="F245" s="29">
        <f t="shared" si="30"/>
        <v>3324.9668424399906</v>
      </c>
      <c r="G245" s="29">
        <f t="shared" si="31"/>
        <v>2320.3969535533042</v>
      </c>
      <c r="H245" s="29">
        <f t="shared" si="35"/>
        <v>1004.5698888866864</v>
      </c>
      <c r="I245" s="29">
        <f t="shared" si="32"/>
        <v>368597.71586614626</v>
      </c>
    </row>
    <row r="246" spans="1:9" s="34" customFormat="1" x14ac:dyDescent="0.25">
      <c r="A246" s="27">
        <f t="shared" si="27"/>
        <v>229</v>
      </c>
      <c r="B246" s="28">
        <f t="shared" si="28"/>
        <v>48245</v>
      </c>
      <c r="C246" s="29">
        <f t="shared" si="33"/>
        <v>368597.71586614626</v>
      </c>
      <c r="D246" s="29">
        <f t="shared" si="34"/>
        <v>3324.9668424399906</v>
      </c>
      <c r="E246" s="30">
        <f t="shared" si="29"/>
        <v>0</v>
      </c>
      <c r="F246" s="29">
        <f t="shared" si="30"/>
        <v>3324.9668424399906</v>
      </c>
      <c r="G246" s="29">
        <f t="shared" si="31"/>
        <v>2326.6813619691779</v>
      </c>
      <c r="H246" s="29">
        <f t="shared" si="35"/>
        <v>998.28548047081279</v>
      </c>
      <c r="I246" s="29">
        <f t="shared" si="32"/>
        <v>366271.03450417711</v>
      </c>
    </row>
    <row r="247" spans="1:9" s="34" customFormat="1" x14ac:dyDescent="0.25">
      <c r="A247" s="27">
        <f t="shared" si="27"/>
        <v>230</v>
      </c>
      <c r="B247" s="28">
        <f t="shared" si="28"/>
        <v>48274</v>
      </c>
      <c r="C247" s="29">
        <f t="shared" si="33"/>
        <v>366271.03450417711</v>
      </c>
      <c r="D247" s="29">
        <f t="shared" si="34"/>
        <v>3324.9668424399906</v>
      </c>
      <c r="E247" s="30">
        <f t="shared" si="29"/>
        <v>0</v>
      </c>
      <c r="F247" s="29">
        <f t="shared" si="30"/>
        <v>3324.9668424399906</v>
      </c>
      <c r="G247" s="29">
        <f t="shared" si="31"/>
        <v>2332.9827906578444</v>
      </c>
      <c r="H247" s="29">
        <f t="shared" si="35"/>
        <v>991.98405178214637</v>
      </c>
      <c r="I247" s="29">
        <f t="shared" si="32"/>
        <v>363938.05171351926</v>
      </c>
    </row>
    <row r="248" spans="1:9" s="34" customFormat="1" x14ac:dyDescent="0.25">
      <c r="A248" s="27">
        <f t="shared" si="27"/>
        <v>231</v>
      </c>
      <c r="B248" s="28">
        <f t="shared" si="28"/>
        <v>48305</v>
      </c>
      <c r="C248" s="29">
        <f t="shared" si="33"/>
        <v>363938.05171351926</v>
      </c>
      <c r="D248" s="29">
        <f t="shared" si="34"/>
        <v>3324.9668424399906</v>
      </c>
      <c r="E248" s="30">
        <f t="shared" si="29"/>
        <v>0</v>
      </c>
      <c r="F248" s="29">
        <f t="shared" si="30"/>
        <v>3324.9668424399906</v>
      </c>
      <c r="G248" s="29">
        <f t="shared" si="31"/>
        <v>2339.301285715876</v>
      </c>
      <c r="H248" s="29">
        <f t="shared" si="35"/>
        <v>985.66555672411471</v>
      </c>
      <c r="I248" s="29">
        <f t="shared" si="32"/>
        <v>361598.75042780337</v>
      </c>
    </row>
    <row r="249" spans="1:9" s="34" customFormat="1" x14ac:dyDescent="0.25">
      <c r="A249" s="27">
        <f t="shared" si="27"/>
        <v>232</v>
      </c>
      <c r="B249" s="28">
        <f t="shared" si="28"/>
        <v>48335</v>
      </c>
      <c r="C249" s="29">
        <f t="shared" si="33"/>
        <v>361598.75042780337</v>
      </c>
      <c r="D249" s="29">
        <f t="shared" si="34"/>
        <v>3324.9668424399906</v>
      </c>
      <c r="E249" s="30">
        <f t="shared" si="29"/>
        <v>0</v>
      </c>
      <c r="F249" s="29">
        <f t="shared" si="30"/>
        <v>3324.9668424399906</v>
      </c>
      <c r="G249" s="29">
        <f t="shared" si="31"/>
        <v>2345.63689336469</v>
      </c>
      <c r="H249" s="29">
        <f t="shared" si="35"/>
        <v>979.32994907530076</v>
      </c>
      <c r="I249" s="29">
        <f t="shared" si="32"/>
        <v>359253.11353443866</v>
      </c>
    </row>
    <row r="250" spans="1:9" s="34" customFormat="1" x14ac:dyDescent="0.25">
      <c r="A250" s="27">
        <f t="shared" si="27"/>
        <v>233</v>
      </c>
      <c r="B250" s="28">
        <f t="shared" si="28"/>
        <v>48366</v>
      </c>
      <c r="C250" s="29">
        <f t="shared" si="33"/>
        <v>359253.11353443866</v>
      </c>
      <c r="D250" s="29">
        <f t="shared" si="34"/>
        <v>3324.9668424399906</v>
      </c>
      <c r="E250" s="30">
        <f t="shared" si="29"/>
        <v>0</v>
      </c>
      <c r="F250" s="29">
        <f t="shared" si="30"/>
        <v>3324.9668424399906</v>
      </c>
      <c r="G250" s="29">
        <f t="shared" si="31"/>
        <v>2351.9896599508861</v>
      </c>
      <c r="H250" s="29">
        <f t="shared" si="35"/>
        <v>972.97718248910462</v>
      </c>
      <c r="I250" s="29">
        <f t="shared" si="32"/>
        <v>356901.12387448776</v>
      </c>
    </row>
    <row r="251" spans="1:9" s="34" customFormat="1" x14ac:dyDescent="0.25">
      <c r="A251" s="38">
        <f t="shared" si="27"/>
        <v>234</v>
      </c>
      <c r="B251" s="28">
        <f t="shared" si="28"/>
        <v>48396</v>
      </c>
      <c r="C251" s="29">
        <f t="shared" si="33"/>
        <v>356901.12387448776</v>
      </c>
      <c r="D251" s="29">
        <f t="shared" si="34"/>
        <v>3324.9668424399906</v>
      </c>
      <c r="E251" s="30">
        <f t="shared" si="29"/>
        <v>0</v>
      </c>
      <c r="F251" s="29">
        <f t="shared" si="30"/>
        <v>3324.9668424399906</v>
      </c>
      <c r="G251" s="29">
        <f t="shared" si="31"/>
        <v>2358.3596319465864</v>
      </c>
      <c r="H251" s="29">
        <f t="shared" si="35"/>
        <v>966.6072104934043</v>
      </c>
      <c r="I251" s="29">
        <f t="shared" si="32"/>
        <v>354542.76424254116</v>
      </c>
    </row>
    <row r="252" spans="1:9" s="34" customFormat="1" x14ac:dyDescent="0.25">
      <c r="A252" s="38">
        <f t="shared" si="27"/>
        <v>235</v>
      </c>
      <c r="B252" s="28">
        <f t="shared" si="28"/>
        <v>48427</v>
      </c>
      <c r="C252" s="29">
        <f t="shared" si="33"/>
        <v>354542.76424254116</v>
      </c>
      <c r="D252" s="29">
        <f t="shared" si="34"/>
        <v>3324.9668424399906</v>
      </c>
      <c r="E252" s="30">
        <f t="shared" si="29"/>
        <v>0</v>
      </c>
      <c r="F252" s="29">
        <f t="shared" si="30"/>
        <v>3324.9668424399906</v>
      </c>
      <c r="G252" s="29">
        <f t="shared" si="31"/>
        <v>2364.7468559497747</v>
      </c>
      <c r="H252" s="29">
        <f t="shared" si="35"/>
        <v>960.21998649021577</v>
      </c>
      <c r="I252" s="29">
        <f t="shared" si="32"/>
        <v>352178.01738659141</v>
      </c>
    </row>
    <row r="253" spans="1:9" s="34" customFormat="1" x14ac:dyDescent="0.25">
      <c r="A253" s="38">
        <f t="shared" si="27"/>
        <v>236</v>
      </c>
      <c r="B253" s="28">
        <f t="shared" si="28"/>
        <v>48458</v>
      </c>
      <c r="C253" s="29">
        <f t="shared" si="33"/>
        <v>352178.01738659141</v>
      </c>
      <c r="D253" s="29">
        <f t="shared" si="34"/>
        <v>3324.9668424399906</v>
      </c>
      <c r="E253" s="30">
        <f t="shared" si="29"/>
        <v>0</v>
      </c>
      <c r="F253" s="29">
        <f t="shared" si="30"/>
        <v>3324.9668424399906</v>
      </c>
      <c r="G253" s="29">
        <f t="shared" si="31"/>
        <v>2371.151378684639</v>
      </c>
      <c r="H253" s="29">
        <f t="shared" si="35"/>
        <v>953.81546375535174</v>
      </c>
      <c r="I253" s="29">
        <f t="shared" si="32"/>
        <v>349806.86600790679</v>
      </c>
    </row>
    <row r="254" spans="1:9" s="34" customFormat="1" x14ac:dyDescent="0.25">
      <c r="A254" s="38">
        <f t="shared" si="27"/>
        <v>237</v>
      </c>
      <c r="B254" s="28">
        <f t="shared" si="28"/>
        <v>48488</v>
      </c>
      <c r="C254" s="29">
        <f t="shared" si="33"/>
        <v>349806.86600790679</v>
      </c>
      <c r="D254" s="29">
        <f t="shared" si="34"/>
        <v>3324.9668424399906</v>
      </c>
      <c r="E254" s="30">
        <f t="shared" si="29"/>
        <v>0</v>
      </c>
      <c r="F254" s="29">
        <f t="shared" si="30"/>
        <v>3324.9668424399906</v>
      </c>
      <c r="G254" s="29">
        <f t="shared" si="31"/>
        <v>2377.5732470019097</v>
      </c>
      <c r="H254" s="29">
        <f t="shared" si="35"/>
        <v>947.39359543808087</v>
      </c>
      <c r="I254" s="29">
        <f t="shared" si="32"/>
        <v>347429.29276090488</v>
      </c>
    </row>
    <row r="255" spans="1:9" s="34" customFormat="1" x14ac:dyDescent="0.25">
      <c r="A255" s="38">
        <f t="shared" si="27"/>
        <v>238</v>
      </c>
      <c r="B255" s="28">
        <f t="shared" si="28"/>
        <v>48519</v>
      </c>
      <c r="C255" s="29">
        <f t="shared" si="33"/>
        <v>347429.29276090488</v>
      </c>
      <c r="D255" s="29">
        <f t="shared" si="34"/>
        <v>3324.9668424399906</v>
      </c>
      <c r="E255" s="30">
        <f t="shared" si="29"/>
        <v>0</v>
      </c>
      <c r="F255" s="29">
        <f t="shared" si="30"/>
        <v>3324.9668424399906</v>
      </c>
      <c r="G255" s="29">
        <f t="shared" si="31"/>
        <v>2384.0125078792066</v>
      </c>
      <c r="H255" s="29">
        <f t="shared" si="35"/>
        <v>940.9543345607841</v>
      </c>
      <c r="I255" s="29">
        <f t="shared" si="32"/>
        <v>345045.28025302564</v>
      </c>
    </row>
    <row r="256" spans="1:9" s="34" customFormat="1" x14ac:dyDescent="0.25">
      <c r="A256" s="38">
        <f t="shared" si="27"/>
        <v>239</v>
      </c>
      <c r="B256" s="28">
        <f t="shared" si="28"/>
        <v>48549</v>
      </c>
      <c r="C256" s="29">
        <f t="shared" si="33"/>
        <v>345045.28025302564</v>
      </c>
      <c r="D256" s="29">
        <f t="shared" si="34"/>
        <v>3324.9668424399906</v>
      </c>
      <c r="E256" s="30">
        <f t="shared" si="29"/>
        <v>0</v>
      </c>
      <c r="F256" s="29">
        <f t="shared" si="30"/>
        <v>3324.9668424399906</v>
      </c>
      <c r="G256" s="29">
        <f t="shared" si="31"/>
        <v>2390.4692084213793</v>
      </c>
      <c r="H256" s="29">
        <f t="shared" si="35"/>
        <v>934.49763401861117</v>
      </c>
      <c r="I256" s="29">
        <f t="shared" si="32"/>
        <v>342654.81104460428</v>
      </c>
    </row>
    <row r="257" spans="1:9" s="34" customFormat="1" x14ac:dyDescent="0.25">
      <c r="A257" s="38">
        <f t="shared" si="27"/>
        <v>240</v>
      </c>
      <c r="B257" s="28">
        <f t="shared" si="28"/>
        <v>48580</v>
      </c>
      <c r="C257" s="29">
        <f t="shared" si="33"/>
        <v>342654.81104460428</v>
      </c>
      <c r="D257" s="29">
        <f t="shared" si="34"/>
        <v>3324.9668424399906</v>
      </c>
      <c r="E257" s="30">
        <f t="shared" si="29"/>
        <v>0</v>
      </c>
      <c r="F257" s="29">
        <f t="shared" si="30"/>
        <v>3324.9668424399906</v>
      </c>
      <c r="G257" s="29">
        <f t="shared" si="31"/>
        <v>2396.9433958608538</v>
      </c>
      <c r="H257" s="29">
        <f t="shared" si="35"/>
        <v>928.0234465791367</v>
      </c>
      <c r="I257" s="29">
        <f t="shared" si="32"/>
        <v>340257.86764874344</v>
      </c>
    </row>
    <row r="258" spans="1:9" s="34" customFormat="1" x14ac:dyDescent="0.25">
      <c r="A258" s="38">
        <f t="shared" si="27"/>
        <v>241</v>
      </c>
      <c r="B258" s="28">
        <f t="shared" si="28"/>
        <v>48611</v>
      </c>
      <c r="C258" s="29">
        <f t="shared" si="33"/>
        <v>340257.86764874344</v>
      </c>
      <c r="D258" s="29">
        <f t="shared" si="34"/>
        <v>3324.9668424399906</v>
      </c>
      <c r="E258" s="30">
        <f t="shared" si="29"/>
        <v>0</v>
      </c>
      <c r="F258" s="29">
        <f t="shared" si="30"/>
        <v>3324.9668424399906</v>
      </c>
      <c r="G258" s="29">
        <f t="shared" si="31"/>
        <v>2403.4351175579773</v>
      </c>
      <c r="H258" s="29">
        <f t="shared" si="35"/>
        <v>921.53172488201346</v>
      </c>
      <c r="I258" s="29">
        <f t="shared" si="32"/>
        <v>337854.43253118545</v>
      </c>
    </row>
    <row r="259" spans="1:9" s="34" customFormat="1" x14ac:dyDescent="0.25">
      <c r="A259" s="38">
        <f t="shared" si="27"/>
        <v>242</v>
      </c>
      <c r="B259" s="28">
        <f t="shared" si="28"/>
        <v>48639</v>
      </c>
      <c r="C259" s="29">
        <f t="shared" si="33"/>
        <v>337854.43253118545</v>
      </c>
      <c r="D259" s="29">
        <f t="shared" si="34"/>
        <v>3324.9668424399906</v>
      </c>
      <c r="E259" s="30">
        <f t="shared" si="29"/>
        <v>0</v>
      </c>
      <c r="F259" s="29">
        <f t="shared" si="30"/>
        <v>3324.9668424399906</v>
      </c>
      <c r="G259" s="29">
        <f t="shared" si="31"/>
        <v>2409.9444210013635</v>
      </c>
      <c r="H259" s="29">
        <f t="shared" si="35"/>
        <v>915.02242143862725</v>
      </c>
      <c r="I259" s="29">
        <f t="shared" si="32"/>
        <v>335444.48811018409</v>
      </c>
    </row>
    <row r="260" spans="1:9" s="34" customFormat="1" x14ac:dyDescent="0.25">
      <c r="A260" s="38">
        <f t="shared" si="27"/>
        <v>243</v>
      </c>
      <c r="B260" s="28">
        <f t="shared" si="28"/>
        <v>48670</v>
      </c>
      <c r="C260" s="29">
        <f t="shared" si="33"/>
        <v>335444.48811018409</v>
      </c>
      <c r="D260" s="29">
        <f t="shared" si="34"/>
        <v>3324.9668424399906</v>
      </c>
      <c r="E260" s="30">
        <f t="shared" si="29"/>
        <v>0</v>
      </c>
      <c r="F260" s="29">
        <f t="shared" si="30"/>
        <v>3324.9668424399906</v>
      </c>
      <c r="G260" s="29">
        <f t="shared" si="31"/>
        <v>2416.4713538082419</v>
      </c>
      <c r="H260" s="29">
        <f t="shared" si="35"/>
        <v>908.49548863174857</v>
      </c>
      <c r="I260" s="29">
        <f t="shared" si="32"/>
        <v>333028.01675637584</v>
      </c>
    </row>
    <row r="261" spans="1:9" s="34" customFormat="1" x14ac:dyDescent="0.25">
      <c r="A261" s="38">
        <f t="shared" si="27"/>
        <v>244</v>
      </c>
      <c r="B261" s="28">
        <f t="shared" si="28"/>
        <v>48700</v>
      </c>
      <c r="C261" s="29">
        <f t="shared" si="33"/>
        <v>333028.01675637584</v>
      </c>
      <c r="D261" s="29">
        <f t="shared" si="34"/>
        <v>3324.9668424399906</v>
      </c>
      <c r="E261" s="30">
        <f t="shared" si="29"/>
        <v>0</v>
      </c>
      <c r="F261" s="29">
        <f t="shared" si="30"/>
        <v>3324.9668424399906</v>
      </c>
      <c r="G261" s="29">
        <f t="shared" si="31"/>
        <v>2423.0159637248062</v>
      </c>
      <c r="H261" s="29">
        <f t="shared" si="35"/>
        <v>901.95087871518456</v>
      </c>
      <c r="I261" s="29">
        <f t="shared" si="32"/>
        <v>330605.00079265103</v>
      </c>
    </row>
    <row r="262" spans="1:9" s="34" customFormat="1" x14ac:dyDescent="0.25">
      <c r="A262" s="38">
        <f t="shared" si="27"/>
        <v>245</v>
      </c>
      <c r="B262" s="28">
        <f t="shared" si="28"/>
        <v>48731</v>
      </c>
      <c r="C262" s="29">
        <f t="shared" si="33"/>
        <v>330605.00079265103</v>
      </c>
      <c r="D262" s="29">
        <f t="shared" si="34"/>
        <v>3324.9668424399906</v>
      </c>
      <c r="E262" s="30">
        <f t="shared" si="29"/>
        <v>0</v>
      </c>
      <c r="F262" s="29">
        <f t="shared" si="30"/>
        <v>3324.9668424399906</v>
      </c>
      <c r="G262" s="29">
        <f t="shared" si="31"/>
        <v>2429.5782986265608</v>
      </c>
      <c r="H262" s="29">
        <f t="shared" si="35"/>
        <v>895.38854381342992</v>
      </c>
      <c r="I262" s="29">
        <f t="shared" si="32"/>
        <v>328175.42249402445</v>
      </c>
    </row>
    <row r="263" spans="1:9" s="34" customFormat="1" x14ac:dyDescent="0.25">
      <c r="A263" s="38">
        <f t="shared" si="27"/>
        <v>246</v>
      </c>
      <c r="B263" s="28">
        <f t="shared" si="28"/>
        <v>48761</v>
      </c>
      <c r="C263" s="29">
        <f t="shared" si="33"/>
        <v>328175.42249402445</v>
      </c>
      <c r="D263" s="29">
        <f t="shared" si="34"/>
        <v>3324.9668424399906</v>
      </c>
      <c r="E263" s="30">
        <f t="shared" si="29"/>
        <v>0</v>
      </c>
      <c r="F263" s="29">
        <f t="shared" si="30"/>
        <v>3324.9668424399906</v>
      </c>
      <c r="G263" s="29">
        <f t="shared" si="31"/>
        <v>2436.1584065186744</v>
      </c>
      <c r="H263" s="29">
        <f t="shared" si="35"/>
        <v>888.80843592131623</v>
      </c>
      <c r="I263" s="29">
        <f t="shared" si="32"/>
        <v>325739.26408750576</v>
      </c>
    </row>
    <row r="264" spans="1:9" s="34" customFormat="1" x14ac:dyDescent="0.25">
      <c r="A264" s="38">
        <f t="shared" si="27"/>
        <v>247</v>
      </c>
      <c r="B264" s="28">
        <f t="shared" si="28"/>
        <v>48792</v>
      </c>
      <c r="C264" s="29">
        <f t="shared" si="33"/>
        <v>325739.26408750576</v>
      </c>
      <c r="D264" s="29">
        <f t="shared" si="34"/>
        <v>3324.9668424399906</v>
      </c>
      <c r="E264" s="30">
        <f t="shared" si="29"/>
        <v>0</v>
      </c>
      <c r="F264" s="29">
        <f t="shared" si="30"/>
        <v>3324.9668424399906</v>
      </c>
      <c r="G264" s="29">
        <f t="shared" si="31"/>
        <v>2442.7563355363291</v>
      </c>
      <c r="H264" s="29">
        <f t="shared" si="35"/>
        <v>882.21050690366144</v>
      </c>
      <c r="I264" s="29">
        <f t="shared" si="32"/>
        <v>323296.50775196945</v>
      </c>
    </row>
    <row r="265" spans="1:9" s="34" customFormat="1" x14ac:dyDescent="0.25">
      <c r="A265" s="38">
        <f t="shared" si="27"/>
        <v>248</v>
      </c>
      <c r="B265" s="28">
        <f t="shared" si="28"/>
        <v>48823</v>
      </c>
      <c r="C265" s="29">
        <f t="shared" si="33"/>
        <v>323296.50775196945</v>
      </c>
      <c r="D265" s="29">
        <f t="shared" si="34"/>
        <v>3324.9668424399906</v>
      </c>
      <c r="E265" s="30">
        <f t="shared" si="29"/>
        <v>0</v>
      </c>
      <c r="F265" s="29">
        <f t="shared" si="30"/>
        <v>3324.9668424399906</v>
      </c>
      <c r="G265" s="29">
        <f t="shared" si="31"/>
        <v>2449.3721339450735</v>
      </c>
      <c r="H265" s="29">
        <f t="shared" si="35"/>
        <v>875.5947084949172</v>
      </c>
      <c r="I265" s="29">
        <f t="shared" si="32"/>
        <v>320847.13561802439</v>
      </c>
    </row>
    <row r="266" spans="1:9" s="34" customFormat="1" x14ac:dyDescent="0.25">
      <c r="A266" s="38">
        <f t="shared" si="27"/>
        <v>249</v>
      </c>
      <c r="B266" s="28">
        <f t="shared" si="28"/>
        <v>48853</v>
      </c>
      <c r="C266" s="29">
        <f t="shared" si="33"/>
        <v>320847.13561802439</v>
      </c>
      <c r="D266" s="29">
        <f t="shared" si="34"/>
        <v>3324.9668424399906</v>
      </c>
      <c r="E266" s="30">
        <f t="shared" si="29"/>
        <v>0</v>
      </c>
      <c r="F266" s="29">
        <f t="shared" si="30"/>
        <v>3324.9668424399906</v>
      </c>
      <c r="G266" s="29">
        <f t="shared" si="31"/>
        <v>2456.0058501411745</v>
      </c>
      <c r="H266" s="29">
        <f t="shared" si="35"/>
        <v>868.96099229881611</v>
      </c>
      <c r="I266" s="29">
        <f t="shared" si="32"/>
        <v>318391.12976788322</v>
      </c>
    </row>
    <row r="267" spans="1:9" s="34" customFormat="1" x14ac:dyDescent="0.25">
      <c r="A267" s="38">
        <f t="shared" si="27"/>
        <v>250</v>
      </c>
      <c r="B267" s="28">
        <f t="shared" si="28"/>
        <v>48884</v>
      </c>
      <c r="C267" s="29">
        <f t="shared" si="33"/>
        <v>318391.12976788322</v>
      </c>
      <c r="D267" s="29">
        <f t="shared" si="34"/>
        <v>3324.9668424399906</v>
      </c>
      <c r="E267" s="30">
        <f t="shared" si="29"/>
        <v>0</v>
      </c>
      <c r="F267" s="29">
        <f t="shared" si="30"/>
        <v>3324.9668424399906</v>
      </c>
      <c r="G267" s="29">
        <f t="shared" si="31"/>
        <v>2462.6575326519737</v>
      </c>
      <c r="H267" s="29">
        <f t="shared" si="35"/>
        <v>862.309309788017</v>
      </c>
      <c r="I267" s="29">
        <f t="shared" si="32"/>
        <v>315928.47223523125</v>
      </c>
    </row>
    <row r="268" spans="1:9" s="34" customFormat="1" x14ac:dyDescent="0.25">
      <c r="A268" s="38">
        <f t="shared" si="27"/>
        <v>251</v>
      </c>
      <c r="B268" s="28">
        <f t="shared" si="28"/>
        <v>48914</v>
      </c>
      <c r="C268" s="29">
        <f t="shared" si="33"/>
        <v>315928.47223523125</v>
      </c>
      <c r="D268" s="29">
        <f t="shared" si="34"/>
        <v>3324.9668424399906</v>
      </c>
      <c r="E268" s="30">
        <f t="shared" si="29"/>
        <v>0</v>
      </c>
      <c r="F268" s="29">
        <f t="shared" si="30"/>
        <v>3324.9668424399906</v>
      </c>
      <c r="G268" s="29">
        <f t="shared" si="31"/>
        <v>2469.3272301362395</v>
      </c>
      <c r="H268" s="29">
        <f t="shared" si="35"/>
        <v>855.63961230375128</v>
      </c>
      <c r="I268" s="29">
        <f t="shared" si="32"/>
        <v>313459.14500509499</v>
      </c>
    </row>
    <row r="269" spans="1:9" s="34" customFormat="1" x14ac:dyDescent="0.25">
      <c r="A269" s="38">
        <f t="shared" si="27"/>
        <v>252</v>
      </c>
      <c r="B269" s="28">
        <f t="shared" si="28"/>
        <v>48945</v>
      </c>
      <c r="C269" s="29">
        <f t="shared" si="33"/>
        <v>313459.14500509499</v>
      </c>
      <c r="D269" s="29">
        <f t="shared" si="34"/>
        <v>3324.9668424399906</v>
      </c>
      <c r="E269" s="30">
        <f t="shared" si="29"/>
        <v>0</v>
      </c>
      <c r="F269" s="29">
        <f t="shared" si="30"/>
        <v>3324.9668424399906</v>
      </c>
      <c r="G269" s="29">
        <f t="shared" si="31"/>
        <v>2476.0149913845248</v>
      </c>
      <c r="H269" s="29">
        <f t="shared" si="35"/>
        <v>848.95185105546568</v>
      </c>
      <c r="I269" s="29">
        <f t="shared" si="32"/>
        <v>310983.13001371047</v>
      </c>
    </row>
    <row r="270" spans="1:9" s="34" customFormat="1" x14ac:dyDescent="0.25">
      <c r="A270" s="38">
        <f t="shared" si="27"/>
        <v>253</v>
      </c>
      <c r="B270" s="28">
        <f t="shared" si="28"/>
        <v>48976</v>
      </c>
      <c r="C270" s="29">
        <f t="shared" si="33"/>
        <v>310983.13001371047</v>
      </c>
      <c r="D270" s="29">
        <f t="shared" si="34"/>
        <v>3324.9668424399906</v>
      </c>
      <c r="E270" s="30">
        <f t="shared" si="29"/>
        <v>0</v>
      </c>
      <c r="F270" s="29">
        <f t="shared" si="30"/>
        <v>3324.9668424399906</v>
      </c>
      <c r="G270" s="29">
        <f t="shared" si="31"/>
        <v>2482.7208653195248</v>
      </c>
      <c r="H270" s="29">
        <f t="shared" si="35"/>
        <v>842.24597712046591</v>
      </c>
      <c r="I270" s="29">
        <f t="shared" si="32"/>
        <v>308500.40914839093</v>
      </c>
    </row>
    <row r="271" spans="1:9" s="34" customFormat="1" x14ac:dyDescent="0.25">
      <c r="A271" s="38">
        <f t="shared" si="27"/>
        <v>254</v>
      </c>
      <c r="B271" s="28">
        <f t="shared" si="28"/>
        <v>49004</v>
      </c>
      <c r="C271" s="29">
        <f t="shared" si="33"/>
        <v>308500.40914839093</v>
      </c>
      <c r="D271" s="29">
        <f t="shared" si="34"/>
        <v>3324.9668424399906</v>
      </c>
      <c r="E271" s="30">
        <f t="shared" si="29"/>
        <v>0</v>
      </c>
      <c r="F271" s="29">
        <f t="shared" si="30"/>
        <v>3324.9668424399906</v>
      </c>
      <c r="G271" s="29">
        <f t="shared" si="31"/>
        <v>2489.4449009964319</v>
      </c>
      <c r="H271" s="29">
        <f t="shared" si="35"/>
        <v>835.52194144355883</v>
      </c>
      <c r="I271" s="29">
        <f t="shared" si="32"/>
        <v>306010.96424739447</v>
      </c>
    </row>
    <row r="272" spans="1:9" s="34" customFormat="1" x14ac:dyDescent="0.25">
      <c r="A272" s="38">
        <f t="shared" si="27"/>
        <v>255</v>
      </c>
      <c r="B272" s="28">
        <f t="shared" si="28"/>
        <v>49035</v>
      </c>
      <c r="C272" s="29">
        <f t="shared" si="33"/>
        <v>306010.96424739447</v>
      </c>
      <c r="D272" s="29">
        <f t="shared" si="34"/>
        <v>3324.9668424399906</v>
      </c>
      <c r="E272" s="30">
        <f t="shared" si="29"/>
        <v>0</v>
      </c>
      <c r="F272" s="29">
        <f t="shared" si="30"/>
        <v>3324.9668424399906</v>
      </c>
      <c r="G272" s="29">
        <f t="shared" si="31"/>
        <v>2496.187147603297</v>
      </c>
      <c r="H272" s="29">
        <f t="shared" si="35"/>
        <v>828.77969483669347</v>
      </c>
      <c r="I272" s="29">
        <f t="shared" si="32"/>
        <v>303514.77709979116</v>
      </c>
    </row>
    <row r="273" spans="1:9" s="34" customFormat="1" x14ac:dyDescent="0.25">
      <c r="A273" s="38">
        <f t="shared" si="27"/>
        <v>256</v>
      </c>
      <c r="B273" s="28">
        <f t="shared" si="28"/>
        <v>49065</v>
      </c>
      <c r="C273" s="29">
        <f t="shared" si="33"/>
        <v>303514.77709979116</v>
      </c>
      <c r="D273" s="29">
        <f t="shared" si="34"/>
        <v>3324.9668424399906</v>
      </c>
      <c r="E273" s="30">
        <f t="shared" si="29"/>
        <v>0</v>
      </c>
      <c r="F273" s="29">
        <f t="shared" si="30"/>
        <v>3324.9668424399906</v>
      </c>
      <c r="G273" s="29">
        <f t="shared" si="31"/>
        <v>2502.9476544613894</v>
      </c>
      <c r="H273" s="29">
        <f t="shared" si="35"/>
        <v>822.01918797860105</v>
      </c>
      <c r="I273" s="29">
        <f t="shared" si="32"/>
        <v>301011.82944532979</v>
      </c>
    </row>
    <row r="274" spans="1:9" s="34" customFormat="1" x14ac:dyDescent="0.25">
      <c r="A274" s="38">
        <f t="shared" si="27"/>
        <v>257</v>
      </c>
      <c r="B274" s="28">
        <f t="shared" si="28"/>
        <v>49096</v>
      </c>
      <c r="C274" s="29">
        <f t="shared" si="33"/>
        <v>301011.82944532979</v>
      </c>
      <c r="D274" s="29">
        <f t="shared" si="34"/>
        <v>3324.9668424399906</v>
      </c>
      <c r="E274" s="30">
        <f t="shared" si="29"/>
        <v>0</v>
      </c>
      <c r="F274" s="29">
        <f t="shared" si="30"/>
        <v>3324.9668424399906</v>
      </c>
      <c r="G274" s="29">
        <f t="shared" si="31"/>
        <v>2509.7264710255558</v>
      </c>
      <c r="H274" s="29">
        <f t="shared" si="35"/>
        <v>815.24037141443489</v>
      </c>
      <c r="I274" s="29">
        <f t="shared" si="32"/>
        <v>298502.10297430423</v>
      </c>
    </row>
    <row r="275" spans="1:9" s="34" customFormat="1" x14ac:dyDescent="0.25">
      <c r="A275" s="38">
        <f t="shared" ref="A275:A338" si="36">IF(Values_Entered,A274+1,"")</f>
        <v>258</v>
      </c>
      <c r="B275" s="28">
        <f t="shared" ref="B275:B338" si="37">IF(Pay_Num&lt;&gt;"",DATE(YEAR(B274),MONTH(B274)+1,DAY(B274)),"")</f>
        <v>49126</v>
      </c>
      <c r="C275" s="29">
        <f t="shared" si="33"/>
        <v>298502.10297430423</v>
      </c>
      <c r="D275" s="29">
        <f t="shared" si="34"/>
        <v>3324.9668424399906</v>
      </c>
      <c r="E275" s="30">
        <f t="shared" ref="E275:E338" si="38">IF(Pay_Num&lt;&gt;"",Scheduled_Extra_Payments,"")</f>
        <v>0</v>
      </c>
      <c r="F275" s="29">
        <f t="shared" ref="F275:F338" si="39">IF(Pay_Num&lt;&gt;"",Sched_Pay+Extra_Pay,"")</f>
        <v>3324.9668424399906</v>
      </c>
      <c r="G275" s="29">
        <f t="shared" ref="G275:G338" si="40">IF(Pay_Num&lt;&gt;"",Total_Pay-Int,"")</f>
        <v>2516.5236468845833</v>
      </c>
      <c r="H275" s="29">
        <f t="shared" si="35"/>
        <v>808.44319555540733</v>
      </c>
      <c r="I275" s="29">
        <f t="shared" ref="I275:I338" si="41">IF(Pay_Num&lt;&gt;"",Beg_Bal-Princ,"")</f>
        <v>295985.57932741963</v>
      </c>
    </row>
    <row r="276" spans="1:9" s="34" customFormat="1" x14ac:dyDescent="0.25">
      <c r="A276" s="38">
        <f t="shared" si="36"/>
        <v>259</v>
      </c>
      <c r="B276" s="28">
        <f t="shared" si="37"/>
        <v>49157</v>
      </c>
      <c r="C276" s="29">
        <f t="shared" ref="C276:C339" si="42">IF(Pay_Num&lt;&gt;"",I275,"")</f>
        <v>295985.57932741963</v>
      </c>
      <c r="D276" s="29">
        <f t="shared" ref="D276:D339" si="43">IF(Pay_Num&lt;&gt;"",Scheduled_Monthly_Payment,"")</f>
        <v>3324.9668424399906</v>
      </c>
      <c r="E276" s="30">
        <f t="shared" si="38"/>
        <v>0</v>
      </c>
      <c r="F276" s="29">
        <f t="shared" si="39"/>
        <v>3324.9668424399906</v>
      </c>
      <c r="G276" s="29">
        <f t="shared" si="40"/>
        <v>2523.3392317615626</v>
      </c>
      <c r="H276" s="29">
        <f t="shared" ref="H276:H339" si="44">IF(Pay_Num&lt;&gt;"",Beg_Bal*Interest_Rate/12,"")</f>
        <v>801.62761067842814</v>
      </c>
      <c r="I276" s="29">
        <f t="shared" si="41"/>
        <v>293462.24009565805</v>
      </c>
    </row>
    <row r="277" spans="1:9" s="34" customFormat="1" x14ac:dyDescent="0.25">
      <c r="A277" s="38">
        <f t="shared" si="36"/>
        <v>260</v>
      </c>
      <c r="B277" s="28">
        <f t="shared" si="37"/>
        <v>49188</v>
      </c>
      <c r="C277" s="29">
        <f t="shared" si="42"/>
        <v>293462.24009565805</v>
      </c>
      <c r="D277" s="29">
        <f t="shared" si="43"/>
        <v>3324.9668424399906</v>
      </c>
      <c r="E277" s="30">
        <f t="shared" si="38"/>
        <v>0</v>
      </c>
      <c r="F277" s="29">
        <f t="shared" si="39"/>
        <v>3324.9668424399906</v>
      </c>
      <c r="G277" s="29">
        <f t="shared" si="40"/>
        <v>2530.1732755142502</v>
      </c>
      <c r="H277" s="29">
        <f t="shared" si="44"/>
        <v>794.79356692574049</v>
      </c>
      <c r="I277" s="29">
        <f t="shared" si="41"/>
        <v>290932.06682014378</v>
      </c>
    </row>
    <row r="278" spans="1:9" s="34" customFormat="1" x14ac:dyDescent="0.25">
      <c r="A278" s="38">
        <f t="shared" si="36"/>
        <v>261</v>
      </c>
      <c r="B278" s="28">
        <f t="shared" si="37"/>
        <v>49218</v>
      </c>
      <c r="C278" s="29">
        <f t="shared" si="42"/>
        <v>290932.06682014378</v>
      </c>
      <c r="D278" s="29">
        <f t="shared" si="43"/>
        <v>3324.9668424399906</v>
      </c>
      <c r="E278" s="30">
        <f t="shared" si="38"/>
        <v>0</v>
      </c>
      <c r="F278" s="29">
        <f t="shared" si="39"/>
        <v>3324.9668424399906</v>
      </c>
      <c r="G278" s="29">
        <f t="shared" si="40"/>
        <v>2537.0258281354345</v>
      </c>
      <c r="H278" s="29">
        <f t="shared" si="44"/>
        <v>787.94101430455612</v>
      </c>
      <c r="I278" s="29">
        <f t="shared" si="41"/>
        <v>288395.04099200835</v>
      </c>
    </row>
    <row r="279" spans="1:9" s="34" customFormat="1" x14ac:dyDescent="0.25">
      <c r="A279" s="38">
        <f t="shared" si="36"/>
        <v>262</v>
      </c>
      <c r="B279" s="28">
        <f t="shared" si="37"/>
        <v>49249</v>
      </c>
      <c r="C279" s="29">
        <f t="shared" si="42"/>
        <v>288395.04099200835</v>
      </c>
      <c r="D279" s="29">
        <f t="shared" si="43"/>
        <v>3324.9668424399906</v>
      </c>
      <c r="E279" s="30">
        <f t="shared" si="38"/>
        <v>0</v>
      </c>
      <c r="F279" s="29">
        <f t="shared" si="39"/>
        <v>3324.9668424399906</v>
      </c>
      <c r="G279" s="29">
        <f t="shared" si="40"/>
        <v>2543.8969397533015</v>
      </c>
      <c r="H279" s="29">
        <f t="shared" si="44"/>
        <v>781.06990268668926</v>
      </c>
      <c r="I279" s="29">
        <f t="shared" si="41"/>
        <v>285851.14405225503</v>
      </c>
    </row>
    <row r="280" spans="1:9" s="34" customFormat="1" x14ac:dyDescent="0.25">
      <c r="A280" s="38">
        <f t="shared" si="36"/>
        <v>263</v>
      </c>
      <c r="B280" s="28">
        <f t="shared" si="37"/>
        <v>49279</v>
      </c>
      <c r="C280" s="29">
        <f t="shared" si="42"/>
        <v>285851.14405225503</v>
      </c>
      <c r="D280" s="29">
        <f t="shared" si="43"/>
        <v>3324.9668424399906</v>
      </c>
      <c r="E280" s="30">
        <f t="shared" si="38"/>
        <v>0</v>
      </c>
      <c r="F280" s="29">
        <f t="shared" si="39"/>
        <v>3324.9668424399906</v>
      </c>
      <c r="G280" s="29">
        <f t="shared" si="40"/>
        <v>2550.7866606317998</v>
      </c>
      <c r="H280" s="29">
        <f t="shared" si="44"/>
        <v>774.1801818081907</v>
      </c>
      <c r="I280" s="29">
        <f t="shared" si="41"/>
        <v>283300.3573916232</v>
      </c>
    </row>
    <row r="281" spans="1:9" s="34" customFormat="1" x14ac:dyDescent="0.25">
      <c r="A281" s="38">
        <f t="shared" si="36"/>
        <v>264</v>
      </c>
      <c r="B281" s="28">
        <f t="shared" si="37"/>
        <v>49310</v>
      </c>
      <c r="C281" s="29">
        <f t="shared" si="42"/>
        <v>283300.3573916232</v>
      </c>
      <c r="D281" s="29">
        <f t="shared" si="43"/>
        <v>3324.9668424399906</v>
      </c>
      <c r="E281" s="30">
        <f t="shared" si="38"/>
        <v>0</v>
      </c>
      <c r="F281" s="29">
        <f t="shared" si="39"/>
        <v>3324.9668424399906</v>
      </c>
      <c r="G281" s="29">
        <f t="shared" si="40"/>
        <v>2557.6950411710109</v>
      </c>
      <c r="H281" s="29">
        <f t="shared" si="44"/>
        <v>767.27180126897963</v>
      </c>
      <c r="I281" s="29">
        <f t="shared" si="41"/>
        <v>280742.66235045221</v>
      </c>
    </row>
    <row r="282" spans="1:9" s="34" customFormat="1" x14ac:dyDescent="0.25">
      <c r="A282" s="38">
        <f t="shared" si="36"/>
        <v>265</v>
      </c>
      <c r="B282" s="28">
        <f t="shared" si="37"/>
        <v>49341</v>
      </c>
      <c r="C282" s="29">
        <f t="shared" si="42"/>
        <v>280742.66235045221</v>
      </c>
      <c r="D282" s="29">
        <f t="shared" si="43"/>
        <v>3324.9668424399906</v>
      </c>
      <c r="E282" s="30">
        <f t="shared" si="38"/>
        <v>0</v>
      </c>
      <c r="F282" s="29">
        <f t="shared" si="39"/>
        <v>3324.9668424399906</v>
      </c>
      <c r="G282" s="29">
        <f t="shared" si="40"/>
        <v>2564.6221319075157</v>
      </c>
      <c r="H282" s="29">
        <f t="shared" si="44"/>
        <v>760.34471053247478</v>
      </c>
      <c r="I282" s="29">
        <f t="shared" si="41"/>
        <v>278178.04021854472</v>
      </c>
    </row>
    <row r="283" spans="1:9" s="34" customFormat="1" x14ac:dyDescent="0.25">
      <c r="A283" s="38">
        <f t="shared" si="36"/>
        <v>266</v>
      </c>
      <c r="B283" s="28">
        <f t="shared" si="37"/>
        <v>49369</v>
      </c>
      <c r="C283" s="29">
        <f t="shared" si="42"/>
        <v>278178.04021854472</v>
      </c>
      <c r="D283" s="29">
        <f t="shared" si="43"/>
        <v>3324.9668424399906</v>
      </c>
      <c r="E283" s="30">
        <f t="shared" si="38"/>
        <v>0</v>
      </c>
      <c r="F283" s="29">
        <f t="shared" si="39"/>
        <v>3324.9668424399906</v>
      </c>
      <c r="G283" s="29">
        <f t="shared" si="40"/>
        <v>2571.5679835147653</v>
      </c>
      <c r="H283" s="29">
        <f t="shared" si="44"/>
        <v>753.39885892522534</v>
      </c>
      <c r="I283" s="29">
        <f t="shared" si="41"/>
        <v>275606.47223502997</v>
      </c>
    </row>
    <row r="284" spans="1:9" s="34" customFormat="1" x14ac:dyDescent="0.25">
      <c r="A284" s="38">
        <f t="shared" si="36"/>
        <v>267</v>
      </c>
      <c r="B284" s="28">
        <f t="shared" si="37"/>
        <v>49400</v>
      </c>
      <c r="C284" s="29">
        <f t="shared" si="42"/>
        <v>275606.47223502997</v>
      </c>
      <c r="D284" s="29">
        <f t="shared" si="43"/>
        <v>3324.9668424399906</v>
      </c>
      <c r="E284" s="30">
        <f t="shared" si="38"/>
        <v>0</v>
      </c>
      <c r="F284" s="29">
        <f t="shared" si="39"/>
        <v>3324.9668424399906</v>
      </c>
      <c r="G284" s="29">
        <f t="shared" si="40"/>
        <v>2578.5326468034509</v>
      </c>
      <c r="H284" s="29">
        <f t="shared" si="44"/>
        <v>746.43419563653958</v>
      </c>
      <c r="I284" s="29">
        <f t="shared" si="41"/>
        <v>273027.93958822649</v>
      </c>
    </row>
    <row r="285" spans="1:9" s="34" customFormat="1" x14ac:dyDescent="0.25">
      <c r="A285" s="38">
        <f t="shared" si="36"/>
        <v>268</v>
      </c>
      <c r="B285" s="28">
        <f t="shared" si="37"/>
        <v>49430</v>
      </c>
      <c r="C285" s="29">
        <f t="shared" si="42"/>
        <v>273027.93958822649</v>
      </c>
      <c r="D285" s="29">
        <f t="shared" si="43"/>
        <v>3324.9668424399906</v>
      </c>
      <c r="E285" s="30">
        <f t="shared" si="38"/>
        <v>0</v>
      </c>
      <c r="F285" s="29">
        <f t="shared" si="39"/>
        <v>3324.9668424399906</v>
      </c>
      <c r="G285" s="29">
        <f t="shared" si="40"/>
        <v>2585.516172721877</v>
      </c>
      <c r="H285" s="29">
        <f t="shared" si="44"/>
        <v>739.45066971811355</v>
      </c>
      <c r="I285" s="29">
        <f t="shared" si="41"/>
        <v>270442.42341550463</v>
      </c>
    </row>
    <row r="286" spans="1:9" s="34" customFormat="1" x14ac:dyDescent="0.25">
      <c r="A286" s="38">
        <f t="shared" si="36"/>
        <v>269</v>
      </c>
      <c r="B286" s="28">
        <f t="shared" si="37"/>
        <v>49461</v>
      </c>
      <c r="C286" s="29">
        <f t="shared" si="42"/>
        <v>270442.42341550463</v>
      </c>
      <c r="D286" s="29">
        <f t="shared" si="43"/>
        <v>3324.9668424399906</v>
      </c>
      <c r="E286" s="30">
        <f t="shared" si="38"/>
        <v>0</v>
      </c>
      <c r="F286" s="29">
        <f t="shared" si="39"/>
        <v>3324.9668424399906</v>
      </c>
      <c r="G286" s="29">
        <f t="shared" si="40"/>
        <v>2592.5186123563321</v>
      </c>
      <c r="H286" s="29">
        <f t="shared" si="44"/>
        <v>732.44823008365836</v>
      </c>
      <c r="I286" s="29">
        <f t="shared" si="41"/>
        <v>267849.9048031483</v>
      </c>
    </row>
    <row r="287" spans="1:9" s="34" customFormat="1" x14ac:dyDescent="0.25">
      <c r="A287" s="38">
        <f t="shared" si="36"/>
        <v>270</v>
      </c>
      <c r="B287" s="28">
        <f t="shared" si="37"/>
        <v>49491</v>
      </c>
      <c r="C287" s="29">
        <f t="shared" si="42"/>
        <v>267849.9048031483</v>
      </c>
      <c r="D287" s="29">
        <f t="shared" si="43"/>
        <v>3324.9668424399906</v>
      </c>
      <c r="E287" s="30">
        <f t="shared" si="38"/>
        <v>0</v>
      </c>
      <c r="F287" s="29">
        <f t="shared" si="39"/>
        <v>3324.9668424399906</v>
      </c>
      <c r="G287" s="29">
        <f t="shared" si="40"/>
        <v>2599.5400169314639</v>
      </c>
      <c r="H287" s="29">
        <f t="shared" si="44"/>
        <v>725.42682550852669</v>
      </c>
      <c r="I287" s="29">
        <f t="shared" si="41"/>
        <v>265250.36478621681</v>
      </c>
    </row>
    <row r="288" spans="1:9" s="34" customFormat="1" x14ac:dyDescent="0.25">
      <c r="A288" s="38">
        <f t="shared" si="36"/>
        <v>271</v>
      </c>
      <c r="B288" s="28">
        <f t="shared" si="37"/>
        <v>49522</v>
      </c>
      <c r="C288" s="29">
        <f t="shared" si="42"/>
        <v>265250.36478621681</v>
      </c>
      <c r="D288" s="29">
        <f t="shared" si="43"/>
        <v>3324.9668424399906</v>
      </c>
      <c r="E288" s="30">
        <f t="shared" si="38"/>
        <v>0</v>
      </c>
      <c r="F288" s="29">
        <f t="shared" si="39"/>
        <v>3324.9668424399906</v>
      </c>
      <c r="G288" s="29">
        <f t="shared" si="40"/>
        <v>2606.5804378106532</v>
      </c>
      <c r="H288" s="29">
        <f t="shared" si="44"/>
        <v>718.38640462933733</v>
      </c>
      <c r="I288" s="29">
        <f t="shared" si="41"/>
        <v>262643.78434840619</v>
      </c>
    </row>
    <row r="289" spans="1:9" s="34" customFormat="1" x14ac:dyDescent="0.25">
      <c r="A289" s="38">
        <f t="shared" si="36"/>
        <v>272</v>
      </c>
      <c r="B289" s="28">
        <f t="shared" si="37"/>
        <v>49553</v>
      </c>
      <c r="C289" s="29">
        <f t="shared" si="42"/>
        <v>262643.78434840619</v>
      </c>
      <c r="D289" s="29">
        <f t="shared" si="43"/>
        <v>3324.9668424399906</v>
      </c>
      <c r="E289" s="30">
        <f t="shared" si="38"/>
        <v>0</v>
      </c>
      <c r="F289" s="29">
        <f t="shared" si="39"/>
        <v>3324.9668424399906</v>
      </c>
      <c r="G289" s="29">
        <f t="shared" si="40"/>
        <v>2613.6399264963907</v>
      </c>
      <c r="H289" s="29">
        <f t="shared" si="44"/>
        <v>711.32691594360006</v>
      </c>
      <c r="I289" s="29">
        <f t="shared" si="41"/>
        <v>260030.14442190979</v>
      </c>
    </row>
    <row r="290" spans="1:9" s="34" customFormat="1" x14ac:dyDescent="0.25">
      <c r="A290" s="38">
        <f t="shared" si="36"/>
        <v>273</v>
      </c>
      <c r="B290" s="28">
        <f t="shared" si="37"/>
        <v>49583</v>
      </c>
      <c r="C290" s="29">
        <f t="shared" si="42"/>
        <v>260030.14442190979</v>
      </c>
      <c r="D290" s="29">
        <f t="shared" si="43"/>
        <v>3324.9668424399906</v>
      </c>
      <c r="E290" s="30">
        <f t="shared" si="38"/>
        <v>0</v>
      </c>
      <c r="F290" s="29">
        <f t="shared" si="39"/>
        <v>3324.9668424399906</v>
      </c>
      <c r="G290" s="29">
        <f t="shared" si="40"/>
        <v>2620.7185346306514</v>
      </c>
      <c r="H290" s="29">
        <f t="shared" si="44"/>
        <v>704.24830780933905</v>
      </c>
      <c r="I290" s="29">
        <f t="shared" si="41"/>
        <v>257409.42588727913</v>
      </c>
    </row>
    <row r="291" spans="1:9" s="34" customFormat="1" x14ac:dyDescent="0.25">
      <c r="A291" s="38">
        <f t="shared" si="36"/>
        <v>274</v>
      </c>
      <c r="B291" s="28">
        <f t="shared" si="37"/>
        <v>49614</v>
      </c>
      <c r="C291" s="29">
        <f t="shared" si="42"/>
        <v>257409.42588727913</v>
      </c>
      <c r="D291" s="29">
        <f t="shared" si="43"/>
        <v>3324.9668424399906</v>
      </c>
      <c r="E291" s="30">
        <f t="shared" si="38"/>
        <v>0</v>
      </c>
      <c r="F291" s="29">
        <f t="shared" si="39"/>
        <v>3324.9668424399906</v>
      </c>
      <c r="G291" s="29">
        <f t="shared" si="40"/>
        <v>2627.8163139952762</v>
      </c>
      <c r="H291" s="29">
        <f t="shared" si="44"/>
        <v>697.15052844471438</v>
      </c>
      <c r="I291" s="29">
        <f t="shared" si="41"/>
        <v>254781.60957328384</v>
      </c>
    </row>
    <row r="292" spans="1:9" s="34" customFormat="1" x14ac:dyDescent="0.25">
      <c r="A292" s="38">
        <f t="shared" si="36"/>
        <v>275</v>
      </c>
      <c r="B292" s="28">
        <f t="shared" si="37"/>
        <v>49644</v>
      </c>
      <c r="C292" s="29">
        <f t="shared" si="42"/>
        <v>254781.60957328384</v>
      </c>
      <c r="D292" s="29">
        <f t="shared" si="43"/>
        <v>3324.9668424399906</v>
      </c>
      <c r="E292" s="30">
        <f t="shared" si="38"/>
        <v>0</v>
      </c>
      <c r="F292" s="29">
        <f t="shared" si="39"/>
        <v>3324.9668424399906</v>
      </c>
      <c r="G292" s="29">
        <f t="shared" si="40"/>
        <v>2634.9333165123467</v>
      </c>
      <c r="H292" s="29">
        <f t="shared" si="44"/>
        <v>690.03352592764384</v>
      </c>
      <c r="I292" s="29">
        <f t="shared" si="41"/>
        <v>252146.67625677149</v>
      </c>
    </row>
    <row r="293" spans="1:9" s="34" customFormat="1" x14ac:dyDescent="0.25">
      <c r="A293" s="38">
        <f t="shared" si="36"/>
        <v>276</v>
      </c>
      <c r="B293" s="28">
        <f t="shared" si="37"/>
        <v>49675</v>
      </c>
      <c r="C293" s="29">
        <f t="shared" si="42"/>
        <v>252146.67625677149</v>
      </c>
      <c r="D293" s="29">
        <f t="shared" si="43"/>
        <v>3324.9668424399906</v>
      </c>
      <c r="E293" s="30">
        <f t="shared" si="38"/>
        <v>0</v>
      </c>
      <c r="F293" s="29">
        <f t="shared" si="39"/>
        <v>3324.9668424399906</v>
      </c>
      <c r="G293" s="29">
        <f t="shared" si="40"/>
        <v>2642.0695942445677</v>
      </c>
      <c r="H293" s="29">
        <f t="shared" si="44"/>
        <v>682.89724819542278</v>
      </c>
      <c r="I293" s="29">
        <f t="shared" si="41"/>
        <v>249504.60666252693</v>
      </c>
    </row>
    <row r="294" spans="1:9" s="34" customFormat="1" x14ac:dyDescent="0.25">
      <c r="A294" s="38">
        <f t="shared" si="36"/>
        <v>277</v>
      </c>
      <c r="B294" s="28">
        <f t="shared" si="37"/>
        <v>49706</v>
      </c>
      <c r="C294" s="29">
        <f t="shared" si="42"/>
        <v>249504.60666252693</v>
      </c>
      <c r="D294" s="29">
        <f t="shared" si="43"/>
        <v>3324.9668424399906</v>
      </c>
      <c r="E294" s="30">
        <f t="shared" si="38"/>
        <v>0</v>
      </c>
      <c r="F294" s="29">
        <f t="shared" si="39"/>
        <v>3324.9668424399906</v>
      </c>
      <c r="G294" s="29">
        <f t="shared" si="40"/>
        <v>2649.225199395647</v>
      </c>
      <c r="H294" s="29">
        <f t="shared" si="44"/>
        <v>675.74164304434373</v>
      </c>
      <c r="I294" s="29">
        <f t="shared" si="41"/>
        <v>246855.38146313129</v>
      </c>
    </row>
    <row r="295" spans="1:9" s="34" customFormat="1" x14ac:dyDescent="0.25">
      <c r="A295" s="38">
        <f t="shared" si="36"/>
        <v>278</v>
      </c>
      <c r="B295" s="28">
        <f t="shared" si="37"/>
        <v>49735</v>
      </c>
      <c r="C295" s="29">
        <f t="shared" si="42"/>
        <v>246855.38146313129</v>
      </c>
      <c r="D295" s="29">
        <f t="shared" si="43"/>
        <v>3324.9668424399906</v>
      </c>
      <c r="E295" s="30">
        <f t="shared" si="38"/>
        <v>0</v>
      </c>
      <c r="F295" s="29">
        <f t="shared" si="39"/>
        <v>3324.9668424399906</v>
      </c>
      <c r="G295" s="29">
        <f t="shared" si="40"/>
        <v>2656.4001843106767</v>
      </c>
      <c r="H295" s="29">
        <f t="shared" si="44"/>
        <v>668.56665812931385</v>
      </c>
      <c r="I295" s="29">
        <f t="shared" si="41"/>
        <v>244198.9812788206</v>
      </c>
    </row>
    <row r="296" spans="1:9" s="34" customFormat="1" x14ac:dyDescent="0.25">
      <c r="A296" s="38">
        <f t="shared" si="36"/>
        <v>279</v>
      </c>
      <c r="B296" s="28">
        <f t="shared" si="37"/>
        <v>49766</v>
      </c>
      <c r="C296" s="29">
        <f t="shared" si="42"/>
        <v>244198.9812788206</v>
      </c>
      <c r="D296" s="29">
        <f t="shared" si="43"/>
        <v>3324.9668424399906</v>
      </c>
      <c r="E296" s="30">
        <f t="shared" si="38"/>
        <v>0</v>
      </c>
      <c r="F296" s="29">
        <f t="shared" si="39"/>
        <v>3324.9668424399906</v>
      </c>
      <c r="G296" s="29">
        <f t="shared" si="40"/>
        <v>2663.5946014765182</v>
      </c>
      <c r="H296" s="29">
        <f t="shared" si="44"/>
        <v>661.37224096347256</v>
      </c>
      <c r="I296" s="29">
        <f t="shared" si="41"/>
        <v>241535.3866773441</v>
      </c>
    </row>
    <row r="297" spans="1:9" s="34" customFormat="1" x14ac:dyDescent="0.25">
      <c r="A297" s="38">
        <f t="shared" si="36"/>
        <v>280</v>
      </c>
      <c r="B297" s="28">
        <f t="shared" si="37"/>
        <v>49796</v>
      </c>
      <c r="C297" s="29">
        <f t="shared" si="42"/>
        <v>241535.3866773441</v>
      </c>
      <c r="D297" s="29">
        <f t="shared" si="43"/>
        <v>3324.9668424399906</v>
      </c>
      <c r="E297" s="30">
        <f t="shared" si="38"/>
        <v>0</v>
      </c>
      <c r="F297" s="29">
        <f t="shared" si="39"/>
        <v>3324.9668424399906</v>
      </c>
      <c r="G297" s="29">
        <f t="shared" si="40"/>
        <v>2670.8085035221839</v>
      </c>
      <c r="H297" s="29">
        <f t="shared" si="44"/>
        <v>654.15833891780699</v>
      </c>
      <c r="I297" s="29">
        <f t="shared" si="41"/>
        <v>238864.57817382191</v>
      </c>
    </row>
    <row r="298" spans="1:9" s="34" customFormat="1" x14ac:dyDescent="0.25">
      <c r="A298" s="38">
        <f t="shared" si="36"/>
        <v>281</v>
      </c>
      <c r="B298" s="28">
        <f t="shared" si="37"/>
        <v>49827</v>
      </c>
      <c r="C298" s="29">
        <f t="shared" si="42"/>
        <v>238864.57817382191</v>
      </c>
      <c r="D298" s="29">
        <f t="shared" si="43"/>
        <v>3324.9668424399906</v>
      </c>
      <c r="E298" s="30">
        <f t="shared" si="38"/>
        <v>0</v>
      </c>
      <c r="F298" s="29">
        <f t="shared" si="39"/>
        <v>3324.9668424399906</v>
      </c>
      <c r="G298" s="29">
        <f t="shared" si="40"/>
        <v>2678.041943219223</v>
      </c>
      <c r="H298" s="29">
        <f t="shared" si="44"/>
        <v>646.92489922076766</v>
      </c>
      <c r="I298" s="29">
        <f t="shared" si="41"/>
        <v>236186.53623060268</v>
      </c>
    </row>
    <row r="299" spans="1:9" s="34" customFormat="1" x14ac:dyDescent="0.25">
      <c r="A299" s="38">
        <f t="shared" si="36"/>
        <v>282</v>
      </c>
      <c r="B299" s="28">
        <f t="shared" si="37"/>
        <v>49857</v>
      </c>
      <c r="C299" s="29">
        <f t="shared" si="42"/>
        <v>236186.53623060268</v>
      </c>
      <c r="D299" s="29">
        <f t="shared" si="43"/>
        <v>3324.9668424399906</v>
      </c>
      <c r="E299" s="30">
        <f t="shared" si="38"/>
        <v>0</v>
      </c>
      <c r="F299" s="29">
        <f t="shared" si="39"/>
        <v>3324.9668424399906</v>
      </c>
      <c r="G299" s="29">
        <f t="shared" si="40"/>
        <v>2685.2949734821082</v>
      </c>
      <c r="H299" s="29">
        <f t="shared" si="44"/>
        <v>639.67186895788234</v>
      </c>
      <c r="I299" s="29">
        <f t="shared" si="41"/>
        <v>233501.24125712056</v>
      </c>
    </row>
    <row r="300" spans="1:9" s="34" customFormat="1" x14ac:dyDescent="0.25">
      <c r="A300" s="38">
        <f t="shared" si="36"/>
        <v>283</v>
      </c>
      <c r="B300" s="28">
        <f t="shared" si="37"/>
        <v>49888</v>
      </c>
      <c r="C300" s="29">
        <f t="shared" si="42"/>
        <v>233501.24125712056</v>
      </c>
      <c r="D300" s="29">
        <f t="shared" si="43"/>
        <v>3324.9668424399906</v>
      </c>
      <c r="E300" s="30">
        <f t="shared" si="38"/>
        <v>0</v>
      </c>
      <c r="F300" s="29">
        <f t="shared" si="39"/>
        <v>3324.9668424399906</v>
      </c>
      <c r="G300" s="29">
        <f t="shared" si="40"/>
        <v>2692.5676473686226</v>
      </c>
      <c r="H300" s="29">
        <f t="shared" si="44"/>
        <v>632.39919507136824</v>
      </c>
      <c r="I300" s="29">
        <f t="shared" si="41"/>
        <v>230808.67360975195</v>
      </c>
    </row>
    <row r="301" spans="1:9" s="34" customFormat="1" x14ac:dyDescent="0.25">
      <c r="A301" s="38">
        <f t="shared" si="36"/>
        <v>284</v>
      </c>
      <c r="B301" s="28">
        <f t="shared" si="37"/>
        <v>49919</v>
      </c>
      <c r="C301" s="29">
        <f t="shared" si="42"/>
        <v>230808.67360975195</v>
      </c>
      <c r="D301" s="29">
        <f t="shared" si="43"/>
        <v>3324.9668424399906</v>
      </c>
      <c r="E301" s="30">
        <f t="shared" si="38"/>
        <v>0</v>
      </c>
      <c r="F301" s="29">
        <f t="shared" si="39"/>
        <v>3324.9668424399906</v>
      </c>
      <c r="G301" s="29">
        <f t="shared" si="40"/>
        <v>2699.8600180802459</v>
      </c>
      <c r="H301" s="29">
        <f t="shared" si="44"/>
        <v>625.10682435974491</v>
      </c>
      <c r="I301" s="29">
        <f t="shared" si="41"/>
        <v>228108.8135916717</v>
      </c>
    </row>
    <row r="302" spans="1:9" s="34" customFormat="1" x14ac:dyDescent="0.25">
      <c r="A302" s="38">
        <f t="shared" si="36"/>
        <v>285</v>
      </c>
      <c r="B302" s="28">
        <f t="shared" si="37"/>
        <v>49949</v>
      </c>
      <c r="C302" s="29">
        <f t="shared" si="42"/>
        <v>228108.8135916717</v>
      </c>
      <c r="D302" s="29">
        <f t="shared" si="43"/>
        <v>3324.9668424399906</v>
      </c>
      <c r="E302" s="30">
        <f t="shared" si="38"/>
        <v>0</v>
      </c>
      <c r="F302" s="29">
        <f t="shared" si="39"/>
        <v>3324.9668424399906</v>
      </c>
      <c r="G302" s="29">
        <f t="shared" si="40"/>
        <v>2707.1721389625463</v>
      </c>
      <c r="H302" s="29">
        <f t="shared" si="44"/>
        <v>617.79470347744416</v>
      </c>
      <c r="I302" s="29">
        <f t="shared" si="41"/>
        <v>225401.64145270915</v>
      </c>
    </row>
    <row r="303" spans="1:9" s="34" customFormat="1" x14ac:dyDescent="0.25">
      <c r="A303" s="38">
        <f t="shared" si="36"/>
        <v>286</v>
      </c>
      <c r="B303" s="28">
        <f t="shared" si="37"/>
        <v>49980</v>
      </c>
      <c r="C303" s="29">
        <f t="shared" si="42"/>
        <v>225401.64145270915</v>
      </c>
      <c r="D303" s="29">
        <f t="shared" si="43"/>
        <v>3324.9668424399906</v>
      </c>
      <c r="E303" s="30">
        <f t="shared" si="38"/>
        <v>0</v>
      </c>
      <c r="F303" s="29">
        <f t="shared" si="39"/>
        <v>3324.9668424399906</v>
      </c>
      <c r="G303" s="29">
        <f t="shared" si="40"/>
        <v>2714.5040635055702</v>
      </c>
      <c r="H303" s="29">
        <f t="shared" si="44"/>
        <v>610.46277893442061</v>
      </c>
      <c r="I303" s="29">
        <f t="shared" si="41"/>
        <v>222687.13738920359</v>
      </c>
    </row>
    <row r="304" spans="1:9" s="34" customFormat="1" x14ac:dyDescent="0.25">
      <c r="A304" s="38">
        <f t="shared" si="36"/>
        <v>287</v>
      </c>
      <c r="B304" s="28">
        <f t="shared" si="37"/>
        <v>50010</v>
      </c>
      <c r="C304" s="29">
        <f t="shared" si="42"/>
        <v>222687.13738920359</v>
      </c>
      <c r="D304" s="29">
        <f t="shared" si="43"/>
        <v>3324.9668424399906</v>
      </c>
      <c r="E304" s="30">
        <f t="shared" si="38"/>
        <v>0</v>
      </c>
      <c r="F304" s="29">
        <f t="shared" si="39"/>
        <v>3324.9668424399906</v>
      </c>
      <c r="G304" s="29">
        <f t="shared" si="40"/>
        <v>2721.8558453442311</v>
      </c>
      <c r="H304" s="29">
        <f t="shared" si="44"/>
        <v>603.11099709575979</v>
      </c>
      <c r="I304" s="29">
        <f t="shared" si="41"/>
        <v>219965.28154385937</v>
      </c>
    </row>
    <row r="305" spans="1:9" s="34" customFormat="1" x14ac:dyDescent="0.25">
      <c r="A305" s="38">
        <f t="shared" si="36"/>
        <v>288</v>
      </c>
      <c r="B305" s="28">
        <f t="shared" si="37"/>
        <v>50041</v>
      </c>
      <c r="C305" s="29">
        <f t="shared" si="42"/>
        <v>219965.28154385937</v>
      </c>
      <c r="D305" s="29">
        <f t="shared" si="43"/>
        <v>3324.9668424399906</v>
      </c>
      <c r="E305" s="30">
        <f t="shared" si="38"/>
        <v>0</v>
      </c>
      <c r="F305" s="29">
        <f t="shared" si="39"/>
        <v>3324.9668424399906</v>
      </c>
      <c r="G305" s="29">
        <f t="shared" si="40"/>
        <v>2729.227538258705</v>
      </c>
      <c r="H305" s="29">
        <f t="shared" si="44"/>
        <v>595.73930418128577</v>
      </c>
      <c r="I305" s="29">
        <f t="shared" si="41"/>
        <v>217236.05400560066</v>
      </c>
    </row>
    <row r="306" spans="1:9" s="34" customFormat="1" x14ac:dyDescent="0.25">
      <c r="A306" s="38">
        <f t="shared" si="36"/>
        <v>289</v>
      </c>
      <c r="B306" s="28">
        <f t="shared" si="37"/>
        <v>50072</v>
      </c>
      <c r="C306" s="29">
        <f t="shared" si="42"/>
        <v>217236.05400560066</v>
      </c>
      <c r="D306" s="29">
        <f t="shared" si="43"/>
        <v>3324.9668424399906</v>
      </c>
      <c r="E306" s="30">
        <f t="shared" si="38"/>
        <v>0</v>
      </c>
      <c r="F306" s="29">
        <f t="shared" si="39"/>
        <v>3324.9668424399906</v>
      </c>
      <c r="G306" s="29">
        <f t="shared" si="40"/>
        <v>2736.6191961748223</v>
      </c>
      <c r="H306" s="29">
        <f t="shared" si="44"/>
        <v>588.34764626516846</v>
      </c>
      <c r="I306" s="29">
        <f t="shared" si="41"/>
        <v>214499.43480942585</v>
      </c>
    </row>
    <row r="307" spans="1:9" s="34" customFormat="1" x14ac:dyDescent="0.25">
      <c r="A307" s="38">
        <f t="shared" si="36"/>
        <v>290</v>
      </c>
      <c r="B307" s="28">
        <f t="shared" si="37"/>
        <v>50100</v>
      </c>
      <c r="C307" s="29">
        <f t="shared" si="42"/>
        <v>214499.43480942585</v>
      </c>
      <c r="D307" s="29">
        <f t="shared" si="43"/>
        <v>3324.9668424399906</v>
      </c>
      <c r="E307" s="30">
        <f t="shared" si="38"/>
        <v>0</v>
      </c>
      <c r="F307" s="29">
        <f t="shared" si="39"/>
        <v>3324.9668424399906</v>
      </c>
      <c r="G307" s="29">
        <f t="shared" si="40"/>
        <v>2744.0308731644623</v>
      </c>
      <c r="H307" s="29">
        <f t="shared" si="44"/>
        <v>580.93596927552835</v>
      </c>
      <c r="I307" s="29">
        <f t="shared" si="41"/>
        <v>211755.40393626137</v>
      </c>
    </row>
    <row r="308" spans="1:9" s="34" customFormat="1" x14ac:dyDescent="0.25">
      <c r="A308" s="38">
        <f t="shared" si="36"/>
        <v>291</v>
      </c>
      <c r="B308" s="28">
        <f t="shared" si="37"/>
        <v>50131</v>
      </c>
      <c r="C308" s="29">
        <f t="shared" si="42"/>
        <v>211755.40393626137</v>
      </c>
      <c r="D308" s="29">
        <f t="shared" si="43"/>
        <v>3324.9668424399906</v>
      </c>
      <c r="E308" s="30">
        <f t="shared" si="38"/>
        <v>0</v>
      </c>
      <c r="F308" s="29">
        <f t="shared" si="39"/>
        <v>3324.9668424399906</v>
      </c>
      <c r="G308" s="29">
        <f t="shared" si="40"/>
        <v>2751.4626234459492</v>
      </c>
      <c r="H308" s="29">
        <f t="shared" si="44"/>
        <v>573.50421899404125</v>
      </c>
      <c r="I308" s="29">
        <f t="shared" si="41"/>
        <v>209003.94131281541</v>
      </c>
    </row>
    <row r="309" spans="1:9" s="34" customFormat="1" x14ac:dyDescent="0.25">
      <c r="A309" s="38">
        <f t="shared" si="36"/>
        <v>292</v>
      </c>
      <c r="B309" s="28">
        <f t="shared" si="37"/>
        <v>50161</v>
      </c>
      <c r="C309" s="29">
        <f t="shared" si="42"/>
        <v>209003.94131281541</v>
      </c>
      <c r="D309" s="29">
        <f t="shared" si="43"/>
        <v>3324.9668424399906</v>
      </c>
      <c r="E309" s="30">
        <f t="shared" si="38"/>
        <v>0</v>
      </c>
      <c r="F309" s="29">
        <f t="shared" si="39"/>
        <v>3324.9668424399906</v>
      </c>
      <c r="G309" s="29">
        <f t="shared" si="40"/>
        <v>2758.9145013844491</v>
      </c>
      <c r="H309" s="29">
        <f t="shared" si="44"/>
        <v>566.05234105554177</v>
      </c>
      <c r="I309" s="29">
        <f t="shared" si="41"/>
        <v>206245.02681143096</v>
      </c>
    </row>
    <row r="310" spans="1:9" s="34" customFormat="1" x14ac:dyDescent="0.25">
      <c r="A310" s="38">
        <f t="shared" si="36"/>
        <v>293</v>
      </c>
      <c r="B310" s="28">
        <f t="shared" si="37"/>
        <v>50192</v>
      </c>
      <c r="C310" s="29">
        <f t="shared" si="42"/>
        <v>206245.02681143096</v>
      </c>
      <c r="D310" s="29">
        <f t="shared" si="43"/>
        <v>3324.9668424399906</v>
      </c>
      <c r="E310" s="30">
        <f t="shared" si="38"/>
        <v>0</v>
      </c>
      <c r="F310" s="29">
        <f t="shared" si="39"/>
        <v>3324.9668424399906</v>
      </c>
      <c r="G310" s="29">
        <f t="shared" si="40"/>
        <v>2766.3865614923652</v>
      </c>
      <c r="H310" s="29">
        <f t="shared" si="44"/>
        <v>558.58028094762551</v>
      </c>
      <c r="I310" s="29">
        <f t="shared" si="41"/>
        <v>203478.64024993859</v>
      </c>
    </row>
    <row r="311" spans="1:9" s="34" customFormat="1" x14ac:dyDescent="0.25">
      <c r="A311" s="38">
        <f t="shared" si="36"/>
        <v>294</v>
      </c>
      <c r="B311" s="28">
        <f t="shared" si="37"/>
        <v>50222</v>
      </c>
      <c r="C311" s="29">
        <f t="shared" si="42"/>
        <v>203478.64024993859</v>
      </c>
      <c r="D311" s="29">
        <f t="shared" si="43"/>
        <v>3324.9668424399906</v>
      </c>
      <c r="E311" s="30">
        <f t="shared" si="38"/>
        <v>0</v>
      </c>
      <c r="F311" s="29">
        <f t="shared" si="39"/>
        <v>3324.9668424399906</v>
      </c>
      <c r="G311" s="29">
        <f t="shared" si="40"/>
        <v>2773.8788584297404</v>
      </c>
      <c r="H311" s="29">
        <f t="shared" si="44"/>
        <v>551.08798401025035</v>
      </c>
      <c r="I311" s="29">
        <f t="shared" si="41"/>
        <v>200704.76139150886</v>
      </c>
    </row>
    <row r="312" spans="1:9" s="34" customFormat="1" x14ac:dyDescent="0.25">
      <c r="A312" s="38">
        <f t="shared" si="36"/>
        <v>295</v>
      </c>
      <c r="B312" s="28">
        <f t="shared" si="37"/>
        <v>50253</v>
      </c>
      <c r="C312" s="29">
        <f t="shared" si="42"/>
        <v>200704.76139150886</v>
      </c>
      <c r="D312" s="29">
        <f t="shared" si="43"/>
        <v>3324.9668424399906</v>
      </c>
      <c r="E312" s="30">
        <f t="shared" si="38"/>
        <v>0</v>
      </c>
      <c r="F312" s="29">
        <f t="shared" si="39"/>
        <v>3324.9668424399906</v>
      </c>
      <c r="G312" s="29">
        <f t="shared" si="40"/>
        <v>2781.3914470046539</v>
      </c>
      <c r="H312" s="29">
        <f t="shared" si="44"/>
        <v>543.57539543533653</v>
      </c>
      <c r="I312" s="29">
        <f t="shared" si="41"/>
        <v>197923.3699445042</v>
      </c>
    </row>
    <row r="313" spans="1:9" s="34" customFormat="1" x14ac:dyDescent="0.25">
      <c r="A313" s="38">
        <f t="shared" si="36"/>
        <v>296</v>
      </c>
      <c r="B313" s="28">
        <f t="shared" si="37"/>
        <v>50284</v>
      </c>
      <c r="C313" s="29">
        <f t="shared" si="42"/>
        <v>197923.3699445042</v>
      </c>
      <c r="D313" s="29">
        <f t="shared" si="43"/>
        <v>3324.9668424399906</v>
      </c>
      <c r="E313" s="30">
        <f t="shared" si="38"/>
        <v>0</v>
      </c>
      <c r="F313" s="29">
        <f t="shared" si="39"/>
        <v>3324.9668424399906</v>
      </c>
      <c r="G313" s="29">
        <f t="shared" si="40"/>
        <v>2788.924382173625</v>
      </c>
      <c r="H313" s="29">
        <f t="shared" si="44"/>
        <v>536.04246026636554</v>
      </c>
      <c r="I313" s="29">
        <f t="shared" si="41"/>
        <v>195134.44556233057</v>
      </c>
    </row>
    <row r="314" spans="1:9" s="34" customFormat="1" x14ac:dyDescent="0.25">
      <c r="A314" s="38">
        <f t="shared" si="36"/>
        <v>297</v>
      </c>
      <c r="B314" s="28">
        <f t="shared" si="37"/>
        <v>50314</v>
      </c>
      <c r="C314" s="29">
        <f t="shared" si="42"/>
        <v>195134.44556233057</v>
      </c>
      <c r="D314" s="29">
        <f t="shared" si="43"/>
        <v>3324.9668424399906</v>
      </c>
      <c r="E314" s="30">
        <f t="shared" si="38"/>
        <v>0</v>
      </c>
      <c r="F314" s="29">
        <f t="shared" si="39"/>
        <v>3324.9668424399906</v>
      </c>
      <c r="G314" s="29">
        <f t="shared" si="40"/>
        <v>2796.4777190420118</v>
      </c>
      <c r="H314" s="29">
        <f t="shared" si="44"/>
        <v>528.48912339797869</v>
      </c>
      <c r="I314" s="29">
        <f t="shared" si="41"/>
        <v>192337.96784328856</v>
      </c>
    </row>
    <row r="315" spans="1:9" s="34" customFormat="1" x14ac:dyDescent="0.25">
      <c r="A315" s="38">
        <f t="shared" si="36"/>
        <v>298</v>
      </c>
      <c r="B315" s="28">
        <f t="shared" si="37"/>
        <v>50345</v>
      </c>
      <c r="C315" s="29">
        <f t="shared" si="42"/>
        <v>192337.96784328856</v>
      </c>
      <c r="D315" s="29">
        <f t="shared" si="43"/>
        <v>3324.9668424399906</v>
      </c>
      <c r="E315" s="30">
        <f t="shared" si="38"/>
        <v>0</v>
      </c>
      <c r="F315" s="29">
        <f t="shared" si="39"/>
        <v>3324.9668424399906</v>
      </c>
      <c r="G315" s="29">
        <f t="shared" si="40"/>
        <v>2804.0515128644174</v>
      </c>
      <c r="H315" s="29">
        <f t="shared" si="44"/>
        <v>520.9153295755732</v>
      </c>
      <c r="I315" s="29">
        <f t="shared" si="41"/>
        <v>189533.91633042414</v>
      </c>
    </row>
    <row r="316" spans="1:9" s="34" customFormat="1" x14ac:dyDescent="0.25">
      <c r="A316" s="38">
        <f t="shared" si="36"/>
        <v>299</v>
      </c>
      <c r="B316" s="28">
        <f t="shared" si="37"/>
        <v>50375</v>
      </c>
      <c r="C316" s="29">
        <f t="shared" si="42"/>
        <v>189533.91633042414</v>
      </c>
      <c r="D316" s="29">
        <f t="shared" si="43"/>
        <v>3324.9668424399906</v>
      </c>
      <c r="E316" s="30">
        <f t="shared" si="38"/>
        <v>0</v>
      </c>
      <c r="F316" s="29">
        <f t="shared" si="39"/>
        <v>3324.9668424399906</v>
      </c>
      <c r="G316" s="29">
        <f t="shared" si="40"/>
        <v>2811.6458190450921</v>
      </c>
      <c r="H316" s="29">
        <f t="shared" si="44"/>
        <v>513.3210233948987</v>
      </c>
      <c r="I316" s="29">
        <f t="shared" si="41"/>
        <v>186722.27051137906</v>
      </c>
    </row>
    <row r="317" spans="1:9" s="34" customFormat="1" x14ac:dyDescent="0.25">
      <c r="A317" s="38">
        <f t="shared" si="36"/>
        <v>300</v>
      </c>
      <c r="B317" s="28">
        <f t="shared" si="37"/>
        <v>50406</v>
      </c>
      <c r="C317" s="29">
        <f t="shared" si="42"/>
        <v>186722.27051137906</v>
      </c>
      <c r="D317" s="29">
        <f t="shared" si="43"/>
        <v>3324.9668424399906</v>
      </c>
      <c r="E317" s="30">
        <f t="shared" si="38"/>
        <v>0</v>
      </c>
      <c r="F317" s="29">
        <f t="shared" si="39"/>
        <v>3324.9668424399906</v>
      </c>
      <c r="G317" s="29">
        <f t="shared" si="40"/>
        <v>2819.2606931383389</v>
      </c>
      <c r="H317" s="29">
        <f t="shared" si="44"/>
        <v>505.70614930165158</v>
      </c>
      <c r="I317" s="29">
        <f t="shared" si="41"/>
        <v>183903.00981824071</v>
      </c>
    </row>
    <row r="318" spans="1:9" s="34" customFormat="1" x14ac:dyDescent="0.25">
      <c r="A318" s="38">
        <f t="shared" si="36"/>
        <v>301</v>
      </c>
      <c r="B318" s="28">
        <f t="shared" si="37"/>
        <v>50437</v>
      </c>
      <c r="C318" s="29">
        <f t="shared" si="42"/>
        <v>183903.00981824071</v>
      </c>
      <c r="D318" s="29">
        <f t="shared" si="43"/>
        <v>3324.9668424399906</v>
      </c>
      <c r="E318" s="30">
        <f t="shared" si="38"/>
        <v>0</v>
      </c>
      <c r="F318" s="29">
        <f t="shared" si="39"/>
        <v>3324.9668424399906</v>
      </c>
      <c r="G318" s="29">
        <f t="shared" si="40"/>
        <v>2826.8961908489218</v>
      </c>
      <c r="H318" s="29">
        <f t="shared" si="44"/>
        <v>498.07065159106861</v>
      </c>
      <c r="I318" s="29">
        <f t="shared" si="41"/>
        <v>181076.11362739178</v>
      </c>
    </row>
    <row r="319" spans="1:9" s="34" customFormat="1" x14ac:dyDescent="0.25">
      <c r="A319" s="38">
        <f t="shared" si="36"/>
        <v>302</v>
      </c>
      <c r="B319" s="28">
        <f t="shared" si="37"/>
        <v>50465</v>
      </c>
      <c r="C319" s="29">
        <f t="shared" si="42"/>
        <v>181076.11362739178</v>
      </c>
      <c r="D319" s="29">
        <f t="shared" si="43"/>
        <v>3324.9668424399906</v>
      </c>
      <c r="E319" s="30">
        <f t="shared" si="38"/>
        <v>0</v>
      </c>
      <c r="F319" s="29">
        <f t="shared" si="39"/>
        <v>3324.9668424399906</v>
      </c>
      <c r="G319" s="29">
        <f t="shared" si="40"/>
        <v>2834.5523680324713</v>
      </c>
      <c r="H319" s="29">
        <f t="shared" si="44"/>
        <v>490.41447440751944</v>
      </c>
      <c r="I319" s="29">
        <f t="shared" si="41"/>
        <v>178241.5612593593</v>
      </c>
    </row>
    <row r="320" spans="1:9" s="34" customFormat="1" x14ac:dyDescent="0.25">
      <c r="A320" s="38">
        <f t="shared" si="36"/>
        <v>303</v>
      </c>
      <c r="B320" s="28">
        <f t="shared" si="37"/>
        <v>50496</v>
      </c>
      <c r="C320" s="29">
        <f t="shared" si="42"/>
        <v>178241.5612593593</v>
      </c>
      <c r="D320" s="29">
        <f t="shared" si="43"/>
        <v>3324.9668424399906</v>
      </c>
      <c r="E320" s="30">
        <f t="shared" si="38"/>
        <v>0</v>
      </c>
      <c r="F320" s="29">
        <f t="shared" si="39"/>
        <v>3324.9668424399906</v>
      </c>
      <c r="G320" s="29">
        <f t="shared" si="40"/>
        <v>2842.2292806958926</v>
      </c>
      <c r="H320" s="29">
        <f t="shared" si="44"/>
        <v>482.73756174409806</v>
      </c>
      <c r="I320" s="29">
        <f t="shared" si="41"/>
        <v>175399.33197866339</v>
      </c>
    </row>
    <row r="321" spans="1:9" s="34" customFormat="1" x14ac:dyDescent="0.25">
      <c r="A321" s="38">
        <f t="shared" si="36"/>
        <v>304</v>
      </c>
      <c r="B321" s="28">
        <f t="shared" si="37"/>
        <v>50526</v>
      </c>
      <c r="C321" s="29">
        <f t="shared" si="42"/>
        <v>175399.33197866339</v>
      </c>
      <c r="D321" s="29">
        <f t="shared" si="43"/>
        <v>3324.9668424399906</v>
      </c>
      <c r="E321" s="30">
        <f t="shared" si="38"/>
        <v>0</v>
      </c>
      <c r="F321" s="29">
        <f t="shared" si="39"/>
        <v>3324.9668424399906</v>
      </c>
      <c r="G321" s="29">
        <f t="shared" si="40"/>
        <v>2849.9269849977773</v>
      </c>
      <c r="H321" s="29">
        <f t="shared" si="44"/>
        <v>475.03985744221336</v>
      </c>
      <c r="I321" s="29">
        <f t="shared" si="41"/>
        <v>172549.40499366561</v>
      </c>
    </row>
    <row r="322" spans="1:9" s="34" customFormat="1" x14ac:dyDescent="0.25">
      <c r="A322" s="38">
        <f t="shared" si="36"/>
        <v>305</v>
      </c>
      <c r="B322" s="28">
        <f t="shared" si="37"/>
        <v>50557</v>
      </c>
      <c r="C322" s="29">
        <f t="shared" si="42"/>
        <v>172549.40499366561</v>
      </c>
      <c r="D322" s="29">
        <f t="shared" si="43"/>
        <v>3324.9668424399906</v>
      </c>
      <c r="E322" s="30">
        <f t="shared" si="38"/>
        <v>0</v>
      </c>
      <c r="F322" s="29">
        <f t="shared" si="39"/>
        <v>3324.9668424399906</v>
      </c>
      <c r="G322" s="29">
        <f t="shared" si="40"/>
        <v>2857.6455372488131</v>
      </c>
      <c r="H322" s="29">
        <f t="shared" si="44"/>
        <v>467.32130519117771</v>
      </c>
      <c r="I322" s="29">
        <f t="shared" si="41"/>
        <v>169691.7594564168</v>
      </c>
    </row>
    <row r="323" spans="1:9" s="34" customFormat="1" x14ac:dyDescent="0.25">
      <c r="A323" s="38">
        <f t="shared" si="36"/>
        <v>306</v>
      </c>
      <c r="B323" s="28">
        <f t="shared" si="37"/>
        <v>50587</v>
      </c>
      <c r="C323" s="29">
        <f t="shared" si="42"/>
        <v>169691.7594564168</v>
      </c>
      <c r="D323" s="29">
        <f t="shared" si="43"/>
        <v>3324.9668424399906</v>
      </c>
      <c r="E323" s="30">
        <f t="shared" si="38"/>
        <v>0</v>
      </c>
      <c r="F323" s="29">
        <f t="shared" si="39"/>
        <v>3324.9668424399906</v>
      </c>
      <c r="G323" s="29">
        <f t="shared" si="40"/>
        <v>2865.3849939121951</v>
      </c>
      <c r="H323" s="29">
        <f t="shared" si="44"/>
        <v>459.5818485277955</v>
      </c>
      <c r="I323" s="29">
        <f t="shared" si="41"/>
        <v>166826.37446250461</v>
      </c>
    </row>
    <row r="324" spans="1:9" s="34" customFormat="1" x14ac:dyDescent="0.25">
      <c r="A324" s="38">
        <f t="shared" si="36"/>
        <v>307</v>
      </c>
      <c r="B324" s="28">
        <f t="shared" si="37"/>
        <v>50618</v>
      </c>
      <c r="C324" s="29">
        <f t="shared" si="42"/>
        <v>166826.37446250461</v>
      </c>
      <c r="D324" s="29">
        <f t="shared" si="43"/>
        <v>3324.9668424399906</v>
      </c>
      <c r="E324" s="30">
        <f t="shared" si="38"/>
        <v>0</v>
      </c>
      <c r="F324" s="29">
        <f t="shared" si="39"/>
        <v>3324.9668424399906</v>
      </c>
      <c r="G324" s="29">
        <f t="shared" si="40"/>
        <v>2873.1454116040404</v>
      </c>
      <c r="H324" s="29">
        <f t="shared" si="44"/>
        <v>451.82143083594997</v>
      </c>
      <c r="I324" s="29">
        <f t="shared" si="41"/>
        <v>163953.22905090055</v>
      </c>
    </row>
    <row r="325" spans="1:9" s="34" customFormat="1" x14ac:dyDescent="0.25">
      <c r="A325" s="38">
        <f t="shared" si="36"/>
        <v>308</v>
      </c>
      <c r="B325" s="28">
        <f t="shared" si="37"/>
        <v>50649</v>
      </c>
      <c r="C325" s="29">
        <f t="shared" si="42"/>
        <v>163953.22905090055</v>
      </c>
      <c r="D325" s="29">
        <f t="shared" si="43"/>
        <v>3324.9668424399906</v>
      </c>
      <c r="E325" s="30">
        <f t="shared" si="38"/>
        <v>0</v>
      </c>
      <c r="F325" s="29">
        <f t="shared" si="39"/>
        <v>3324.9668424399906</v>
      </c>
      <c r="G325" s="29">
        <f t="shared" si="40"/>
        <v>2880.9268470938014</v>
      </c>
      <c r="H325" s="29">
        <f t="shared" si="44"/>
        <v>444.03999534618902</v>
      </c>
      <c r="I325" s="29">
        <f t="shared" si="41"/>
        <v>161072.30220380676</v>
      </c>
    </row>
    <row r="326" spans="1:9" s="34" customFormat="1" x14ac:dyDescent="0.25">
      <c r="A326" s="38">
        <f t="shared" si="36"/>
        <v>309</v>
      </c>
      <c r="B326" s="28">
        <f t="shared" si="37"/>
        <v>50679</v>
      </c>
      <c r="C326" s="29">
        <f t="shared" si="42"/>
        <v>161072.30220380676</v>
      </c>
      <c r="D326" s="29">
        <f t="shared" si="43"/>
        <v>3324.9668424399906</v>
      </c>
      <c r="E326" s="30">
        <f t="shared" si="38"/>
        <v>0</v>
      </c>
      <c r="F326" s="29">
        <f t="shared" si="39"/>
        <v>3324.9668424399906</v>
      </c>
      <c r="G326" s="29">
        <f t="shared" si="40"/>
        <v>2888.7293573046809</v>
      </c>
      <c r="H326" s="29">
        <f t="shared" si="44"/>
        <v>436.23748513530995</v>
      </c>
      <c r="I326" s="29">
        <f t="shared" si="41"/>
        <v>158183.57284650207</v>
      </c>
    </row>
    <row r="327" spans="1:9" s="34" customFormat="1" x14ac:dyDescent="0.25">
      <c r="A327" s="38">
        <f t="shared" si="36"/>
        <v>310</v>
      </c>
      <c r="B327" s="28">
        <f t="shared" si="37"/>
        <v>50710</v>
      </c>
      <c r="C327" s="29">
        <f t="shared" si="42"/>
        <v>158183.57284650207</v>
      </c>
      <c r="D327" s="29">
        <f t="shared" si="43"/>
        <v>3324.9668424399906</v>
      </c>
      <c r="E327" s="30">
        <f t="shared" si="38"/>
        <v>0</v>
      </c>
      <c r="F327" s="29">
        <f t="shared" si="39"/>
        <v>3324.9668424399906</v>
      </c>
      <c r="G327" s="29">
        <f t="shared" si="40"/>
        <v>2896.5529993140476</v>
      </c>
      <c r="H327" s="29">
        <f t="shared" si="44"/>
        <v>428.41384312594306</v>
      </c>
      <c r="I327" s="29">
        <f t="shared" si="41"/>
        <v>155287.01984718803</v>
      </c>
    </row>
    <row r="328" spans="1:9" s="34" customFormat="1" x14ac:dyDescent="0.25">
      <c r="A328" s="38">
        <f t="shared" si="36"/>
        <v>311</v>
      </c>
      <c r="B328" s="28">
        <f t="shared" si="37"/>
        <v>50740</v>
      </c>
      <c r="C328" s="29">
        <f t="shared" si="42"/>
        <v>155287.01984718803</v>
      </c>
      <c r="D328" s="29">
        <f t="shared" si="43"/>
        <v>3324.9668424399906</v>
      </c>
      <c r="E328" s="30">
        <f t="shared" si="38"/>
        <v>0</v>
      </c>
      <c r="F328" s="29">
        <f t="shared" si="39"/>
        <v>3324.9668424399906</v>
      </c>
      <c r="G328" s="29">
        <f t="shared" si="40"/>
        <v>2904.3978303538565</v>
      </c>
      <c r="H328" s="29">
        <f t="shared" si="44"/>
        <v>420.56901208613425</v>
      </c>
      <c r="I328" s="29">
        <f t="shared" si="41"/>
        <v>152382.62201683418</v>
      </c>
    </row>
    <row r="329" spans="1:9" s="34" customFormat="1" x14ac:dyDescent="0.25">
      <c r="A329" s="38">
        <f t="shared" si="36"/>
        <v>312</v>
      </c>
      <c r="B329" s="28">
        <f t="shared" si="37"/>
        <v>50771</v>
      </c>
      <c r="C329" s="29">
        <f t="shared" si="42"/>
        <v>152382.62201683418</v>
      </c>
      <c r="D329" s="29">
        <f t="shared" si="43"/>
        <v>3324.9668424399906</v>
      </c>
      <c r="E329" s="30">
        <f t="shared" si="38"/>
        <v>0</v>
      </c>
      <c r="F329" s="29">
        <f t="shared" si="39"/>
        <v>3324.9668424399906</v>
      </c>
      <c r="G329" s="29">
        <f t="shared" si="40"/>
        <v>2912.2639078110647</v>
      </c>
      <c r="H329" s="29">
        <f t="shared" si="44"/>
        <v>412.70293462892596</v>
      </c>
      <c r="I329" s="29">
        <f t="shared" si="41"/>
        <v>149470.35810902313</v>
      </c>
    </row>
    <row r="330" spans="1:9" s="34" customFormat="1" x14ac:dyDescent="0.25">
      <c r="A330" s="38">
        <f t="shared" si="36"/>
        <v>313</v>
      </c>
      <c r="B330" s="28">
        <f t="shared" si="37"/>
        <v>50802</v>
      </c>
      <c r="C330" s="29">
        <f t="shared" si="42"/>
        <v>149470.35810902313</v>
      </c>
      <c r="D330" s="29">
        <f t="shared" si="43"/>
        <v>3324.9668424399906</v>
      </c>
      <c r="E330" s="30">
        <f t="shared" si="38"/>
        <v>0</v>
      </c>
      <c r="F330" s="29">
        <f t="shared" si="39"/>
        <v>3324.9668424399906</v>
      </c>
      <c r="G330" s="29">
        <f t="shared" si="40"/>
        <v>2920.151289228053</v>
      </c>
      <c r="H330" s="29">
        <f t="shared" si="44"/>
        <v>404.81555321193764</v>
      </c>
      <c r="I330" s="29">
        <f t="shared" si="41"/>
        <v>146550.20681979507</v>
      </c>
    </row>
    <row r="331" spans="1:9" s="34" customFormat="1" x14ac:dyDescent="0.25">
      <c r="A331" s="38">
        <f t="shared" si="36"/>
        <v>314</v>
      </c>
      <c r="B331" s="28">
        <f t="shared" si="37"/>
        <v>50830</v>
      </c>
      <c r="C331" s="29">
        <f t="shared" si="42"/>
        <v>146550.20681979507</v>
      </c>
      <c r="D331" s="29">
        <f t="shared" si="43"/>
        <v>3324.9668424399906</v>
      </c>
      <c r="E331" s="30">
        <f t="shared" si="38"/>
        <v>0</v>
      </c>
      <c r="F331" s="29">
        <f t="shared" si="39"/>
        <v>3324.9668424399906</v>
      </c>
      <c r="G331" s="29">
        <f t="shared" si="40"/>
        <v>2928.0600323030458</v>
      </c>
      <c r="H331" s="29">
        <f t="shared" si="44"/>
        <v>396.90681013694501</v>
      </c>
      <c r="I331" s="29">
        <f t="shared" si="41"/>
        <v>143622.14678749203</v>
      </c>
    </row>
    <row r="332" spans="1:9" s="34" customFormat="1" x14ac:dyDescent="0.25">
      <c r="A332" s="38">
        <f t="shared" si="36"/>
        <v>315</v>
      </c>
      <c r="B332" s="28">
        <f t="shared" si="37"/>
        <v>50861</v>
      </c>
      <c r="C332" s="29">
        <f t="shared" si="42"/>
        <v>143622.14678749203</v>
      </c>
      <c r="D332" s="29">
        <f t="shared" si="43"/>
        <v>3324.9668424399906</v>
      </c>
      <c r="E332" s="30">
        <f t="shared" si="38"/>
        <v>0</v>
      </c>
      <c r="F332" s="29">
        <f t="shared" si="39"/>
        <v>3324.9668424399906</v>
      </c>
      <c r="G332" s="29">
        <f t="shared" si="40"/>
        <v>2935.9901948905331</v>
      </c>
      <c r="H332" s="29">
        <f t="shared" si="44"/>
        <v>388.9766475494576</v>
      </c>
      <c r="I332" s="29">
        <f t="shared" si="41"/>
        <v>140686.1565926015</v>
      </c>
    </row>
    <row r="333" spans="1:9" s="34" customFormat="1" x14ac:dyDescent="0.25">
      <c r="A333" s="38">
        <f t="shared" si="36"/>
        <v>316</v>
      </c>
      <c r="B333" s="28">
        <f t="shared" si="37"/>
        <v>50891</v>
      </c>
      <c r="C333" s="29">
        <f t="shared" si="42"/>
        <v>140686.1565926015</v>
      </c>
      <c r="D333" s="29">
        <f t="shared" si="43"/>
        <v>3324.9668424399906</v>
      </c>
      <c r="E333" s="30">
        <f t="shared" si="38"/>
        <v>0</v>
      </c>
      <c r="F333" s="29">
        <f t="shared" si="39"/>
        <v>3324.9668424399906</v>
      </c>
      <c r="G333" s="29">
        <f t="shared" si="40"/>
        <v>2943.9418350016949</v>
      </c>
      <c r="H333" s="29">
        <f t="shared" si="44"/>
        <v>381.02500743829575</v>
      </c>
      <c r="I333" s="29">
        <f t="shared" si="41"/>
        <v>137742.21475759981</v>
      </c>
    </row>
    <row r="334" spans="1:9" s="34" customFormat="1" x14ac:dyDescent="0.25">
      <c r="A334" s="38">
        <f t="shared" si="36"/>
        <v>317</v>
      </c>
      <c r="B334" s="28">
        <f t="shared" si="37"/>
        <v>50922</v>
      </c>
      <c r="C334" s="29">
        <f t="shared" si="42"/>
        <v>137742.21475759981</v>
      </c>
      <c r="D334" s="29">
        <f t="shared" si="43"/>
        <v>3324.9668424399906</v>
      </c>
      <c r="E334" s="30">
        <f t="shared" si="38"/>
        <v>0</v>
      </c>
      <c r="F334" s="29">
        <f t="shared" si="39"/>
        <v>3324.9668424399906</v>
      </c>
      <c r="G334" s="29">
        <f t="shared" si="40"/>
        <v>2951.9150108048243</v>
      </c>
      <c r="H334" s="29">
        <f t="shared" si="44"/>
        <v>373.05183163516614</v>
      </c>
      <c r="I334" s="29">
        <f t="shared" si="41"/>
        <v>134790.29974679498</v>
      </c>
    </row>
    <row r="335" spans="1:9" s="34" customFormat="1" x14ac:dyDescent="0.25">
      <c r="A335" s="38">
        <f t="shared" si="36"/>
        <v>318</v>
      </c>
      <c r="B335" s="28">
        <f t="shared" si="37"/>
        <v>50952</v>
      </c>
      <c r="C335" s="29">
        <f t="shared" si="42"/>
        <v>134790.29974679498</v>
      </c>
      <c r="D335" s="29">
        <f t="shared" si="43"/>
        <v>3324.9668424399906</v>
      </c>
      <c r="E335" s="30">
        <f t="shared" si="38"/>
        <v>0</v>
      </c>
      <c r="F335" s="29">
        <f t="shared" si="39"/>
        <v>3324.9668424399906</v>
      </c>
      <c r="G335" s="29">
        <f t="shared" si="40"/>
        <v>2959.9097806257541</v>
      </c>
      <c r="H335" s="29">
        <f t="shared" si="44"/>
        <v>365.05706181423642</v>
      </c>
      <c r="I335" s="29">
        <f t="shared" si="41"/>
        <v>131830.38996616923</v>
      </c>
    </row>
    <row r="336" spans="1:9" s="34" customFormat="1" x14ac:dyDescent="0.25">
      <c r="A336" s="38">
        <f t="shared" si="36"/>
        <v>319</v>
      </c>
      <c r="B336" s="28">
        <f t="shared" si="37"/>
        <v>50983</v>
      </c>
      <c r="C336" s="29">
        <f t="shared" si="42"/>
        <v>131830.38996616923</v>
      </c>
      <c r="D336" s="29">
        <f t="shared" si="43"/>
        <v>3324.9668424399906</v>
      </c>
      <c r="E336" s="30">
        <f t="shared" si="38"/>
        <v>0</v>
      </c>
      <c r="F336" s="29">
        <f t="shared" si="39"/>
        <v>3324.9668424399906</v>
      </c>
      <c r="G336" s="29">
        <f t="shared" si="40"/>
        <v>2967.9262029482825</v>
      </c>
      <c r="H336" s="29">
        <f t="shared" si="44"/>
        <v>357.04063949170836</v>
      </c>
      <c r="I336" s="29">
        <f t="shared" si="41"/>
        <v>128862.46376322095</v>
      </c>
    </row>
    <row r="337" spans="1:9" s="34" customFormat="1" x14ac:dyDescent="0.25">
      <c r="A337" s="38">
        <f t="shared" si="36"/>
        <v>320</v>
      </c>
      <c r="B337" s="28">
        <f t="shared" si="37"/>
        <v>51014</v>
      </c>
      <c r="C337" s="29">
        <f t="shared" si="42"/>
        <v>128862.46376322095</v>
      </c>
      <c r="D337" s="29">
        <f t="shared" si="43"/>
        <v>3324.9668424399906</v>
      </c>
      <c r="E337" s="30">
        <f t="shared" si="38"/>
        <v>0</v>
      </c>
      <c r="F337" s="29">
        <f t="shared" si="39"/>
        <v>3324.9668424399906</v>
      </c>
      <c r="G337" s="29">
        <f t="shared" si="40"/>
        <v>2975.9643364146004</v>
      </c>
      <c r="H337" s="29">
        <f t="shared" si="44"/>
        <v>349.00250602539012</v>
      </c>
      <c r="I337" s="29">
        <f t="shared" si="41"/>
        <v>125886.49942680635</v>
      </c>
    </row>
    <row r="338" spans="1:9" s="34" customFormat="1" x14ac:dyDescent="0.25">
      <c r="A338" s="38">
        <f t="shared" si="36"/>
        <v>321</v>
      </c>
      <c r="B338" s="28">
        <f t="shared" si="37"/>
        <v>51044</v>
      </c>
      <c r="C338" s="29">
        <f t="shared" si="42"/>
        <v>125886.49942680635</v>
      </c>
      <c r="D338" s="29">
        <f t="shared" si="43"/>
        <v>3324.9668424399906</v>
      </c>
      <c r="E338" s="30">
        <f t="shared" si="38"/>
        <v>0</v>
      </c>
      <c r="F338" s="29">
        <f t="shared" si="39"/>
        <v>3324.9668424399906</v>
      </c>
      <c r="G338" s="29">
        <f t="shared" si="40"/>
        <v>2984.0242398257233</v>
      </c>
      <c r="H338" s="29">
        <f t="shared" si="44"/>
        <v>340.94260261426717</v>
      </c>
      <c r="I338" s="29">
        <f t="shared" si="41"/>
        <v>122902.47518698062</v>
      </c>
    </row>
    <row r="339" spans="1:9" s="34" customFormat="1" x14ac:dyDescent="0.25">
      <c r="A339" s="38">
        <f t="shared" ref="A339:A377" si="45">IF(Values_Entered,A338+1,"")</f>
        <v>322</v>
      </c>
      <c r="B339" s="28">
        <f t="shared" ref="B339:B377" si="46">IF(Pay_Num&lt;&gt;"",DATE(YEAR(B338),MONTH(B338)+1,DAY(B338)),"")</f>
        <v>51075</v>
      </c>
      <c r="C339" s="29">
        <f t="shared" si="42"/>
        <v>122902.47518698062</v>
      </c>
      <c r="D339" s="29">
        <f t="shared" si="43"/>
        <v>3324.9668424399906</v>
      </c>
      <c r="E339" s="30">
        <f t="shared" ref="E339:E377" si="47">IF(Pay_Num&lt;&gt;"",Scheduled_Extra_Payments,"")</f>
        <v>0</v>
      </c>
      <c r="F339" s="29">
        <f t="shared" ref="F339:F377" si="48">IF(Pay_Num&lt;&gt;"",Sched_Pay+Extra_Pay,"")</f>
        <v>3324.9668424399906</v>
      </c>
      <c r="G339" s="29">
        <f t="shared" ref="G339:G377" si="49">IF(Pay_Num&lt;&gt;"",Total_Pay-Int,"")</f>
        <v>2992.1059721419178</v>
      </c>
      <c r="H339" s="29">
        <f t="shared" si="44"/>
        <v>332.86087029807254</v>
      </c>
      <c r="I339" s="29">
        <f t="shared" ref="I339:I377" si="50">IF(Pay_Num&lt;&gt;"",Beg_Bal-Princ,"")</f>
        <v>119910.36921483871</v>
      </c>
    </row>
    <row r="340" spans="1:9" s="34" customFormat="1" x14ac:dyDescent="0.25">
      <c r="A340" s="38">
        <f t="shared" si="45"/>
        <v>323</v>
      </c>
      <c r="B340" s="28">
        <f t="shared" si="46"/>
        <v>51105</v>
      </c>
      <c r="C340" s="29">
        <f t="shared" ref="C340:C377" si="51">IF(Pay_Num&lt;&gt;"",I339,"")</f>
        <v>119910.36921483871</v>
      </c>
      <c r="D340" s="29">
        <f t="shared" ref="D340:D377" si="52">IF(Pay_Num&lt;&gt;"",Scheduled_Monthly_Payment,"")</f>
        <v>3324.9668424399906</v>
      </c>
      <c r="E340" s="30">
        <f t="shared" si="47"/>
        <v>0</v>
      </c>
      <c r="F340" s="29">
        <f t="shared" si="48"/>
        <v>3324.9668424399906</v>
      </c>
      <c r="G340" s="29">
        <f t="shared" si="49"/>
        <v>3000.2095924831356</v>
      </c>
      <c r="H340" s="29">
        <f t="shared" ref="H340:H377" si="53">IF(Pay_Num&lt;&gt;"",Beg_Bal*Interest_Rate/12,"")</f>
        <v>324.75724995685482</v>
      </c>
      <c r="I340" s="29">
        <f t="shared" si="50"/>
        <v>116910.15962235557</v>
      </c>
    </row>
    <row r="341" spans="1:9" s="34" customFormat="1" x14ac:dyDescent="0.25">
      <c r="A341" s="38">
        <f t="shared" si="45"/>
        <v>324</v>
      </c>
      <c r="B341" s="28">
        <f t="shared" si="46"/>
        <v>51136</v>
      </c>
      <c r="C341" s="29">
        <f t="shared" si="51"/>
        <v>116910.15962235557</v>
      </c>
      <c r="D341" s="29">
        <f t="shared" si="52"/>
        <v>3324.9668424399906</v>
      </c>
      <c r="E341" s="30">
        <f t="shared" si="47"/>
        <v>0</v>
      </c>
      <c r="F341" s="29">
        <f t="shared" si="48"/>
        <v>3324.9668424399906</v>
      </c>
      <c r="G341" s="29">
        <f t="shared" si="49"/>
        <v>3008.3351601294444</v>
      </c>
      <c r="H341" s="29">
        <f t="shared" si="53"/>
        <v>316.63168231054635</v>
      </c>
      <c r="I341" s="29">
        <f t="shared" si="50"/>
        <v>113901.82446222613</v>
      </c>
    </row>
    <row r="342" spans="1:9" s="34" customFormat="1" x14ac:dyDescent="0.25">
      <c r="A342" s="38">
        <f t="shared" si="45"/>
        <v>325</v>
      </c>
      <c r="B342" s="28">
        <f t="shared" si="46"/>
        <v>51167</v>
      </c>
      <c r="C342" s="29">
        <f t="shared" si="51"/>
        <v>113901.82446222613</v>
      </c>
      <c r="D342" s="29">
        <f t="shared" si="52"/>
        <v>3324.9668424399906</v>
      </c>
      <c r="E342" s="30">
        <f t="shared" si="47"/>
        <v>0</v>
      </c>
      <c r="F342" s="29">
        <f t="shared" si="48"/>
        <v>3324.9668424399906</v>
      </c>
      <c r="G342" s="29">
        <f t="shared" si="49"/>
        <v>3016.4827345214617</v>
      </c>
      <c r="H342" s="29">
        <f t="shared" si="53"/>
        <v>308.48410791852911</v>
      </c>
      <c r="I342" s="29">
        <f t="shared" si="50"/>
        <v>110885.34172770467</v>
      </c>
    </row>
    <row r="343" spans="1:9" s="34" customFormat="1" x14ac:dyDescent="0.25">
      <c r="A343" s="38">
        <f t="shared" si="45"/>
        <v>326</v>
      </c>
      <c r="B343" s="28">
        <f t="shared" si="46"/>
        <v>51196</v>
      </c>
      <c r="C343" s="29">
        <f t="shared" si="51"/>
        <v>110885.34172770467</v>
      </c>
      <c r="D343" s="29">
        <f t="shared" si="52"/>
        <v>3324.9668424399906</v>
      </c>
      <c r="E343" s="30">
        <f t="shared" si="47"/>
        <v>0</v>
      </c>
      <c r="F343" s="29">
        <f t="shared" si="48"/>
        <v>3324.9668424399906</v>
      </c>
      <c r="G343" s="29">
        <f t="shared" si="49"/>
        <v>3024.6523752607904</v>
      </c>
      <c r="H343" s="29">
        <f t="shared" si="53"/>
        <v>300.31446717920016</v>
      </c>
      <c r="I343" s="29">
        <f t="shared" si="50"/>
        <v>107860.68935244388</v>
      </c>
    </row>
    <row r="344" spans="1:9" s="34" customFormat="1" x14ac:dyDescent="0.25">
      <c r="A344" s="38">
        <f t="shared" si="45"/>
        <v>327</v>
      </c>
      <c r="B344" s="28">
        <f t="shared" si="46"/>
        <v>51227</v>
      </c>
      <c r="C344" s="29">
        <f t="shared" si="51"/>
        <v>107860.68935244388</v>
      </c>
      <c r="D344" s="29">
        <f t="shared" si="52"/>
        <v>3324.9668424399906</v>
      </c>
      <c r="E344" s="30">
        <f t="shared" si="47"/>
        <v>0</v>
      </c>
      <c r="F344" s="29">
        <f t="shared" si="48"/>
        <v>3324.9668424399906</v>
      </c>
      <c r="G344" s="29">
        <f t="shared" si="49"/>
        <v>3032.8441421104553</v>
      </c>
      <c r="H344" s="29">
        <f t="shared" si="53"/>
        <v>292.12270032953552</v>
      </c>
      <c r="I344" s="29">
        <f t="shared" si="50"/>
        <v>104827.84521033343</v>
      </c>
    </row>
    <row r="345" spans="1:9" s="34" customFormat="1" x14ac:dyDescent="0.25">
      <c r="A345" s="38">
        <f t="shared" si="45"/>
        <v>328</v>
      </c>
      <c r="B345" s="28">
        <f t="shared" si="46"/>
        <v>51257</v>
      </c>
      <c r="C345" s="29">
        <f t="shared" si="51"/>
        <v>104827.84521033343</v>
      </c>
      <c r="D345" s="29">
        <f t="shared" si="52"/>
        <v>3324.9668424399906</v>
      </c>
      <c r="E345" s="30">
        <f t="shared" si="47"/>
        <v>0</v>
      </c>
      <c r="F345" s="29">
        <f t="shared" si="48"/>
        <v>3324.9668424399906</v>
      </c>
      <c r="G345" s="29">
        <f t="shared" si="49"/>
        <v>3041.0580949953373</v>
      </c>
      <c r="H345" s="29">
        <f t="shared" si="53"/>
        <v>283.90874744465305</v>
      </c>
      <c r="I345" s="29">
        <f t="shared" si="50"/>
        <v>101786.78711533808</v>
      </c>
    </row>
    <row r="346" spans="1:9" s="34" customFormat="1" x14ac:dyDescent="0.25">
      <c r="A346" s="38">
        <f t="shared" si="45"/>
        <v>329</v>
      </c>
      <c r="B346" s="28">
        <f t="shared" si="46"/>
        <v>51288</v>
      </c>
      <c r="C346" s="29">
        <f t="shared" si="51"/>
        <v>101786.78711533808</v>
      </c>
      <c r="D346" s="29">
        <f t="shared" si="52"/>
        <v>3324.9668424399906</v>
      </c>
      <c r="E346" s="30">
        <f t="shared" si="47"/>
        <v>0</v>
      </c>
      <c r="F346" s="29">
        <f t="shared" si="48"/>
        <v>3324.9668424399906</v>
      </c>
      <c r="G346" s="29">
        <f t="shared" si="49"/>
        <v>3049.2942940026164</v>
      </c>
      <c r="H346" s="29">
        <f t="shared" si="53"/>
        <v>275.67254843737402</v>
      </c>
      <c r="I346" s="29">
        <f t="shared" si="50"/>
        <v>98737.492821335472</v>
      </c>
    </row>
    <row r="347" spans="1:9" s="34" customFormat="1" x14ac:dyDescent="0.25">
      <c r="A347" s="38">
        <f t="shared" si="45"/>
        <v>330</v>
      </c>
      <c r="B347" s="28">
        <f t="shared" si="46"/>
        <v>51318</v>
      </c>
      <c r="C347" s="29">
        <f t="shared" si="51"/>
        <v>98737.492821335472</v>
      </c>
      <c r="D347" s="29">
        <f t="shared" si="52"/>
        <v>3324.9668424399906</v>
      </c>
      <c r="E347" s="30">
        <f t="shared" si="47"/>
        <v>0</v>
      </c>
      <c r="F347" s="29">
        <f t="shared" si="48"/>
        <v>3324.9668424399906</v>
      </c>
      <c r="G347" s="29">
        <f t="shared" si="49"/>
        <v>3057.552799382207</v>
      </c>
      <c r="H347" s="29">
        <f t="shared" si="53"/>
        <v>267.41404305778354</v>
      </c>
      <c r="I347" s="29">
        <f t="shared" si="50"/>
        <v>95679.940021953269</v>
      </c>
    </row>
    <row r="348" spans="1:9" s="34" customFormat="1" x14ac:dyDescent="0.25">
      <c r="A348" s="38">
        <f t="shared" si="45"/>
        <v>331</v>
      </c>
      <c r="B348" s="28">
        <f t="shared" si="46"/>
        <v>51349</v>
      </c>
      <c r="C348" s="29">
        <f t="shared" si="51"/>
        <v>95679.940021953269</v>
      </c>
      <c r="D348" s="29">
        <f t="shared" si="52"/>
        <v>3324.9668424399906</v>
      </c>
      <c r="E348" s="30">
        <f t="shared" si="47"/>
        <v>0</v>
      </c>
      <c r="F348" s="29">
        <f t="shared" si="48"/>
        <v>3324.9668424399906</v>
      </c>
      <c r="G348" s="29">
        <f t="shared" si="49"/>
        <v>3065.8336715472005</v>
      </c>
      <c r="H348" s="29">
        <f t="shared" si="53"/>
        <v>259.13317089279013</v>
      </c>
      <c r="I348" s="29">
        <f t="shared" si="50"/>
        <v>92614.106350406073</v>
      </c>
    </row>
    <row r="349" spans="1:9" s="34" customFormat="1" x14ac:dyDescent="0.25">
      <c r="A349" s="38">
        <f t="shared" si="45"/>
        <v>332</v>
      </c>
      <c r="B349" s="28">
        <f t="shared" si="46"/>
        <v>51380</v>
      </c>
      <c r="C349" s="29">
        <f t="shared" si="51"/>
        <v>92614.106350406073</v>
      </c>
      <c r="D349" s="29">
        <f t="shared" si="52"/>
        <v>3324.9668424399906</v>
      </c>
      <c r="E349" s="30">
        <f t="shared" si="47"/>
        <v>0</v>
      </c>
      <c r="F349" s="29">
        <f t="shared" si="48"/>
        <v>3324.9668424399906</v>
      </c>
      <c r="G349" s="29">
        <f t="shared" si="49"/>
        <v>3074.1369710743074</v>
      </c>
      <c r="H349" s="29">
        <f t="shared" si="53"/>
        <v>250.82987136568315</v>
      </c>
      <c r="I349" s="29">
        <f t="shared" si="50"/>
        <v>89539.969379331771</v>
      </c>
    </row>
    <row r="350" spans="1:9" s="34" customFormat="1" x14ac:dyDescent="0.25">
      <c r="A350" s="38">
        <f t="shared" si="45"/>
        <v>333</v>
      </c>
      <c r="B350" s="28">
        <f t="shared" si="46"/>
        <v>51410</v>
      </c>
      <c r="C350" s="29">
        <f t="shared" si="51"/>
        <v>89539.969379331771</v>
      </c>
      <c r="D350" s="29">
        <f t="shared" si="52"/>
        <v>3324.9668424399906</v>
      </c>
      <c r="E350" s="30">
        <f t="shared" si="47"/>
        <v>0</v>
      </c>
      <c r="F350" s="29">
        <f t="shared" si="48"/>
        <v>3324.9668424399906</v>
      </c>
      <c r="G350" s="29">
        <f t="shared" si="49"/>
        <v>3082.4627587043005</v>
      </c>
      <c r="H350" s="29">
        <f t="shared" si="53"/>
        <v>242.50408373569022</v>
      </c>
      <c r="I350" s="29">
        <f t="shared" si="50"/>
        <v>86457.506620627464</v>
      </c>
    </row>
    <row r="351" spans="1:9" s="34" customFormat="1" x14ac:dyDescent="0.25">
      <c r="A351" s="38">
        <f t="shared" si="45"/>
        <v>334</v>
      </c>
      <c r="B351" s="28">
        <f t="shared" si="46"/>
        <v>51441</v>
      </c>
      <c r="C351" s="29">
        <f t="shared" si="51"/>
        <v>86457.506620627464</v>
      </c>
      <c r="D351" s="29">
        <f t="shared" si="52"/>
        <v>3324.9668424399906</v>
      </c>
      <c r="E351" s="30">
        <f t="shared" si="47"/>
        <v>0</v>
      </c>
      <c r="F351" s="29">
        <f t="shared" si="48"/>
        <v>3324.9668424399906</v>
      </c>
      <c r="G351" s="29">
        <f t="shared" si="49"/>
        <v>3090.811095342458</v>
      </c>
      <c r="H351" s="29">
        <f t="shared" si="53"/>
        <v>234.15574709753272</v>
      </c>
      <c r="I351" s="29">
        <f t="shared" si="50"/>
        <v>83366.695525285002</v>
      </c>
    </row>
    <row r="352" spans="1:9" s="34" customFormat="1" x14ac:dyDescent="0.25">
      <c r="A352" s="38">
        <f t="shared" si="45"/>
        <v>335</v>
      </c>
      <c r="B352" s="28">
        <f t="shared" si="46"/>
        <v>51471</v>
      </c>
      <c r="C352" s="29">
        <f t="shared" si="51"/>
        <v>83366.695525285002</v>
      </c>
      <c r="D352" s="29">
        <f t="shared" si="52"/>
        <v>3324.9668424399906</v>
      </c>
      <c r="E352" s="30">
        <f t="shared" si="47"/>
        <v>0</v>
      </c>
      <c r="F352" s="29">
        <f t="shared" si="48"/>
        <v>3324.9668424399906</v>
      </c>
      <c r="G352" s="29">
        <f t="shared" si="49"/>
        <v>3099.1820420590102</v>
      </c>
      <c r="H352" s="29">
        <f t="shared" si="53"/>
        <v>225.78480038098022</v>
      </c>
      <c r="I352" s="29">
        <f t="shared" si="50"/>
        <v>80267.513483225994</v>
      </c>
    </row>
    <row r="353" spans="1:9" s="34" customFormat="1" x14ac:dyDescent="0.25">
      <c r="A353" s="38">
        <f t="shared" si="45"/>
        <v>336</v>
      </c>
      <c r="B353" s="28">
        <f t="shared" si="46"/>
        <v>51502</v>
      </c>
      <c r="C353" s="29">
        <f t="shared" si="51"/>
        <v>80267.513483225994</v>
      </c>
      <c r="D353" s="29">
        <f t="shared" si="52"/>
        <v>3324.9668424399906</v>
      </c>
      <c r="E353" s="30">
        <f t="shared" si="47"/>
        <v>0</v>
      </c>
      <c r="F353" s="29">
        <f t="shared" si="48"/>
        <v>3324.9668424399906</v>
      </c>
      <c r="G353" s="29">
        <f t="shared" si="49"/>
        <v>3107.575660089587</v>
      </c>
      <c r="H353" s="29">
        <f t="shared" si="53"/>
        <v>217.39118235040374</v>
      </c>
      <c r="I353" s="29">
        <f t="shared" si="50"/>
        <v>77159.93782313641</v>
      </c>
    </row>
    <row r="354" spans="1:9" s="34" customFormat="1" x14ac:dyDescent="0.25">
      <c r="A354" s="38">
        <f t="shared" si="45"/>
        <v>337</v>
      </c>
      <c r="B354" s="28">
        <f t="shared" si="46"/>
        <v>51533</v>
      </c>
      <c r="C354" s="29">
        <f t="shared" si="51"/>
        <v>77159.93782313641</v>
      </c>
      <c r="D354" s="29">
        <f t="shared" si="52"/>
        <v>3324.9668424399906</v>
      </c>
      <c r="E354" s="30">
        <f t="shared" si="47"/>
        <v>0</v>
      </c>
      <c r="F354" s="29">
        <f t="shared" si="48"/>
        <v>3324.9668424399906</v>
      </c>
      <c r="G354" s="29">
        <f t="shared" si="49"/>
        <v>3115.9920108356628</v>
      </c>
      <c r="H354" s="29">
        <f t="shared" si="53"/>
        <v>208.97483160432776</v>
      </c>
      <c r="I354" s="29">
        <f t="shared" si="50"/>
        <v>74043.94581230075</v>
      </c>
    </row>
    <row r="355" spans="1:9" s="34" customFormat="1" x14ac:dyDescent="0.25">
      <c r="A355" s="38">
        <f t="shared" si="45"/>
        <v>338</v>
      </c>
      <c r="B355" s="28">
        <f t="shared" si="46"/>
        <v>51561</v>
      </c>
      <c r="C355" s="29">
        <f t="shared" si="51"/>
        <v>74043.94581230075</v>
      </c>
      <c r="D355" s="29">
        <f t="shared" si="52"/>
        <v>3324.9668424399906</v>
      </c>
      <c r="E355" s="30">
        <f t="shared" si="47"/>
        <v>0</v>
      </c>
      <c r="F355" s="29">
        <f t="shared" si="48"/>
        <v>3324.9668424399906</v>
      </c>
      <c r="G355" s="29">
        <f t="shared" si="49"/>
        <v>3124.4311558650093</v>
      </c>
      <c r="H355" s="29">
        <f t="shared" si="53"/>
        <v>200.53568657498121</v>
      </c>
      <c r="I355" s="29">
        <f t="shared" si="50"/>
        <v>70919.514656435742</v>
      </c>
    </row>
    <row r="356" spans="1:9" s="34" customFormat="1" x14ac:dyDescent="0.25">
      <c r="A356" s="38">
        <f t="shared" si="45"/>
        <v>339</v>
      </c>
      <c r="B356" s="28">
        <f t="shared" si="46"/>
        <v>51592</v>
      </c>
      <c r="C356" s="29">
        <f t="shared" si="51"/>
        <v>70919.514656435742</v>
      </c>
      <c r="D356" s="29">
        <f t="shared" si="52"/>
        <v>3324.9668424399906</v>
      </c>
      <c r="E356" s="30">
        <f t="shared" si="47"/>
        <v>0</v>
      </c>
      <c r="F356" s="29">
        <f t="shared" si="48"/>
        <v>3324.9668424399906</v>
      </c>
      <c r="G356" s="29">
        <f t="shared" si="49"/>
        <v>3132.8931569121437</v>
      </c>
      <c r="H356" s="29">
        <f t="shared" si="53"/>
        <v>192.07368552784681</v>
      </c>
      <c r="I356" s="29">
        <f t="shared" si="50"/>
        <v>67786.621499523593</v>
      </c>
    </row>
    <row r="357" spans="1:9" s="34" customFormat="1" x14ac:dyDescent="0.25">
      <c r="A357" s="38">
        <f t="shared" si="45"/>
        <v>340</v>
      </c>
      <c r="B357" s="28">
        <f t="shared" si="46"/>
        <v>51622</v>
      </c>
      <c r="C357" s="29">
        <f t="shared" si="51"/>
        <v>67786.621499523593</v>
      </c>
      <c r="D357" s="29">
        <f t="shared" si="52"/>
        <v>3324.9668424399906</v>
      </c>
      <c r="E357" s="30">
        <f t="shared" si="47"/>
        <v>0</v>
      </c>
      <c r="F357" s="29">
        <f t="shared" si="48"/>
        <v>3324.9668424399906</v>
      </c>
      <c r="G357" s="29">
        <f t="shared" si="49"/>
        <v>3141.3780758787807</v>
      </c>
      <c r="H357" s="29">
        <f t="shared" si="53"/>
        <v>183.58876656120972</v>
      </c>
      <c r="I357" s="29">
        <f t="shared" si="50"/>
        <v>64645.24342364481</v>
      </c>
    </row>
    <row r="358" spans="1:9" s="34" customFormat="1" x14ac:dyDescent="0.25">
      <c r="A358" s="38">
        <f t="shared" si="45"/>
        <v>341</v>
      </c>
      <c r="B358" s="28">
        <f t="shared" si="46"/>
        <v>51653</v>
      </c>
      <c r="C358" s="29">
        <f t="shared" si="51"/>
        <v>64645.24342364481</v>
      </c>
      <c r="D358" s="29">
        <f t="shared" si="52"/>
        <v>3324.9668424399906</v>
      </c>
      <c r="E358" s="30">
        <f t="shared" si="47"/>
        <v>0</v>
      </c>
      <c r="F358" s="29">
        <f t="shared" si="48"/>
        <v>3324.9668424399906</v>
      </c>
      <c r="G358" s="29">
        <f t="shared" si="49"/>
        <v>3149.8859748342861</v>
      </c>
      <c r="H358" s="29">
        <f t="shared" si="53"/>
        <v>175.0808676057047</v>
      </c>
      <c r="I358" s="29">
        <f t="shared" si="50"/>
        <v>61495.357448810522</v>
      </c>
    </row>
    <row r="359" spans="1:9" s="34" customFormat="1" x14ac:dyDescent="0.25">
      <c r="A359" s="38">
        <f t="shared" si="45"/>
        <v>342</v>
      </c>
      <c r="B359" s="28">
        <f t="shared" si="46"/>
        <v>51683</v>
      </c>
      <c r="C359" s="29">
        <f t="shared" si="51"/>
        <v>61495.357448810522</v>
      </c>
      <c r="D359" s="29">
        <f t="shared" si="52"/>
        <v>3324.9668424399906</v>
      </c>
      <c r="E359" s="30">
        <f t="shared" si="47"/>
        <v>0</v>
      </c>
      <c r="F359" s="29">
        <f t="shared" si="48"/>
        <v>3324.9668424399906</v>
      </c>
      <c r="G359" s="29">
        <f t="shared" si="49"/>
        <v>3158.4169160161287</v>
      </c>
      <c r="H359" s="29">
        <f t="shared" si="53"/>
        <v>166.54992642386182</v>
      </c>
      <c r="I359" s="29">
        <f t="shared" si="50"/>
        <v>58336.940532794397</v>
      </c>
    </row>
    <row r="360" spans="1:9" s="34" customFormat="1" x14ac:dyDescent="0.25">
      <c r="A360" s="38">
        <f t="shared" si="45"/>
        <v>343</v>
      </c>
      <c r="B360" s="28">
        <f t="shared" si="46"/>
        <v>51714</v>
      </c>
      <c r="C360" s="29">
        <f t="shared" si="51"/>
        <v>58336.940532794397</v>
      </c>
      <c r="D360" s="29">
        <f t="shared" si="52"/>
        <v>3324.9668424399906</v>
      </c>
      <c r="E360" s="30">
        <f t="shared" si="47"/>
        <v>0</v>
      </c>
      <c r="F360" s="29">
        <f t="shared" si="48"/>
        <v>3324.9668424399906</v>
      </c>
      <c r="G360" s="29">
        <f t="shared" si="49"/>
        <v>3166.9709618303391</v>
      </c>
      <c r="H360" s="29">
        <f t="shared" si="53"/>
        <v>157.99588060965149</v>
      </c>
      <c r="I360" s="29">
        <f t="shared" si="50"/>
        <v>55169.969570964058</v>
      </c>
    </row>
    <row r="361" spans="1:9" s="34" customFormat="1" x14ac:dyDescent="0.25">
      <c r="A361" s="38">
        <f t="shared" si="45"/>
        <v>344</v>
      </c>
      <c r="B361" s="28">
        <f t="shared" si="46"/>
        <v>51745</v>
      </c>
      <c r="C361" s="29">
        <f t="shared" si="51"/>
        <v>55169.969570964058</v>
      </c>
      <c r="D361" s="29">
        <f t="shared" si="52"/>
        <v>3324.9668424399906</v>
      </c>
      <c r="E361" s="30">
        <f t="shared" si="47"/>
        <v>0</v>
      </c>
      <c r="F361" s="29">
        <f t="shared" si="48"/>
        <v>3324.9668424399906</v>
      </c>
      <c r="G361" s="29">
        <f t="shared" si="49"/>
        <v>3175.5481748519628</v>
      </c>
      <c r="H361" s="29">
        <f t="shared" si="53"/>
        <v>149.41866758802766</v>
      </c>
      <c r="I361" s="29">
        <f t="shared" si="50"/>
        <v>51994.421396112099</v>
      </c>
    </row>
    <row r="362" spans="1:9" s="34" customFormat="1" x14ac:dyDescent="0.25">
      <c r="A362" s="38">
        <f t="shared" si="45"/>
        <v>345</v>
      </c>
      <c r="B362" s="28">
        <f t="shared" si="46"/>
        <v>51775</v>
      </c>
      <c r="C362" s="29">
        <f t="shared" si="51"/>
        <v>51994.421396112099</v>
      </c>
      <c r="D362" s="29">
        <f t="shared" si="52"/>
        <v>3324.9668424399906</v>
      </c>
      <c r="E362" s="30">
        <f t="shared" si="47"/>
        <v>0</v>
      </c>
      <c r="F362" s="29">
        <f t="shared" si="48"/>
        <v>3324.9668424399906</v>
      </c>
      <c r="G362" s="29">
        <f t="shared" si="49"/>
        <v>3184.1486178255204</v>
      </c>
      <c r="H362" s="29">
        <f t="shared" si="53"/>
        <v>140.81822461447027</v>
      </c>
      <c r="I362" s="29">
        <f t="shared" si="50"/>
        <v>48810.272778286577</v>
      </c>
    </row>
    <row r="363" spans="1:9" s="34" customFormat="1" x14ac:dyDescent="0.25">
      <c r="A363" s="38">
        <f t="shared" si="45"/>
        <v>346</v>
      </c>
      <c r="B363" s="28">
        <f t="shared" si="46"/>
        <v>51806</v>
      </c>
      <c r="C363" s="29">
        <f t="shared" si="51"/>
        <v>48810.272778286577</v>
      </c>
      <c r="D363" s="29">
        <f t="shared" si="52"/>
        <v>3324.9668424399906</v>
      </c>
      <c r="E363" s="30">
        <f t="shared" si="47"/>
        <v>0</v>
      </c>
      <c r="F363" s="29">
        <f t="shared" si="48"/>
        <v>3324.9668424399906</v>
      </c>
      <c r="G363" s="29">
        <f t="shared" si="49"/>
        <v>3192.7723536654644</v>
      </c>
      <c r="H363" s="29">
        <f t="shared" si="53"/>
        <v>132.19448877452615</v>
      </c>
      <c r="I363" s="29">
        <f t="shared" si="50"/>
        <v>45617.50042462111</v>
      </c>
    </row>
    <row r="364" spans="1:9" s="34" customFormat="1" x14ac:dyDescent="0.25">
      <c r="A364" s="38">
        <f t="shared" si="45"/>
        <v>347</v>
      </c>
      <c r="B364" s="28">
        <f t="shared" si="46"/>
        <v>51836</v>
      </c>
      <c r="C364" s="29">
        <f t="shared" si="51"/>
        <v>45617.50042462111</v>
      </c>
      <c r="D364" s="29">
        <f t="shared" si="52"/>
        <v>3324.9668424399906</v>
      </c>
      <c r="E364" s="30">
        <f t="shared" si="47"/>
        <v>0</v>
      </c>
      <c r="F364" s="29">
        <f t="shared" si="48"/>
        <v>3324.9668424399906</v>
      </c>
      <c r="G364" s="29">
        <f t="shared" si="49"/>
        <v>3201.4194454566418</v>
      </c>
      <c r="H364" s="29">
        <f t="shared" si="53"/>
        <v>123.54739698334885</v>
      </c>
      <c r="I364" s="29">
        <f t="shared" si="50"/>
        <v>42416.080979164472</v>
      </c>
    </row>
    <row r="365" spans="1:9" s="34" customFormat="1" x14ac:dyDescent="0.25">
      <c r="A365" s="38">
        <f t="shared" si="45"/>
        <v>348</v>
      </c>
      <c r="B365" s="28">
        <f t="shared" si="46"/>
        <v>51867</v>
      </c>
      <c r="C365" s="29">
        <f t="shared" si="51"/>
        <v>42416.080979164472</v>
      </c>
      <c r="D365" s="29">
        <f t="shared" si="52"/>
        <v>3324.9668424399906</v>
      </c>
      <c r="E365" s="30">
        <f t="shared" si="47"/>
        <v>0</v>
      </c>
      <c r="F365" s="29">
        <f t="shared" si="48"/>
        <v>3324.9668424399906</v>
      </c>
      <c r="G365" s="29">
        <f t="shared" si="49"/>
        <v>3210.0899564547535</v>
      </c>
      <c r="H365" s="29">
        <f t="shared" si="53"/>
        <v>114.87688598523711</v>
      </c>
      <c r="I365" s="29">
        <f t="shared" si="50"/>
        <v>39205.991022709721</v>
      </c>
    </row>
    <row r="366" spans="1:9" s="34" customFormat="1" x14ac:dyDescent="0.25">
      <c r="A366" s="38">
        <f t="shared" si="45"/>
        <v>349</v>
      </c>
      <c r="B366" s="28">
        <f t="shared" si="46"/>
        <v>51898</v>
      </c>
      <c r="C366" s="29">
        <f t="shared" si="51"/>
        <v>39205.991022709721</v>
      </c>
      <c r="D366" s="29">
        <f t="shared" si="52"/>
        <v>3324.9668424399906</v>
      </c>
      <c r="E366" s="30">
        <f t="shared" si="47"/>
        <v>0</v>
      </c>
      <c r="F366" s="29">
        <f t="shared" si="48"/>
        <v>3324.9668424399906</v>
      </c>
      <c r="G366" s="29">
        <f t="shared" si="49"/>
        <v>3218.7839500868185</v>
      </c>
      <c r="H366" s="29">
        <f t="shared" si="53"/>
        <v>106.18289235317216</v>
      </c>
      <c r="I366" s="29">
        <f t="shared" si="50"/>
        <v>35987.207072622899</v>
      </c>
    </row>
    <row r="367" spans="1:9" s="34" customFormat="1" x14ac:dyDescent="0.25">
      <c r="A367" s="38">
        <f t="shared" si="45"/>
        <v>350</v>
      </c>
      <c r="B367" s="28">
        <f t="shared" si="46"/>
        <v>51926</v>
      </c>
      <c r="C367" s="29">
        <f t="shared" si="51"/>
        <v>35987.207072622899</v>
      </c>
      <c r="D367" s="29">
        <f t="shared" si="52"/>
        <v>3324.9668424399906</v>
      </c>
      <c r="E367" s="30">
        <f t="shared" si="47"/>
        <v>0</v>
      </c>
      <c r="F367" s="29">
        <f t="shared" si="48"/>
        <v>3324.9668424399906</v>
      </c>
      <c r="G367" s="29">
        <f t="shared" si="49"/>
        <v>3227.5014899516368</v>
      </c>
      <c r="H367" s="29">
        <f t="shared" si="53"/>
        <v>97.465352488353687</v>
      </c>
      <c r="I367" s="29">
        <f t="shared" si="50"/>
        <v>32759.705582671264</v>
      </c>
    </row>
    <row r="368" spans="1:9" s="34" customFormat="1" x14ac:dyDescent="0.25">
      <c r="A368" s="38">
        <f t="shared" si="45"/>
        <v>351</v>
      </c>
      <c r="B368" s="28">
        <f t="shared" si="46"/>
        <v>51957</v>
      </c>
      <c r="C368" s="29">
        <f t="shared" si="51"/>
        <v>32759.705582671264</v>
      </c>
      <c r="D368" s="29">
        <f t="shared" si="52"/>
        <v>3324.9668424399906</v>
      </c>
      <c r="E368" s="30">
        <f t="shared" si="47"/>
        <v>0</v>
      </c>
      <c r="F368" s="29">
        <f t="shared" si="48"/>
        <v>3324.9668424399906</v>
      </c>
      <c r="G368" s="29">
        <f t="shared" si="49"/>
        <v>3236.242639820256</v>
      </c>
      <c r="H368" s="29">
        <f t="shared" si="53"/>
        <v>88.724202619734683</v>
      </c>
      <c r="I368" s="29">
        <f t="shared" si="50"/>
        <v>29523.462942851009</v>
      </c>
    </row>
    <row r="369" spans="1:9" s="34" customFormat="1" x14ac:dyDescent="0.25">
      <c r="A369" s="38">
        <f t="shared" si="45"/>
        <v>352</v>
      </c>
      <c r="B369" s="28">
        <f t="shared" si="46"/>
        <v>51987</v>
      </c>
      <c r="C369" s="29">
        <f t="shared" si="51"/>
        <v>29523.462942851009</v>
      </c>
      <c r="D369" s="29">
        <f t="shared" si="52"/>
        <v>3324.9668424399906</v>
      </c>
      <c r="E369" s="30">
        <f t="shared" si="47"/>
        <v>0</v>
      </c>
      <c r="F369" s="29">
        <f t="shared" si="48"/>
        <v>3324.9668424399906</v>
      </c>
      <c r="G369" s="29">
        <f t="shared" si="49"/>
        <v>3245.0074636364357</v>
      </c>
      <c r="H369" s="29">
        <f t="shared" si="53"/>
        <v>79.959378803554827</v>
      </c>
      <c r="I369" s="29">
        <f t="shared" si="50"/>
        <v>26278.455479214572</v>
      </c>
    </row>
    <row r="370" spans="1:9" s="34" customFormat="1" x14ac:dyDescent="0.25">
      <c r="A370" s="38">
        <f t="shared" si="45"/>
        <v>353</v>
      </c>
      <c r="B370" s="28">
        <f t="shared" si="46"/>
        <v>52018</v>
      </c>
      <c r="C370" s="29">
        <f t="shared" si="51"/>
        <v>26278.455479214572</v>
      </c>
      <c r="D370" s="29">
        <f t="shared" si="52"/>
        <v>3324.9668424399906</v>
      </c>
      <c r="E370" s="30">
        <f t="shared" si="47"/>
        <v>0</v>
      </c>
      <c r="F370" s="29">
        <f t="shared" si="48"/>
        <v>3324.9668424399906</v>
      </c>
      <c r="G370" s="29">
        <f t="shared" si="49"/>
        <v>3253.7960255171179</v>
      </c>
      <c r="H370" s="29">
        <f t="shared" si="53"/>
        <v>71.170816922872802</v>
      </c>
      <c r="I370" s="29">
        <f t="shared" si="50"/>
        <v>23024.659453697455</v>
      </c>
    </row>
    <row r="371" spans="1:9" s="34" customFormat="1" x14ac:dyDescent="0.25">
      <c r="A371" s="38">
        <f t="shared" si="45"/>
        <v>354</v>
      </c>
      <c r="B371" s="28">
        <f t="shared" si="46"/>
        <v>52048</v>
      </c>
      <c r="C371" s="29">
        <f t="shared" si="51"/>
        <v>23024.659453697455</v>
      </c>
      <c r="D371" s="29">
        <f t="shared" si="52"/>
        <v>3324.9668424399906</v>
      </c>
      <c r="E371" s="30">
        <f t="shared" si="47"/>
        <v>0</v>
      </c>
      <c r="F371" s="29">
        <f t="shared" si="48"/>
        <v>3324.9668424399906</v>
      </c>
      <c r="G371" s="29">
        <f t="shared" si="49"/>
        <v>3262.6083897528933</v>
      </c>
      <c r="H371" s="29">
        <f t="shared" si="53"/>
        <v>62.358452687097277</v>
      </c>
      <c r="I371" s="29">
        <f t="shared" si="50"/>
        <v>19762.051063944564</v>
      </c>
    </row>
    <row r="372" spans="1:9" s="34" customFormat="1" x14ac:dyDescent="0.25">
      <c r="A372" s="38">
        <f t="shared" si="45"/>
        <v>355</v>
      </c>
      <c r="B372" s="28">
        <f t="shared" si="46"/>
        <v>52079</v>
      </c>
      <c r="C372" s="29">
        <f t="shared" si="51"/>
        <v>19762.051063944564</v>
      </c>
      <c r="D372" s="29">
        <f t="shared" si="52"/>
        <v>3324.9668424399906</v>
      </c>
      <c r="E372" s="30">
        <f t="shared" si="47"/>
        <v>0</v>
      </c>
      <c r="F372" s="29">
        <f t="shared" si="48"/>
        <v>3324.9668424399906</v>
      </c>
      <c r="G372" s="29">
        <f t="shared" si="49"/>
        <v>3271.4446208084742</v>
      </c>
      <c r="H372" s="29">
        <f t="shared" si="53"/>
        <v>53.522221631516523</v>
      </c>
      <c r="I372" s="29">
        <f t="shared" si="50"/>
        <v>16490.60644313609</v>
      </c>
    </row>
    <row r="373" spans="1:9" s="34" customFormat="1" x14ac:dyDescent="0.25">
      <c r="A373" s="38">
        <f t="shared" si="45"/>
        <v>356</v>
      </c>
      <c r="B373" s="28">
        <f t="shared" si="46"/>
        <v>52110</v>
      </c>
      <c r="C373" s="29">
        <f t="shared" si="51"/>
        <v>16490.60644313609</v>
      </c>
      <c r="D373" s="29">
        <f t="shared" si="52"/>
        <v>3324.9668424399906</v>
      </c>
      <c r="E373" s="30">
        <f t="shared" si="47"/>
        <v>0</v>
      </c>
      <c r="F373" s="29">
        <f t="shared" si="48"/>
        <v>3324.9668424399906</v>
      </c>
      <c r="G373" s="29">
        <f t="shared" si="49"/>
        <v>3280.3047833231635</v>
      </c>
      <c r="H373" s="29">
        <f t="shared" si="53"/>
        <v>44.662059116826917</v>
      </c>
      <c r="I373" s="29">
        <f t="shared" si="50"/>
        <v>13210.301659812927</v>
      </c>
    </row>
    <row r="374" spans="1:9" s="34" customFormat="1" x14ac:dyDescent="0.25">
      <c r="A374" s="38">
        <f t="shared" si="45"/>
        <v>357</v>
      </c>
      <c r="B374" s="28">
        <f t="shared" si="46"/>
        <v>52140</v>
      </c>
      <c r="C374" s="29">
        <f t="shared" si="51"/>
        <v>13210.301659812927</v>
      </c>
      <c r="D374" s="29">
        <f t="shared" si="52"/>
        <v>3324.9668424399906</v>
      </c>
      <c r="E374" s="30">
        <f t="shared" si="47"/>
        <v>0</v>
      </c>
      <c r="F374" s="29">
        <f t="shared" si="48"/>
        <v>3324.9668424399906</v>
      </c>
      <c r="G374" s="29">
        <f t="shared" si="49"/>
        <v>3289.1889421113306</v>
      </c>
      <c r="H374" s="29">
        <f t="shared" si="53"/>
        <v>35.77790032866001</v>
      </c>
      <c r="I374" s="29">
        <f t="shared" si="50"/>
        <v>9921.1127177015969</v>
      </c>
    </row>
    <row r="375" spans="1:9" s="34" customFormat="1" x14ac:dyDescent="0.25">
      <c r="A375" s="38">
        <f t="shared" si="45"/>
        <v>358</v>
      </c>
      <c r="B375" s="28">
        <f t="shared" si="46"/>
        <v>52171</v>
      </c>
      <c r="C375" s="29">
        <f t="shared" si="51"/>
        <v>9921.1127177015969</v>
      </c>
      <c r="D375" s="29">
        <f t="shared" si="52"/>
        <v>3324.9668424399906</v>
      </c>
      <c r="E375" s="30">
        <f t="shared" si="47"/>
        <v>0</v>
      </c>
      <c r="F375" s="29">
        <f t="shared" si="48"/>
        <v>3324.9668424399906</v>
      </c>
      <c r="G375" s="29">
        <f t="shared" si="49"/>
        <v>3298.0971621628823</v>
      </c>
      <c r="H375" s="29">
        <f t="shared" si="53"/>
        <v>26.86968027710849</v>
      </c>
      <c r="I375" s="29">
        <f t="shared" si="50"/>
        <v>6623.0155555387146</v>
      </c>
    </row>
    <row r="376" spans="1:9" s="34" customFormat="1" x14ac:dyDescent="0.25">
      <c r="A376" s="38">
        <f t="shared" si="45"/>
        <v>359</v>
      </c>
      <c r="B376" s="28">
        <f t="shared" si="46"/>
        <v>52201</v>
      </c>
      <c r="C376" s="29">
        <f t="shared" si="51"/>
        <v>6623.0155555387146</v>
      </c>
      <c r="D376" s="29">
        <f t="shared" si="52"/>
        <v>3324.9668424399906</v>
      </c>
      <c r="E376" s="30">
        <f t="shared" si="47"/>
        <v>0</v>
      </c>
      <c r="F376" s="29">
        <f t="shared" si="48"/>
        <v>3324.9668424399906</v>
      </c>
      <c r="G376" s="29">
        <f t="shared" si="49"/>
        <v>3307.02950864374</v>
      </c>
      <c r="H376" s="29">
        <f t="shared" si="53"/>
        <v>17.937333796250687</v>
      </c>
      <c r="I376" s="29">
        <f t="shared" si="50"/>
        <v>3315.9860468949746</v>
      </c>
    </row>
    <row r="377" spans="1:9" s="34" customFormat="1" x14ac:dyDescent="0.25">
      <c r="A377" s="38">
        <f t="shared" si="45"/>
        <v>360</v>
      </c>
      <c r="B377" s="28">
        <f t="shared" si="46"/>
        <v>52232</v>
      </c>
      <c r="C377" s="29">
        <f t="shared" si="51"/>
        <v>3315.9860468949746</v>
      </c>
      <c r="D377" s="29">
        <f t="shared" si="52"/>
        <v>3324.9668424399906</v>
      </c>
      <c r="E377" s="30">
        <f t="shared" si="47"/>
        <v>0</v>
      </c>
      <c r="F377" s="29">
        <f t="shared" si="48"/>
        <v>3324.9668424399906</v>
      </c>
      <c r="G377" s="29">
        <f t="shared" si="49"/>
        <v>3315.9860468963166</v>
      </c>
      <c r="H377" s="29">
        <f t="shared" si="53"/>
        <v>8.9807955436738904</v>
      </c>
      <c r="I377" s="29">
        <f t="shared" si="50"/>
        <v>-1.3419594324659556E-9</v>
      </c>
    </row>
    <row r="378" spans="1:9" s="34" customFormat="1" x14ac:dyDescent="0.25">
      <c r="A378" s="39"/>
      <c r="B378" s="39"/>
      <c r="C378" s="39"/>
      <c r="D378" s="39"/>
      <c r="E378" s="39"/>
      <c r="F378" s="39"/>
      <c r="G378" s="39"/>
      <c r="H378" s="39"/>
      <c r="I378" s="39"/>
    </row>
    <row r="379" spans="1:9" s="34" customFormat="1" x14ac:dyDescent="0.25">
      <c r="A379" s="40"/>
      <c r="B379" s="40"/>
      <c r="C379" s="40"/>
      <c r="D379" s="40"/>
      <c r="E379" s="40"/>
      <c r="F379" s="40"/>
      <c r="G379" s="40"/>
      <c r="H379" s="40"/>
      <c r="I379" s="40"/>
    </row>
    <row r="380" spans="1:9" s="34" customFormat="1" x14ac:dyDescent="0.25"/>
    <row r="381" spans="1:9" s="34" customFormat="1" x14ac:dyDescent="0.25"/>
    <row r="382" spans="1:9" s="34" customFormat="1" x14ac:dyDescent="0.25"/>
    <row r="383" spans="1:9" s="34" customFormat="1" x14ac:dyDescent="0.25"/>
    <row r="384" spans="1:9" s="34" customFormat="1" x14ac:dyDescent="0.25"/>
    <row r="385" spans="1:9" s="34" customFormat="1" x14ac:dyDescent="0.25"/>
    <row r="386" spans="1:9" s="34" customFormat="1" x14ac:dyDescent="0.25"/>
    <row r="387" spans="1:9" s="34" customFormat="1" x14ac:dyDescent="0.25"/>
    <row r="388" spans="1:9" s="34" customFormat="1" x14ac:dyDescent="0.25"/>
    <row r="389" spans="1:9" s="34" customFormat="1" x14ac:dyDescent="0.25"/>
    <row r="390" spans="1:9" s="34" customFormat="1" x14ac:dyDescent="0.25">
      <c r="A390" s="40"/>
      <c r="B390" s="40"/>
      <c r="C390" s="40"/>
      <c r="D390" s="40"/>
      <c r="E390" s="40"/>
      <c r="F390" s="40"/>
      <c r="G390" s="40"/>
      <c r="H390" s="40"/>
      <c r="I390" s="40"/>
    </row>
    <row r="391" spans="1:9" s="34" customFormat="1" x14ac:dyDescent="0.25">
      <c r="A391" s="40"/>
      <c r="B391" s="40"/>
      <c r="C391" s="40"/>
      <c r="D391" s="40"/>
      <c r="E391" s="40"/>
      <c r="F391" s="40"/>
      <c r="G391" s="40"/>
      <c r="H391" s="40"/>
      <c r="I391" s="40"/>
    </row>
    <row r="392" spans="1:9" s="34" customFormat="1" x14ac:dyDescent="0.25">
      <c r="A392" s="40"/>
      <c r="B392" s="40"/>
      <c r="C392" s="40"/>
      <c r="D392" s="40"/>
      <c r="E392" s="40"/>
      <c r="F392" s="40"/>
      <c r="G392" s="40"/>
      <c r="H392" s="40"/>
      <c r="I392" s="40"/>
    </row>
    <row r="393" spans="1:9" s="34" customFormat="1" x14ac:dyDescent="0.25">
      <c r="A393" s="40"/>
      <c r="B393" s="40"/>
      <c r="C393" s="40"/>
      <c r="D393" s="40"/>
      <c r="E393" s="40"/>
      <c r="F393" s="40"/>
      <c r="G393" s="40"/>
      <c r="H393" s="40"/>
      <c r="I393" s="40"/>
    </row>
    <row r="394" spans="1:9" s="34" customFormat="1" x14ac:dyDescent="0.25">
      <c r="A394" s="40"/>
      <c r="B394" s="40"/>
      <c r="C394" s="40"/>
      <c r="D394" s="40"/>
      <c r="E394" s="40"/>
      <c r="F394" s="40"/>
      <c r="G394" s="40"/>
      <c r="H394" s="40"/>
      <c r="I394" s="40"/>
    </row>
    <row r="395" spans="1:9" s="34" customFormat="1" x14ac:dyDescent="0.25">
      <c r="A395" s="40"/>
      <c r="B395" s="40"/>
      <c r="C395" s="40"/>
      <c r="D395" s="40"/>
      <c r="E395" s="40"/>
      <c r="F395" s="40"/>
      <c r="G395" s="40"/>
      <c r="H395" s="40"/>
      <c r="I395" s="40"/>
    </row>
    <row r="396" spans="1:9" s="34" customFormat="1" x14ac:dyDescent="0.25">
      <c r="A396" s="40"/>
      <c r="B396" s="40"/>
      <c r="C396" s="40"/>
      <c r="D396" s="40"/>
      <c r="E396" s="40"/>
      <c r="F396" s="40"/>
      <c r="G396" s="40"/>
      <c r="H396" s="40"/>
      <c r="I396" s="40"/>
    </row>
    <row r="397" spans="1:9" s="34" customFormat="1" x14ac:dyDescent="0.25">
      <c r="A397" s="40"/>
      <c r="B397" s="40"/>
      <c r="C397" s="40"/>
      <c r="D397" s="40"/>
      <c r="E397" s="40"/>
      <c r="F397" s="40"/>
      <c r="G397" s="40"/>
      <c r="H397" s="40"/>
      <c r="I397" s="40"/>
    </row>
    <row r="398" spans="1:9" s="34" customFormat="1" x14ac:dyDescent="0.25">
      <c r="A398" s="40"/>
      <c r="B398" s="40"/>
      <c r="C398" s="40"/>
      <c r="D398" s="40"/>
      <c r="E398" s="40"/>
      <c r="F398" s="40"/>
      <c r="G398" s="40"/>
      <c r="H398" s="40"/>
      <c r="I398" s="40"/>
    </row>
    <row r="399" spans="1:9" s="34" customFormat="1" x14ac:dyDescent="0.25">
      <c r="A399" s="40"/>
      <c r="B399" s="40"/>
      <c r="C399" s="40"/>
      <c r="D399" s="40"/>
      <c r="E399" s="40"/>
      <c r="F399" s="40"/>
      <c r="G399" s="40"/>
      <c r="H399" s="40"/>
      <c r="I399" s="40"/>
    </row>
    <row r="400" spans="1:9" s="34" customFormat="1" x14ac:dyDescent="0.25">
      <c r="A400" s="40"/>
      <c r="B400" s="40"/>
      <c r="C400" s="40"/>
      <c r="D400" s="40"/>
      <c r="E400" s="40"/>
      <c r="F400" s="40"/>
      <c r="G400" s="40"/>
      <c r="H400" s="40"/>
      <c r="I400" s="40"/>
    </row>
    <row r="401" spans="1:9" s="34" customFormat="1" x14ac:dyDescent="0.25">
      <c r="A401" s="40"/>
      <c r="B401" s="40"/>
      <c r="C401" s="40"/>
      <c r="D401" s="40"/>
      <c r="E401" s="40"/>
      <c r="F401" s="40"/>
      <c r="G401" s="40"/>
      <c r="H401" s="40"/>
      <c r="I401" s="40"/>
    </row>
    <row r="402" spans="1:9" s="34" customFormat="1" x14ac:dyDescent="0.25">
      <c r="A402" s="40"/>
      <c r="B402" s="40"/>
      <c r="C402" s="40"/>
      <c r="D402" s="40"/>
      <c r="E402" s="40"/>
      <c r="F402" s="40"/>
      <c r="G402" s="40"/>
      <c r="H402" s="40"/>
      <c r="I402" s="40"/>
    </row>
    <row r="403" spans="1:9" s="34" customFormat="1" x14ac:dyDescent="0.25">
      <c r="A403" s="40"/>
      <c r="B403" s="40"/>
      <c r="C403" s="40"/>
      <c r="D403" s="40"/>
      <c r="E403" s="40"/>
      <c r="F403" s="40"/>
      <c r="G403" s="40"/>
      <c r="H403" s="40"/>
      <c r="I403" s="40"/>
    </row>
    <row r="404" spans="1:9" s="34" customFormat="1" x14ac:dyDescent="0.25">
      <c r="A404" s="40"/>
      <c r="B404" s="40"/>
      <c r="C404" s="40"/>
      <c r="D404" s="40"/>
      <c r="E404" s="40"/>
      <c r="F404" s="40"/>
      <c r="G404" s="40"/>
      <c r="H404" s="40"/>
      <c r="I404" s="40"/>
    </row>
    <row r="405" spans="1:9" s="34" customFormat="1" x14ac:dyDescent="0.25">
      <c r="A405" s="40"/>
      <c r="B405" s="40"/>
      <c r="C405" s="40"/>
      <c r="D405" s="40"/>
      <c r="E405" s="40"/>
      <c r="F405" s="40"/>
      <c r="G405" s="40"/>
      <c r="H405" s="40"/>
      <c r="I405" s="40"/>
    </row>
    <row r="406" spans="1:9" s="34" customFormat="1" x14ac:dyDescent="0.25">
      <c r="A406" s="40"/>
      <c r="B406" s="40"/>
      <c r="C406" s="40"/>
      <c r="D406" s="40"/>
      <c r="E406" s="40"/>
      <c r="F406" s="40"/>
      <c r="G406" s="40"/>
      <c r="H406" s="40"/>
      <c r="I406" s="40"/>
    </row>
    <row r="407" spans="1:9" s="34" customFormat="1" x14ac:dyDescent="0.25">
      <c r="A407" s="40"/>
      <c r="B407" s="40"/>
      <c r="C407" s="40"/>
      <c r="D407" s="40"/>
      <c r="E407" s="40"/>
      <c r="F407" s="40"/>
      <c r="G407" s="40"/>
      <c r="H407" s="40"/>
      <c r="I407" s="40"/>
    </row>
    <row r="408" spans="1:9" s="34" customFormat="1" x14ac:dyDescent="0.25">
      <c r="A408" s="40"/>
      <c r="B408" s="40"/>
      <c r="C408" s="40"/>
      <c r="D408" s="40"/>
      <c r="E408" s="40"/>
      <c r="F408" s="40"/>
      <c r="G408" s="40"/>
      <c r="H408" s="40"/>
      <c r="I408" s="40"/>
    </row>
    <row r="409" spans="1:9" s="34" customFormat="1" x14ac:dyDescent="0.25">
      <c r="A409" s="40"/>
      <c r="B409" s="40"/>
      <c r="C409" s="40"/>
      <c r="D409" s="40"/>
      <c r="E409" s="40"/>
      <c r="F409" s="40"/>
      <c r="G409" s="40"/>
      <c r="H409" s="40"/>
      <c r="I409" s="40"/>
    </row>
    <row r="410" spans="1:9" s="34" customFormat="1" x14ac:dyDescent="0.25">
      <c r="A410" s="40"/>
      <c r="B410" s="40"/>
      <c r="C410" s="40"/>
      <c r="D410" s="40"/>
      <c r="E410" s="40"/>
      <c r="F410" s="40"/>
      <c r="G410" s="40"/>
      <c r="H410" s="40"/>
      <c r="I410" s="40"/>
    </row>
    <row r="411" spans="1:9" s="34" customFormat="1" x14ac:dyDescent="0.25">
      <c r="A411" s="40"/>
      <c r="B411" s="40"/>
      <c r="C411" s="40"/>
      <c r="D411" s="40"/>
      <c r="E411" s="40"/>
      <c r="F411" s="40"/>
      <c r="G411" s="40"/>
      <c r="H411" s="40"/>
      <c r="I411" s="40"/>
    </row>
    <row r="412" spans="1:9" s="34" customFormat="1" x14ac:dyDescent="0.25">
      <c r="A412" s="40"/>
      <c r="B412" s="40"/>
      <c r="C412" s="40"/>
      <c r="D412" s="40"/>
      <c r="E412" s="40"/>
      <c r="F412" s="40"/>
      <c r="G412" s="40"/>
      <c r="H412" s="40"/>
      <c r="I412" s="40"/>
    </row>
    <row r="413" spans="1:9" s="34" customFormat="1" x14ac:dyDescent="0.25">
      <c r="A413" s="40"/>
      <c r="B413" s="40"/>
      <c r="C413" s="40"/>
      <c r="D413" s="40"/>
      <c r="E413" s="40"/>
      <c r="F413" s="40"/>
      <c r="G413" s="40"/>
      <c r="H413" s="40"/>
      <c r="I413" s="40"/>
    </row>
    <row r="414" spans="1:9" s="34" customFormat="1" x14ac:dyDescent="0.25">
      <c r="A414" s="40"/>
      <c r="B414" s="40"/>
      <c r="C414" s="40"/>
      <c r="D414" s="40"/>
      <c r="E414" s="40"/>
      <c r="F414" s="40"/>
      <c r="G414" s="40"/>
      <c r="H414" s="40"/>
      <c r="I414" s="40"/>
    </row>
    <row r="415" spans="1:9" s="34" customFormat="1" x14ac:dyDescent="0.25">
      <c r="A415" s="40"/>
      <c r="B415" s="40"/>
      <c r="C415" s="40"/>
      <c r="D415" s="40"/>
      <c r="E415" s="40"/>
      <c r="F415" s="40"/>
      <c r="G415" s="40"/>
      <c r="H415" s="40"/>
      <c r="I415" s="40"/>
    </row>
    <row r="416" spans="1:9" s="34" customFormat="1" x14ac:dyDescent="0.25">
      <c r="A416" s="40"/>
      <c r="B416" s="40"/>
      <c r="C416" s="40"/>
      <c r="D416" s="40"/>
      <c r="E416" s="40"/>
      <c r="F416" s="40"/>
      <c r="G416" s="40"/>
      <c r="H416" s="40"/>
      <c r="I416" s="40"/>
    </row>
    <row r="417" spans="1:9" s="34" customFormat="1" x14ac:dyDescent="0.25">
      <c r="A417" s="40"/>
      <c r="B417" s="40"/>
      <c r="C417" s="40"/>
      <c r="D417" s="40"/>
      <c r="E417" s="40"/>
      <c r="F417" s="40"/>
      <c r="G417" s="40"/>
      <c r="H417" s="40"/>
      <c r="I417" s="40"/>
    </row>
    <row r="418" spans="1:9" s="34" customFormat="1" x14ac:dyDescent="0.25">
      <c r="A418" s="40"/>
      <c r="B418" s="40"/>
      <c r="C418" s="40"/>
      <c r="D418" s="40"/>
      <c r="E418" s="40"/>
      <c r="F418" s="40"/>
      <c r="G418" s="40"/>
      <c r="H418" s="40"/>
      <c r="I418" s="40"/>
    </row>
    <row r="419" spans="1:9" s="34" customFormat="1" x14ac:dyDescent="0.25">
      <c r="A419" s="40"/>
      <c r="B419" s="40"/>
      <c r="C419" s="40"/>
      <c r="D419" s="40"/>
      <c r="E419" s="40"/>
      <c r="F419" s="40"/>
      <c r="G419" s="40"/>
      <c r="H419" s="40"/>
      <c r="I419" s="40"/>
    </row>
    <row r="420" spans="1:9" s="34" customFormat="1" x14ac:dyDescent="0.25">
      <c r="A420" s="40"/>
      <c r="B420" s="40"/>
      <c r="C420" s="40"/>
      <c r="D420" s="40"/>
      <c r="E420" s="40"/>
      <c r="F420" s="40"/>
      <c r="G420" s="40"/>
      <c r="H420" s="40"/>
      <c r="I420" s="40"/>
    </row>
    <row r="421" spans="1:9" s="34" customFormat="1" x14ac:dyDescent="0.25">
      <c r="A421" s="40"/>
      <c r="B421" s="40"/>
      <c r="C421" s="40"/>
      <c r="D421" s="40"/>
      <c r="E421" s="40"/>
      <c r="F421" s="40"/>
      <c r="G421" s="40"/>
      <c r="H421" s="40"/>
      <c r="I421" s="40"/>
    </row>
    <row r="422" spans="1:9" s="34" customFormat="1" x14ac:dyDescent="0.25">
      <c r="A422" s="40"/>
      <c r="B422" s="40"/>
      <c r="C422" s="40"/>
      <c r="D422" s="40"/>
      <c r="E422" s="40"/>
      <c r="F422" s="40"/>
      <c r="G422" s="40"/>
      <c r="H422" s="40"/>
      <c r="I422" s="40"/>
    </row>
    <row r="423" spans="1:9" s="34" customFormat="1" x14ac:dyDescent="0.25">
      <c r="A423" s="40"/>
      <c r="B423" s="40"/>
      <c r="C423" s="40"/>
      <c r="D423" s="40"/>
      <c r="E423" s="40"/>
      <c r="F423" s="40"/>
      <c r="G423" s="40"/>
      <c r="H423" s="40"/>
      <c r="I423" s="40"/>
    </row>
    <row r="424" spans="1:9" s="34" customFormat="1" x14ac:dyDescent="0.25">
      <c r="A424" s="40"/>
      <c r="B424" s="40"/>
      <c r="C424" s="40"/>
      <c r="D424" s="40"/>
      <c r="E424" s="40"/>
      <c r="F424" s="40"/>
      <c r="G424" s="40"/>
      <c r="H424" s="40"/>
      <c r="I424" s="40"/>
    </row>
    <row r="425" spans="1:9" s="34" customFormat="1" x14ac:dyDescent="0.25">
      <c r="A425" s="40"/>
      <c r="B425" s="40"/>
      <c r="C425" s="40"/>
      <c r="D425" s="40"/>
      <c r="E425" s="40"/>
      <c r="F425" s="40"/>
      <c r="G425" s="40"/>
      <c r="H425" s="40"/>
      <c r="I425" s="40"/>
    </row>
    <row r="426" spans="1:9" s="34" customFormat="1" x14ac:dyDescent="0.25">
      <c r="A426" s="40"/>
      <c r="B426" s="40"/>
      <c r="C426" s="40"/>
      <c r="D426" s="40"/>
      <c r="E426" s="40"/>
      <c r="F426" s="40"/>
      <c r="G426" s="40"/>
      <c r="H426" s="40"/>
      <c r="I426" s="40"/>
    </row>
    <row r="427" spans="1:9" s="34" customFormat="1" x14ac:dyDescent="0.25">
      <c r="A427" s="40"/>
      <c r="B427" s="40"/>
      <c r="C427" s="40"/>
      <c r="D427" s="40"/>
      <c r="E427" s="40"/>
      <c r="F427" s="40"/>
      <c r="G427" s="40"/>
      <c r="H427" s="40"/>
      <c r="I427" s="40"/>
    </row>
    <row r="428" spans="1:9" s="34" customFormat="1" x14ac:dyDescent="0.25">
      <c r="A428" s="40"/>
      <c r="B428" s="40"/>
      <c r="C428" s="40"/>
      <c r="D428" s="40"/>
      <c r="E428" s="40"/>
      <c r="F428" s="40"/>
      <c r="G428" s="40"/>
      <c r="H428" s="40"/>
      <c r="I428" s="40"/>
    </row>
    <row r="429" spans="1:9" s="34" customFormat="1" x14ac:dyDescent="0.25">
      <c r="A429" s="40"/>
      <c r="B429" s="40"/>
      <c r="C429" s="40"/>
      <c r="D429" s="40"/>
      <c r="E429" s="40"/>
      <c r="F429" s="40"/>
      <c r="G429" s="40"/>
      <c r="H429" s="40"/>
      <c r="I429" s="40"/>
    </row>
    <row r="430" spans="1:9" s="34" customFormat="1" x14ac:dyDescent="0.25">
      <c r="A430" s="40"/>
      <c r="B430" s="40"/>
      <c r="C430" s="40"/>
      <c r="D430" s="40"/>
      <c r="E430" s="40"/>
      <c r="F430" s="40"/>
      <c r="G430" s="40"/>
      <c r="H430" s="40"/>
      <c r="I430" s="40"/>
    </row>
    <row r="431" spans="1:9" s="34" customFormat="1" x14ac:dyDescent="0.25">
      <c r="A431" s="40"/>
      <c r="B431" s="40"/>
      <c r="C431" s="40"/>
      <c r="D431" s="40"/>
      <c r="E431" s="40"/>
      <c r="F431" s="40"/>
      <c r="G431" s="40"/>
      <c r="H431" s="40"/>
      <c r="I431" s="40"/>
    </row>
    <row r="432" spans="1:9" s="34" customFormat="1" x14ac:dyDescent="0.25">
      <c r="A432" s="40"/>
      <c r="B432" s="40"/>
      <c r="C432" s="40"/>
      <c r="D432" s="40"/>
      <c r="E432" s="40"/>
      <c r="F432" s="40"/>
      <c r="G432" s="40"/>
      <c r="H432" s="40"/>
      <c r="I432" s="40"/>
    </row>
    <row r="433" spans="1:9" s="34" customFormat="1" x14ac:dyDescent="0.25">
      <c r="A433" s="40"/>
      <c r="B433" s="40"/>
      <c r="C433" s="40"/>
      <c r="D433" s="40"/>
      <c r="E433" s="40"/>
      <c r="F433" s="40"/>
      <c r="G433" s="40"/>
      <c r="H433" s="40"/>
      <c r="I433" s="40"/>
    </row>
    <row r="434" spans="1:9" s="34" customFormat="1" x14ac:dyDescent="0.25">
      <c r="A434" s="40"/>
      <c r="B434" s="40"/>
      <c r="C434" s="40"/>
      <c r="D434" s="40"/>
      <c r="E434" s="40"/>
      <c r="F434" s="40"/>
      <c r="G434" s="40"/>
      <c r="H434" s="40"/>
      <c r="I434" s="40"/>
    </row>
    <row r="435" spans="1:9" s="34" customFormat="1" x14ac:dyDescent="0.25">
      <c r="A435" s="40"/>
      <c r="B435" s="40"/>
      <c r="C435" s="40"/>
      <c r="D435" s="40"/>
      <c r="E435" s="40"/>
      <c r="F435" s="40"/>
      <c r="G435" s="40"/>
      <c r="H435" s="40"/>
      <c r="I435" s="40"/>
    </row>
    <row r="436" spans="1:9" s="34" customFormat="1" x14ac:dyDescent="0.25">
      <c r="A436" s="40"/>
      <c r="B436" s="40"/>
      <c r="C436" s="40"/>
      <c r="D436" s="40"/>
      <c r="E436" s="40"/>
      <c r="F436" s="40"/>
      <c r="G436" s="40"/>
      <c r="H436" s="40"/>
      <c r="I436" s="40"/>
    </row>
    <row r="437" spans="1:9" s="34" customFormat="1" x14ac:dyDescent="0.25">
      <c r="A437" s="40"/>
      <c r="B437" s="40"/>
      <c r="C437" s="40"/>
      <c r="D437" s="40"/>
      <c r="E437" s="40"/>
      <c r="F437" s="40"/>
      <c r="G437" s="40"/>
      <c r="H437" s="40"/>
      <c r="I437" s="40"/>
    </row>
    <row r="438" spans="1:9" s="34" customFormat="1" x14ac:dyDescent="0.25">
      <c r="A438" s="40"/>
      <c r="B438" s="40"/>
      <c r="C438" s="40"/>
      <c r="D438" s="40"/>
      <c r="E438" s="40"/>
      <c r="F438" s="40"/>
      <c r="G438" s="40"/>
      <c r="H438" s="40"/>
      <c r="I438" s="40"/>
    </row>
    <row r="439" spans="1:9" s="34" customFormat="1" x14ac:dyDescent="0.25">
      <c r="A439" s="40"/>
      <c r="B439" s="40"/>
      <c r="C439" s="40"/>
      <c r="D439" s="40"/>
      <c r="E439" s="40"/>
      <c r="F439" s="40"/>
      <c r="G439" s="40"/>
      <c r="H439" s="40"/>
      <c r="I439" s="40"/>
    </row>
    <row r="440" spans="1:9" s="34" customFormat="1" x14ac:dyDescent="0.25">
      <c r="A440" s="40"/>
      <c r="B440" s="40"/>
      <c r="C440" s="40"/>
      <c r="D440" s="40"/>
      <c r="E440" s="40"/>
      <c r="F440" s="40"/>
      <c r="G440" s="40"/>
      <c r="H440" s="40"/>
      <c r="I440" s="40"/>
    </row>
    <row r="441" spans="1:9" s="34" customFormat="1" x14ac:dyDescent="0.25">
      <c r="A441" s="40"/>
      <c r="B441" s="40"/>
      <c r="C441" s="40"/>
      <c r="D441" s="40"/>
      <c r="E441" s="40"/>
      <c r="F441" s="40"/>
      <c r="G441" s="40"/>
      <c r="H441" s="40"/>
      <c r="I441" s="40"/>
    </row>
    <row r="442" spans="1:9" s="34" customFormat="1" x14ac:dyDescent="0.25">
      <c r="A442" s="40"/>
      <c r="B442" s="40"/>
      <c r="C442" s="40"/>
      <c r="D442" s="40"/>
      <c r="E442" s="40"/>
      <c r="F442" s="40"/>
      <c r="G442" s="40"/>
      <c r="H442" s="40"/>
      <c r="I442" s="40"/>
    </row>
    <row r="443" spans="1:9" s="34" customFormat="1" x14ac:dyDescent="0.25">
      <c r="A443" s="40"/>
      <c r="B443" s="40"/>
      <c r="C443" s="40"/>
      <c r="D443" s="40"/>
      <c r="E443" s="40"/>
      <c r="F443" s="40"/>
      <c r="G443" s="40"/>
      <c r="H443" s="40"/>
      <c r="I443" s="40"/>
    </row>
    <row r="444" spans="1:9" s="34" customFormat="1" x14ac:dyDescent="0.25">
      <c r="A444" s="40"/>
      <c r="B444" s="40"/>
      <c r="C444" s="40"/>
      <c r="D444" s="40"/>
      <c r="E444" s="40"/>
      <c r="F444" s="40"/>
      <c r="G444" s="40"/>
      <c r="H444" s="40"/>
      <c r="I444" s="40"/>
    </row>
    <row r="445" spans="1:9" s="34" customFormat="1" x14ac:dyDescent="0.25">
      <c r="A445" s="40"/>
      <c r="B445" s="40"/>
      <c r="C445" s="40"/>
      <c r="D445" s="40"/>
      <c r="E445" s="40"/>
      <c r="F445" s="40"/>
      <c r="G445" s="40"/>
      <c r="H445" s="40"/>
      <c r="I445" s="40"/>
    </row>
    <row r="446" spans="1:9" s="34" customFormat="1" x14ac:dyDescent="0.25">
      <c r="A446" s="40"/>
      <c r="B446" s="40"/>
      <c r="C446" s="40"/>
      <c r="D446" s="40"/>
      <c r="E446" s="40"/>
      <c r="F446" s="40"/>
      <c r="G446" s="40"/>
      <c r="H446" s="40"/>
      <c r="I446" s="40"/>
    </row>
    <row r="447" spans="1:9" s="34" customFormat="1" x14ac:dyDescent="0.25">
      <c r="A447" s="40"/>
      <c r="B447" s="40"/>
      <c r="C447" s="40"/>
      <c r="D447" s="40"/>
      <c r="E447" s="40"/>
      <c r="F447" s="40"/>
      <c r="G447" s="40"/>
      <c r="H447" s="40"/>
      <c r="I447" s="40"/>
    </row>
    <row r="448" spans="1:9" s="34" customFormat="1" x14ac:dyDescent="0.25">
      <c r="A448" s="40"/>
      <c r="B448" s="40"/>
      <c r="C448" s="40"/>
      <c r="D448" s="40"/>
      <c r="E448" s="40"/>
      <c r="F448" s="40"/>
      <c r="G448" s="40"/>
      <c r="H448" s="40"/>
      <c r="I448" s="40"/>
    </row>
    <row r="449" spans="1:9" s="34" customFormat="1" x14ac:dyDescent="0.25">
      <c r="A449" s="40"/>
      <c r="B449" s="40"/>
      <c r="C449" s="40"/>
      <c r="D449" s="40"/>
      <c r="E449" s="40"/>
      <c r="F449" s="40"/>
      <c r="G449" s="40"/>
      <c r="H449" s="40"/>
      <c r="I449" s="40"/>
    </row>
    <row r="450" spans="1:9" s="34" customFormat="1" x14ac:dyDescent="0.25">
      <c r="A450" s="40"/>
      <c r="B450" s="40"/>
      <c r="C450" s="40"/>
      <c r="D450" s="40"/>
      <c r="E450" s="40"/>
      <c r="F450" s="40"/>
      <c r="G450" s="40"/>
      <c r="H450" s="40"/>
      <c r="I450" s="40"/>
    </row>
    <row r="451" spans="1:9" s="34" customFormat="1" x14ac:dyDescent="0.25">
      <c r="A451" s="40"/>
      <c r="B451" s="40"/>
      <c r="C451" s="40"/>
      <c r="D451" s="40"/>
      <c r="E451" s="40"/>
      <c r="F451" s="40"/>
      <c r="G451" s="40"/>
      <c r="H451" s="40"/>
      <c r="I451" s="40"/>
    </row>
    <row r="452" spans="1:9" s="34" customFormat="1" x14ac:dyDescent="0.25">
      <c r="A452" s="40"/>
      <c r="B452" s="40"/>
      <c r="C452" s="40"/>
      <c r="D452" s="40"/>
      <c r="E452" s="40"/>
      <c r="F452" s="40"/>
      <c r="G452" s="40"/>
      <c r="H452" s="40"/>
      <c r="I452" s="40"/>
    </row>
    <row r="453" spans="1:9" s="34" customFormat="1" x14ac:dyDescent="0.25">
      <c r="A453" s="40"/>
      <c r="B453" s="40"/>
      <c r="C453" s="40"/>
      <c r="D453" s="40"/>
      <c r="E453" s="40"/>
      <c r="F453" s="40"/>
      <c r="G453" s="40"/>
      <c r="H453" s="40"/>
      <c r="I453" s="40"/>
    </row>
    <row r="454" spans="1:9" s="34" customFormat="1" x14ac:dyDescent="0.25">
      <c r="A454" s="40"/>
      <c r="B454" s="40"/>
      <c r="C454" s="40"/>
      <c r="D454" s="40"/>
      <c r="E454" s="40"/>
      <c r="F454" s="40"/>
      <c r="G454" s="40"/>
      <c r="H454" s="40"/>
      <c r="I454" s="40"/>
    </row>
    <row r="455" spans="1:9" s="34" customFormat="1" x14ac:dyDescent="0.25">
      <c r="A455" s="40"/>
      <c r="B455" s="40"/>
      <c r="C455" s="40"/>
      <c r="D455" s="40"/>
      <c r="E455" s="40"/>
      <c r="F455" s="40"/>
      <c r="G455" s="40"/>
      <c r="H455" s="40"/>
      <c r="I455" s="40"/>
    </row>
    <row r="456" spans="1:9" s="34" customFormat="1" x14ac:dyDescent="0.25">
      <c r="A456" s="40"/>
      <c r="B456" s="40"/>
      <c r="C456" s="40"/>
      <c r="D456" s="40"/>
      <c r="E456" s="40"/>
      <c r="F456" s="40"/>
      <c r="G456" s="40"/>
      <c r="H456" s="40"/>
      <c r="I456" s="40"/>
    </row>
    <row r="457" spans="1:9" s="34" customFormat="1" x14ac:dyDescent="0.25">
      <c r="A457" s="40"/>
      <c r="B457" s="40"/>
      <c r="C457" s="40"/>
      <c r="D457" s="40"/>
      <c r="E457" s="40"/>
      <c r="F457" s="40"/>
      <c r="G457" s="40"/>
      <c r="H457" s="40"/>
      <c r="I457" s="40"/>
    </row>
    <row r="458" spans="1:9" s="34" customFormat="1" x14ac:dyDescent="0.25">
      <c r="A458" s="40"/>
      <c r="B458" s="40"/>
      <c r="C458" s="40"/>
      <c r="D458" s="40"/>
      <c r="E458" s="40"/>
      <c r="F458" s="40"/>
      <c r="G458" s="40"/>
      <c r="H458" s="40"/>
      <c r="I458" s="40"/>
    </row>
    <row r="459" spans="1:9" s="34" customFormat="1" x14ac:dyDescent="0.25">
      <c r="A459" s="40"/>
      <c r="B459" s="40"/>
      <c r="C459" s="40"/>
      <c r="D459" s="40"/>
      <c r="E459" s="40"/>
      <c r="F459" s="40"/>
      <c r="G459" s="40"/>
      <c r="H459" s="40"/>
      <c r="I459" s="40"/>
    </row>
    <row r="460" spans="1:9" s="34" customFormat="1" x14ac:dyDescent="0.25">
      <c r="A460" s="40"/>
      <c r="B460" s="40"/>
      <c r="C460" s="40"/>
      <c r="D460" s="40"/>
      <c r="E460" s="40"/>
      <c r="F460" s="40"/>
      <c r="G460" s="40"/>
      <c r="H460" s="40"/>
      <c r="I460" s="40"/>
    </row>
    <row r="461" spans="1:9" s="34" customFormat="1" x14ac:dyDescent="0.25">
      <c r="A461" s="40"/>
      <c r="B461" s="40"/>
      <c r="C461" s="40"/>
      <c r="D461" s="40"/>
      <c r="E461" s="40"/>
      <c r="F461" s="40"/>
      <c r="G461" s="40"/>
      <c r="H461" s="40"/>
      <c r="I461" s="40"/>
    </row>
    <row r="462" spans="1:9" s="34" customFormat="1" x14ac:dyDescent="0.25">
      <c r="A462" s="40"/>
      <c r="B462" s="40"/>
      <c r="C462" s="40"/>
      <c r="D462" s="40"/>
      <c r="E462" s="40"/>
      <c r="F462" s="40"/>
      <c r="G462" s="40"/>
      <c r="H462" s="40"/>
      <c r="I462" s="40"/>
    </row>
    <row r="463" spans="1:9" s="34" customFormat="1" x14ac:dyDescent="0.25">
      <c r="A463" s="40"/>
      <c r="B463" s="40"/>
      <c r="C463" s="40"/>
      <c r="D463" s="40"/>
      <c r="E463" s="40"/>
      <c r="F463" s="40"/>
      <c r="G463" s="40"/>
      <c r="H463" s="40"/>
      <c r="I463" s="40"/>
    </row>
    <row r="464" spans="1:9" s="34" customFormat="1" x14ac:dyDescent="0.25">
      <c r="A464" s="40"/>
      <c r="B464" s="40"/>
      <c r="C464" s="40"/>
      <c r="D464" s="40"/>
      <c r="E464" s="40"/>
      <c r="F464" s="40"/>
      <c r="G464" s="40"/>
      <c r="H464" s="40"/>
      <c r="I464" s="40"/>
    </row>
    <row r="465" spans="1:9" s="34" customFormat="1" x14ac:dyDescent="0.25">
      <c r="A465" s="40"/>
      <c r="B465" s="40"/>
      <c r="C465" s="40"/>
      <c r="D465" s="40"/>
      <c r="E465" s="40"/>
      <c r="F465" s="40"/>
      <c r="G465" s="40"/>
      <c r="H465" s="40"/>
      <c r="I465" s="40"/>
    </row>
    <row r="466" spans="1:9" s="34" customFormat="1" x14ac:dyDescent="0.25">
      <c r="A466" s="40"/>
      <c r="B466" s="40"/>
      <c r="C466" s="40"/>
      <c r="D466" s="40"/>
      <c r="E466" s="40"/>
      <c r="F466" s="40"/>
      <c r="G466" s="40"/>
      <c r="H466" s="40"/>
      <c r="I466" s="40"/>
    </row>
    <row r="467" spans="1:9" s="34" customFormat="1" x14ac:dyDescent="0.25">
      <c r="A467" s="40"/>
      <c r="B467" s="40"/>
      <c r="C467" s="40"/>
      <c r="D467" s="40"/>
      <c r="E467" s="40"/>
      <c r="F467" s="40"/>
      <c r="G467" s="40"/>
      <c r="H467" s="40"/>
      <c r="I467" s="40"/>
    </row>
    <row r="468" spans="1:9" s="34" customFormat="1" x14ac:dyDescent="0.25">
      <c r="A468" s="40"/>
      <c r="B468" s="40"/>
      <c r="C468" s="40"/>
      <c r="D468" s="40"/>
      <c r="E468" s="40"/>
      <c r="F468" s="40"/>
      <c r="G468" s="40"/>
      <c r="H468" s="40"/>
      <c r="I468" s="40"/>
    </row>
    <row r="469" spans="1:9" s="34" customFormat="1" x14ac:dyDescent="0.25">
      <c r="A469" s="40"/>
      <c r="B469" s="40"/>
      <c r="C469" s="40"/>
      <c r="D469" s="40"/>
      <c r="E469" s="40"/>
      <c r="F469" s="40"/>
      <c r="G469" s="40"/>
      <c r="H469" s="40"/>
      <c r="I469" s="40"/>
    </row>
    <row r="470" spans="1:9" s="34" customFormat="1" x14ac:dyDescent="0.25">
      <c r="A470" s="40"/>
      <c r="B470" s="40"/>
      <c r="C470" s="40"/>
      <c r="D470" s="40"/>
      <c r="E470" s="40"/>
      <c r="F470" s="40"/>
      <c r="G470" s="40"/>
      <c r="H470" s="40"/>
      <c r="I470" s="40"/>
    </row>
    <row r="471" spans="1:9" s="34" customFormat="1" x14ac:dyDescent="0.25">
      <c r="A471" s="40"/>
      <c r="B471" s="40"/>
      <c r="C471" s="40"/>
      <c r="D471" s="40"/>
      <c r="E471" s="40"/>
      <c r="F471" s="40"/>
      <c r="G471" s="40"/>
      <c r="H471" s="40"/>
      <c r="I471" s="40"/>
    </row>
    <row r="472" spans="1:9" s="34" customFormat="1" x14ac:dyDescent="0.25">
      <c r="A472" s="40"/>
      <c r="B472" s="40"/>
      <c r="C472" s="40"/>
      <c r="D472" s="40"/>
      <c r="E472" s="40"/>
      <c r="F472" s="40"/>
      <c r="G472" s="40"/>
      <c r="H472" s="40"/>
      <c r="I472" s="40"/>
    </row>
    <row r="473" spans="1:9" s="34" customFormat="1" x14ac:dyDescent="0.25">
      <c r="A473" s="40"/>
      <c r="B473" s="40"/>
      <c r="C473" s="40"/>
      <c r="D473" s="40"/>
      <c r="E473" s="40"/>
      <c r="F473" s="40"/>
      <c r="G473" s="40"/>
      <c r="H473" s="40"/>
      <c r="I473" s="40"/>
    </row>
    <row r="474" spans="1:9" s="34" customFormat="1" x14ac:dyDescent="0.25">
      <c r="A474" s="40"/>
      <c r="B474" s="40"/>
      <c r="C474" s="40"/>
      <c r="D474" s="40"/>
      <c r="E474" s="40"/>
      <c r="F474" s="40"/>
      <c r="G474" s="40"/>
      <c r="H474" s="40"/>
      <c r="I474" s="40"/>
    </row>
    <row r="475" spans="1:9" s="34" customFormat="1" x14ac:dyDescent="0.25">
      <c r="A475" s="40"/>
      <c r="B475" s="40"/>
      <c r="C475" s="40"/>
      <c r="D475" s="40"/>
      <c r="E475" s="40"/>
      <c r="F475" s="40"/>
      <c r="G475" s="40"/>
      <c r="H475" s="40"/>
      <c r="I475" s="40"/>
    </row>
    <row r="476" spans="1:9" s="34" customFormat="1" x14ac:dyDescent="0.25">
      <c r="A476" s="40"/>
      <c r="B476" s="40"/>
      <c r="C476" s="40"/>
      <c r="D476" s="40"/>
      <c r="E476" s="40"/>
      <c r="F476" s="40"/>
      <c r="G476" s="40"/>
      <c r="H476" s="40"/>
      <c r="I476" s="40"/>
    </row>
    <row r="477" spans="1:9" s="34" customFormat="1" x14ac:dyDescent="0.25">
      <c r="A477" s="40"/>
      <c r="B477" s="40"/>
      <c r="C477" s="40"/>
      <c r="D477" s="40"/>
      <c r="E477" s="40"/>
      <c r="F477" s="40"/>
      <c r="G477" s="40"/>
      <c r="H477" s="40"/>
      <c r="I477" s="40"/>
    </row>
    <row r="478" spans="1:9" s="34" customFormat="1" x14ac:dyDescent="0.25">
      <c r="A478" s="40"/>
      <c r="B478" s="40"/>
      <c r="C478" s="40"/>
      <c r="D478" s="40"/>
      <c r="E478" s="40"/>
      <c r="F478" s="40"/>
      <c r="G478" s="40"/>
      <c r="H478" s="40"/>
      <c r="I478" s="40"/>
    </row>
    <row r="479" spans="1:9" s="34" customFormat="1" x14ac:dyDescent="0.25">
      <c r="A479" s="40"/>
      <c r="B479" s="40"/>
      <c r="C479" s="40"/>
      <c r="D479" s="40"/>
      <c r="E479" s="40"/>
      <c r="F479" s="40"/>
      <c r="G479" s="40"/>
      <c r="H479" s="40"/>
      <c r="I479" s="40"/>
    </row>
    <row r="480" spans="1:9" s="34" customFormat="1" x14ac:dyDescent="0.25">
      <c r="A480" s="40"/>
      <c r="B480" s="40"/>
      <c r="C480" s="40"/>
      <c r="D480" s="40"/>
      <c r="E480" s="40"/>
      <c r="F480" s="40"/>
      <c r="G480" s="40"/>
      <c r="H480" s="40"/>
      <c r="I480" s="40"/>
    </row>
    <row r="481" spans="1:9" s="34" customFormat="1" x14ac:dyDescent="0.25">
      <c r="A481" s="40"/>
      <c r="B481" s="40"/>
      <c r="C481" s="40"/>
      <c r="D481" s="40"/>
      <c r="E481" s="40"/>
      <c r="F481" s="40"/>
      <c r="G481" s="40"/>
      <c r="H481" s="40"/>
      <c r="I481" s="40"/>
    </row>
    <row r="482" spans="1:9" s="34" customFormat="1" x14ac:dyDescent="0.25">
      <c r="A482" s="40"/>
      <c r="B482" s="40"/>
      <c r="C482" s="40"/>
      <c r="D482" s="40"/>
      <c r="E482" s="40"/>
      <c r="F482" s="40"/>
      <c r="G482" s="40"/>
      <c r="H482" s="40"/>
      <c r="I482" s="40"/>
    </row>
    <row r="483" spans="1:9" s="34" customFormat="1" x14ac:dyDescent="0.25">
      <c r="A483" s="40"/>
      <c r="B483" s="40"/>
      <c r="C483" s="40"/>
      <c r="D483" s="40"/>
      <c r="E483" s="40"/>
      <c r="F483" s="40"/>
      <c r="G483" s="40"/>
      <c r="H483" s="40"/>
      <c r="I483" s="40"/>
    </row>
    <row r="484" spans="1:9" s="34" customFormat="1" x14ac:dyDescent="0.25">
      <c r="A484" s="40"/>
      <c r="B484" s="40"/>
      <c r="C484" s="40"/>
      <c r="D484" s="40"/>
      <c r="E484" s="40"/>
      <c r="F484" s="40"/>
      <c r="G484" s="40"/>
      <c r="H484" s="40"/>
      <c r="I484" s="40"/>
    </row>
    <row r="485" spans="1:9" s="34" customFormat="1" x14ac:dyDescent="0.25">
      <c r="A485" s="40"/>
      <c r="B485" s="40"/>
      <c r="C485" s="40"/>
      <c r="D485" s="40"/>
      <c r="E485" s="40"/>
      <c r="F485" s="40"/>
      <c r="G485" s="40"/>
      <c r="H485" s="40"/>
      <c r="I485" s="40"/>
    </row>
    <row r="486" spans="1:9" s="34" customFormat="1" x14ac:dyDescent="0.25">
      <c r="A486" s="40"/>
      <c r="B486" s="40"/>
      <c r="C486" s="40"/>
      <c r="D486" s="40"/>
      <c r="E486" s="40"/>
      <c r="F486" s="40"/>
      <c r="G486" s="40"/>
      <c r="H486" s="40"/>
      <c r="I486" s="40"/>
    </row>
    <row r="487" spans="1:9" s="34" customFormat="1" x14ac:dyDescent="0.25">
      <c r="A487" s="40"/>
      <c r="B487" s="40"/>
      <c r="C487" s="40"/>
      <c r="D487" s="40"/>
      <c r="E487" s="40"/>
      <c r="F487" s="40"/>
      <c r="G487" s="40"/>
      <c r="H487" s="40"/>
      <c r="I487" s="40"/>
    </row>
    <row r="488" spans="1:9" s="34" customFormat="1" x14ac:dyDescent="0.25">
      <c r="A488" s="40"/>
      <c r="B488" s="40"/>
      <c r="C488" s="40"/>
      <c r="D488" s="40"/>
      <c r="E488" s="40"/>
      <c r="F488" s="40"/>
      <c r="G488" s="40"/>
      <c r="H488" s="40"/>
      <c r="I488" s="40"/>
    </row>
    <row r="489" spans="1:9" s="34" customFormat="1" x14ac:dyDescent="0.25">
      <c r="A489" s="40"/>
      <c r="B489" s="40"/>
      <c r="C489" s="40"/>
      <c r="D489" s="40"/>
      <c r="E489" s="40"/>
      <c r="F489" s="40"/>
      <c r="G489" s="40"/>
      <c r="H489" s="40"/>
      <c r="I489" s="40"/>
    </row>
    <row r="490" spans="1:9" s="34" customFormat="1" x14ac:dyDescent="0.25">
      <c r="A490" s="40"/>
      <c r="B490" s="40"/>
      <c r="C490" s="40"/>
      <c r="D490" s="40"/>
      <c r="E490" s="40"/>
      <c r="F490" s="40"/>
      <c r="G490" s="40"/>
      <c r="H490" s="40"/>
      <c r="I490" s="40"/>
    </row>
    <row r="491" spans="1:9" s="34" customFormat="1" x14ac:dyDescent="0.25">
      <c r="A491" s="40"/>
      <c r="B491" s="40"/>
      <c r="C491" s="40"/>
      <c r="D491" s="40"/>
      <c r="E491" s="40"/>
      <c r="F491" s="40"/>
      <c r="G491" s="40"/>
      <c r="H491" s="40"/>
      <c r="I491" s="40"/>
    </row>
    <row r="492" spans="1:9" s="34" customFormat="1" x14ac:dyDescent="0.25">
      <c r="A492" s="40"/>
      <c r="B492" s="40"/>
      <c r="C492" s="40"/>
      <c r="D492" s="40"/>
      <c r="E492" s="40"/>
      <c r="F492" s="40"/>
      <c r="G492" s="40"/>
      <c r="H492" s="40"/>
      <c r="I492" s="40"/>
    </row>
    <row r="493" spans="1:9" s="34" customFormat="1" x14ac:dyDescent="0.25">
      <c r="A493" s="40"/>
      <c r="B493" s="40"/>
      <c r="C493" s="40"/>
      <c r="D493" s="40"/>
      <c r="E493" s="40"/>
      <c r="F493" s="40"/>
      <c r="G493" s="40"/>
      <c r="H493" s="40"/>
      <c r="I493" s="40"/>
    </row>
    <row r="494" spans="1:9" s="34" customFormat="1" x14ac:dyDescent="0.25">
      <c r="A494" s="40"/>
      <c r="B494" s="40"/>
      <c r="C494" s="40"/>
      <c r="D494" s="40"/>
      <c r="E494" s="40"/>
      <c r="F494" s="40"/>
      <c r="G494" s="40"/>
      <c r="H494" s="40"/>
      <c r="I494" s="40"/>
    </row>
    <row r="495" spans="1:9" s="34" customFormat="1" x14ac:dyDescent="0.25">
      <c r="A495" s="40"/>
      <c r="B495" s="40"/>
      <c r="C495" s="40"/>
      <c r="D495" s="40"/>
      <c r="E495" s="40"/>
      <c r="F495" s="40"/>
      <c r="G495" s="40"/>
      <c r="H495" s="40"/>
      <c r="I495" s="40"/>
    </row>
    <row r="496" spans="1:9" s="34" customFormat="1" x14ac:dyDescent="0.25">
      <c r="A496" s="40"/>
      <c r="B496" s="40"/>
      <c r="C496" s="40"/>
      <c r="D496" s="40"/>
      <c r="E496" s="40"/>
      <c r="F496" s="40"/>
      <c r="G496" s="40"/>
      <c r="H496" s="40"/>
      <c r="I496" s="40"/>
    </row>
    <row r="497" spans="1:9" s="34" customFormat="1" x14ac:dyDescent="0.25">
      <c r="A497" s="40"/>
      <c r="B497" s="40"/>
      <c r="C497" s="40"/>
      <c r="D497" s="40"/>
      <c r="E497" s="40"/>
      <c r="F497" s="40"/>
      <c r="G497" s="40"/>
      <c r="H497" s="40"/>
      <c r="I497" s="40"/>
    </row>
    <row r="498" spans="1:9" s="34" customFormat="1" x14ac:dyDescent="0.25">
      <c r="A498" s="40"/>
      <c r="B498" s="40"/>
      <c r="C498" s="40"/>
      <c r="D498" s="40"/>
      <c r="E498" s="40"/>
      <c r="F498" s="40"/>
      <c r="G498" s="40"/>
      <c r="H498" s="40"/>
      <c r="I498" s="40"/>
    </row>
    <row r="499" spans="1:9" s="34" customFormat="1" x14ac:dyDescent="0.25">
      <c r="A499" s="40"/>
      <c r="B499" s="40"/>
      <c r="C499" s="40"/>
      <c r="D499" s="40"/>
      <c r="E499" s="40"/>
      <c r="F499" s="40"/>
      <c r="G499" s="40"/>
      <c r="H499" s="40"/>
      <c r="I499" s="40"/>
    </row>
    <row r="500" spans="1:9" s="34" customFormat="1" x14ac:dyDescent="0.25">
      <c r="A500" s="40"/>
      <c r="B500" s="40"/>
      <c r="C500" s="40"/>
      <c r="D500" s="40"/>
      <c r="E500" s="40"/>
      <c r="F500" s="40"/>
      <c r="G500" s="40"/>
      <c r="H500" s="40"/>
      <c r="I500" s="40"/>
    </row>
    <row r="501" spans="1:9" s="34" customFormat="1" x14ac:dyDescent="0.25">
      <c r="A501" s="40"/>
      <c r="B501" s="40"/>
      <c r="C501" s="40"/>
      <c r="D501" s="40"/>
      <c r="E501" s="40"/>
      <c r="F501" s="40"/>
      <c r="G501" s="40"/>
      <c r="H501" s="40"/>
      <c r="I501" s="40"/>
    </row>
    <row r="502" spans="1:9" s="34" customFormat="1" x14ac:dyDescent="0.25">
      <c r="A502" s="40"/>
      <c r="B502" s="40"/>
      <c r="C502" s="40"/>
      <c r="D502" s="40"/>
      <c r="E502" s="40"/>
      <c r="F502" s="40"/>
      <c r="G502" s="40"/>
      <c r="H502" s="40"/>
      <c r="I502" s="40"/>
    </row>
    <row r="503" spans="1:9" s="34" customFormat="1" x14ac:dyDescent="0.25">
      <c r="A503" s="40"/>
      <c r="B503" s="40"/>
      <c r="C503" s="40"/>
      <c r="D503" s="40"/>
      <c r="E503" s="40"/>
      <c r="F503" s="40"/>
      <c r="G503" s="40"/>
      <c r="H503" s="40"/>
      <c r="I503" s="40"/>
    </row>
    <row r="504" spans="1:9" s="34" customFormat="1" x14ac:dyDescent="0.25">
      <c r="A504" s="40"/>
      <c r="B504" s="40"/>
      <c r="C504" s="40"/>
      <c r="D504" s="40"/>
      <c r="E504" s="40"/>
      <c r="F504" s="40"/>
      <c r="G504" s="40"/>
      <c r="H504" s="40"/>
      <c r="I504" s="40"/>
    </row>
    <row r="505" spans="1:9" s="34" customFormat="1" x14ac:dyDescent="0.25">
      <c r="A505" s="40"/>
      <c r="B505" s="40"/>
      <c r="C505" s="40"/>
      <c r="D505" s="40"/>
      <c r="E505" s="40"/>
      <c r="F505" s="40"/>
      <c r="G505" s="40"/>
      <c r="H505" s="40"/>
      <c r="I505" s="40"/>
    </row>
    <row r="506" spans="1:9" s="34" customFormat="1" x14ac:dyDescent="0.25">
      <c r="A506" s="40"/>
      <c r="B506" s="40"/>
      <c r="C506" s="40"/>
      <c r="D506" s="40"/>
      <c r="E506" s="40"/>
      <c r="F506" s="40"/>
      <c r="G506" s="40"/>
      <c r="H506" s="40"/>
      <c r="I506" s="40"/>
    </row>
    <row r="507" spans="1:9" s="34" customFormat="1" x14ac:dyDescent="0.25">
      <c r="A507" s="40"/>
      <c r="B507" s="40"/>
      <c r="C507" s="40"/>
      <c r="D507" s="40"/>
      <c r="E507" s="40"/>
      <c r="F507" s="40"/>
      <c r="G507" s="40"/>
      <c r="H507" s="40"/>
      <c r="I507" s="40"/>
    </row>
    <row r="508" spans="1:9" s="34" customFormat="1" x14ac:dyDescent="0.25">
      <c r="A508" s="40"/>
      <c r="B508" s="40"/>
      <c r="C508" s="40"/>
      <c r="D508" s="40"/>
      <c r="E508" s="40"/>
      <c r="F508" s="40"/>
      <c r="G508" s="40"/>
      <c r="H508" s="40"/>
      <c r="I508" s="40"/>
    </row>
    <row r="509" spans="1:9" s="34" customFormat="1" x14ac:dyDescent="0.25">
      <c r="A509" s="40"/>
      <c r="B509" s="40"/>
      <c r="C509" s="40"/>
      <c r="D509" s="40"/>
      <c r="E509" s="40"/>
      <c r="F509" s="40"/>
      <c r="G509" s="40"/>
      <c r="H509" s="40"/>
      <c r="I509" s="40"/>
    </row>
    <row r="510" spans="1:9" s="34" customFormat="1" x14ac:dyDescent="0.25">
      <c r="A510" s="40"/>
      <c r="B510" s="40"/>
      <c r="C510" s="40"/>
      <c r="D510" s="40"/>
      <c r="E510" s="40"/>
      <c r="F510" s="40"/>
      <c r="G510" s="40"/>
      <c r="H510" s="40"/>
      <c r="I510" s="40"/>
    </row>
    <row r="511" spans="1:9" s="34" customFormat="1" x14ac:dyDescent="0.25">
      <c r="A511" s="40"/>
      <c r="B511" s="40"/>
      <c r="C511" s="40"/>
      <c r="D511" s="40"/>
      <c r="E511" s="40"/>
      <c r="F511" s="40"/>
      <c r="G511" s="40"/>
      <c r="H511" s="40"/>
      <c r="I511" s="40"/>
    </row>
    <row r="512" spans="1:9" s="34" customFormat="1" x14ac:dyDescent="0.25">
      <c r="A512" s="40"/>
      <c r="B512" s="40"/>
      <c r="C512" s="40"/>
      <c r="D512" s="40"/>
      <c r="E512" s="40"/>
      <c r="F512" s="40"/>
      <c r="G512" s="40"/>
      <c r="H512" s="40"/>
      <c r="I512" s="40"/>
    </row>
    <row r="513" spans="1:9" s="34" customFormat="1" x14ac:dyDescent="0.25">
      <c r="A513" s="40"/>
      <c r="B513" s="40"/>
      <c r="C513" s="40"/>
      <c r="D513" s="40"/>
      <c r="E513" s="40"/>
      <c r="F513" s="40"/>
      <c r="G513" s="40"/>
      <c r="H513" s="40"/>
      <c r="I513" s="40"/>
    </row>
    <row r="514" spans="1:9" s="34" customFormat="1" x14ac:dyDescent="0.25">
      <c r="A514" s="40"/>
      <c r="B514" s="40"/>
      <c r="C514" s="40"/>
      <c r="D514" s="40"/>
      <c r="E514" s="40"/>
      <c r="F514" s="40"/>
      <c r="G514" s="40"/>
      <c r="H514" s="40"/>
      <c r="I514" s="40"/>
    </row>
    <row r="515" spans="1:9" s="34" customFormat="1" x14ac:dyDescent="0.25">
      <c r="A515" s="40"/>
      <c r="B515" s="40"/>
      <c r="C515" s="40"/>
      <c r="D515" s="40"/>
      <c r="E515" s="40"/>
      <c r="F515" s="40"/>
      <c r="G515" s="40"/>
      <c r="H515" s="40"/>
      <c r="I515" s="40"/>
    </row>
    <row r="516" spans="1:9" s="34" customFormat="1" x14ac:dyDescent="0.25">
      <c r="A516" s="40"/>
      <c r="B516" s="40"/>
      <c r="C516" s="40"/>
      <c r="D516" s="40"/>
      <c r="E516" s="40"/>
      <c r="F516" s="40"/>
      <c r="G516" s="40"/>
      <c r="H516" s="40"/>
      <c r="I516" s="40"/>
    </row>
    <row r="517" spans="1:9" s="34" customFormat="1" x14ac:dyDescent="0.25">
      <c r="A517" s="40"/>
      <c r="B517" s="40"/>
      <c r="C517" s="40"/>
      <c r="D517" s="40"/>
      <c r="E517" s="40"/>
      <c r="F517" s="40"/>
      <c r="G517" s="40"/>
      <c r="H517" s="40"/>
      <c r="I517" s="40"/>
    </row>
    <row r="518" spans="1:9" s="34" customFormat="1" x14ac:dyDescent="0.25">
      <c r="A518" s="40"/>
      <c r="B518" s="40"/>
      <c r="C518" s="40"/>
      <c r="D518" s="40"/>
      <c r="E518" s="40"/>
      <c r="F518" s="40"/>
      <c r="G518" s="40"/>
      <c r="H518" s="40"/>
      <c r="I518" s="40"/>
    </row>
    <row r="519" spans="1:9" s="34" customFormat="1" x14ac:dyDescent="0.25">
      <c r="A519" s="40"/>
      <c r="B519" s="40"/>
      <c r="C519" s="40"/>
      <c r="D519" s="40"/>
      <c r="E519" s="40"/>
      <c r="F519" s="40"/>
      <c r="G519" s="40"/>
      <c r="H519" s="40"/>
      <c r="I519" s="40"/>
    </row>
    <row r="520" spans="1:9" s="34" customFormat="1" x14ac:dyDescent="0.25">
      <c r="A520" s="40"/>
      <c r="B520" s="40"/>
      <c r="C520" s="40"/>
      <c r="D520" s="40"/>
      <c r="E520" s="40"/>
      <c r="F520" s="40"/>
      <c r="G520" s="40"/>
      <c r="H520" s="40"/>
      <c r="I520" s="40"/>
    </row>
    <row r="521" spans="1:9" s="34" customFormat="1" x14ac:dyDescent="0.25">
      <c r="A521" s="40"/>
      <c r="B521" s="40"/>
      <c r="C521" s="40"/>
      <c r="D521" s="40"/>
      <c r="E521" s="40"/>
      <c r="F521" s="40"/>
      <c r="G521" s="40"/>
      <c r="H521" s="40"/>
      <c r="I521" s="40"/>
    </row>
    <row r="522" spans="1:9" s="34" customFormat="1" x14ac:dyDescent="0.25">
      <c r="A522" s="40"/>
      <c r="B522" s="40"/>
      <c r="C522" s="40"/>
      <c r="D522" s="40"/>
      <c r="E522" s="40"/>
      <c r="F522" s="40"/>
      <c r="G522" s="40"/>
      <c r="H522" s="40"/>
      <c r="I522" s="40"/>
    </row>
    <row r="523" spans="1:9" s="34" customFormat="1" x14ac:dyDescent="0.25">
      <c r="A523" s="40"/>
      <c r="B523" s="40"/>
      <c r="C523" s="40"/>
      <c r="D523" s="40"/>
      <c r="E523" s="40"/>
      <c r="F523" s="40"/>
      <c r="G523" s="40"/>
      <c r="H523" s="40"/>
      <c r="I523" s="40"/>
    </row>
    <row r="524" spans="1:9" s="34" customFormat="1" x14ac:dyDescent="0.25">
      <c r="A524" s="40"/>
      <c r="B524" s="40"/>
      <c r="C524" s="40"/>
      <c r="D524" s="40"/>
      <c r="E524" s="40"/>
      <c r="F524" s="40"/>
      <c r="G524" s="40"/>
      <c r="H524" s="40"/>
      <c r="I524" s="40"/>
    </row>
    <row r="525" spans="1:9" s="34" customFormat="1" x14ac:dyDescent="0.25">
      <c r="A525" s="40"/>
      <c r="B525" s="40"/>
      <c r="C525" s="40"/>
      <c r="D525" s="40"/>
      <c r="E525" s="40"/>
      <c r="F525" s="40"/>
      <c r="G525" s="40"/>
      <c r="H525" s="40"/>
      <c r="I525" s="40"/>
    </row>
    <row r="526" spans="1:9" s="34" customFormat="1" x14ac:dyDescent="0.25">
      <c r="A526" s="40"/>
      <c r="B526" s="40"/>
      <c r="C526" s="40"/>
      <c r="D526" s="40"/>
      <c r="E526" s="40"/>
      <c r="F526" s="40"/>
      <c r="G526" s="40"/>
      <c r="H526" s="40"/>
      <c r="I526" s="40"/>
    </row>
    <row r="527" spans="1:9" s="34" customFormat="1" x14ac:dyDescent="0.25">
      <c r="A527" s="40"/>
      <c r="B527" s="40"/>
      <c r="C527" s="40"/>
      <c r="D527" s="40"/>
      <c r="E527" s="40"/>
      <c r="F527" s="40"/>
      <c r="G527" s="40"/>
      <c r="H527" s="40"/>
      <c r="I527" s="40"/>
    </row>
    <row r="528" spans="1:9" s="34" customFormat="1" x14ac:dyDescent="0.25">
      <c r="A528" s="40"/>
      <c r="B528" s="40"/>
      <c r="C528" s="40"/>
      <c r="D528" s="40"/>
      <c r="E528" s="40"/>
      <c r="F528" s="40"/>
      <c r="G528" s="40"/>
      <c r="H528" s="40"/>
      <c r="I528" s="40"/>
    </row>
    <row r="529" spans="1:9" s="34" customFormat="1" x14ac:dyDescent="0.25">
      <c r="A529" s="40"/>
      <c r="B529" s="40"/>
      <c r="C529" s="40"/>
      <c r="D529" s="40"/>
      <c r="E529" s="40"/>
      <c r="F529" s="40"/>
      <c r="G529" s="40"/>
      <c r="H529" s="40"/>
      <c r="I529" s="40"/>
    </row>
    <row r="530" spans="1:9" s="34" customFormat="1" x14ac:dyDescent="0.25">
      <c r="A530" s="40"/>
      <c r="B530" s="40"/>
      <c r="C530" s="40"/>
      <c r="D530" s="40"/>
      <c r="E530" s="40"/>
      <c r="F530" s="40"/>
      <c r="G530" s="40"/>
      <c r="H530" s="40"/>
      <c r="I530" s="40"/>
    </row>
    <row r="531" spans="1:9" s="34" customFormat="1" x14ac:dyDescent="0.25">
      <c r="A531" s="40"/>
      <c r="B531" s="40"/>
      <c r="C531" s="40"/>
      <c r="D531" s="40"/>
      <c r="E531" s="40"/>
      <c r="F531" s="40"/>
      <c r="G531" s="40"/>
      <c r="H531" s="40"/>
      <c r="I531" s="40"/>
    </row>
    <row r="532" spans="1:9" s="34" customFormat="1" x14ac:dyDescent="0.25">
      <c r="A532" s="40"/>
      <c r="B532" s="40"/>
      <c r="C532" s="40"/>
      <c r="D532" s="40"/>
      <c r="E532" s="40"/>
      <c r="F532" s="40"/>
      <c r="G532" s="40"/>
      <c r="H532" s="40"/>
      <c r="I532" s="40"/>
    </row>
    <row r="533" spans="1:9" s="34" customFormat="1" x14ac:dyDescent="0.25">
      <c r="A533" s="40"/>
      <c r="B533" s="40"/>
      <c r="C533" s="40"/>
      <c r="D533" s="40"/>
      <c r="E533" s="40"/>
      <c r="F533" s="40"/>
      <c r="G533" s="40"/>
      <c r="H533" s="40"/>
      <c r="I533" s="40"/>
    </row>
    <row r="534" spans="1:9" s="34" customFormat="1" x14ac:dyDescent="0.25">
      <c r="A534" s="40"/>
      <c r="B534" s="40"/>
      <c r="C534" s="40"/>
      <c r="D534" s="40"/>
      <c r="E534" s="40"/>
      <c r="F534" s="40"/>
      <c r="G534" s="40"/>
      <c r="H534" s="40"/>
      <c r="I534" s="40"/>
    </row>
    <row r="535" spans="1:9" s="34" customFormat="1" x14ac:dyDescent="0.25">
      <c r="A535" s="40"/>
      <c r="B535" s="40"/>
      <c r="C535" s="40"/>
      <c r="D535" s="40"/>
      <c r="E535" s="40"/>
      <c r="F535" s="40"/>
      <c r="G535" s="40"/>
      <c r="H535" s="40"/>
      <c r="I535" s="40"/>
    </row>
    <row r="536" spans="1:9" s="34" customFormat="1" x14ac:dyDescent="0.25">
      <c r="A536" s="40"/>
      <c r="B536" s="40"/>
      <c r="C536" s="40"/>
      <c r="D536" s="40"/>
      <c r="E536" s="40"/>
      <c r="F536" s="40"/>
      <c r="G536" s="40"/>
      <c r="H536" s="40"/>
      <c r="I536" s="40"/>
    </row>
    <row r="537" spans="1:9" s="34" customFormat="1" x14ac:dyDescent="0.25">
      <c r="A537" s="40"/>
      <c r="B537" s="40"/>
      <c r="C537" s="40"/>
      <c r="D537" s="40"/>
      <c r="E537" s="40"/>
      <c r="F537" s="40"/>
      <c r="G537" s="40"/>
      <c r="H537" s="40"/>
      <c r="I537" s="40"/>
    </row>
    <row r="538" spans="1:9" s="34" customFormat="1" x14ac:dyDescent="0.25">
      <c r="A538" s="40"/>
      <c r="B538" s="40"/>
      <c r="C538" s="40"/>
      <c r="D538" s="40"/>
      <c r="E538" s="40"/>
      <c r="F538" s="40"/>
      <c r="G538" s="40"/>
      <c r="H538" s="40"/>
      <c r="I538" s="40"/>
    </row>
    <row r="539" spans="1:9" s="34" customFormat="1" x14ac:dyDescent="0.25">
      <c r="A539" s="40"/>
      <c r="B539" s="40"/>
      <c r="C539" s="40"/>
      <c r="D539" s="40"/>
      <c r="E539" s="40"/>
      <c r="F539" s="40"/>
      <c r="G539" s="40"/>
      <c r="H539" s="40"/>
      <c r="I539" s="40"/>
    </row>
    <row r="540" spans="1:9" s="34" customFormat="1" x14ac:dyDescent="0.25">
      <c r="A540" s="40"/>
      <c r="B540" s="40"/>
      <c r="C540" s="40"/>
      <c r="D540" s="40"/>
      <c r="E540" s="40"/>
      <c r="F540" s="40"/>
      <c r="G540" s="40"/>
      <c r="H540" s="40"/>
      <c r="I540" s="40"/>
    </row>
    <row r="541" spans="1:9" s="34" customFormat="1" x14ac:dyDescent="0.25">
      <c r="A541" s="40"/>
      <c r="B541" s="40"/>
      <c r="C541" s="40"/>
      <c r="D541" s="40"/>
      <c r="E541" s="40"/>
      <c r="F541" s="40"/>
      <c r="G541" s="40"/>
      <c r="H541" s="40"/>
      <c r="I541" s="40"/>
    </row>
    <row r="542" spans="1:9" s="34" customFormat="1" x14ac:dyDescent="0.25">
      <c r="A542" s="40"/>
      <c r="B542" s="40"/>
      <c r="C542" s="40"/>
      <c r="D542" s="40"/>
      <c r="E542" s="40"/>
      <c r="F542" s="40"/>
      <c r="G542" s="40"/>
      <c r="H542" s="40"/>
      <c r="I542" s="40"/>
    </row>
    <row r="543" spans="1:9" s="34" customFormat="1" x14ac:dyDescent="0.25">
      <c r="A543" s="40"/>
      <c r="B543" s="40"/>
      <c r="C543" s="40"/>
      <c r="D543" s="40"/>
      <c r="E543" s="40"/>
      <c r="F543" s="40"/>
      <c r="G543" s="40"/>
      <c r="H543" s="40"/>
      <c r="I543" s="40"/>
    </row>
    <row r="544" spans="1:9" s="34" customFormat="1" x14ac:dyDescent="0.25">
      <c r="A544" s="40"/>
      <c r="B544" s="40"/>
      <c r="C544" s="40"/>
      <c r="D544" s="40"/>
      <c r="E544" s="40"/>
      <c r="F544" s="40"/>
      <c r="G544" s="40"/>
      <c r="H544" s="40"/>
      <c r="I544" s="40"/>
    </row>
    <row r="545" spans="1:9" s="34" customFormat="1" x14ac:dyDescent="0.25">
      <c r="A545" s="40"/>
      <c r="B545" s="40"/>
      <c r="C545" s="40"/>
      <c r="D545" s="40"/>
      <c r="E545" s="40"/>
      <c r="F545" s="40"/>
      <c r="G545" s="40"/>
      <c r="H545" s="40"/>
      <c r="I545" s="40"/>
    </row>
    <row r="546" spans="1:9" s="34" customFormat="1" x14ac:dyDescent="0.25">
      <c r="A546" s="40"/>
      <c r="B546" s="40"/>
      <c r="C546" s="40"/>
      <c r="D546" s="40"/>
      <c r="E546" s="40"/>
      <c r="F546" s="40"/>
      <c r="G546" s="40"/>
      <c r="H546" s="40"/>
      <c r="I546" s="40"/>
    </row>
    <row r="547" spans="1:9" s="34" customFormat="1" x14ac:dyDescent="0.25">
      <c r="A547" s="40"/>
      <c r="B547" s="40"/>
      <c r="C547" s="40"/>
      <c r="D547" s="40"/>
      <c r="E547" s="40"/>
      <c r="F547" s="40"/>
      <c r="G547" s="40"/>
      <c r="H547" s="40"/>
      <c r="I547" s="40"/>
    </row>
    <row r="548" spans="1:9" s="34" customFormat="1" x14ac:dyDescent="0.25">
      <c r="A548" s="40"/>
      <c r="B548" s="40"/>
      <c r="C548" s="40"/>
      <c r="D548" s="40"/>
      <c r="E548" s="40"/>
      <c r="F548" s="40"/>
      <c r="G548" s="40"/>
      <c r="H548" s="40"/>
      <c r="I548" s="40"/>
    </row>
    <row r="549" spans="1:9" s="34" customFormat="1" x14ac:dyDescent="0.25">
      <c r="A549" s="40"/>
      <c r="B549" s="40"/>
      <c r="C549" s="40"/>
      <c r="D549" s="40"/>
      <c r="E549" s="40"/>
      <c r="F549" s="40"/>
      <c r="G549" s="40"/>
      <c r="H549" s="40"/>
      <c r="I549" s="40"/>
    </row>
    <row r="550" spans="1:9" s="34" customFormat="1" x14ac:dyDescent="0.25">
      <c r="A550" s="40"/>
      <c r="B550" s="40"/>
      <c r="C550" s="40"/>
      <c r="D550" s="40"/>
      <c r="E550" s="40"/>
      <c r="F550" s="40"/>
      <c r="G550" s="40"/>
      <c r="H550" s="40"/>
      <c r="I550" s="40"/>
    </row>
    <row r="551" spans="1:9" s="34" customFormat="1" x14ac:dyDescent="0.25">
      <c r="A551" s="40"/>
      <c r="B551" s="40"/>
      <c r="C551" s="40"/>
      <c r="D551" s="40"/>
      <c r="E551" s="40"/>
      <c r="F551" s="40"/>
      <c r="G551" s="40"/>
      <c r="H551" s="40"/>
      <c r="I551" s="40"/>
    </row>
    <row r="552" spans="1:9" s="34" customFormat="1" x14ac:dyDescent="0.25">
      <c r="A552" s="40"/>
      <c r="B552" s="40"/>
      <c r="C552" s="40"/>
      <c r="D552" s="40"/>
      <c r="E552" s="40"/>
      <c r="F552" s="40"/>
      <c r="G552" s="40"/>
      <c r="H552" s="40"/>
      <c r="I552" s="40"/>
    </row>
    <row r="553" spans="1:9" s="34" customFormat="1" x14ac:dyDescent="0.25">
      <c r="A553" s="40"/>
      <c r="B553" s="40"/>
      <c r="C553" s="40"/>
      <c r="D553" s="40"/>
      <c r="E553" s="40"/>
      <c r="F553" s="40"/>
      <c r="G553" s="40"/>
      <c r="H553" s="40"/>
      <c r="I553" s="40"/>
    </row>
    <row r="554" spans="1:9" s="34" customFormat="1" x14ac:dyDescent="0.25">
      <c r="A554" s="40"/>
      <c r="B554" s="40"/>
      <c r="C554" s="40"/>
      <c r="D554" s="40"/>
      <c r="E554" s="40"/>
      <c r="F554" s="40"/>
      <c r="G554" s="40"/>
      <c r="H554" s="40"/>
      <c r="I554" s="40"/>
    </row>
    <row r="555" spans="1:9" s="34" customFormat="1" x14ac:dyDescent="0.25">
      <c r="A555" s="40"/>
      <c r="B555" s="40"/>
      <c r="C555" s="40"/>
      <c r="D555" s="40"/>
      <c r="E555" s="40"/>
      <c r="F555" s="40"/>
      <c r="G555" s="40"/>
      <c r="H555" s="40"/>
      <c r="I555" s="40"/>
    </row>
    <row r="556" spans="1:9" s="34" customFormat="1" x14ac:dyDescent="0.25">
      <c r="A556" s="40"/>
      <c r="B556" s="40"/>
      <c r="C556" s="40"/>
      <c r="D556" s="40"/>
      <c r="E556" s="40"/>
      <c r="F556" s="40"/>
      <c r="G556" s="40"/>
      <c r="H556" s="40"/>
      <c r="I556" s="40"/>
    </row>
    <row r="557" spans="1:9" s="34" customFormat="1" x14ac:dyDescent="0.25">
      <c r="A557" s="40"/>
      <c r="B557" s="40"/>
      <c r="C557" s="40"/>
      <c r="D557" s="40"/>
      <c r="E557" s="40"/>
      <c r="F557" s="40"/>
      <c r="G557" s="40"/>
      <c r="H557" s="40"/>
      <c r="I557" s="40"/>
    </row>
    <row r="558" spans="1:9" s="34" customFormat="1" x14ac:dyDescent="0.25">
      <c r="A558" s="40"/>
      <c r="B558" s="40"/>
      <c r="C558" s="40"/>
      <c r="D558" s="40"/>
      <c r="E558" s="40"/>
      <c r="F558" s="40"/>
      <c r="G558" s="40"/>
      <c r="H558" s="40"/>
      <c r="I558" s="40"/>
    </row>
    <row r="559" spans="1:9" s="34" customFormat="1" x14ac:dyDescent="0.25">
      <c r="A559" s="40"/>
      <c r="B559" s="40"/>
      <c r="C559" s="40"/>
      <c r="D559" s="40"/>
      <c r="E559" s="40"/>
      <c r="F559" s="40"/>
      <c r="G559" s="40"/>
      <c r="H559" s="40"/>
      <c r="I559" s="40"/>
    </row>
  </sheetData>
  <mergeCells count="13">
    <mergeCell ref="A15:C15"/>
    <mergeCell ref="A7:C7"/>
    <mergeCell ref="A8:C8"/>
    <mergeCell ref="A11:C11"/>
    <mergeCell ref="A12:C12"/>
    <mergeCell ref="A13:C13"/>
    <mergeCell ref="A14:C14"/>
    <mergeCell ref="A6:C6"/>
    <mergeCell ref="A1:I1"/>
    <mergeCell ref="A4:C4"/>
    <mergeCell ref="F4:I4"/>
    <mergeCell ref="A5:C5"/>
    <mergeCell ref="F5:I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opLeftCell="A73" workbookViewId="0">
      <selection activeCell="K61" sqref="K61"/>
    </sheetView>
  </sheetViews>
  <sheetFormatPr defaultColWidth="8.85546875" defaultRowHeight="15" x14ac:dyDescent="0.25"/>
  <cols>
    <col min="1" max="1" width="16.42578125" customWidth="1"/>
    <col min="2" max="2" width="19.28515625" customWidth="1"/>
    <col min="3" max="3" width="12.42578125" customWidth="1"/>
    <col min="4" max="11" width="11.42578125" bestFit="1" customWidth="1"/>
    <col min="12" max="12" width="11" bestFit="1" customWidth="1"/>
    <col min="13" max="13" width="12.28515625" bestFit="1" customWidth="1"/>
  </cols>
  <sheetData>
    <row r="1" spans="1:13" x14ac:dyDescent="0.25">
      <c r="A1" s="121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3" x14ac:dyDescent="0.25">
      <c r="A2" t="s">
        <v>60</v>
      </c>
      <c r="D2" s="59">
        <v>2013</v>
      </c>
      <c r="E2" s="59">
        <v>2014</v>
      </c>
      <c r="F2" s="59">
        <v>2015</v>
      </c>
      <c r="G2" s="59">
        <v>2016</v>
      </c>
      <c r="H2" s="59">
        <v>2017</v>
      </c>
      <c r="I2" s="59">
        <v>2018</v>
      </c>
      <c r="J2" s="59">
        <v>2019</v>
      </c>
      <c r="K2" s="59">
        <v>2020</v>
      </c>
    </row>
    <row r="3" spans="1:13" x14ac:dyDescent="0.25">
      <c r="A3" t="s">
        <v>55</v>
      </c>
      <c r="B3" s="3"/>
      <c r="D3" s="64">
        <f>Forecast!G3</f>
        <v>173714.28571428574</v>
      </c>
      <c r="E3" s="64">
        <f>Forecast!H3</f>
        <v>178925.71428571432</v>
      </c>
      <c r="F3" s="64">
        <f>Forecast!I3</f>
        <v>184293.48571428575</v>
      </c>
      <c r="G3" s="64">
        <f>Forecast!J3</f>
        <v>189822.29028571432</v>
      </c>
      <c r="H3" s="64">
        <f>Forecast!K3</f>
        <v>195516.95899428576</v>
      </c>
      <c r="I3" s="64">
        <f>Forecast!L3</f>
        <v>201382.46776411432</v>
      </c>
      <c r="J3" s="64">
        <f>Forecast!M3</f>
        <v>207423.94179703775</v>
      </c>
      <c r="K3" s="64">
        <f>Forecast!N3</f>
        <v>213646.66005094891</v>
      </c>
      <c r="L3" s="43"/>
      <c r="M3" s="42"/>
    </row>
    <row r="4" spans="1:13" x14ac:dyDescent="0.25">
      <c r="A4" t="s">
        <v>56</v>
      </c>
      <c r="B4" s="3"/>
      <c r="D4" s="64">
        <f>Forecast!G4</f>
        <v>62537.142857142855</v>
      </c>
      <c r="E4" s="64">
        <f>Forecast!H4</f>
        <v>65038.62857142857</v>
      </c>
      <c r="F4" s="64">
        <f>Forecast!I4</f>
        <v>67640.173714285716</v>
      </c>
      <c r="G4" s="64">
        <f>Forecast!J4</f>
        <v>70345.780662857142</v>
      </c>
      <c r="H4" s="64">
        <f>Forecast!K4</f>
        <v>73159.61188937143</v>
      </c>
      <c r="I4" s="64">
        <f>Forecast!L4</f>
        <v>76085.996364946288</v>
      </c>
      <c r="J4" s="64">
        <f>Forecast!M4</f>
        <v>79129.436219544135</v>
      </c>
      <c r="K4" s="64">
        <f>Forecast!N4</f>
        <v>82294.61366832591</v>
      </c>
      <c r="L4" s="43"/>
      <c r="M4" s="42"/>
    </row>
    <row r="5" spans="1:13" x14ac:dyDescent="0.25">
      <c r="A5" t="s">
        <v>59</v>
      </c>
      <c r="D5" s="64">
        <f>Forecast!G5</f>
        <v>236251.42857142858</v>
      </c>
      <c r="E5" s="64">
        <f>Forecast!H5</f>
        <v>243964.34285714288</v>
      </c>
      <c r="F5" s="64">
        <f>Forecast!I5</f>
        <v>251933.65942857147</v>
      </c>
      <c r="G5" s="64">
        <f>Forecast!J5</f>
        <v>260168.07094857146</v>
      </c>
      <c r="H5" s="64">
        <f>Forecast!K5</f>
        <v>268676.5708836572</v>
      </c>
      <c r="I5" s="64">
        <f>Forecast!L5</f>
        <v>277468.46412906062</v>
      </c>
      <c r="J5" s="64">
        <f>Forecast!M5</f>
        <v>286553.37801658188</v>
      </c>
      <c r="K5" s="64">
        <f>Forecast!N5</f>
        <v>295941.27371927479</v>
      </c>
    </row>
    <row r="6" spans="1:13" x14ac:dyDescent="0.25">
      <c r="A6" t="s">
        <v>0</v>
      </c>
      <c r="D6" s="64">
        <f>Forecast!G6</f>
        <v>0</v>
      </c>
      <c r="E6" s="64">
        <f>Forecast!H6</f>
        <v>0</v>
      </c>
      <c r="F6" s="64">
        <f>Forecast!I6</f>
        <v>0</v>
      </c>
      <c r="G6" s="64">
        <f>Forecast!J6</f>
        <v>0</v>
      </c>
      <c r="H6" s="64">
        <f>Forecast!K6</f>
        <v>0</v>
      </c>
      <c r="I6" s="64">
        <f>Forecast!L6</f>
        <v>0</v>
      </c>
      <c r="J6" s="64">
        <f>Forecast!M6</f>
        <v>0</v>
      </c>
      <c r="K6" s="64">
        <f>Forecast!N6</f>
        <v>0</v>
      </c>
      <c r="L6" s="3"/>
    </row>
    <row r="7" spans="1:13" x14ac:dyDescent="0.25">
      <c r="A7" t="s">
        <v>1</v>
      </c>
      <c r="D7" s="64">
        <f>Forecast!G7</f>
        <v>18000</v>
      </c>
      <c r="E7" s="64">
        <f>Forecast!H7</f>
        <v>18000</v>
      </c>
      <c r="F7" s="64">
        <f>Forecast!I7</f>
        <v>18000</v>
      </c>
      <c r="G7" s="64">
        <f>Forecast!J7</f>
        <v>18000</v>
      </c>
      <c r="H7" s="64">
        <f>Forecast!K7</f>
        <v>18000</v>
      </c>
      <c r="I7" s="64">
        <f>Forecast!L7</f>
        <v>18000</v>
      </c>
      <c r="J7" s="64">
        <f>Forecast!M7</f>
        <v>18000</v>
      </c>
      <c r="K7" s="64">
        <f>Forecast!N7</f>
        <v>18000</v>
      </c>
    </row>
    <row r="8" spans="1:13" x14ac:dyDescent="0.25">
      <c r="A8" t="s">
        <v>94</v>
      </c>
      <c r="D8" s="64">
        <f>Forecast!G8</f>
        <v>6080</v>
      </c>
      <c r="E8" s="64">
        <f>Forecast!H8</f>
        <v>6080</v>
      </c>
      <c r="F8" s="64">
        <f>Forecast!I8</f>
        <v>6080</v>
      </c>
      <c r="G8" s="64">
        <f>Forecast!J8</f>
        <v>6080</v>
      </c>
      <c r="H8" s="64">
        <f>Forecast!K8</f>
        <v>6080</v>
      </c>
      <c r="I8" s="64">
        <f>Forecast!L8</f>
        <v>6080</v>
      </c>
      <c r="J8" s="64">
        <f>Forecast!M8</f>
        <v>6080</v>
      </c>
      <c r="K8" s="64">
        <f>Forecast!N8</f>
        <v>6080</v>
      </c>
    </row>
    <row r="9" spans="1:13" x14ac:dyDescent="0.25">
      <c r="A9" t="s">
        <v>95</v>
      </c>
      <c r="D9" s="64">
        <f>Forecast!G9</f>
        <v>4725.0285714285719</v>
      </c>
      <c r="E9" s="64">
        <f>Forecast!H9</f>
        <v>4879.286857142858</v>
      </c>
      <c r="F9" s="64">
        <f>Forecast!I9</f>
        <v>5038.6731885714298</v>
      </c>
      <c r="G9" s="64">
        <f>Forecast!J9</f>
        <v>5203.361418971429</v>
      </c>
      <c r="H9" s="64">
        <f>Forecast!K9</f>
        <v>5373.5314176731445</v>
      </c>
      <c r="I9" s="64">
        <f>Forecast!L9</f>
        <v>5549.3692825812122</v>
      </c>
      <c r="J9" s="64">
        <f>Forecast!M9</f>
        <v>5731.0675603316377</v>
      </c>
      <c r="K9" s="64">
        <f>Forecast!N9</f>
        <v>5918.8254743854959</v>
      </c>
    </row>
    <row r="10" spans="1:13" x14ac:dyDescent="0.25">
      <c r="A10" t="s">
        <v>2</v>
      </c>
      <c r="D10" s="64">
        <f>Forecast!G10</f>
        <v>7296</v>
      </c>
      <c r="E10" s="64">
        <f>Forecast!H10</f>
        <v>7514.880000000001</v>
      </c>
      <c r="F10" s="64">
        <f>Forecast!I10</f>
        <v>7740.3264000000008</v>
      </c>
      <c r="G10" s="64">
        <f>Forecast!J10</f>
        <v>7972.5361920000005</v>
      </c>
      <c r="H10" s="64">
        <f>Forecast!K10</f>
        <v>8211.7122777600016</v>
      </c>
      <c r="I10" s="64">
        <f>Forecast!L10</f>
        <v>8458.0636460927999</v>
      </c>
      <c r="J10" s="64">
        <f>Forecast!M10</f>
        <v>8711.8055554755847</v>
      </c>
      <c r="K10" s="64">
        <f>Forecast!N10</f>
        <v>8973.1597221398533</v>
      </c>
    </row>
    <row r="11" spans="1:13" x14ac:dyDescent="0.25">
      <c r="A11" t="s">
        <v>75</v>
      </c>
      <c r="D11" s="64">
        <f>Forecast!G11</f>
        <v>24603.415292867267</v>
      </c>
      <c r="E11" s="64">
        <f>Forecast!H11</f>
        <v>24098.816853417051</v>
      </c>
      <c r="F11" s="64">
        <f>Forecast!I11</f>
        <v>23577.57246238743</v>
      </c>
      <c r="G11" s="64">
        <f>Forecast!J11</f>
        <v>23039.13299460812</v>
      </c>
      <c r="H11" s="64">
        <f>Forecast!K11</f>
        <v>22482.931210086674</v>
      </c>
      <c r="I11" s="64">
        <f>Forecast!L11</f>
        <v>21908.381156427487</v>
      </c>
      <c r="J11" s="64">
        <f>Forecast!M11</f>
        <v>21314.877551537385</v>
      </c>
      <c r="K11" s="64">
        <f>Forecast!N11</f>
        <v>20701.795145967742</v>
      </c>
    </row>
    <row r="12" spans="1:13" x14ac:dyDescent="0.25">
      <c r="A12" t="s">
        <v>4</v>
      </c>
      <c r="D12" s="64">
        <f>Forecast!G12</f>
        <v>18725</v>
      </c>
      <c r="E12" s="64">
        <f>Forecast!H12</f>
        <v>18725</v>
      </c>
      <c r="F12" s="64">
        <f>Forecast!I12</f>
        <v>18725</v>
      </c>
      <c r="G12" s="64">
        <f>Forecast!J12</f>
        <v>18725</v>
      </c>
      <c r="H12" s="64">
        <f>Forecast!K12</f>
        <v>18725</v>
      </c>
      <c r="I12" s="64">
        <f>Forecast!L12</f>
        <v>18725</v>
      </c>
      <c r="J12" s="64">
        <f>Forecast!M12</f>
        <v>18725</v>
      </c>
      <c r="K12" s="64">
        <f>Forecast!N12</f>
        <v>18725</v>
      </c>
    </row>
    <row r="13" spans="1:13" x14ac:dyDescent="0.25">
      <c r="A13" t="s">
        <v>5</v>
      </c>
      <c r="D13" s="64">
        <f>Forecast!G13</f>
        <v>100000</v>
      </c>
      <c r="E13" s="64">
        <f>Forecast!H13</f>
        <v>100000</v>
      </c>
      <c r="F13" s="64">
        <f>Forecast!I13</f>
        <v>100000</v>
      </c>
      <c r="G13" s="64">
        <f>Forecast!J13</f>
        <v>100000</v>
      </c>
      <c r="H13" s="64">
        <f>Forecast!K13</f>
        <v>100000</v>
      </c>
      <c r="I13" s="64">
        <f>Forecast!L13</f>
        <v>100000</v>
      </c>
      <c r="J13" s="64">
        <f>Forecast!M13</f>
        <v>100000</v>
      </c>
      <c r="K13" s="64">
        <f>Forecast!N13</f>
        <v>100000</v>
      </c>
    </row>
    <row r="14" spans="1:13" x14ac:dyDescent="0.25">
      <c r="A14" t="s">
        <v>6</v>
      </c>
      <c r="D14" s="64">
        <f>Forecast!G14</f>
        <v>3474.2857142857147</v>
      </c>
      <c r="E14" s="64">
        <f>Forecast!H14</f>
        <v>3578.5142857142864</v>
      </c>
      <c r="F14" s="64">
        <f>Forecast!I14</f>
        <v>3685.869714285715</v>
      </c>
      <c r="G14" s="64">
        <f>Forecast!J14</f>
        <v>3796.4458057142865</v>
      </c>
      <c r="H14" s="64">
        <f>Forecast!K14</f>
        <v>3910.3391798857151</v>
      </c>
      <c r="I14" s="64">
        <f>Forecast!L14</f>
        <v>4027.6493552822867</v>
      </c>
      <c r="J14" s="64">
        <f>Forecast!M14</f>
        <v>4148.4788359407548</v>
      </c>
      <c r="K14" s="64">
        <f>Forecast!N14</f>
        <v>4272.9332010189783</v>
      </c>
    </row>
    <row r="15" spans="1:13" x14ac:dyDescent="0.25">
      <c r="A15" t="s">
        <v>9</v>
      </c>
      <c r="D15" s="64">
        <f>Forecast!G15</f>
        <v>22500</v>
      </c>
      <c r="E15" s="64">
        <f>Forecast!H15</f>
        <v>22500</v>
      </c>
      <c r="F15" s="64">
        <f>Forecast!I15</f>
        <v>22500</v>
      </c>
      <c r="G15" s="64">
        <f>Forecast!J15</f>
        <v>22500</v>
      </c>
      <c r="H15" s="64">
        <f>Forecast!K15</f>
        <v>22500</v>
      </c>
      <c r="I15" s="64">
        <f>Forecast!L15</f>
        <v>22500</v>
      </c>
      <c r="J15" s="64">
        <f>Forecast!M15</f>
        <v>22500</v>
      </c>
      <c r="K15" s="64">
        <f>Forecast!N15</f>
        <v>22500</v>
      </c>
    </row>
    <row r="16" spans="1:13" x14ac:dyDescent="0.25">
      <c r="A16" t="s">
        <v>3</v>
      </c>
      <c r="D16" s="64">
        <f>Forecast!G16</f>
        <v>0</v>
      </c>
      <c r="E16" s="64">
        <f>Forecast!H16</f>
        <v>0</v>
      </c>
      <c r="F16" s="64">
        <f>Forecast!I16</f>
        <v>0</v>
      </c>
      <c r="G16" s="64">
        <f>Forecast!J16</f>
        <v>0</v>
      </c>
      <c r="H16" s="64">
        <f>Forecast!K16</f>
        <v>0</v>
      </c>
      <c r="I16" s="64">
        <f>Forecast!L16</f>
        <v>0</v>
      </c>
      <c r="J16" s="64">
        <f>Forecast!M16</f>
        <v>0</v>
      </c>
      <c r="K16" s="64">
        <f>Forecast!N16</f>
        <v>0</v>
      </c>
    </row>
    <row r="17" spans="1:11" x14ac:dyDescent="0.25">
      <c r="A17" t="s">
        <v>10</v>
      </c>
      <c r="D17" s="64">
        <f>Forecast!G17</f>
        <v>205403.72957858155</v>
      </c>
      <c r="E17" s="64">
        <f>Forecast!H17</f>
        <v>205376.49799627418</v>
      </c>
      <c r="F17" s="64">
        <f>Forecast!I17</f>
        <v>205347.44176524458</v>
      </c>
      <c r="G17" s="64">
        <f>Forecast!J17</f>
        <v>205316.47641129384</v>
      </c>
      <c r="H17" s="64">
        <f>Forecast!K17</f>
        <v>205283.51408540554</v>
      </c>
      <c r="I17" s="64">
        <f>Forecast!L17</f>
        <v>205248.46344038378</v>
      </c>
      <c r="J17" s="64">
        <f>Forecast!M17</f>
        <v>205211.22950328537</v>
      </c>
      <c r="K17" s="64">
        <f>Forecast!N17</f>
        <v>205171.71354351207</v>
      </c>
    </row>
    <row r="18" spans="1:11" x14ac:dyDescent="0.25">
      <c r="A18" t="s">
        <v>61</v>
      </c>
      <c r="D18" s="64">
        <f>Forecast!G18</f>
        <v>30847.698992847028</v>
      </c>
      <c r="E18" s="64">
        <f>Forecast!H18</f>
        <v>38587.844860868703</v>
      </c>
      <c r="F18" s="64">
        <f>Forecast!I18</f>
        <v>46586.217663326883</v>
      </c>
      <c r="G18" s="64">
        <f>Forecast!J18</f>
        <v>54851.594537277619</v>
      </c>
      <c r="H18" s="64">
        <f>Forecast!K18</f>
        <v>63393.056798251666</v>
      </c>
      <c r="I18" s="64">
        <f>Forecast!L18</f>
        <v>72220.000688676839</v>
      </c>
      <c r="J18" s="64">
        <f>Forecast!M18</f>
        <v>81342.148513296503</v>
      </c>
      <c r="K18" s="64">
        <f>Forecast!N18</f>
        <v>90769.560175762716</v>
      </c>
    </row>
    <row r="19" spans="1:11" x14ac:dyDescent="0.25">
      <c r="A19" t="s">
        <v>62</v>
      </c>
      <c r="D19" s="64">
        <f>Forecast!G19</f>
        <v>7711.9247482117571</v>
      </c>
      <c r="E19" s="64">
        <f>Forecast!H19</f>
        <v>9646.9612152171758</v>
      </c>
      <c r="F19" s="64">
        <f>Forecast!I19</f>
        <v>11646.554415831721</v>
      </c>
      <c r="G19" s="64">
        <f>Forecast!J19</f>
        <v>13712.898634319405</v>
      </c>
      <c r="H19" s="64">
        <f>Forecast!K19</f>
        <v>15848.264199562916</v>
      </c>
      <c r="I19" s="64">
        <f>Forecast!L19</f>
        <v>18055.00017216921</v>
      </c>
      <c r="J19" s="64">
        <f>Forecast!M19</f>
        <v>20335.537128324126</v>
      </c>
      <c r="K19" s="64">
        <f>Forecast!N19</f>
        <v>22692.390043940679</v>
      </c>
    </row>
    <row r="20" spans="1:11" x14ac:dyDescent="0.25">
      <c r="A20" t="s">
        <v>63</v>
      </c>
      <c r="D20" s="64">
        <f>Forecast!G20</f>
        <v>23135.774244635271</v>
      </c>
      <c r="E20" s="64">
        <f>Forecast!H20</f>
        <v>28940.883645651527</v>
      </c>
      <c r="F20" s="64">
        <f>Forecast!I20</f>
        <v>34939.663247495162</v>
      </c>
      <c r="G20" s="64">
        <f>Forecast!J20</f>
        <v>41138.695902958214</v>
      </c>
      <c r="H20" s="64">
        <f>Forecast!K20</f>
        <v>47544.792598688749</v>
      </c>
      <c r="I20" s="64">
        <f>Forecast!L20</f>
        <v>54165.000516507629</v>
      </c>
      <c r="J20" s="64">
        <f>Forecast!M20</f>
        <v>61006.611384972377</v>
      </c>
      <c r="K20" s="64">
        <f>Forecast!N20</f>
        <v>68077.170131822029</v>
      </c>
    </row>
    <row r="22" spans="1:11" x14ac:dyDescent="0.25">
      <c r="A22" s="121" t="s">
        <v>65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3"/>
    </row>
    <row r="23" spans="1:11" x14ac:dyDescent="0.25">
      <c r="A23" t="s">
        <v>66</v>
      </c>
      <c r="D23">
        <v>2013</v>
      </c>
      <c r="E23">
        <v>2014</v>
      </c>
      <c r="F23">
        <v>2015</v>
      </c>
      <c r="G23">
        <v>2016</v>
      </c>
      <c r="H23">
        <v>2017</v>
      </c>
      <c r="I23">
        <v>2018</v>
      </c>
      <c r="J23">
        <v>2019</v>
      </c>
      <c r="K23">
        <v>2020</v>
      </c>
    </row>
    <row r="24" spans="1:11" x14ac:dyDescent="0.25">
      <c r="A24" t="s">
        <v>76</v>
      </c>
      <c r="D24" s="64">
        <f>Forecast!G24</f>
        <v>1000</v>
      </c>
      <c r="E24" s="64">
        <f>Forecast!H24</f>
        <v>1000</v>
      </c>
      <c r="F24" s="64">
        <f>Forecast!I24</f>
        <v>1000</v>
      </c>
      <c r="G24" s="64">
        <f>Forecast!J24</f>
        <v>1000</v>
      </c>
      <c r="H24" s="64">
        <f>Forecast!K24</f>
        <v>1000</v>
      </c>
      <c r="I24" s="64">
        <f>Forecast!L24</f>
        <v>1000</v>
      </c>
      <c r="J24" s="64">
        <f>Forecast!M24</f>
        <v>1000</v>
      </c>
      <c r="K24" s="64">
        <f>Forecast!N24</f>
        <v>1000</v>
      </c>
    </row>
    <row r="25" spans="1:11" x14ac:dyDescent="0.25">
      <c r="A25" t="s">
        <v>77</v>
      </c>
      <c r="D25" s="64">
        <f>Forecast!G25</f>
        <v>51043.725409311039</v>
      </c>
      <c r="E25" s="64">
        <f>Forecast!H25</f>
        <v>43618.610403091603</v>
      </c>
      <c r="F25" s="64">
        <f>Forecast!I25</f>
        <v>41735.579845404718</v>
      </c>
      <c r="G25" s="64">
        <f>Forecast!J25</f>
        <v>45579.885772507419</v>
      </c>
      <c r="H25" s="64">
        <f>Forecast!K25</f>
        <v>55343.10000518505</v>
      </c>
      <c r="I25" s="64">
        <f>Forecast!L25</f>
        <v>71223.334318423527</v>
      </c>
      <c r="J25" s="64">
        <f>Forecast!M25</f>
        <v>93425.468442094483</v>
      </c>
      <c r="K25" s="64">
        <f>Forecast!N25</f>
        <v>122161.38617671536</v>
      </c>
    </row>
    <row r="26" spans="1:11" x14ac:dyDescent="0.25">
      <c r="A26" t="s">
        <v>90</v>
      </c>
      <c r="D26" s="64">
        <f>Forecast!G26</f>
        <v>0</v>
      </c>
      <c r="E26" s="64">
        <f>Forecast!H26</f>
        <v>0</v>
      </c>
      <c r="F26" s="64">
        <f>Forecast!I26</f>
        <v>0</v>
      </c>
      <c r="G26" s="64">
        <f>Forecast!J26</f>
        <v>0</v>
      </c>
      <c r="H26" s="64">
        <f>Forecast!K26</f>
        <v>0</v>
      </c>
      <c r="I26" s="64">
        <f>Forecast!L26</f>
        <v>0</v>
      </c>
      <c r="J26" s="64">
        <f>Forecast!M26</f>
        <v>0</v>
      </c>
      <c r="K26" s="64">
        <f>Forecast!N26</f>
        <v>0</v>
      </c>
    </row>
    <row r="27" spans="1:11" x14ac:dyDescent="0.25">
      <c r="A27" t="s">
        <v>91</v>
      </c>
      <c r="D27" s="64">
        <f>Forecast!G27</f>
        <v>608</v>
      </c>
      <c r="E27" s="64">
        <f>Forecast!H27</f>
        <v>626.24000000000012</v>
      </c>
      <c r="F27" s="64">
        <f>Forecast!I27</f>
        <v>645.02720000000011</v>
      </c>
      <c r="G27" s="64">
        <f>Forecast!J27</f>
        <v>664.378016</v>
      </c>
      <c r="H27" s="64">
        <f>Forecast!K27</f>
        <v>684.30935648000013</v>
      </c>
      <c r="I27" s="64">
        <f>Forecast!L27</f>
        <v>704.83863717439999</v>
      </c>
      <c r="J27" s="64">
        <f>Forecast!M27</f>
        <v>725.9837962896321</v>
      </c>
      <c r="K27" s="64">
        <f>Forecast!N27</f>
        <v>747.76331017832115</v>
      </c>
    </row>
    <row r="28" spans="1:11" x14ac:dyDescent="0.25">
      <c r="A28" t="s">
        <v>85</v>
      </c>
      <c r="D28" s="64">
        <f>Forecast!G28</f>
        <v>279997.28999999998</v>
      </c>
      <c r="E28" s="64">
        <f>Forecast!H28</f>
        <v>279997.28999999998</v>
      </c>
      <c r="F28" s="64">
        <f>Forecast!I28</f>
        <v>279997.28999999998</v>
      </c>
      <c r="G28" s="64">
        <f>Forecast!J28</f>
        <v>279997.28999999998</v>
      </c>
      <c r="H28" s="64">
        <f>Forecast!K28</f>
        <v>279997.28999999998</v>
      </c>
      <c r="I28" s="64">
        <f>Forecast!L28</f>
        <v>279997.28999999998</v>
      </c>
      <c r="J28" s="64">
        <f>Forecast!M28</f>
        <v>279997.28999999998</v>
      </c>
      <c r="K28" s="64">
        <f>Forecast!N28</f>
        <v>279997.28999999998</v>
      </c>
    </row>
    <row r="29" spans="1:11" x14ac:dyDescent="0.25">
      <c r="A29" t="s">
        <v>86</v>
      </c>
      <c r="D29" s="64">
        <f>Forecast!G29</f>
        <v>675000</v>
      </c>
      <c r="E29" s="64">
        <f>Forecast!H29</f>
        <v>675000</v>
      </c>
      <c r="F29" s="64">
        <f>Forecast!I29</f>
        <v>675000</v>
      </c>
      <c r="G29" s="64">
        <f>Forecast!J29</f>
        <v>675000</v>
      </c>
      <c r="H29" s="64">
        <f>Forecast!K29</f>
        <v>675000</v>
      </c>
      <c r="I29" s="64">
        <f>Forecast!L29</f>
        <v>675000</v>
      </c>
      <c r="J29" s="64">
        <f>Forecast!M29</f>
        <v>675000</v>
      </c>
      <c r="K29" s="64">
        <f>Forecast!N29</f>
        <v>675000</v>
      </c>
    </row>
    <row r="30" spans="1:11" x14ac:dyDescent="0.25">
      <c r="A30" t="s">
        <v>84</v>
      </c>
      <c r="D30" s="64">
        <f>Forecast!G30</f>
        <v>22500</v>
      </c>
      <c r="E30" s="64">
        <f>Forecast!H30</f>
        <v>45000</v>
      </c>
      <c r="F30" s="64">
        <f>Forecast!I30</f>
        <v>67500</v>
      </c>
      <c r="G30" s="64">
        <f>Forecast!J30</f>
        <v>90000</v>
      </c>
      <c r="H30" s="64">
        <f>Forecast!K30</f>
        <v>112500</v>
      </c>
      <c r="I30" s="64">
        <f>Forecast!L30</f>
        <v>135000</v>
      </c>
      <c r="J30" s="64">
        <f>Forecast!M30</f>
        <v>157500</v>
      </c>
      <c r="K30" s="64">
        <f>Forecast!N30</f>
        <v>180000</v>
      </c>
    </row>
    <row r="31" spans="1:11" x14ac:dyDescent="0.25">
      <c r="A31" t="s">
        <v>67</v>
      </c>
      <c r="D31" s="64">
        <f>Forecast!G31</f>
        <v>1030149.015409311</v>
      </c>
      <c r="E31" s="64">
        <f>Forecast!H31</f>
        <v>1045242.1404030916</v>
      </c>
      <c r="F31" s="64">
        <f>Forecast!I31</f>
        <v>1065877.8970454047</v>
      </c>
      <c r="G31" s="64">
        <f>Forecast!J31</f>
        <v>1092241.5537885074</v>
      </c>
      <c r="H31" s="64">
        <f>Forecast!K31</f>
        <v>1124524.6993616652</v>
      </c>
      <c r="I31" s="64">
        <f>Forecast!L31</f>
        <v>1162925.4629555978</v>
      </c>
      <c r="J31" s="64">
        <f>Forecast!M31</f>
        <v>1207648.7422383842</v>
      </c>
      <c r="K31" s="64">
        <f>Forecast!N31</f>
        <v>1258906.4394868936</v>
      </c>
    </row>
    <row r="32" spans="1:11" x14ac:dyDescent="0.25">
      <c r="D32" s="64">
        <f>Forecast!G32</f>
        <v>0</v>
      </c>
      <c r="E32" s="64">
        <f>Forecast!H32</f>
        <v>0</v>
      </c>
      <c r="F32" s="64">
        <f>Forecast!I32</f>
        <v>0</v>
      </c>
      <c r="G32" s="64">
        <f>Forecast!J32</f>
        <v>0</v>
      </c>
      <c r="H32" s="64">
        <f>Forecast!K32</f>
        <v>0</v>
      </c>
      <c r="I32" s="64">
        <f>Forecast!L32</f>
        <v>0</v>
      </c>
      <c r="J32" s="64">
        <f>Forecast!M32</f>
        <v>0</v>
      </c>
      <c r="K32" s="64">
        <f>Forecast!N32</f>
        <v>0</v>
      </c>
    </row>
    <row r="33" spans="1:11" x14ac:dyDescent="0.25">
      <c r="A33" t="s">
        <v>68</v>
      </c>
      <c r="D33" s="64">
        <f>Forecast!G33</f>
        <v>0</v>
      </c>
      <c r="E33" s="64">
        <f>Forecast!H33</f>
        <v>0</v>
      </c>
      <c r="F33" s="64">
        <f>Forecast!I33</f>
        <v>0</v>
      </c>
      <c r="G33" s="64">
        <f>Forecast!J33</f>
        <v>0</v>
      </c>
      <c r="H33" s="64">
        <f>Forecast!K33</f>
        <v>0</v>
      </c>
      <c r="I33" s="64">
        <f>Forecast!L33</f>
        <v>0</v>
      </c>
      <c r="J33" s="64">
        <f>Forecast!M33</f>
        <v>0</v>
      </c>
      <c r="K33" s="64">
        <f>Forecast!N33</f>
        <v>0</v>
      </c>
    </row>
    <row r="34" spans="1:11" x14ac:dyDescent="0.25">
      <c r="A34" t="s">
        <v>69</v>
      </c>
      <c r="D34" s="64">
        <f>Forecast!G34</f>
        <v>748701.64518358745</v>
      </c>
      <c r="E34" s="64">
        <f>Forecast!H34</f>
        <v>732900.8599277247</v>
      </c>
      <c r="F34" s="64">
        <f>Forecast!I34</f>
        <v>716578.83028083225</v>
      </c>
      <c r="G34" s="64">
        <f>Forecast!J34</f>
        <v>699718.36116616009</v>
      </c>
      <c r="H34" s="64">
        <f>Forecast!K34</f>
        <v>682301.69026696682</v>
      </c>
      <c r="I34" s="64">
        <f>Forecast!L34</f>
        <v>664310.46931411454</v>
      </c>
      <c r="J34" s="64">
        <f>Forecast!M34</f>
        <v>645725.74475637206</v>
      </c>
      <c r="K34" s="64">
        <f>Forecast!N34</f>
        <v>626527.93779305986</v>
      </c>
    </row>
    <row r="35" spans="1:11" x14ac:dyDescent="0.25">
      <c r="A35" t="s">
        <v>70</v>
      </c>
      <c r="D35" s="64">
        <f>Forecast!G35</f>
        <v>599.67123287671234</v>
      </c>
      <c r="E35" s="64">
        <f>Forecast!H35</f>
        <v>617.66136986301376</v>
      </c>
      <c r="F35" s="64">
        <f>Forecast!I35</f>
        <v>636.19121095890409</v>
      </c>
      <c r="G35" s="64">
        <f>Forecast!J35</f>
        <v>655.27694728767131</v>
      </c>
      <c r="H35" s="64">
        <f>Forecast!K35</f>
        <v>674.93525570630152</v>
      </c>
      <c r="I35" s="64">
        <f>Forecast!L35</f>
        <v>695.18331337749044</v>
      </c>
      <c r="J35" s="64">
        <f>Forecast!M35</f>
        <v>716.0388127788151</v>
      </c>
      <c r="K35" s="64">
        <f>Forecast!N35</f>
        <v>737.51997716217966</v>
      </c>
    </row>
    <row r="36" spans="1:11" x14ac:dyDescent="0.25">
      <c r="A36" t="s">
        <v>71</v>
      </c>
      <c r="D36" s="64">
        <f>Forecast!G36</f>
        <v>7711.9247482117571</v>
      </c>
      <c r="E36" s="64">
        <f>Forecast!H36</f>
        <v>9646.9612152171758</v>
      </c>
      <c r="F36" s="64">
        <f>Forecast!I36</f>
        <v>11646.554415831721</v>
      </c>
      <c r="G36" s="64">
        <f>Forecast!J36</f>
        <v>13712.898634319405</v>
      </c>
      <c r="H36" s="64">
        <f>Forecast!K36</f>
        <v>15848.264199562916</v>
      </c>
      <c r="I36" s="64">
        <f>Forecast!L36</f>
        <v>18055.00017216921</v>
      </c>
      <c r="J36" s="64">
        <f>Forecast!M36</f>
        <v>20335.537128324126</v>
      </c>
      <c r="K36" s="64">
        <f>Forecast!N36</f>
        <v>22692.390043940679</v>
      </c>
    </row>
    <row r="37" spans="1:11" x14ac:dyDescent="0.25">
      <c r="A37" t="s">
        <v>74</v>
      </c>
      <c r="D37" s="64">
        <f>Forecast!G37</f>
        <v>0</v>
      </c>
      <c r="E37" s="64">
        <f>Forecast!H37</f>
        <v>0</v>
      </c>
      <c r="F37" s="64">
        <f>Forecast!I37</f>
        <v>0</v>
      </c>
      <c r="G37" s="64">
        <f>Forecast!J37</f>
        <v>0</v>
      </c>
      <c r="H37" s="64">
        <f>Forecast!K37</f>
        <v>0</v>
      </c>
      <c r="I37" s="64">
        <f>Forecast!L37</f>
        <v>0</v>
      </c>
      <c r="J37" s="64">
        <f>Forecast!M37</f>
        <v>0</v>
      </c>
      <c r="K37" s="64">
        <f>Forecast!N37</f>
        <v>0</v>
      </c>
    </row>
    <row r="38" spans="1:11" x14ac:dyDescent="0.25">
      <c r="A38" t="s">
        <v>72</v>
      </c>
      <c r="D38" s="64">
        <f>Forecast!G38</f>
        <v>757013.24116467591</v>
      </c>
      <c r="E38" s="64">
        <f>Forecast!H38</f>
        <v>743165.4825128048</v>
      </c>
      <c r="F38" s="64">
        <f>Forecast!I38</f>
        <v>728861.57590762281</v>
      </c>
      <c r="G38" s="64">
        <f>Forecast!J38</f>
        <v>714086.53674776724</v>
      </c>
      <c r="H38" s="64">
        <f>Forecast!K38</f>
        <v>698824.88972223608</v>
      </c>
      <c r="I38" s="64">
        <f>Forecast!L38</f>
        <v>683060.65279966115</v>
      </c>
      <c r="J38" s="64">
        <f>Forecast!M38</f>
        <v>666777.32069747499</v>
      </c>
      <c r="K38" s="64">
        <f>Forecast!N38</f>
        <v>649957.84781416261</v>
      </c>
    </row>
    <row r="39" spans="1:11" x14ac:dyDescent="0.25">
      <c r="D39" s="64">
        <f>Forecast!G39</f>
        <v>0</v>
      </c>
      <c r="E39" s="64">
        <f>Forecast!H39</f>
        <v>0</v>
      </c>
      <c r="F39" s="64">
        <f>Forecast!I39</f>
        <v>0</v>
      </c>
      <c r="G39" s="64">
        <f>Forecast!J39</f>
        <v>0</v>
      </c>
      <c r="H39" s="64">
        <f>Forecast!K39</f>
        <v>0</v>
      </c>
      <c r="I39" s="64">
        <f>Forecast!L39</f>
        <v>0</v>
      </c>
      <c r="J39" s="64">
        <f>Forecast!M39</f>
        <v>0</v>
      </c>
      <c r="K39" s="64">
        <f>Forecast!N39</f>
        <v>0</v>
      </c>
    </row>
    <row r="40" spans="1:11" x14ac:dyDescent="0.25">
      <c r="A40" t="s">
        <v>78</v>
      </c>
      <c r="D40" s="64">
        <f>Forecast!G40</f>
        <v>0</v>
      </c>
      <c r="E40" s="64">
        <f>Forecast!H40</f>
        <v>0</v>
      </c>
      <c r="F40" s="64">
        <f>Forecast!I40</f>
        <v>0</v>
      </c>
      <c r="G40" s="64">
        <f>Forecast!J40</f>
        <v>0</v>
      </c>
      <c r="H40" s="64">
        <f>Forecast!K40</f>
        <v>0</v>
      </c>
      <c r="I40" s="64">
        <f>Forecast!L40</f>
        <v>0</v>
      </c>
      <c r="J40" s="64">
        <f>Forecast!M40</f>
        <v>0</v>
      </c>
      <c r="K40" s="64">
        <f>Forecast!N40</f>
        <v>0</v>
      </c>
    </row>
    <row r="41" spans="1:11" x14ac:dyDescent="0.25">
      <c r="A41" t="s">
        <v>79</v>
      </c>
      <c r="D41" s="64">
        <f>Forecast!G41</f>
        <v>250000</v>
      </c>
      <c r="E41" s="64">
        <f>Forecast!H41</f>
        <v>250000</v>
      </c>
      <c r="F41" s="64">
        <f>Forecast!I41</f>
        <v>250000</v>
      </c>
      <c r="G41" s="64">
        <f>Forecast!J41</f>
        <v>250000</v>
      </c>
      <c r="H41" s="64">
        <f>Forecast!K41</f>
        <v>250000</v>
      </c>
      <c r="I41" s="64">
        <f>Forecast!L41</f>
        <v>250000</v>
      </c>
      <c r="J41" s="64">
        <f>Forecast!M41</f>
        <v>250000</v>
      </c>
      <c r="K41" s="64">
        <f>Forecast!N41</f>
        <v>250000</v>
      </c>
    </row>
    <row r="42" spans="1:11" x14ac:dyDescent="0.25">
      <c r="A42" t="s">
        <v>80</v>
      </c>
      <c r="D42" s="64">
        <f>Forecast!G42</f>
        <v>23135.774244635271</v>
      </c>
      <c r="E42" s="64">
        <f>Forecast!H42</f>
        <v>52076.657890286799</v>
      </c>
      <c r="F42" s="64">
        <f>Forecast!I42</f>
        <v>87016.321137781953</v>
      </c>
      <c r="G42" s="64">
        <f>Forecast!J42</f>
        <v>128155.01704074017</v>
      </c>
      <c r="H42" s="64">
        <f>Forecast!K42</f>
        <v>175699.80963942892</v>
      </c>
      <c r="I42" s="64">
        <f>Forecast!L42</f>
        <v>229864.81015593655</v>
      </c>
      <c r="J42" s="64">
        <f>Forecast!M42</f>
        <v>290871.42154090892</v>
      </c>
      <c r="K42" s="64">
        <f>Forecast!N42</f>
        <v>358948.59167273098</v>
      </c>
    </row>
    <row r="43" spans="1:11" x14ac:dyDescent="0.25">
      <c r="A43" t="s">
        <v>81</v>
      </c>
      <c r="D43" s="64">
        <f>Forecast!G43</f>
        <v>1030149.0154093112</v>
      </c>
      <c r="E43" s="64">
        <f>Forecast!H43</f>
        <v>1045242.1404030917</v>
      </c>
      <c r="F43" s="64">
        <f>Forecast!I43</f>
        <v>1065877.8970454047</v>
      </c>
      <c r="G43" s="64">
        <f>Forecast!J43</f>
        <v>1092241.5537885074</v>
      </c>
      <c r="H43" s="64">
        <f>Forecast!K43</f>
        <v>1124524.6993616649</v>
      </c>
      <c r="I43" s="64">
        <f>Forecast!L43</f>
        <v>1162925.4629555978</v>
      </c>
      <c r="J43" s="64">
        <f>Forecast!M43</f>
        <v>1207648.742238384</v>
      </c>
      <c r="K43" s="64">
        <f>Forecast!N43</f>
        <v>1258906.4394868936</v>
      </c>
    </row>
    <row r="45" spans="1:11" ht="15.75" thickBot="1" x14ac:dyDescent="0.3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 ht="15.75" thickTop="1" x14ac:dyDescent="0.25"/>
    <row r="47" spans="1:11" x14ac:dyDescent="0.25">
      <c r="A47" s="89" t="s">
        <v>113</v>
      </c>
      <c r="B47" s="89"/>
      <c r="C47" s="90" t="s">
        <v>114</v>
      </c>
      <c r="D47" s="90">
        <f>D2</f>
        <v>2013</v>
      </c>
      <c r="E47" s="90">
        <f t="shared" ref="E47:K47" si="0">E2</f>
        <v>2014</v>
      </c>
      <c r="F47" s="90">
        <f t="shared" si="0"/>
        <v>2015</v>
      </c>
      <c r="G47" s="90">
        <f t="shared" si="0"/>
        <v>2016</v>
      </c>
      <c r="H47" s="90">
        <f t="shared" si="0"/>
        <v>2017</v>
      </c>
      <c r="I47" s="90">
        <f t="shared" si="0"/>
        <v>2018</v>
      </c>
      <c r="J47" s="90">
        <f t="shared" si="0"/>
        <v>2019</v>
      </c>
      <c r="K47" s="90">
        <f t="shared" si="0"/>
        <v>2020</v>
      </c>
    </row>
    <row r="48" spans="1:11" x14ac:dyDescent="0.25">
      <c r="A48" s="59" t="s">
        <v>115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</row>
    <row r="49" spans="1:13" x14ac:dyDescent="0.25">
      <c r="A49" s="89" t="s">
        <v>116</v>
      </c>
      <c r="C49" s="89"/>
      <c r="D49" s="91">
        <f>D18+D15+D11</f>
        <v>77951.114285714299</v>
      </c>
      <c r="E49" s="91">
        <f t="shared" ref="E49:K49" si="1">E18+E15+E11</f>
        <v>85186.661714285758</v>
      </c>
      <c r="F49" s="91">
        <f t="shared" si="1"/>
        <v>92663.790125714309</v>
      </c>
      <c r="G49" s="91">
        <f t="shared" si="1"/>
        <v>100390.72753188574</v>
      </c>
      <c r="H49" s="91">
        <f t="shared" si="1"/>
        <v>108375.98800833835</v>
      </c>
      <c r="I49" s="91">
        <f t="shared" si="1"/>
        <v>116628.38184510433</v>
      </c>
      <c r="J49" s="91">
        <f t="shared" si="1"/>
        <v>125157.02606483389</v>
      </c>
      <c r="K49" s="91">
        <f t="shared" si="1"/>
        <v>133971.35532173046</v>
      </c>
    </row>
    <row r="50" spans="1:13" x14ac:dyDescent="0.25">
      <c r="A50" s="89" t="s">
        <v>117</v>
      </c>
      <c r="C50" s="89"/>
      <c r="D50" s="92">
        <f>D15</f>
        <v>22500</v>
      </c>
      <c r="E50" s="92">
        <f t="shared" ref="E50:K50" si="2">E15</f>
        <v>22500</v>
      </c>
      <c r="F50" s="92">
        <f t="shared" si="2"/>
        <v>22500</v>
      </c>
      <c r="G50" s="92">
        <f t="shared" si="2"/>
        <v>22500</v>
      </c>
      <c r="H50" s="92">
        <f t="shared" si="2"/>
        <v>22500</v>
      </c>
      <c r="I50" s="92">
        <f t="shared" si="2"/>
        <v>22500</v>
      </c>
      <c r="J50" s="92">
        <f t="shared" si="2"/>
        <v>22500</v>
      </c>
      <c r="K50" s="92">
        <f t="shared" si="2"/>
        <v>22500</v>
      </c>
    </row>
    <row r="51" spans="1:13" x14ac:dyDescent="0.25">
      <c r="A51" s="89" t="s">
        <v>118</v>
      </c>
      <c r="C51" s="89"/>
      <c r="D51" s="91">
        <f>D49-D50</f>
        <v>55451.114285714299</v>
      </c>
      <c r="E51" s="91">
        <f t="shared" ref="E51:K51" si="3">E49-E50</f>
        <v>62686.661714285758</v>
      </c>
      <c r="F51" s="91">
        <f t="shared" si="3"/>
        <v>70163.790125714309</v>
      </c>
      <c r="G51" s="91">
        <f t="shared" si="3"/>
        <v>77890.727531885743</v>
      </c>
      <c r="H51" s="91">
        <f t="shared" si="3"/>
        <v>85875.988008338347</v>
      </c>
      <c r="I51" s="91">
        <f t="shared" si="3"/>
        <v>94128.381845104333</v>
      </c>
      <c r="J51" s="91">
        <f t="shared" si="3"/>
        <v>102657.02606483389</v>
      </c>
      <c r="K51" s="91">
        <f t="shared" si="3"/>
        <v>111471.35532173046</v>
      </c>
    </row>
    <row r="52" spans="1:13" x14ac:dyDescent="0.25">
      <c r="A52" s="89" t="s">
        <v>119</v>
      </c>
      <c r="C52" s="89"/>
      <c r="D52" s="93">
        <f>IF(D51*0.25&lt;0,0,D51*Forecast!$O$18)</f>
        <v>13862.778571428575</v>
      </c>
      <c r="E52" s="93">
        <f>IF(E51*0.25&lt;0,0,E51*Forecast!$O$18)</f>
        <v>15671.665428571439</v>
      </c>
      <c r="F52" s="93">
        <f>IF(F51*0.25&lt;0,0,F51*Forecast!$O$18)</f>
        <v>17540.947531428577</v>
      </c>
      <c r="G52" s="93">
        <f>IF(G51*0.25&lt;0,0,G51*Forecast!$O$18)</f>
        <v>19472.681882971436</v>
      </c>
      <c r="H52" s="93">
        <f>IF(H51*0.25&lt;0,0,H51*Forecast!$O$18)</f>
        <v>21468.997002084587</v>
      </c>
      <c r="I52" s="93">
        <f>IF(I51*0.25&lt;0,0,I51*Forecast!$O$18)</f>
        <v>23532.095461276083</v>
      </c>
      <c r="J52" s="93">
        <f>IF(J51*0.25&lt;0,0,J51*Forecast!$O$18)</f>
        <v>25664.256516208472</v>
      </c>
      <c r="K52" s="93">
        <f>IF(K51*0.25&lt;0,0,K51*Forecast!$O$18)</f>
        <v>27867.838830432614</v>
      </c>
    </row>
    <row r="53" spans="1:13" x14ac:dyDescent="0.25">
      <c r="A53" s="89" t="s">
        <v>120</v>
      </c>
      <c r="C53" s="89"/>
      <c r="D53" s="91">
        <f>D50</f>
        <v>22500</v>
      </c>
      <c r="E53" s="91">
        <f t="shared" ref="E53:K53" si="4">E50</f>
        <v>22500</v>
      </c>
      <c r="F53" s="91">
        <f t="shared" si="4"/>
        <v>22500</v>
      </c>
      <c r="G53" s="91">
        <f t="shared" si="4"/>
        <v>22500</v>
      </c>
      <c r="H53" s="91">
        <f t="shared" si="4"/>
        <v>22500</v>
      </c>
      <c r="I53" s="91">
        <f t="shared" si="4"/>
        <v>22500</v>
      </c>
      <c r="J53" s="91">
        <f t="shared" si="4"/>
        <v>22500</v>
      </c>
      <c r="K53" s="91">
        <f t="shared" si="4"/>
        <v>22500</v>
      </c>
    </row>
    <row r="54" spans="1:13" ht="15.75" thickBot="1" x14ac:dyDescent="0.3">
      <c r="A54" s="89" t="s">
        <v>115</v>
      </c>
      <c r="C54" s="89"/>
      <c r="D54" s="94">
        <f>D51-D52+D53</f>
        <v>64088.335714285728</v>
      </c>
      <c r="E54" s="94">
        <f t="shared" ref="E54:K54" si="5">E51-E52+E53</f>
        <v>69514.996285714325</v>
      </c>
      <c r="F54" s="94">
        <f t="shared" si="5"/>
        <v>75122.842594285728</v>
      </c>
      <c r="G54" s="94">
        <f t="shared" si="5"/>
        <v>80918.045648914311</v>
      </c>
      <c r="H54" s="94">
        <f t="shared" si="5"/>
        <v>86906.991006253753</v>
      </c>
      <c r="I54" s="94">
        <f t="shared" si="5"/>
        <v>93096.28638382825</v>
      </c>
      <c r="J54" s="94">
        <f t="shared" si="5"/>
        <v>99492.769548625423</v>
      </c>
      <c r="K54" s="94">
        <f t="shared" si="5"/>
        <v>106103.51649129784</v>
      </c>
    </row>
    <row r="55" spans="1:13" ht="15.75" thickTop="1" x14ac:dyDescent="0.25">
      <c r="A55" s="89"/>
      <c r="C55" s="89"/>
      <c r="D55" s="89"/>
      <c r="E55" s="89"/>
      <c r="F55" s="89"/>
      <c r="G55" s="89"/>
      <c r="H55" s="89"/>
      <c r="I55" s="89"/>
      <c r="J55" s="89"/>
      <c r="K55" s="89"/>
    </row>
    <row r="56" spans="1:13" x14ac:dyDescent="0.25">
      <c r="A56" s="89"/>
      <c r="B56" s="89"/>
      <c r="C56" s="90" t="s">
        <v>114</v>
      </c>
      <c r="D56" s="90">
        <f>D47</f>
        <v>2013</v>
      </c>
      <c r="E56" s="90">
        <f t="shared" ref="E56:K56" si="6">E47</f>
        <v>2014</v>
      </c>
      <c r="F56" s="90">
        <f t="shared" si="6"/>
        <v>2015</v>
      </c>
      <c r="G56" s="90">
        <f t="shared" si="6"/>
        <v>2016</v>
      </c>
      <c r="H56" s="90">
        <f t="shared" si="6"/>
        <v>2017</v>
      </c>
      <c r="I56" s="90">
        <f t="shared" si="6"/>
        <v>2018</v>
      </c>
      <c r="J56" s="90">
        <f t="shared" si="6"/>
        <v>2019</v>
      </c>
      <c r="K56" s="90">
        <f t="shared" si="6"/>
        <v>2020</v>
      </c>
    </row>
    <row r="57" spans="1:13" x14ac:dyDescent="0.25">
      <c r="A57" s="59" t="s">
        <v>121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</row>
    <row r="58" spans="1:13" x14ac:dyDescent="0.25">
      <c r="A58" s="89" t="s">
        <v>144</v>
      </c>
      <c r="C58" s="92">
        <f>-Forecast!B43-Forecast!B38</f>
        <v>-954997.29</v>
      </c>
      <c r="D58" s="89"/>
      <c r="E58" s="89"/>
      <c r="F58" s="89"/>
      <c r="G58" s="89"/>
      <c r="H58" s="89"/>
      <c r="I58" s="89"/>
      <c r="J58" s="89"/>
      <c r="K58" s="89"/>
    </row>
    <row r="59" spans="1:13" x14ac:dyDescent="0.25">
      <c r="A59" s="89" t="s">
        <v>145</v>
      </c>
      <c r="C59" s="104"/>
      <c r="D59" s="89"/>
      <c r="E59" s="89">
        <v>-5000</v>
      </c>
      <c r="F59" s="89"/>
      <c r="G59" s="89">
        <v>-5000</v>
      </c>
      <c r="H59" s="89"/>
      <c r="I59" s="89">
        <v>-5000</v>
      </c>
      <c r="J59" s="89"/>
      <c r="K59" s="89">
        <v>-5000</v>
      </c>
    </row>
    <row r="60" spans="1:13" x14ac:dyDescent="0.25">
      <c r="A60" s="89" t="s">
        <v>122</v>
      </c>
      <c r="C60" s="89"/>
      <c r="D60" s="89"/>
      <c r="E60" s="89"/>
      <c r="F60" s="89"/>
      <c r="J60" s="89"/>
      <c r="K60" s="95">
        <f>M60*M61</f>
        <v>643500</v>
      </c>
      <c r="L60" s="89" t="s">
        <v>123</v>
      </c>
      <c r="M60" s="91">
        <f>-C58-D28-SUM(D50:K50)</f>
        <v>495000</v>
      </c>
    </row>
    <row r="61" spans="1:13" x14ac:dyDescent="0.25">
      <c r="A61" s="89" t="s">
        <v>149</v>
      </c>
      <c r="C61" s="89"/>
      <c r="D61" s="89"/>
      <c r="E61" s="89"/>
      <c r="F61" s="89"/>
      <c r="J61" s="89"/>
      <c r="K61" s="95">
        <f>M61*K28</f>
        <v>363996.47700000001</v>
      </c>
      <c r="L61" s="89"/>
      <c r="M61" s="107">
        <v>1.3</v>
      </c>
    </row>
    <row r="62" spans="1:13" x14ac:dyDescent="0.25">
      <c r="A62" s="89" t="s">
        <v>124</v>
      </c>
      <c r="C62" s="89"/>
      <c r="D62" s="89"/>
      <c r="E62" s="89"/>
      <c r="F62" s="89"/>
      <c r="J62" s="89"/>
      <c r="K62" s="96">
        <f>-(K60+K61-M60)*Forecast!O18</f>
        <v>-128124.11924999999</v>
      </c>
      <c r="L62" s="89"/>
      <c r="M62" s="89"/>
    </row>
    <row r="63" spans="1:13" x14ac:dyDescent="0.25">
      <c r="A63" s="89"/>
      <c r="C63" s="89"/>
      <c r="D63" s="89"/>
      <c r="E63" s="89"/>
      <c r="F63" s="89"/>
      <c r="J63" s="89"/>
      <c r="K63" s="106"/>
      <c r="L63" s="89"/>
      <c r="M63" s="89"/>
    </row>
    <row r="64" spans="1:13" x14ac:dyDescent="0.25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</row>
    <row r="65" spans="1:11" x14ac:dyDescent="0.25">
      <c r="A65" s="59" t="s">
        <v>125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</row>
    <row r="66" spans="1:11" x14ac:dyDescent="0.25">
      <c r="A66" s="97" t="s">
        <v>126</v>
      </c>
      <c r="C66" s="89"/>
      <c r="D66" s="98">
        <f>D26</f>
        <v>0</v>
      </c>
      <c r="E66" s="98">
        <f>-(E26-D26)</f>
        <v>0</v>
      </c>
      <c r="F66" s="98">
        <f t="shared" ref="F66:K66" si="7">-(F26-E26)</f>
        <v>0</v>
      </c>
      <c r="G66" s="98">
        <f t="shared" si="7"/>
        <v>0</v>
      </c>
      <c r="H66" s="98">
        <f t="shared" si="7"/>
        <v>0</v>
      </c>
      <c r="I66" s="98">
        <f t="shared" si="7"/>
        <v>0</v>
      </c>
      <c r="J66" s="98">
        <f t="shared" si="7"/>
        <v>0</v>
      </c>
      <c r="K66" s="98">
        <f t="shared" si="7"/>
        <v>0</v>
      </c>
    </row>
    <row r="67" spans="1:11" x14ac:dyDescent="0.25">
      <c r="A67" s="97" t="s">
        <v>91</v>
      </c>
      <c r="C67" s="89"/>
      <c r="D67" s="98">
        <f>-D27</f>
        <v>-608</v>
      </c>
      <c r="E67" s="98">
        <f>-(E27-D27)</f>
        <v>-18.240000000000123</v>
      </c>
      <c r="F67" s="98">
        <f t="shared" ref="F67:K67" si="8">-(F27-E27)</f>
        <v>-18.787199999999984</v>
      </c>
      <c r="G67" s="98">
        <f t="shared" si="8"/>
        <v>-19.350815999999895</v>
      </c>
      <c r="H67" s="98">
        <f t="shared" si="8"/>
        <v>-19.931340480000131</v>
      </c>
      <c r="I67" s="98">
        <f t="shared" si="8"/>
        <v>-20.529280694399858</v>
      </c>
      <c r="J67" s="98">
        <f t="shared" si="8"/>
        <v>-21.145159115232104</v>
      </c>
      <c r="K67" s="98">
        <f t="shared" si="8"/>
        <v>-21.779513888689053</v>
      </c>
    </row>
    <row r="68" spans="1:11" x14ac:dyDescent="0.25">
      <c r="A68" s="97" t="s">
        <v>127</v>
      </c>
      <c r="C68" s="89"/>
      <c r="D68" s="98">
        <f>D52</f>
        <v>13862.778571428575</v>
      </c>
      <c r="E68" s="98">
        <f>E52-D52</f>
        <v>1808.8868571428648</v>
      </c>
      <c r="F68" s="98">
        <f t="shared" ref="F68:K68" si="9">F52-E52</f>
        <v>1869.2821028571379</v>
      </c>
      <c r="G68" s="98">
        <f t="shared" si="9"/>
        <v>1931.7343515428583</v>
      </c>
      <c r="H68" s="98">
        <f t="shared" si="9"/>
        <v>1996.315119113151</v>
      </c>
      <c r="I68" s="98">
        <f t="shared" si="9"/>
        <v>2063.0984591914967</v>
      </c>
      <c r="J68" s="98">
        <f t="shared" si="9"/>
        <v>2132.1610549323887</v>
      </c>
      <c r="K68" s="98">
        <f t="shared" si="9"/>
        <v>2203.5823142241425</v>
      </c>
    </row>
    <row r="69" spans="1:11" x14ac:dyDescent="0.25">
      <c r="A69" s="97" t="s">
        <v>128</v>
      </c>
      <c r="C69" s="89"/>
      <c r="D69" s="99">
        <f>D35</f>
        <v>599.67123287671234</v>
      </c>
      <c r="E69" s="99">
        <f>E35-D35</f>
        <v>17.990136986301422</v>
      </c>
      <c r="F69" s="99">
        <f t="shared" ref="F69:K69" si="10">F35-E35</f>
        <v>18.529841095890333</v>
      </c>
      <c r="G69" s="99">
        <f t="shared" si="10"/>
        <v>19.085736328767211</v>
      </c>
      <c r="H69" s="99">
        <f t="shared" si="10"/>
        <v>19.658308418630213</v>
      </c>
      <c r="I69" s="99">
        <f t="shared" si="10"/>
        <v>20.248057671188917</v>
      </c>
      <c r="J69" s="99">
        <f t="shared" si="10"/>
        <v>20.855499401324664</v>
      </c>
      <c r="K69" s="99">
        <f t="shared" si="10"/>
        <v>21.481164383364558</v>
      </c>
    </row>
    <row r="70" spans="1:11" x14ac:dyDescent="0.2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</row>
    <row r="71" spans="1:11" x14ac:dyDescent="0.25">
      <c r="A71" s="59" t="s">
        <v>129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</row>
    <row r="72" spans="1:11" x14ac:dyDescent="0.25">
      <c r="A72" s="97" t="s">
        <v>126</v>
      </c>
      <c r="C72" s="89"/>
      <c r="D72" s="89"/>
      <c r="E72" s="89"/>
      <c r="F72" s="89"/>
      <c r="H72" s="89"/>
      <c r="I72" s="89"/>
      <c r="J72" s="89"/>
      <c r="K72" s="91">
        <f>K26</f>
        <v>0</v>
      </c>
    </row>
    <row r="73" spans="1:11" x14ac:dyDescent="0.25">
      <c r="A73" s="97" t="s">
        <v>91</v>
      </c>
      <c r="C73" s="89"/>
      <c r="D73" s="89"/>
      <c r="E73" s="89"/>
      <c r="F73" s="89"/>
      <c r="H73" s="89"/>
      <c r="I73" s="89"/>
      <c r="J73" s="89"/>
      <c r="K73" s="91">
        <f>K27</f>
        <v>747.76331017832115</v>
      </c>
    </row>
    <row r="74" spans="1:11" x14ac:dyDescent="0.25">
      <c r="A74" s="97" t="s">
        <v>127</v>
      </c>
      <c r="C74" s="89"/>
      <c r="D74" s="89"/>
      <c r="E74" s="89"/>
      <c r="F74" s="89"/>
      <c r="H74" s="89"/>
      <c r="I74" s="89"/>
      <c r="J74" s="89"/>
      <c r="K74" s="91">
        <f>-K52</f>
        <v>-27867.838830432614</v>
      </c>
    </row>
    <row r="75" spans="1:11" x14ac:dyDescent="0.25">
      <c r="A75" s="97" t="s">
        <v>128</v>
      </c>
      <c r="C75" s="89"/>
      <c r="D75" s="89"/>
      <c r="E75" s="89"/>
      <c r="F75" s="89"/>
      <c r="H75" s="89"/>
      <c r="I75" s="89"/>
      <c r="J75" s="89"/>
      <c r="K75" s="92">
        <f>-K35</f>
        <v>-737.51997716217966</v>
      </c>
    </row>
    <row r="76" spans="1:11" x14ac:dyDescent="0.25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</row>
    <row r="77" spans="1:11" x14ac:dyDescent="0.25">
      <c r="A77" s="59" t="s">
        <v>130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</row>
    <row r="78" spans="1:11" ht="15.75" thickBot="1" x14ac:dyDescent="0.3">
      <c r="A78" s="89"/>
      <c r="B78" s="89"/>
      <c r="C78" s="100">
        <f>SUM(C57:C77)</f>
        <v>-954997.29</v>
      </c>
      <c r="D78" s="100">
        <f t="shared" ref="D78:J78" si="11">SUM(D54,D59:D62,D66:D75)</f>
        <v>77942.785518591016</v>
      </c>
      <c r="E78" s="100">
        <f>SUM(E54,E59:E62,E66:E75)</f>
        <v>66323.633279843503</v>
      </c>
      <c r="F78" s="100">
        <f t="shared" si="11"/>
        <v>76991.86733823875</v>
      </c>
      <c r="G78" s="100">
        <f t="shared" si="11"/>
        <v>77849.514920785936</v>
      </c>
      <c r="H78" s="100">
        <f t="shared" si="11"/>
        <v>88903.033093305523</v>
      </c>
      <c r="I78" s="100">
        <f t="shared" si="11"/>
        <v>90159.103619996516</v>
      </c>
      <c r="J78" s="100">
        <f t="shared" si="11"/>
        <v>101624.64094384392</v>
      </c>
      <c r="K78" s="100">
        <f>SUM(K54,K59:K62,K66:K75)</f>
        <v>954821.56270860019</v>
      </c>
    </row>
    <row r="79" spans="1:11" ht="15.75" thickTop="1" x14ac:dyDescent="0.25">
      <c r="A79" t="s">
        <v>147</v>
      </c>
      <c r="B79" s="89"/>
      <c r="C79" s="104">
        <v>0</v>
      </c>
      <c r="D79" s="104">
        <v>1</v>
      </c>
      <c r="E79" s="104">
        <v>2</v>
      </c>
      <c r="F79" s="104">
        <v>3</v>
      </c>
      <c r="G79" s="104">
        <v>4</v>
      </c>
      <c r="H79" s="104">
        <v>5</v>
      </c>
      <c r="I79" s="104">
        <v>6</v>
      </c>
      <c r="J79" s="104">
        <v>7</v>
      </c>
      <c r="K79" s="104">
        <v>8</v>
      </c>
    </row>
    <row r="80" spans="1:11" x14ac:dyDescent="0.25">
      <c r="A80" s="89" t="s">
        <v>146</v>
      </c>
      <c r="B80" s="89"/>
      <c r="C80" s="104">
        <f>-PV(Forecast!$G$56,'Free Cash Flow'!C79,,'Free Cash Flow'!C78)</f>
        <v>-954997.29</v>
      </c>
      <c r="D80" s="104">
        <f>-PV(Forecast!$G$56,'Free Cash Flow'!D79,,'Free Cash Flow'!D78)</f>
        <v>72807.976919474182</v>
      </c>
      <c r="E80" s="104">
        <f>-PV(Forecast!$G$56,'Free Cash Flow'!E79,,'Free Cash Flow'!E78)</f>
        <v>57872.786234070576</v>
      </c>
      <c r="F80" s="104">
        <f>-PV(Forecast!$G$56,'Free Cash Flow'!F79,,'Free Cash Flow'!F78)</f>
        <v>62755.815341274123</v>
      </c>
      <c r="G80" s="104">
        <f>-PV(Forecast!$G$56,'Free Cash Flow'!G79,,'Free Cash Flow'!G78)</f>
        <v>59274.524040193835</v>
      </c>
      <c r="H80" s="104">
        <f>-PV(Forecast!$G$56,'Free Cash Flow'!H79,,'Free Cash Flow'!H78)</f>
        <v>63231.252380438724</v>
      </c>
      <c r="I80" s="104">
        <f>-PV(Forecast!$G$56,'Free Cash Flow'!I79,,'Free Cash Flow'!I78)</f>
        <v>59900.139257642208</v>
      </c>
      <c r="J80" s="104">
        <f>-PV(Forecast!$G$56,'Free Cash Flow'!J79,,'Free Cash Flow'!J78)</f>
        <v>63069.634204043963</v>
      </c>
      <c r="K80" s="104">
        <f>-PV(Forecast!$G$56,'Free Cash Flow'!K79,,'Free Cash Flow'!K78)</f>
        <v>553536.86176817957</v>
      </c>
    </row>
    <row r="81" spans="1:11" x14ac:dyDescent="0.25">
      <c r="A81" s="89"/>
      <c r="B81" s="89"/>
      <c r="C81" s="104"/>
      <c r="D81" s="104"/>
      <c r="E81" s="104"/>
      <c r="F81" s="104"/>
      <c r="G81" s="104"/>
      <c r="H81" s="104"/>
      <c r="I81" s="104"/>
      <c r="J81" s="104"/>
      <c r="K81" s="104"/>
    </row>
    <row r="82" spans="1:11" x14ac:dyDescent="0.25">
      <c r="A82" s="59" t="s">
        <v>131</v>
      </c>
      <c r="B82" s="89"/>
      <c r="C82" s="89"/>
      <c r="D82" s="89"/>
      <c r="E82" s="89"/>
      <c r="F82" s="89"/>
      <c r="G82" s="89"/>
      <c r="H82" s="89"/>
      <c r="I82" s="89"/>
      <c r="J82" s="89"/>
      <c r="K82" s="89"/>
    </row>
    <row r="83" spans="1:11" x14ac:dyDescent="0.25">
      <c r="A83" s="89"/>
      <c r="B83" s="101">
        <f>NPV(Forecast!G56,D78:K78)+C78</f>
        <v>37451.700145317242</v>
      </c>
      <c r="C83" s="91"/>
      <c r="D83" s="89"/>
      <c r="E83" s="89"/>
      <c r="F83" s="89"/>
      <c r="G83" s="89"/>
      <c r="H83" s="89"/>
      <c r="I83" s="89"/>
      <c r="J83" s="89"/>
      <c r="K83" s="89"/>
    </row>
    <row r="84" spans="1:11" x14ac:dyDescent="0.25">
      <c r="A84" s="59" t="s">
        <v>132</v>
      </c>
      <c r="B84" s="89"/>
      <c r="C84" s="89"/>
      <c r="D84" s="89"/>
      <c r="E84" s="89"/>
      <c r="F84" s="89"/>
      <c r="G84" s="89"/>
      <c r="H84" s="89"/>
      <c r="I84" s="89"/>
      <c r="J84" s="89"/>
      <c r="K84" s="89"/>
    </row>
    <row r="85" spans="1:11" x14ac:dyDescent="0.25">
      <c r="A85" s="89"/>
      <c r="B85" s="105">
        <f>IRR(C78:K78)</f>
        <v>7.7201208569969815E-2</v>
      </c>
      <c r="C85" s="89"/>
      <c r="D85" s="89"/>
      <c r="E85" s="89"/>
      <c r="F85" s="89"/>
      <c r="G85" s="89"/>
      <c r="H85" s="89"/>
      <c r="I85" s="89"/>
      <c r="J85" s="89"/>
      <c r="K85" s="89"/>
    </row>
    <row r="86" spans="1:11" x14ac:dyDescent="0.25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</row>
  </sheetData>
  <mergeCells count="2">
    <mergeCell ref="A1:K1"/>
    <mergeCell ref="A22:K2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Forecast</vt:lpstr>
      <vt:lpstr>Mortgage</vt:lpstr>
      <vt:lpstr>Free Cash Flow</vt:lpstr>
      <vt:lpstr>Mortgage!Beg_Bal</vt:lpstr>
      <vt:lpstr>Mortgage!Extra_Pay</vt:lpstr>
      <vt:lpstr>Mortgage!Int</vt:lpstr>
      <vt:lpstr>Mortgage!Interest_Rate</vt:lpstr>
      <vt:lpstr>Mortgage!Loan_Amount</vt:lpstr>
      <vt:lpstr>Mortgage!Loan_Start</vt:lpstr>
      <vt:lpstr>Mortgage!Loan_Years</vt:lpstr>
      <vt:lpstr>Mortgage!Pay_Num</vt:lpstr>
      <vt:lpstr>Mortgage!Princ</vt:lpstr>
      <vt:lpstr>Mortgage!Sched_Pay</vt:lpstr>
      <vt:lpstr>Mortgage!Scheduled_Extra_Payments</vt:lpstr>
      <vt:lpstr>Mortgage!Scheduled_Monthly_Payment</vt:lpstr>
      <vt:lpstr>Mortgage!Total_Pay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2019-07-17T21:54:50Z</dcterms:created>
  <dcterms:modified xsi:type="dcterms:W3CDTF">2019-07-17T21:55:08Z</dcterms:modified>
</cp:coreProperties>
</file>