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05" windowWidth="19440" windowHeight="7740" activeTab="3"/>
  </bookViews>
  <sheets>
    <sheet name="Assumptions" sheetId="4" r:id="rId1"/>
    <sheet name="Pro Forma" sheetId="1" r:id="rId2"/>
    <sheet name="Break Even" sheetId="5" r:id="rId3"/>
    <sheet name="WACC" sheetId="2" r:id="rId4"/>
    <sheet name="NPV &amp; IRR" sheetId="3" r:id="rId5"/>
    <sheet name="Summary" sheetId="6" r:id="rId6"/>
  </sheets>
  <calcPr calcId="145621"/>
</workbook>
</file>

<file path=xl/calcChain.xml><?xml version="1.0" encoding="utf-8"?>
<calcChain xmlns="http://schemas.openxmlformats.org/spreadsheetml/2006/main">
  <c r="C16" i="5" l="1"/>
  <c r="C17" i="5"/>
  <c r="C18" i="5"/>
  <c r="C19" i="5"/>
  <c r="C20" i="5"/>
  <c r="C21" i="5"/>
  <c r="C22" i="5"/>
  <c r="C23" i="5"/>
  <c r="C25" i="5"/>
  <c r="C26" i="5"/>
  <c r="C15" i="5"/>
  <c r="E9" i="5"/>
  <c r="E8" i="5"/>
  <c r="D4" i="5"/>
  <c r="D10" i="5" s="1"/>
  <c r="D8" i="5" l="1"/>
  <c r="D9" i="5"/>
  <c r="D12" i="5" l="1"/>
  <c r="H4" i="4" l="1"/>
  <c r="H5" i="4"/>
  <c r="B6" i="4"/>
  <c r="H6" i="4"/>
  <c r="B13" i="4"/>
  <c r="B15" i="4"/>
  <c r="B17" i="4"/>
  <c r="B18" i="4"/>
  <c r="B19" i="4"/>
  <c r="B22" i="4"/>
  <c r="B28" i="4"/>
  <c r="G26" i="1"/>
  <c r="H26" i="1"/>
  <c r="I26" i="1"/>
  <c r="J26" i="1"/>
  <c r="K26" i="1"/>
  <c r="L26" i="1"/>
  <c r="M26" i="1"/>
  <c r="N26" i="1"/>
  <c r="O26" i="1"/>
  <c r="F26" i="1"/>
  <c r="G16" i="1"/>
  <c r="H16" i="1"/>
  <c r="I16" i="1"/>
  <c r="J16" i="1"/>
  <c r="K16" i="1"/>
  <c r="L16" i="1"/>
  <c r="M16" i="1"/>
  <c r="N16" i="1"/>
  <c r="O16" i="1"/>
  <c r="F16" i="1"/>
  <c r="Q10" i="3" l="1"/>
  <c r="C12" i="3"/>
  <c r="D30" i="3" s="1"/>
  <c r="F3" i="3"/>
  <c r="G3" i="3"/>
  <c r="H3" i="3"/>
  <c r="I3" i="3"/>
  <c r="J3" i="3"/>
  <c r="K3" i="3"/>
  <c r="L3" i="3"/>
  <c r="M3" i="3"/>
  <c r="N3" i="3"/>
  <c r="E3" i="3"/>
  <c r="H6" i="2" l="1"/>
  <c r="H3" i="2"/>
  <c r="B9" i="2"/>
  <c r="D9" i="2" l="1"/>
  <c r="B10" i="2"/>
  <c r="K18" i="1"/>
  <c r="L18" i="1"/>
  <c r="M18" i="1"/>
  <c r="N18" i="1"/>
  <c r="O18" i="1"/>
  <c r="J5" i="3"/>
  <c r="J8" i="3" s="1"/>
  <c r="K5" i="3"/>
  <c r="K8" i="3" s="1"/>
  <c r="L5" i="3"/>
  <c r="L8" i="3" s="1"/>
  <c r="M5" i="3"/>
  <c r="M8" i="3" s="1"/>
  <c r="N5" i="3"/>
  <c r="N8" i="3" s="1"/>
  <c r="K27" i="1"/>
  <c r="L27" i="1"/>
  <c r="M27" i="1"/>
  <c r="N27" i="1"/>
  <c r="O27" i="1"/>
  <c r="K36" i="1"/>
  <c r="L36" i="1"/>
  <c r="M36" i="1"/>
  <c r="N36" i="1"/>
  <c r="O36" i="1"/>
  <c r="K41" i="1"/>
  <c r="L41" i="1"/>
  <c r="M41" i="1"/>
  <c r="N41" i="1"/>
  <c r="O41" i="1"/>
  <c r="K42" i="1"/>
  <c r="L42" i="1"/>
  <c r="M42" i="1"/>
  <c r="N42" i="1"/>
  <c r="O42" i="1"/>
  <c r="J18" i="1"/>
  <c r="I5" i="3"/>
  <c r="I8" i="3" s="1"/>
  <c r="J27" i="1"/>
  <c r="J36" i="1"/>
  <c r="J41" i="1"/>
  <c r="J42" i="1"/>
  <c r="C9" i="2" l="1"/>
  <c r="D10" i="2" s="1"/>
  <c r="H5" i="2" s="1"/>
  <c r="H27" i="1"/>
  <c r="I18" i="1" l="1"/>
  <c r="H18" i="1"/>
  <c r="G18" i="1"/>
  <c r="F18" i="1"/>
  <c r="G11" i="1" l="1"/>
  <c r="H11" i="1"/>
  <c r="I11" i="1"/>
  <c r="J11" i="1"/>
  <c r="K11" i="1"/>
  <c r="L11" i="1"/>
  <c r="M11" i="1"/>
  <c r="N11" i="1"/>
  <c r="O11" i="1"/>
  <c r="F11" i="1"/>
  <c r="G20" i="1"/>
  <c r="K20" i="1"/>
  <c r="L20" i="1"/>
  <c r="M20" i="1"/>
  <c r="N20" i="1"/>
  <c r="O20" i="1"/>
  <c r="J20" i="1"/>
  <c r="H17" i="1"/>
  <c r="K17" i="1"/>
  <c r="L17" i="1"/>
  <c r="M17" i="1"/>
  <c r="N17" i="1"/>
  <c r="O17" i="1"/>
  <c r="J17" i="1"/>
  <c r="H20" i="1"/>
  <c r="I17" i="1"/>
  <c r="I20" i="1"/>
  <c r="F17" i="1"/>
  <c r="F20" i="1"/>
  <c r="G17" i="1"/>
  <c r="I27" i="1"/>
  <c r="G27" i="1"/>
  <c r="F27" i="1"/>
  <c r="C27" i="5" s="1"/>
  <c r="I36" i="1"/>
  <c r="H36" i="1"/>
  <c r="G36" i="1"/>
  <c r="I42" i="1"/>
  <c r="H42" i="1"/>
  <c r="G42" i="1"/>
  <c r="I41" i="1"/>
  <c r="H41" i="1"/>
  <c r="G41" i="1"/>
  <c r="F52" i="1"/>
  <c r="F23" i="1"/>
  <c r="G23" i="1" s="1"/>
  <c r="H23" i="1" s="1"/>
  <c r="I23" i="1" s="1"/>
  <c r="J23" i="1" s="1"/>
  <c r="K23" i="1" s="1"/>
  <c r="L23" i="1" s="1"/>
  <c r="M23" i="1" s="1"/>
  <c r="N23" i="1" s="1"/>
  <c r="O23" i="1" s="1"/>
  <c r="F22" i="1"/>
  <c r="F21" i="1"/>
  <c r="G21" i="1" s="1"/>
  <c r="H21" i="1" s="1"/>
  <c r="I21" i="1" s="1"/>
  <c r="J21" i="1" s="1"/>
  <c r="K21" i="1" s="1"/>
  <c r="L21" i="1" s="1"/>
  <c r="M21" i="1" s="1"/>
  <c r="N21" i="1" s="1"/>
  <c r="O21" i="1" s="1"/>
  <c r="F19" i="1"/>
  <c r="F5" i="1"/>
  <c r="F12" i="1" l="1"/>
  <c r="F6" i="1"/>
  <c r="G15" i="1"/>
  <c r="H15" i="1"/>
  <c r="I15" i="1"/>
  <c r="J15" i="1"/>
  <c r="K15" i="1"/>
  <c r="L15" i="1"/>
  <c r="M15" i="1"/>
  <c r="N15" i="1"/>
  <c r="O15" i="1"/>
  <c r="F15" i="1"/>
  <c r="K19" i="1"/>
  <c r="L19" i="1"/>
  <c r="M19" i="1"/>
  <c r="N19" i="1"/>
  <c r="O19" i="1"/>
  <c r="J19" i="1"/>
  <c r="I22" i="1"/>
  <c r="K22" i="1"/>
  <c r="L22" i="1"/>
  <c r="M22" i="1"/>
  <c r="N22" i="1"/>
  <c r="O22" i="1"/>
  <c r="J22" i="1"/>
  <c r="I52" i="1"/>
  <c r="B13" i="2"/>
  <c r="K52" i="1"/>
  <c r="L52" i="1"/>
  <c r="M52" i="1"/>
  <c r="N52" i="1"/>
  <c r="O52" i="1"/>
  <c r="J52" i="1"/>
  <c r="F24" i="1"/>
  <c r="C24" i="5" s="1"/>
  <c r="C29" i="5" s="1"/>
  <c r="D32" i="5" s="1"/>
  <c r="F25" i="1"/>
  <c r="F7" i="1"/>
  <c r="G5" i="3"/>
  <c r="G8" i="3" s="1"/>
  <c r="F5" i="3"/>
  <c r="F8" i="3" s="1"/>
  <c r="G22" i="1"/>
  <c r="H22" i="1"/>
  <c r="F38" i="1"/>
  <c r="E17" i="3" s="1"/>
  <c r="G5" i="1"/>
  <c r="H19" i="1"/>
  <c r="G19" i="1"/>
  <c r="I19" i="1"/>
  <c r="G52" i="1"/>
  <c r="H52" i="1"/>
  <c r="H5" i="3"/>
  <c r="H8" i="3" s="1"/>
  <c r="F43" i="1" l="1"/>
  <c r="G43" i="1" s="1"/>
  <c r="H43" i="1" s="1"/>
  <c r="I43" i="1" s="1"/>
  <c r="J43" i="1" s="1"/>
  <c r="K43" i="1" s="1"/>
  <c r="L43" i="1" s="1"/>
  <c r="M43" i="1" s="1"/>
  <c r="N43" i="1" s="1"/>
  <c r="O43" i="1" s="1"/>
  <c r="Q11" i="3" s="1"/>
  <c r="Q12" i="3" s="1"/>
  <c r="C13" i="3" s="1"/>
  <c r="E5" i="3"/>
  <c r="E8" i="3" s="1"/>
  <c r="G12" i="1"/>
  <c r="G6" i="1"/>
  <c r="F28" i="1"/>
  <c r="F30" i="1" s="1"/>
  <c r="G24" i="1"/>
  <c r="H5" i="1"/>
  <c r="G38" i="1"/>
  <c r="F17" i="3" s="1"/>
  <c r="F39" i="1"/>
  <c r="F48" i="1"/>
  <c r="E20" i="3" s="1"/>
  <c r="N13" i="3" l="1"/>
  <c r="C14" i="3"/>
  <c r="N14" i="3" s="1"/>
  <c r="H12" i="1"/>
  <c r="H6" i="1"/>
  <c r="F45" i="1"/>
  <c r="E18" i="3"/>
  <c r="F32" i="1"/>
  <c r="F53" i="1" s="1"/>
  <c r="B14" i="2" s="1"/>
  <c r="B15" i="2" s="1"/>
  <c r="E4" i="3"/>
  <c r="E6" i="3" s="1"/>
  <c r="H24" i="1"/>
  <c r="I5" i="1"/>
  <c r="H38" i="1"/>
  <c r="G17" i="3" s="1"/>
  <c r="J5" i="1" l="1"/>
  <c r="K5" i="1" s="1"/>
  <c r="I12" i="1"/>
  <c r="I6" i="1"/>
  <c r="F55" i="1"/>
  <c r="F57" i="1" s="1"/>
  <c r="E7" i="3"/>
  <c r="E19" i="3" s="1"/>
  <c r="B18" i="2"/>
  <c r="H8" i="2" s="1"/>
  <c r="I24" i="1"/>
  <c r="I38" i="1"/>
  <c r="H17" i="3" s="1"/>
  <c r="J24" i="1" l="1"/>
  <c r="J38" i="1"/>
  <c r="I17" i="3" s="1"/>
  <c r="K12" i="1"/>
  <c r="K6" i="1"/>
  <c r="J12" i="1"/>
  <c r="J6" i="1"/>
  <c r="L5" i="1"/>
  <c r="K24" i="1"/>
  <c r="K38" i="1"/>
  <c r="H9" i="2"/>
  <c r="H11" i="2" s="1"/>
  <c r="C29" i="3" s="1"/>
  <c r="E9" i="3"/>
  <c r="E30" i="3" s="1"/>
  <c r="G39" i="1"/>
  <c r="J17" i="3" l="1"/>
  <c r="L12" i="1"/>
  <c r="L6" i="1"/>
  <c r="M5" i="1"/>
  <c r="L24" i="1"/>
  <c r="L38" i="1"/>
  <c r="K17" i="3" s="1"/>
  <c r="G45" i="1"/>
  <c r="F18" i="3"/>
  <c r="H13" i="2"/>
  <c r="H14" i="2" s="1"/>
  <c r="H16" i="2" s="1"/>
  <c r="H18" i="2" s="1"/>
  <c r="D32" i="3"/>
  <c r="E32" i="3"/>
  <c r="G48" i="1"/>
  <c r="F20" i="3" s="1"/>
  <c r="G7" i="1"/>
  <c r="M12" i="1" l="1"/>
  <c r="M6" i="1"/>
  <c r="N5" i="1"/>
  <c r="M24" i="1"/>
  <c r="M38" i="1"/>
  <c r="L17" i="3" s="1"/>
  <c r="H7" i="1"/>
  <c r="H39" i="1"/>
  <c r="H48" i="1"/>
  <c r="G20" i="3" s="1"/>
  <c r="I48" i="1"/>
  <c r="H20" i="3" s="1"/>
  <c r="I7" i="1"/>
  <c r="I39" i="1"/>
  <c r="N12" i="1" l="1"/>
  <c r="N6" i="1"/>
  <c r="O5" i="1"/>
  <c r="P9" i="1" s="1"/>
  <c r="N24" i="1"/>
  <c r="N38" i="1"/>
  <c r="M17" i="3" s="1"/>
  <c r="I45" i="1"/>
  <c r="H18" i="3"/>
  <c r="H45" i="1"/>
  <c r="G18" i="3"/>
  <c r="G25" i="1"/>
  <c r="L25" i="1"/>
  <c r="J25" i="1"/>
  <c r="K25" i="1"/>
  <c r="M25" i="1"/>
  <c r="N25" i="1"/>
  <c r="O25" i="1"/>
  <c r="I25" i="1"/>
  <c r="H25" i="1"/>
  <c r="G28" i="1"/>
  <c r="G30" i="1" s="1"/>
  <c r="O12" i="1" l="1"/>
  <c r="O6" i="1"/>
  <c r="O24" i="1"/>
  <c r="O38" i="1"/>
  <c r="G32" i="1"/>
  <c r="G53" i="1" s="1"/>
  <c r="G55" i="1" s="1"/>
  <c r="G57" i="1" s="1"/>
  <c r="F4" i="3"/>
  <c r="F6" i="3" s="1"/>
  <c r="J7" i="1"/>
  <c r="J28" i="1" s="1"/>
  <c r="J30" i="1" s="1"/>
  <c r="J39" i="1"/>
  <c r="J48" i="1"/>
  <c r="I20" i="3" s="1"/>
  <c r="I28" i="1"/>
  <c r="H28" i="1"/>
  <c r="H30" i="1" s="1"/>
  <c r="N23" i="3" l="1"/>
  <c r="N17" i="3"/>
  <c r="J45" i="1"/>
  <c r="I18" i="3"/>
  <c r="H4" i="3"/>
  <c r="H6" i="3" s="1"/>
  <c r="H7" i="3" s="1"/>
  <c r="H9" i="3" s="1"/>
  <c r="I30" i="1"/>
  <c r="I32" i="1" s="1"/>
  <c r="H32" i="1"/>
  <c r="H53" i="1" s="1"/>
  <c r="H55" i="1" s="1"/>
  <c r="H57" i="1" s="1"/>
  <c r="G4" i="3"/>
  <c r="G6" i="3" s="1"/>
  <c r="F7" i="3"/>
  <c r="F19" i="3" s="1"/>
  <c r="J32" i="1"/>
  <c r="I4" i="3"/>
  <c r="I6" i="3" s="1"/>
  <c r="K7" i="1"/>
  <c r="K28" i="1" s="1"/>
  <c r="K30" i="1" s="1"/>
  <c r="K39" i="1"/>
  <c r="K48" i="1"/>
  <c r="J20" i="3" s="1"/>
  <c r="K45" i="1" l="1"/>
  <c r="J18" i="3"/>
  <c r="F9" i="3"/>
  <c r="F30" i="3" s="1"/>
  <c r="I53" i="1"/>
  <c r="J53" i="1" s="1"/>
  <c r="I7" i="3"/>
  <c r="G7" i="3"/>
  <c r="G19" i="3" s="1"/>
  <c r="K32" i="1"/>
  <c r="J4" i="3"/>
  <c r="J6" i="3" s="1"/>
  <c r="L7" i="1"/>
  <c r="L28" i="1" s="1"/>
  <c r="L39" i="1"/>
  <c r="L48" i="1"/>
  <c r="K20" i="3" s="1"/>
  <c r="L45" i="1" l="1"/>
  <c r="K18" i="3"/>
  <c r="I9" i="3"/>
  <c r="I19" i="3"/>
  <c r="K4" i="3"/>
  <c r="K6" i="3" s="1"/>
  <c r="K7" i="3" s="1"/>
  <c r="L30" i="1"/>
  <c r="L32" i="1" s="1"/>
  <c r="F32" i="3"/>
  <c r="G9" i="3"/>
  <c r="G30" i="3" s="1"/>
  <c r="G32" i="3" s="1"/>
  <c r="I55" i="1"/>
  <c r="I57" i="1" s="1"/>
  <c r="J7" i="3"/>
  <c r="H19" i="3"/>
  <c r="H30" i="3" s="1"/>
  <c r="H32" i="3" s="1"/>
  <c r="M7" i="1"/>
  <c r="M28" i="1" s="1"/>
  <c r="M39" i="1"/>
  <c r="M48" i="1"/>
  <c r="L20" i="3" s="1"/>
  <c r="J55" i="1"/>
  <c r="J57" i="1" s="1"/>
  <c r="K53" i="1"/>
  <c r="M45" i="1" l="1"/>
  <c r="L18" i="3"/>
  <c r="K9" i="3"/>
  <c r="K19" i="3"/>
  <c r="L4" i="3"/>
  <c r="L6" i="3" s="1"/>
  <c r="L7" i="3" s="1"/>
  <c r="M30" i="1"/>
  <c r="M32" i="1" s="1"/>
  <c r="J9" i="3"/>
  <c r="J19" i="3"/>
  <c r="I30" i="3"/>
  <c r="I32" i="3" s="1"/>
  <c r="O7" i="1"/>
  <c r="O28" i="1" s="1"/>
  <c r="O39" i="1"/>
  <c r="O48" i="1"/>
  <c r="N7" i="1"/>
  <c r="N28" i="1" s="1"/>
  <c r="N39" i="1"/>
  <c r="N48" i="1"/>
  <c r="M20" i="3" s="1"/>
  <c r="K55" i="1"/>
  <c r="K57" i="1" s="1"/>
  <c r="L53" i="1"/>
  <c r="N45" i="1" l="1"/>
  <c r="M18" i="3"/>
  <c r="N26" i="3"/>
  <c r="N20" i="3"/>
  <c r="O45" i="1"/>
  <c r="N24" i="3"/>
  <c r="N18" i="3"/>
  <c r="L9" i="3"/>
  <c r="L19" i="3"/>
  <c r="N4" i="3"/>
  <c r="N6" i="3" s="1"/>
  <c r="N7" i="3" s="1"/>
  <c r="O30" i="1"/>
  <c r="O32" i="1" s="1"/>
  <c r="M4" i="3"/>
  <c r="M6" i="3" s="1"/>
  <c r="M7" i="3" s="1"/>
  <c r="N30" i="1"/>
  <c r="N32" i="1" s="1"/>
  <c r="J30" i="3"/>
  <c r="K30" i="3"/>
  <c r="K32" i="3" s="1"/>
  <c r="L55" i="1"/>
  <c r="L57" i="1" s="1"/>
  <c r="M53" i="1"/>
  <c r="N9" i="3" l="1"/>
  <c r="N19" i="3"/>
  <c r="N25" i="3"/>
  <c r="J32" i="3"/>
  <c r="M9" i="3"/>
  <c r="M19" i="3"/>
  <c r="L30" i="3"/>
  <c r="L32" i="3" s="1"/>
  <c r="M55" i="1"/>
  <c r="M57" i="1" s="1"/>
  <c r="N53" i="1"/>
  <c r="N30" i="3" l="1"/>
  <c r="N32" i="3" s="1"/>
  <c r="M30" i="3"/>
  <c r="N55" i="1"/>
  <c r="N57" i="1" s="1"/>
  <c r="O53" i="1"/>
  <c r="M32" i="3" l="1"/>
  <c r="C35" i="3" s="1"/>
  <c r="C36" i="3"/>
  <c r="O55" i="1"/>
  <c r="O57" i="1" s="1"/>
</calcChain>
</file>

<file path=xl/sharedStrings.xml><?xml version="1.0" encoding="utf-8"?>
<sst xmlns="http://schemas.openxmlformats.org/spreadsheetml/2006/main" count="175" uniqueCount="144">
  <si>
    <t>Income Statement</t>
  </si>
  <si>
    <t>Sales Revenue</t>
  </si>
  <si>
    <t>Boise Population</t>
  </si>
  <si>
    <t># of Floral Shops</t>
  </si>
  <si>
    <t>Avg. # Flowers Bought Per Year</t>
  </si>
  <si>
    <t>Avg. Cost Per Flowers Sold</t>
  </si>
  <si>
    <t>Our Number of Customers</t>
  </si>
  <si>
    <t>COGS</t>
  </si>
  <si>
    <t>Gross Profit</t>
  </si>
  <si>
    <t>Rent</t>
  </si>
  <si>
    <t>Electricity</t>
  </si>
  <si>
    <t>Phone/Internet</t>
  </si>
  <si>
    <t>Auto Insurance</t>
  </si>
  <si>
    <t>Gas</t>
  </si>
  <si>
    <t>Depreciation</t>
  </si>
  <si>
    <t>Salaries &amp; General Adm.</t>
  </si>
  <si>
    <t>Licenses</t>
  </si>
  <si>
    <t>Advertising</t>
  </si>
  <si>
    <t>Balance Sheet</t>
  </si>
  <si>
    <t>Assets</t>
  </si>
  <si>
    <t>Liabilities</t>
  </si>
  <si>
    <t>Owners Equity</t>
  </si>
  <si>
    <t>% Increase in Sales Per Year</t>
  </si>
  <si>
    <t>Accounts Receivable</t>
  </si>
  <si>
    <t>Inventory</t>
  </si>
  <si>
    <t>Furniture &amp; Fixtures</t>
  </si>
  <si>
    <t>Delivery Vans (2)</t>
  </si>
  <si>
    <t>Acc. Depreciation</t>
  </si>
  <si>
    <t>Total Assets</t>
  </si>
  <si>
    <t>Accounts Payable</t>
  </si>
  <si>
    <t>Bank Loan</t>
  </si>
  <si>
    <t>Retained Earning</t>
  </si>
  <si>
    <t>Total Liabilities &amp; Equity</t>
  </si>
  <si>
    <t>Interest Expense</t>
  </si>
  <si>
    <t>Net Income</t>
  </si>
  <si>
    <t>Depreciation Expense</t>
  </si>
  <si>
    <t>A/R Days</t>
  </si>
  <si>
    <t>Inventory Days</t>
  </si>
  <si>
    <t>Minimum Cash</t>
  </si>
  <si>
    <t>Extra Cash</t>
  </si>
  <si>
    <t>Bank Loan %</t>
  </si>
  <si>
    <t>Water</t>
  </si>
  <si>
    <t>A/P Days</t>
  </si>
  <si>
    <t>DFN</t>
  </si>
  <si>
    <t>Variable Expenses:</t>
  </si>
  <si>
    <t>Fixed Expenses:</t>
  </si>
  <si>
    <t>Electricity (Variable per kW)</t>
  </si>
  <si>
    <t>kW hours per Year</t>
  </si>
  <si>
    <t>Business Insurance</t>
  </si>
  <si>
    <t>Income Tax</t>
  </si>
  <si>
    <t>Sales Tax</t>
  </si>
  <si>
    <t>Payroll Tax</t>
  </si>
  <si>
    <t>Sales Tax %</t>
  </si>
  <si>
    <t>Payroll Tax %</t>
  </si>
  <si>
    <t>Income Before Tax</t>
  </si>
  <si>
    <t>CAPM</t>
  </si>
  <si>
    <t>Equity Beta</t>
  </si>
  <si>
    <t>Tbills</t>
  </si>
  <si>
    <t>S&amp;P 500</t>
  </si>
  <si>
    <t>2013 YTD</t>
  </si>
  <si>
    <t>Proportion</t>
  </si>
  <si>
    <t>Debt</t>
  </si>
  <si>
    <t>Bank loan</t>
  </si>
  <si>
    <t>Total</t>
  </si>
  <si>
    <t>Equity</t>
  </si>
  <si>
    <t>Retained Earnings</t>
  </si>
  <si>
    <t>Rate</t>
  </si>
  <si>
    <t>WACC for 2013</t>
  </si>
  <si>
    <t>Total Capital</t>
  </si>
  <si>
    <t>Cost of Equity using CAPM (%)</t>
  </si>
  <si>
    <t>Blended Cost of Debt (%)</t>
  </si>
  <si>
    <t>Tax Rate (%)</t>
  </si>
  <si>
    <t>Percent Debt Currently (%)</t>
  </si>
  <si>
    <t>Percent Equity Currently (%)</t>
  </si>
  <si>
    <t xml:space="preserve">Unlevered Beta </t>
  </si>
  <si>
    <t>Relevered Beta at 60% Debt/40% Equity</t>
  </si>
  <si>
    <t>Cost of Equity with Relevered Beta using CAPM (%)</t>
  </si>
  <si>
    <t>WACC in 2015 at 60% Debt/40% Equity</t>
  </si>
  <si>
    <t>Current WACC in 2013 (%)</t>
  </si>
  <si>
    <t>Cash from operations</t>
  </si>
  <si>
    <t>Operating Profit</t>
  </si>
  <si>
    <t>Less: Depreciation</t>
  </si>
  <si>
    <t>Taxable Operating Income</t>
  </si>
  <si>
    <t>Taxes on Operations</t>
  </si>
  <si>
    <t>Add back: Depreciation</t>
  </si>
  <si>
    <t>Cash from Operations ONLY</t>
  </si>
  <si>
    <t>Book Value</t>
  </si>
  <si>
    <t>Taxes on Sale of Building</t>
  </si>
  <si>
    <t>Sale %</t>
  </si>
  <si>
    <t>Cash in/out from changes in Working Capital</t>
  </si>
  <si>
    <t>-</t>
  </si>
  <si>
    <t>+</t>
  </si>
  <si>
    <t>Income Tax Payable on Operations Only</t>
  </si>
  <si>
    <t>Accounts Payable - COGS</t>
  </si>
  <si>
    <t>Cash in/out Liquiding Working Capital</t>
  </si>
  <si>
    <t>Total Free Cash Flows</t>
  </si>
  <si>
    <t>WACC</t>
  </si>
  <si>
    <t>PV of Free Cash Flows</t>
  </si>
  <si>
    <t>Net Present Value of Free Cash Flows</t>
  </si>
  <si>
    <t>Sell Vans &amp; Furniture</t>
  </si>
  <si>
    <t>Buy Vans &amp; Furniture (minus cash flow)</t>
  </si>
  <si>
    <t>Cost</t>
  </si>
  <si>
    <t>Cash in/out from Capital Exp</t>
  </si>
  <si>
    <t>Internal Rate of Return</t>
  </si>
  <si>
    <t>Year</t>
  </si>
  <si>
    <t>Accumulated Depreciation</t>
  </si>
  <si>
    <t xml:space="preserve">United Online Inc. </t>
  </si>
  <si>
    <t>52 week Bank Discount Rate</t>
  </si>
  <si>
    <t>Debt %</t>
  </si>
  <si>
    <t>Equity %</t>
  </si>
  <si>
    <t>Sources</t>
  </si>
  <si>
    <t xml:space="preserve">% of increase </t>
  </si>
  <si>
    <t>Rent (Annual)</t>
  </si>
  <si>
    <t>Electricity (Fixed Annual Portion)</t>
  </si>
  <si>
    <t>Water (Annual)</t>
  </si>
  <si>
    <t>Phone/Internet (Annual)</t>
  </si>
  <si>
    <t>Auto Insurance (Annual)</t>
  </si>
  <si>
    <t>Business Insurance per Year (Annual)</t>
  </si>
  <si>
    <t>Gas (Annual)</t>
  </si>
  <si>
    <t>Salaries &amp; General Adm. (Annual)</t>
  </si>
  <si>
    <t>Licenses (Annual)</t>
  </si>
  <si>
    <t>Advertising (Annual)</t>
  </si>
  <si>
    <t xml:space="preserve">Income Tax Rate </t>
  </si>
  <si>
    <t>Hours/Month</t>
  </si>
  <si>
    <t>Hourly Wage</t>
  </si>
  <si>
    <t># of Employees</t>
  </si>
  <si>
    <t>Monthly Pay</t>
  </si>
  <si>
    <t>Cost (Vans and Furniture)</t>
  </si>
  <si>
    <t>Salvage Value</t>
  </si>
  <si>
    <t>years</t>
  </si>
  <si>
    <t>Assumptions</t>
  </si>
  <si>
    <t>Per Unit</t>
  </si>
  <si>
    <t>Variable Costs</t>
  </si>
  <si>
    <t>Cost of Goods Sold</t>
  </si>
  <si>
    <t>Contribution Margin</t>
  </si>
  <si>
    <t>Fixed Costs</t>
  </si>
  <si>
    <t>Revenue (Average Per One Customer)</t>
  </si>
  <si>
    <t>Flower Sales</t>
  </si>
  <si>
    <t xml:space="preserve">I unit = 1 Flower Arrangement </t>
  </si>
  <si>
    <t xml:space="preserve">Gas </t>
  </si>
  <si>
    <t>Electricy</t>
  </si>
  <si>
    <t>Total Fixed Expenses</t>
  </si>
  <si>
    <t>Break Even Units</t>
  </si>
  <si>
    <t>BREAKVEN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</si>
</sst>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164" fontId="0" fillId="0" borderId="0" xfId="1" applyNumberFormat="1" applyFont="1"/>
    <xf numFmtId="9" fontId="0" fillId="0" borderId="0" xfId="0" applyNumberForma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164" fontId="0" fillId="0" borderId="1" xfId="1" applyNumberFormat="1" applyFont="1" applyBorder="1"/>
    <xf numFmtId="10" fontId="0" fillId="0" borderId="0" xfId="2" applyNumberFormat="1" applyFont="1"/>
    <xf numFmtId="164" fontId="0" fillId="0" borderId="2" xfId="0" applyNumberFormat="1" applyBorder="1"/>
    <xf numFmtId="164" fontId="0" fillId="0" borderId="0" xfId="1" applyNumberFormat="1" applyFont="1" applyBorder="1"/>
    <xf numFmtId="10" fontId="0" fillId="0" borderId="0" xfId="0" applyNumberFormat="1"/>
    <xf numFmtId="0" fontId="4" fillId="0" borderId="0" xfId="3" applyFill="1"/>
    <xf numFmtId="0" fontId="4" fillId="0" borderId="0" xfId="3"/>
    <xf numFmtId="164" fontId="4" fillId="0" borderId="0" xfId="1" applyNumberFormat="1" applyFont="1"/>
    <xf numFmtId="9" fontId="4" fillId="0" borderId="0" xfId="3" applyNumberFormat="1"/>
    <xf numFmtId="164" fontId="4" fillId="0" borderId="0" xfId="3" applyNumberFormat="1"/>
    <xf numFmtId="10" fontId="4" fillId="0" borderId="0" xfId="3" applyNumberFormat="1"/>
    <xf numFmtId="0" fontId="5" fillId="0" borderId="0" xfId="3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3" applyBorder="1"/>
    <xf numFmtId="164" fontId="4" fillId="0" borderId="1" xfId="1" applyNumberFormat="1" applyFont="1" applyBorder="1"/>
    <xf numFmtId="164" fontId="0" fillId="0" borderId="3" xfId="1" applyNumberFormat="1" applyFont="1" applyBorder="1"/>
    <xf numFmtId="0" fontId="3" fillId="0" borderId="1" xfId="0" applyFont="1" applyBorder="1"/>
    <xf numFmtId="0" fontId="0" fillId="2" borderId="0" xfId="0" applyFill="1"/>
    <xf numFmtId="10" fontId="0" fillId="2" borderId="0" xfId="2" applyNumberFormat="1" applyFont="1" applyFill="1"/>
    <xf numFmtId="43" fontId="0" fillId="0" borderId="0" xfId="1" applyNumberFormat="1" applyFont="1"/>
    <xf numFmtId="9" fontId="0" fillId="2" borderId="0" xfId="0" applyNumberFormat="1" applyFill="1"/>
    <xf numFmtId="0" fontId="4" fillId="0" borderId="0" xfId="3" applyAlignment="1">
      <alignment horizontal="right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left" indent="2"/>
    </xf>
    <xf numFmtId="0" fontId="2" fillId="0" borderId="1" xfId="0" applyFont="1" applyBorder="1"/>
    <xf numFmtId="0" fontId="0" fillId="0" borderId="1" xfId="0" applyFont="1" applyBorder="1"/>
    <xf numFmtId="43" fontId="0" fillId="0" borderId="1" xfId="1" applyFont="1" applyBorder="1"/>
    <xf numFmtId="164" fontId="0" fillId="0" borderId="0" xfId="0" applyNumberFormat="1" applyBorder="1"/>
    <xf numFmtId="0" fontId="0" fillId="0" borderId="1" xfId="0" applyBorder="1"/>
    <xf numFmtId="164" fontId="0" fillId="2" borderId="0" xfId="1" applyNumberFormat="1" applyFont="1" applyFill="1"/>
    <xf numFmtId="9" fontId="0" fillId="2" borderId="0" xfId="2" applyFont="1" applyFill="1"/>
    <xf numFmtId="166" fontId="0" fillId="2" borderId="0" xfId="1" applyNumberFormat="1" applyFont="1" applyFill="1"/>
    <xf numFmtId="9" fontId="0" fillId="2" borderId="0" xfId="2" applyNumberFormat="1" applyFont="1" applyFill="1"/>
    <xf numFmtId="165" fontId="0" fillId="2" borderId="0" xfId="2" applyNumberFormat="1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9" fontId="1" fillId="0" borderId="0" xfId="2"/>
    <xf numFmtId="167" fontId="0" fillId="0" borderId="0" xfId="2" applyNumberFormat="1" applyFont="1"/>
    <xf numFmtId="0" fontId="6" fillId="0" borderId="0" xfId="3" applyFont="1" applyFill="1"/>
    <xf numFmtId="0" fontId="5" fillId="0" borderId="0" xfId="3" applyFont="1" applyFill="1"/>
    <xf numFmtId="0" fontId="4" fillId="0" borderId="0" xfId="3" applyFont="1" applyFill="1"/>
    <xf numFmtId="0" fontId="0" fillId="0" borderId="0" xfId="0" applyFill="1"/>
    <xf numFmtId="2" fontId="4" fillId="0" borderId="0" xfId="3" applyNumberFormat="1" applyFill="1"/>
    <xf numFmtId="164" fontId="4" fillId="0" borderId="0" xfId="1" applyNumberFormat="1" applyFont="1" applyFill="1"/>
    <xf numFmtId="0" fontId="4" fillId="0" borderId="0" xfId="3" applyFill="1" applyBorder="1"/>
    <xf numFmtId="0" fontId="5" fillId="0" borderId="1" xfId="3" applyFont="1" applyFill="1" applyBorder="1"/>
    <xf numFmtId="0" fontId="3" fillId="0" borderId="0" xfId="0" applyFont="1" applyFill="1"/>
    <xf numFmtId="43" fontId="4" fillId="0" borderId="0" xfId="3" applyNumberFormat="1" applyFill="1" applyBorder="1"/>
    <xf numFmtId="164" fontId="4" fillId="0" borderId="1" xfId="1" applyNumberFormat="1" applyFont="1" applyFill="1" applyBorder="1"/>
    <xf numFmtId="10" fontId="7" fillId="2" borderId="0" xfId="3" applyNumberFormat="1" applyFont="1" applyFill="1"/>
  </cellXfs>
  <cellStyles count="4">
    <cellStyle name="Comma" xfId="1" builtinId="3"/>
    <cellStyle name="Excel Built-in Normal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180975</xdr:colOff>
          <xdr:row>10</xdr:row>
          <xdr:rowOff>47625</xdr:rowOff>
        </xdr:from>
        <xdr:to>
          <xdr:col>6</xdr:col>
          <xdr:colOff>371475</xdr:colOff>
          <xdr:row>12</xdr:row>
          <xdr:rowOff>114300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Update Spreadsheets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3:H36"/>
  <sheetViews>
    <sheetView workbookViewId="0">
      <selection activeCell="G14" sqref="G14"/>
    </sheetView>
  </sheetViews>
  <sheetFormatPr defaultRowHeight="15" x14ac:dyDescent="0.25"/>
  <cols>
    <col min="1" max="1" width="34.42578125" bestFit="1" customWidth="1"/>
    <col min="5" max="5" width="13.140625" bestFit="1" customWidth="1"/>
    <col min="6" max="6" width="12.42578125" bestFit="1" customWidth="1"/>
    <col min="7" max="7" width="14.5703125" bestFit="1" customWidth="1"/>
    <col min="8" max="8" width="12.140625" bestFit="1" customWidth="1"/>
  </cols>
  <sheetData>
    <row r="3" spans="1:8" x14ac:dyDescent="0.25">
      <c r="A3" s="25" t="s">
        <v>130</v>
      </c>
      <c r="E3" s="25" t="s">
        <v>123</v>
      </c>
      <c r="F3" s="25" t="s">
        <v>124</v>
      </c>
      <c r="G3" s="25" t="s">
        <v>125</v>
      </c>
      <c r="H3" s="25" t="s">
        <v>126</v>
      </c>
    </row>
    <row r="4" spans="1:8" x14ac:dyDescent="0.25">
      <c r="A4" t="s">
        <v>2</v>
      </c>
      <c r="B4" s="39">
        <v>616517</v>
      </c>
      <c r="E4" s="44">
        <v>160</v>
      </c>
      <c r="F4" s="44">
        <v>12.5</v>
      </c>
      <c r="G4" s="44">
        <v>2</v>
      </c>
      <c r="H4" s="45">
        <f>E4*F4*G4</f>
        <v>4000</v>
      </c>
    </row>
    <row r="5" spans="1:8" x14ac:dyDescent="0.25">
      <c r="A5" t="s">
        <v>3</v>
      </c>
      <c r="B5" s="39">
        <v>70</v>
      </c>
      <c r="E5" s="44">
        <v>80</v>
      </c>
      <c r="F5" s="44">
        <v>8.5</v>
      </c>
      <c r="G5" s="44">
        <v>2</v>
      </c>
      <c r="H5" s="45">
        <f>E5*F5*G5</f>
        <v>1360</v>
      </c>
    </row>
    <row r="6" spans="1:8" ht="15.75" thickBot="1" x14ac:dyDescent="0.3">
      <c r="A6" t="s">
        <v>6</v>
      </c>
      <c r="B6" s="39">
        <f>B4/B5</f>
        <v>8807.3857142857141</v>
      </c>
      <c r="C6" s="29">
        <v>0.25</v>
      </c>
      <c r="D6" s="6"/>
      <c r="E6" s="2"/>
      <c r="F6" s="2"/>
      <c r="G6" s="2"/>
      <c r="H6" s="32">
        <f>SUM(H4:H5)</f>
        <v>5360</v>
      </c>
    </row>
    <row r="7" spans="1:8" ht="15.75" thickTop="1" x14ac:dyDescent="0.25">
      <c r="A7" t="s">
        <v>4</v>
      </c>
      <c r="B7" s="39">
        <v>3</v>
      </c>
    </row>
    <row r="8" spans="1:8" x14ac:dyDescent="0.25">
      <c r="A8" t="s">
        <v>5</v>
      </c>
      <c r="B8" s="39">
        <v>35</v>
      </c>
    </row>
    <row r="9" spans="1:8" x14ac:dyDescent="0.25">
      <c r="A9" t="s">
        <v>22</v>
      </c>
      <c r="B9" s="40">
        <v>0.1</v>
      </c>
    </row>
    <row r="10" spans="1:8" x14ac:dyDescent="0.25">
      <c r="B10" s="3"/>
    </row>
    <row r="11" spans="1:8" x14ac:dyDescent="0.25">
      <c r="C11" t="s">
        <v>111</v>
      </c>
    </row>
    <row r="12" spans="1:8" x14ac:dyDescent="0.25">
      <c r="A12" t="s">
        <v>7</v>
      </c>
      <c r="B12" s="40">
        <v>0.4</v>
      </c>
      <c r="C12" s="7"/>
      <c r="D12" s="7"/>
      <c r="E12" s="7"/>
      <c r="F12" s="7"/>
      <c r="G12" s="7"/>
      <c r="H12" s="7"/>
    </row>
    <row r="13" spans="1:8" x14ac:dyDescent="0.25">
      <c r="A13" t="s">
        <v>112</v>
      </c>
      <c r="B13" s="39">
        <f>3400*12</f>
        <v>40800</v>
      </c>
    </row>
    <row r="14" spans="1:8" x14ac:dyDescent="0.25">
      <c r="A14" t="s">
        <v>47</v>
      </c>
      <c r="B14" s="26">
        <v>54000</v>
      </c>
    </row>
    <row r="15" spans="1:8" x14ac:dyDescent="0.25">
      <c r="A15" t="s">
        <v>46</v>
      </c>
      <c r="B15" s="41">
        <f>AVERAGE(0.09103,0.079463)</f>
        <v>8.5246500000000003E-2</v>
      </c>
      <c r="C15" s="3"/>
      <c r="D15" s="3"/>
      <c r="E15" s="3"/>
      <c r="F15" s="3"/>
      <c r="G15" s="3"/>
      <c r="H15" s="3"/>
    </row>
    <row r="16" spans="1:8" x14ac:dyDescent="0.25">
      <c r="A16" t="s">
        <v>113</v>
      </c>
      <c r="B16" s="39">
        <v>588</v>
      </c>
      <c r="C16" s="5"/>
      <c r="D16" s="5"/>
      <c r="E16" s="5"/>
      <c r="F16" s="5"/>
      <c r="G16" s="5"/>
      <c r="H16" s="5"/>
    </row>
    <row r="17" spans="1:8" x14ac:dyDescent="0.25">
      <c r="A17" t="s">
        <v>114</v>
      </c>
      <c r="B17" s="39">
        <f>100*12</f>
        <v>1200</v>
      </c>
    </row>
    <row r="18" spans="1:8" x14ac:dyDescent="0.25">
      <c r="A18" t="s">
        <v>115</v>
      </c>
      <c r="B18" s="39">
        <f>120*12</f>
        <v>1440</v>
      </c>
    </row>
    <row r="19" spans="1:8" x14ac:dyDescent="0.25">
      <c r="A19" t="s">
        <v>116</v>
      </c>
      <c r="B19" s="39">
        <f>150*12</f>
        <v>1800</v>
      </c>
    </row>
    <row r="20" spans="1:8" x14ac:dyDescent="0.25">
      <c r="A20" t="s">
        <v>117</v>
      </c>
      <c r="B20" s="39">
        <v>1000</v>
      </c>
    </row>
    <row r="21" spans="1:8" x14ac:dyDescent="0.25">
      <c r="A21" t="s">
        <v>118</v>
      </c>
      <c r="B21" s="27">
        <v>0.03</v>
      </c>
      <c r="C21" s="42">
        <v>0.02</v>
      </c>
      <c r="D21" s="9"/>
      <c r="E21" s="9"/>
      <c r="F21" s="9"/>
      <c r="G21" s="9"/>
      <c r="H21" s="9"/>
    </row>
    <row r="22" spans="1:8" x14ac:dyDescent="0.25">
      <c r="A22" t="s">
        <v>119</v>
      </c>
      <c r="B22" s="39">
        <f>5360*12</f>
        <v>64320</v>
      </c>
      <c r="C22" s="40">
        <v>0.03</v>
      </c>
    </row>
    <row r="23" spans="1:8" x14ac:dyDescent="0.25">
      <c r="A23" t="s">
        <v>120</v>
      </c>
      <c r="B23" s="39">
        <v>200</v>
      </c>
      <c r="C23" s="7"/>
    </row>
    <row r="24" spans="1:8" x14ac:dyDescent="0.25">
      <c r="A24" t="s">
        <v>121</v>
      </c>
      <c r="B24" s="39">
        <v>3000</v>
      </c>
      <c r="C24" s="40">
        <v>0.01</v>
      </c>
    </row>
    <row r="25" spans="1:8" x14ac:dyDescent="0.25">
      <c r="A25" s="33" t="s">
        <v>127</v>
      </c>
      <c r="B25" s="39">
        <v>70000</v>
      </c>
    </row>
    <row r="26" spans="1:8" x14ac:dyDescent="0.25">
      <c r="A26" s="33" t="s">
        <v>128</v>
      </c>
      <c r="B26" s="39">
        <v>5000</v>
      </c>
    </row>
    <row r="27" spans="1:8" x14ac:dyDescent="0.25">
      <c r="A27" s="33" t="s">
        <v>129</v>
      </c>
      <c r="B27" s="39">
        <v>10</v>
      </c>
    </row>
    <row r="28" spans="1:8" x14ac:dyDescent="0.25">
      <c r="A28" t="s">
        <v>35</v>
      </c>
      <c r="B28" s="39">
        <f>(B25-B26)/B27</f>
        <v>6500</v>
      </c>
    </row>
    <row r="29" spans="1:8" x14ac:dyDescent="0.25">
      <c r="A29" t="s">
        <v>122</v>
      </c>
      <c r="B29" s="40">
        <v>0.15</v>
      </c>
    </row>
    <row r="30" spans="1:8" x14ac:dyDescent="0.25">
      <c r="A30" t="s">
        <v>52</v>
      </c>
      <c r="B30" s="40">
        <v>0.06</v>
      </c>
    </row>
    <row r="31" spans="1:8" x14ac:dyDescent="0.25">
      <c r="A31" t="s">
        <v>53</v>
      </c>
      <c r="B31" s="27">
        <v>8.2500000000000004E-2</v>
      </c>
    </row>
    <row r="32" spans="1:8" x14ac:dyDescent="0.25">
      <c r="B32" s="3"/>
    </row>
    <row r="33" spans="1:2" x14ac:dyDescent="0.25">
      <c r="A33" t="s">
        <v>36</v>
      </c>
      <c r="B33" s="39">
        <v>30</v>
      </c>
    </row>
    <row r="34" spans="1:2" x14ac:dyDescent="0.25">
      <c r="A34" t="s">
        <v>37</v>
      </c>
      <c r="B34" s="39">
        <v>15</v>
      </c>
    </row>
    <row r="35" spans="1:2" x14ac:dyDescent="0.25">
      <c r="A35" t="s">
        <v>40</v>
      </c>
      <c r="B35" s="43">
        <v>0.12</v>
      </c>
    </row>
    <row r="36" spans="1:2" x14ac:dyDescent="0.25">
      <c r="A36" t="s">
        <v>42</v>
      </c>
      <c r="B36" s="39">
        <v>30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Button 10">
              <controlPr defaultSize="0" print="0" autoFill="0" autoPict="0" macro="[0]!UpdateDFN">
                <anchor moveWithCells="1" sizeWithCells="1">
                  <from>
                    <xdr:col>4</xdr:col>
                    <xdr:colOff>180975</xdr:colOff>
                    <xdr:row>10</xdr:row>
                    <xdr:rowOff>47625</xdr:rowOff>
                  </from>
                  <to>
                    <xdr:col>6</xdr:col>
                    <xdr:colOff>371475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R58"/>
  <sheetViews>
    <sheetView zoomScaleNormal="100" workbookViewId="0">
      <selection activeCell="K57" sqref="K57"/>
    </sheetView>
  </sheetViews>
  <sheetFormatPr defaultRowHeight="15" x14ac:dyDescent="0.25"/>
  <cols>
    <col min="1" max="3" width="2" customWidth="1"/>
    <col min="4" max="4" width="29.28515625" customWidth="1"/>
    <col min="5" max="5" width="11.5703125" bestFit="1" customWidth="1"/>
    <col min="6" max="6" width="12.7109375" customWidth="1"/>
    <col min="7" max="7" width="11.5703125" bestFit="1" customWidth="1"/>
    <col min="8" max="8" width="12.85546875" bestFit="1" customWidth="1"/>
    <col min="9" max="9" width="11.85546875" customWidth="1"/>
    <col min="10" max="10" width="14.5703125" bestFit="1" customWidth="1"/>
    <col min="11" max="11" width="12.140625" customWidth="1"/>
    <col min="12" max="12" width="11.5703125" customWidth="1"/>
    <col min="13" max="16" width="12.28515625" bestFit="1" customWidth="1"/>
  </cols>
  <sheetData>
    <row r="3" spans="1:18" ht="15.75" x14ac:dyDescent="0.25">
      <c r="A3" s="34" t="s">
        <v>0</v>
      </c>
      <c r="B3" s="35"/>
      <c r="C3" s="36"/>
      <c r="D3" s="35"/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  <c r="L3" s="20">
        <v>2019</v>
      </c>
      <c r="M3" s="20">
        <v>2020</v>
      </c>
      <c r="N3" s="20">
        <v>2021</v>
      </c>
      <c r="O3" s="20">
        <v>2022</v>
      </c>
      <c r="P3" s="2"/>
      <c r="Q3" s="2"/>
      <c r="R3" s="2"/>
    </row>
    <row r="5" spans="1:18" x14ac:dyDescent="0.25">
      <c r="B5" t="s">
        <v>1</v>
      </c>
      <c r="F5" s="3">
        <f>(Assumptions!B6*Assumptions!C6)*Assumptions!B7*Assumptions!B8</f>
        <v>231193.87499999997</v>
      </c>
      <c r="G5" s="3">
        <f>F$5*(1+Assumptions!$B$9)</f>
        <v>254313.26249999998</v>
      </c>
      <c r="H5" s="3">
        <f>G$5*(1+Assumptions!$B$9)</f>
        <v>279744.58875</v>
      </c>
      <c r="I5" s="3">
        <f>H$5*(1+Assumptions!$B$9)</f>
        <v>307719.04762500001</v>
      </c>
      <c r="J5" s="3">
        <f>I$5*(1+Assumptions!$B$9)</f>
        <v>338490.95238750003</v>
      </c>
      <c r="K5" s="3">
        <f>J$5*(1+Assumptions!$B$9)</f>
        <v>372340.04762625007</v>
      </c>
      <c r="L5" s="3">
        <f>K$5*(1+Assumptions!$B$9)</f>
        <v>409574.0523888751</v>
      </c>
      <c r="M5" s="3">
        <f>L$5*(1+Assumptions!$B$9)</f>
        <v>450531.45762776263</v>
      </c>
      <c r="N5" s="3">
        <f>M$5*(1+Assumptions!$B$9)</f>
        <v>495584.60339053895</v>
      </c>
      <c r="O5" s="3">
        <f>N$5*(1+Assumptions!$B$9)</f>
        <v>545143.06372959283</v>
      </c>
      <c r="P5" s="3"/>
    </row>
    <row r="6" spans="1:18" x14ac:dyDescent="0.25">
      <c r="B6" t="s">
        <v>7</v>
      </c>
      <c r="F6" s="8">
        <f>F5*Assumptions!$B$12</f>
        <v>92477.549999999988</v>
      </c>
      <c r="G6" s="8">
        <f>G5*Assumptions!$B$12</f>
        <v>101725.30499999999</v>
      </c>
      <c r="H6" s="8">
        <f>H5*Assumptions!$B$12</f>
        <v>111897.8355</v>
      </c>
      <c r="I6" s="8">
        <f>I5*Assumptions!$B$12</f>
        <v>123087.61905000001</v>
      </c>
      <c r="J6" s="8">
        <f>J5*Assumptions!$B$12</f>
        <v>135396.38095500003</v>
      </c>
      <c r="K6" s="8">
        <f>K5*Assumptions!$B$12</f>
        <v>148936.01905050004</v>
      </c>
      <c r="L6" s="8">
        <f>L5*Assumptions!$B$12</f>
        <v>163829.62095555005</v>
      </c>
      <c r="M6" s="8">
        <f>M5*Assumptions!$B$12</f>
        <v>180212.58305110506</v>
      </c>
      <c r="N6" s="8">
        <f>N5*Assumptions!$B$12</f>
        <v>198233.84135621559</v>
      </c>
      <c r="O6" s="8">
        <f>O5*Assumptions!$B$12</f>
        <v>218057.22549183713</v>
      </c>
      <c r="P6" s="11"/>
    </row>
    <row r="7" spans="1:18" x14ac:dyDescent="0.25">
      <c r="B7" t="s">
        <v>8</v>
      </c>
      <c r="F7" s="3">
        <f>F5-F6</f>
        <v>138716.32499999998</v>
      </c>
      <c r="G7" s="3">
        <f>G5-G6</f>
        <v>152587.95749999999</v>
      </c>
      <c r="H7" s="3">
        <f>H5-H6</f>
        <v>167846.75325000001</v>
      </c>
      <c r="I7" s="3">
        <f>I5-I6</f>
        <v>184631.428575</v>
      </c>
      <c r="J7" s="3">
        <f>J5-J6</f>
        <v>203094.5714325</v>
      </c>
      <c r="K7" s="3">
        <f t="shared" ref="K7:O7" si="0">K5-K6</f>
        <v>223404.02857575004</v>
      </c>
      <c r="L7" s="3">
        <f t="shared" si="0"/>
        <v>245744.43143332505</v>
      </c>
      <c r="M7" s="3">
        <f t="shared" si="0"/>
        <v>270318.87457665754</v>
      </c>
      <c r="N7" s="3">
        <f t="shared" si="0"/>
        <v>297350.76203432336</v>
      </c>
      <c r="O7" s="3">
        <f t="shared" si="0"/>
        <v>327085.8382377557</v>
      </c>
      <c r="P7" s="3"/>
    </row>
    <row r="8" spans="1:18" x14ac:dyDescent="0.25"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x14ac:dyDescent="0.25">
      <c r="B9" s="21" t="s">
        <v>44</v>
      </c>
      <c r="C9" s="21"/>
      <c r="D9" s="21"/>
      <c r="F9" s="3"/>
      <c r="G9" s="3"/>
      <c r="H9" s="3"/>
      <c r="I9" s="3"/>
      <c r="J9" s="3"/>
      <c r="K9" s="3"/>
      <c r="L9" s="3"/>
      <c r="M9" s="3"/>
      <c r="N9" s="3"/>
      <c r="O9" s="3"/>
      <c r="P9" s="47">
        <f>O11/O5</f>
        <v>8.4442255735704998E-3</v>
      </c>
    </row>
    <row r="10" spans="1:18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8" x14ac:dyDescent="0.25">
      <c r="C11" t="s">
        <v>10</v>
      </c>
      <c r="F11" s="3">
        <f>Assumptions!$B$15*Assumptions!$B$14</f>
        <v>4603.3110000000006</v>
      </c>
      <c r="G11" s="3">
        <f>Assumptions!$B$15*Assumptions!$B$14</f>
        <v>4603.3110000000006</v>
      </c>
      <c r="H11" s="3">
        <f>Assumptions!$B$15*Assumptions!$B$14</f>
        <v>4603.3110000000006</v>
      </c>
      <c r="I11" s="3">
        <f>Assumptions!$B$15*Assumptions!$B$14</f>
        <v>4603.3110000000006</v>
      </c>
      <c r="J11" s="3">
        <f>Assumptions!$B$15*Assumptions!$B$14</f>
        <v>4603.3110000000006</v>
      </c>
      <c r="K11" s="3">
        <f>Assumptions!$B$15*Assumptions!$B$14</f>
        <v>4603.3110000000006</v>
      </c>
      <c r="L11" s="3">
        <f>Assumptions!$B$15*Assumptions!$B$14</f>
        <v>4603.3110000000006</v>
      </c>
      <c r="M11" s="3">
        <f>Assumptions!$B$15*Assumptions!$B$14</f>
        <v>4603.3110000000006</v>
      </c>
      <c r="N11" s="3">
        <f>Assumptions!$B$15*Assumptions!$B$14</f>
        <v>4603.3110000000006</v>
      </c>
      <c r="O11" s="3">
        <f>Assumptions!$B$15*Assumptions!$B$14</f>
        <v>4603.3110000000006</v>
      </c>
      <c r="P11" s="3"/>
    </row>
    <row r="12" spans="1:18" x14ac:dyDescent="0.25">
      <c r="C12" t="s">
        <v>13</v>
      </c>
      <c r="F12" s="3">
        <f>F5*Assumptions!B$21</f>
        <v>6935.8162499999989</v>
      </c>
      <c r="G12" s="3">
        <f>G5*Assumptions!$B$21*(1+Assumptions!$C$21)</f>
        <v>7781.9858324999987</v>
      </c>
      <c r="H12" s="3">
        <f>H5*Assumptions!$B$21*(1+Assumptions!$C$21)</f>
        <v>8560.18441575</v>
      </c>
      <c r="I12" s="3">
        <f>I5*Assumptions!$B$21*(1+Assumptions!$C$21)</f>
        <v>9416.2028573249991</v>
      </c>
      <c r="J12" s="3">
        <f>J5*Assumptions!$B$21*(1+Assumptions!$C$21)</f>
        <v>10357.823143057502</v>
      </c>
      <c r="K12" s="3">
        <f>K5*Assumptions!$B$21*(1+Assumptions!$C$21)</f>
        <v>11393.605457363254</v>
      </c>
      <c r="L12" s="3">
        <f>L5*Assumptions!$B$21*(1+Assumptions!$C$21)</f>
        <v>12532.966003099578</v>
      </c>
      <c r="M12" s="3">
        <f>M5*Assumptions!$B$21*(1+Assumptions!$C$21)</f>
        <v>13786.262603409537</v>
      </c>
      <c r="N12" s="3">
        <f>N5*Assumptions!$B$21*(1+Assumptions!$C$21)</f>
        <v>15164.888863750492</v>
      </c>
      <c r="O12" s="3">
        <f>O5*Assumptions!$B$21*(1+Assumptions!$C$21)</f>
        <v>16681.377750125539</v>
      </c>
      <c r="P12" s="3"/>
    </row>
    <row r="13" spans="1:18" x14ac:dyDescent="0.25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8" x14ac:dyDescent="0.25">
      <c r="B14" s="21" t="s">
        <v>45</v>
      </c>
      <c r="C14" s="21"/>
      <c r="D14" s="2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8" x14ac:dyDescent="0.25">
      <c r="C15" t="s">
        <v>9</v>
      </c>
      <c r="F15" s="3">
        <f>Assumptions!$B$13</f>
        <v>40800</v>
      </c>
      <c r="G15" s="3">
        <f>Assumptions!$B$13</f>
        <v>40800</v>
      </c>
      <c r="H15" s="3">
        <f>Assumptions!$B$13</f>
        <v>40800</v>
      </c>
      <c r="I15" s="3">
        <f>Assumptions!$B$13</f>
        <v>40800</v>
      </c>
      <c r="J15" s="3">
        <f>Assumptions!$B$13</f>
        <v>40800</v>
      </c>
      <c r="K15" s="3">
        <f>Assumptions!$B$13</f>
        <v>40800</v>
      </c>
      <c r="L15" s="3">
        <f>Assumptions!$B$13</f>
        <v>40800</v>
      </c>
      <c r="M15" s="3">
        <f>Assumptions!$B$13</f>
        <v>40800</v>
      </c>
      <c r="N15" s="3">
        <f>Assumptions!$B$13</f>
        <v>40800</v>
      </c>
      <c r="O15" s="3">
        <f>Assumptions!$B$13</f>
        <v>40800</v>
      </c>
      <c r="P15" s="3"/>
    </row>
    <row r="16" spans="1:18" x14ac:dyDescent="0.25">
      <c r="C16" t="s">
        <v>10</v>
      </c>
      <c r="F16" s="3">
        <f>Assumptions!$B$16</f>
        <v>588</v>
      </c>
      <c r="G16" s="3">
        <f>Assumptions!$B$16</f>
        <v>588</v>
      </c>
      <c r="H16" s="3">
        <f>Assumptions!$B$16</f>
        <v>588</v>
      </c>
      <c r="I16" s="3">
        <f>Assumptions!$B$16</f>
        <v>588</v>
      </c>
      <c r="J16" s="3">
        <f>Assumptions!$B$16</f>
        <v>588</v>
      </c>
      <c r="K16" s="3">
        <f>Assumptions!$B$16</f>
        <v>588</v>
      </c>
      <c r="L16" s="3">
        <f>Assumptions!$B$16</f>
        <v>588</v>
      </c>
      <c r="M16" s="3">
        <f>Assumptions!$B$16</f>
        <v>588</v>
      </c>
      <c r="N16" s="3">
        <f>Assumptions!$B$16</f>
        <v>588</v>
      </c>
      <c r="O16" s="3">
        <f>Assumptions!$B$16</f>
        <v>588</v>
      </c>
      <c r="P16" s="3"/>
    </row>
    <row r="17" spans="2:16" x14ac:dyDescent="0.25">
      <c r="C17" t="s">
        <v>41</v>
      </c>
      <c r="F17" s="3">
        <f>Assumptions!$B$17</f>
        <v>1200</v>
      </c>
      <c r="G17" s="3">
        <f>Assumptions!$B$17</f>
        <v>1200</v>
      </c>
      <c r="H17" s="3">
        <f>Assumptions!$B$17</f>
        <v>1200</v>
      </c>
      <c r="I17" s="3">
        <f>Assumptions!$B$17</f>
        <v>1200</v>
      </c>
      <c r="J17" s="3">
        <f>Assumptions!$B$17</f>
        <v>1200</v>
      </c>
      <c r="K17" s="3">
        <f>Assumptions!$B$17</f>
        <v>1200</v>
      </c>
      <c r="L17" s="3">
        <f>Assumptions!$B$17</f>
        <v>1200</v>
      </c>
      <c r="M17" s="3">
        <f>Assumptions!$B$17</f>
        <v>1200</v>
      </c>
      <c r="N17" s="3">
        <f>Assumptions!$B$17</f>
        <v>1200</v>
      </c>
      <c r="O17" s="3">
        <f>Assumptions!$B$17</f>
        <v>1200</v>
      </c>
      <c r="P17" s="3"/>
    </row>
    <row r="18" spans="2:16" x14ac:dyDescent="0.25">
      <c r="C18" t="s">
        <v>48</v>
      </c>
      <c r="F18" s="3">
        <f>Assumptions!$B$20</f>
        <v>1000</v>
      </c>
      <c r="G18" s="3">
        <f>Assumptions!$B$20</f>
        <v>1000</v>
      </c>
      <c r="H18" s="3">
        <f>Assumptions!$B$20</f>
        <v>1000</v>
      </c>
      <c r="I18" s="3">
        <f>Assumptions!$B$20</f>
        <v>1000</v>
      </c>
      <c r="J18" s="3">
        <f>Assumptions!$B$20</f>
        <v>1000</v>
      </c>
      <c r="K18" s="3">
        <f>Assumptions!$B$20</f>
        <v>1000</v>
      </c>
      <c r="L18" s="3">
        <f>Assumptions!$B$20</f>
        <v>1000</v>
      </c>
      <c r="M18" s="3">
        <f>Assumptions!$B$20</f>
        <v>1000</v>
      </c>
      <c r="N18" s="3">
        <f>Assumptions!$B$20</f>
        <v>1000</v>
      </c>
      <c r="O18" s="3">
        <f>Assumptions!$B$20</f>
        <v>1000</v>
      </c>
      <c r="P18" s="3"/>
    </row>
    <row r="19" spans="2:16" x14ac:dyDescent="0.25">
      <c r="C19" t="s">
        <v>12</v>
      </c>
      <c r="F19" s="3">
        <f>Assumptions!B19</f>
        <v>1800</v>
      </c>
      <c r="G19" s="3">
        <f>$F$19</f>
        <v>1800</v>
      </c>
      <c r="H19" s="3">
        <f>$F$19</f>
        <v>1800</v>
      </c>
      <c r="I19" s="3">
        <f>$F$19</f>
        <v>1800</v>
      </c>
      <c r="J19" s="3">
        <f>$F$19</f>
        <v>1800</v>
      </c>
      <c r="K19" s="3">
        <f t="shared" ref="K19:O19" si="1">$F$19</f>
        <v>1800</v>
      </c>
      <c r="L19" s="3">
        <f t="shared" si="1"/>
        <v>1800</v>
      </c>
      <c r="M19" s="3">
        <f t="shared" si="1"/>
        <v>1800</v>
      </c>
      <c r="N19" s="3">
        <f t="shared" si="1"/>
        <v>1800</v>
      </c>
      <c r="O19" s="3">
        <f t="shared" si="1"/>
        <v>1800</v>
      </c>
      <c r="P19" s="3"/>
    </row>
    <row r="20" spans="2:16" x14ac:dyDescent="0.25">
      <c r="C20" t="s">
        <v>11</v>
      </c>
      <c r="F20" s="3">
        <f>Assumptions!$B$18</f>
        <v>1440</v>
      </c>
      <c r="G20" s="3">
        <f>Assumptions!$B$18</f>
        <v>1440</v>
      </c>
      <c r="H20" s="3">
        <f>Assumptions!$B$18</f>
        <v>1440</v>
      </c>
      <c r="I20" s="3">
        <f>Assumptions!$B$18</f>
        <v>1440</v>
      </c>
      <c r="J20" s="3">
        <f>Assumptions!$B$18</f>
        <v>1440</v>
      </c>
      <c r="K20" s="3">
        <f>Assumptions!$B$18</f>
        <v>1440</v>
      </c>
      <c r="L20" s="3">
        <f>Assumptions!$B$18</f>
        <v>1440</v>
      </c>
      <c r="M20" s="3">
        <f>Assumptions!$B$18</f>
        <v>1440</v>
      </c>
      <c r="N20" s="3">
        <f>Assumptions!$B$18</f>
        <v>1440</v>
      </c>
      <c r="O20" s="3">
        <f>Assumptions!$B$18</f>
        <v>1440</v>
      </c>
      <c r="P20" s="3"/>
    </row>
    <row r="21" spans="2:16" x14ac:dyDescent="0.25">
      <c r="C21" t="s">
        <v>15</v>
      </c>
      <c r="F21" s="3">
        <f>Assumptions!B22</f>
        <v>64320</v>
      </c>
      <c r="G21" s="3">
        <f>F21*(1+Assumptions!$C$22)</f>
        <v>66249.600000000006</v>
      </c>
      <c r="H21" s="3">
        <f>G21*(1+Assumptions!$C$22)</f>
        <v>68237.088000000003</v>
      </c>
      <c r="I21" s="3">
        <f>H21*(1+Assumptions!$C$22)</f>
        <v>70284.20064000001</v>
      </c>
      <c r="J21" s="3">
        <f>I21*(1+Assumptions!$C$22)</f>
        <v>72392.726659200009</v>
      </c>
      <c r="K21" s="3">
        <f>J21*(1+Assumptions!$C$22)</f>
        <v>74564.508458976008</v>
      </c>
      <c r="L21" s="3">
        <f>K21*(1+Assumptions!$C$22)</f>
        <v>76801.443712745284</v>
      </c>
      <c r="M21" s="3">
        <f>L21*(1+Assumptions!$C$22)</f>
        <v>79105.487024127651</v>
      </c>
      <c r="N21" s="3">
        <f>M21*(1+Assumptions!$C$22)</f>
        <v>81478.651634851485</v>
      </c>
      <c r="O21" s="3">
        <f>N21*(1+Assumptions!$C$22)</f>
        <v>83923.011183897033</v>
      </c>
      <c r="P21" s="3"/>
    </row>
    <row r="22" spans="2:16" x14ac:dyDescent="0.25">
      <c r="C22" t="s">
        <v>16</v>
      </c>
      <c r="F22" s="3">
        <f>Assumptions!B23</f>
        <v>200</v>
      </c>
      <c r="G22" s="3">
        <f>$F$22</f>
        <v>200</v>
      </c>
      <c r="H22" s="3">
        <f>$F$22</f>
        <v>200</v>
      </c>
      <c r="I22" s="3">
        <f>$F$22</f>
        <v>200</v>
      </c>
      <c r="J22" s="3">
        <f>$F$22</f>
        <v>200</v>
      </c>
      <c r="K22" s="3">
        <f t="shared" ref="K22:O22" si="2">$F$22</f>
        <v>200</v>
      </c>
      <c r="L22" s="3">
        <f t="shared" si="2"/>
        <v>200</v>
      </c>
      <c r="M22" s="3">
        <f t="shared" si="2"/>
        <v>200</v>
      </c>
      <c r="N22" s="3">
        <f t="shared" si="2"/>
        <v>200</v>
      </c>
      <c r="O22" s="3">
        <f t="shared" si="2"/>
        <v>200</v>
      </c>
      <c r="P22" s="3"/>
    </row>
    <row r="23" spans="2:16" x14ac:dyDescent="0.25">
      <c r="C23" t="s">
        <v>17</v>
      </c>
      <c r="F23" s="3">
        <f>Assumptions!B24</f>
        <v>3000</v>
      </c>
      <c r="G23" s="3">
        <f>F23*(1+Assumptions!$C$24)</f>
        <v>3030</v>
      </c>
      <c r="H23" s="3">
        <f>G23*(1+Assumptions!$C$24)</f>
        <v>3060.3</v>
      </c>
      <c r="I23" s="3">
        <f>H23*(1+Assumptions!$C$24)</f>
        <v>3090.9030000000002</v>
      </c>
      <c r="J23" s="3">
        <f>I23*(1+Assumptions!$C$24)</f>
        <v>3121.8120300000005</v>
      </c>
      <c r="K23" s="3">
        <f>J23*(1+Assumptions!$C$24)</f>
        <v>3153.0301503000005</v>
      </c>
      <c r="L23" s="3">
        <f>K23*(1+Assumptions!$C$24)</f>
        <v>3184.5604518030004</v>
      </c>
      <c r="M23" s="3">
        <f>L23*(1+Assumptions!$C$24)</f>
        <v>3216.4060563210305</v>
      </c>
      <c r="N23" s="3">
        <f>M23*(1+Assumptions!$C$24)</f>
        <v>3248.5701168842406</v>
      </c>
      <c r="O23" s="3">
        <f>N23*(1+Assumptions!$C$24)</f>
        <v>3281.0558180530829</v>
      </c>
      <c r="P23" s="3"/>
    </row>
    <row r="24" spans="2:16" x14ac:dyDescent="0.25">
      <c r="C24" t="s">
        <v>50</v>
      </c>
      <c r="F24" s="3">
        <f>F$5*Assumptions!$B$30</f>
        <v>13871.632499999998</v>
      </c>
      <c r="G24" s="3">
        <f>G$5*Assumptions!$B$30</f>
        <v>15258.795749999997</v>
      </c>
      <c r="H24" s="3">
        <f>H$5*Assumptions!$B$30</f>
        <v>16784.675325</v>
      </c>
      <c r="I24" s="3">
        <f>I$5*Assumptions!$B$30</f>
        <v>18463.142857499999</v>
      </c>
      <c r="J24" s="3">
        <f>J$5*Assumptions!$B$30</f>
        <v>20309.457143250002</v>
      </c>
      <c r="K24" s="3">
        <f>K$5*Assumptions!$B$30</f>
        <v>22340.402857575005</v>
      </c>
      <c r="L24" s="3">
        <f>L$5*Assumptions!$B$30</f>
        <v>24574.443143332504</v>
      </c>
      <c r="M24" s="3">
        <f>M$5*Assumptions!$B$30</f>
        <v>27031.887457665758</v>
      </c>
      <c r="N24" s="3">
        <f>N$5*Assumptions!$B$30</f>
        <v>29735.076203432334</v>
      </c>
      <c r="O24" s="3">
        <f>O$5*Assumptions!$B$30</f>
        <v>32708.583823775567</v>
      </c>
      <c r="P24" s="3"/>
    </row>
    <row r="25" spans="2:16" x14ac:dyDescent="0.25">
      <c r="C25" t="s">
        <v>51</v>
      </c>
      <c r="F25" s="3">
        <f>F$21*Assumptions!$B$31</f>
        <v>5306.4000000000005</v>
      </c>
      <c r="G25" s="3">
        <f>G$21*Assumptions!$B$31</f>
        <v>5465.5920000000006</v>
      </c>
      <c r="H25" s="3">
        <f>H$21*Assumptions!$B$31</f>
        <v>5629.5597600000001</v>
      </c>
      <c r="I25" s="3">
        <f>I$21*Assumptions!$B$31</f>
        <v>5798.446552800001</v>
      </c>
      <c r="J25" s="3">
        <f>J$21*Assumptions!$B$31</f>
        <v>5972.399949384001</v>
      </c>
      <c r="K25" s="3">
        <f>K$21*Assumptions!$B$31</f>
        <v>6151.571947865521</v>
      </c>
      <c r="L25" s="3">
        <f>L$21*Assumptions!$B$31</f>
        <v>6336.1191063014858</v>
      </c>
      <c r="M25" s="3">
        <f>M$21*Assumptions!$B$31</f>
        <v>6526.2026794905314</v>
      </c>
      <c r="N25" s="3">
        <f>N$21*Assumptions!$B$31</f>
        <v>6721.9887598752475</v>
      </c>
      <c r="O25" s="3">
        <f>O$21*Assumptions!$B$31</f>
        <v>6923.6484226715056</v>
      </c>
      <c r="P25" s="3"/>
    </row>
    <row r="26" spans="2:16" x14ac:dyDescent="0.25">
      <c r="C26" t="s">
        <v>14</v>
      </c>
      <c r="F26" s="5">
        <f>Assumptions!$B$28</f>
        <v>6500</v>
      </c>
      <c r="G26" s="5">
        <f>Assumptions!$B$28</f>
        <v>6500</v>
      </c>
      <c r="H26" s="5">
        <f>Assumptions!$B$28</f>
        <v>6500</v>
      </c>
      <c r="I26" s="5">
        <f>Assumptions!$B$28</f>
        <v>6500</v>
      </c>
      <c r="J26" s="5">
        <f>Assumptions!$B$28</f>
        <v>6500</v>
      </c>
      <c r="K26" s="5">
        <f>Assumptions!$B$28</f>
        <v>6500</v>
      </c>
      <c r="L26" s="5">
        <f>Assumptions!$B$28</f>
        <v>6500</v>
      </c>
      <c r="M26" s="5">
        <f>Assumptions!$B$28</f>
        <v>6500</v>
      </c>
      <c r="N26" s="5">
        <f>Assumptions!$B$28</f>
        <v>6500</v>
      </c>
      <c r="O26" s="5">
        <f>Assumptions!$B$28</f>
        <v>6500</v>
      </c>
      <c r="P26" s="5"/>
    </row>
    <row r="27" spans="2:16" x14ac:dyDescent="0.25">
      <c r="C27" t="s">
        <v>33</v>
      </c>
      <c r="F27" s="5">
        <f>F$49*Assumptions!$B$35</f>
        <v>11802.357789694888</v>
      </c>
      <c r="G27" s="5">
        <f>G$49*Assumptions!$B$35</f>
        <v>13186.70285010005</v>
      </c>
      <c r="H27" s="5">
        <f>H$49*Assumptions!$B$35</f>
        <v>13311.511699468767</v>
      </c>
      <c r="I27" s="5">
        <f>I$49*Assumptions!$B$35</f>
        <v>11991.787378923415</v>
      </c>
      <c r="J27" s="5">
        <f>J$49*Assumptions!$B$35</f>
        <v>9029.0290865386814</v>
      </c>
      <c r="K27" s="5">
        <f>K$49*Assumptions!$B$35</f>
        <v>4068.8343995380233</v>
      </c>
      <c r="L27" s="5">
        <f>L$49*Assumptions!$B$35</f>
        <v>0</v>
      </c>
      <c r="M27" s="5">
        <f>M$49*Assumptions!$B$35</f>
        <v>0</v>
      </c>
      <c r="N27" s="5">
        <f>N$49*Assumptions!$B$35</f>
        <v>0</v>
      </c>
      <c r="O27" s="5">
        <f>O$49*Assumptions!$B$35</f>
        <v>0</v>
      </c>
      <c r="P27" s="5"/>
    </row>
    <row r="28" spans="2:16" x14ac:dyDescent="0.25">
      <c r="C28" t="s">
        <v>54</v>
      </c>
      <c r="F28" s="5">
        <f>F7-SUM(F11:F27)</f>
        <v>-24651.192539694894</v>
      </c>
      <c r="G28" s="5">
        <f>G7-SUM(G11:G27)</f>
        <v>-16516.029932600068</v>
      </c>
      <c r="H28" s="5">
        <f>H7-SUM(H11:H27)</f>
        <v>-5867.8769502187497</v>
      </c>
      <c r="I28" s="5">
        <f>I7-SUM(I11:I27)</f>
        <v>7455.4342884515645</v>
      </c>
      <c r="J28" s="5">
        <f>J7-SUM(J11:J27)</f>
        <v>23780.012421069812</v>
      </c>
      <c r="K28" s="5">
        <f t="shared" ref="K28:O28" si="3">K7-SUM(K11:K27)</f>
        <v>43600.764304132201</v>
      </c>
      <c r="L28" s="5">
        <f t="shared" si="3"/>
        <v>64183.588016043213</v>
      </c>
      <c r="M28" s="5">
        <f t="shared" si="3"/>
        <v>82521.317755643046</v>
      </c>
      <c r="N28" s="5">
        <f t="shared" si="3"/>
        <v>102870.27545552957</v>
      </c>
      <c r="O28" s="5">
        <f t="shared" si="3"/>
        <v>125436.85023923297</v>
      </c>
      <c r="P28" s="5"/>
    </row>
    <row r="29" spans="2:16" x14ac:dyDescent="0.25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25">
      <c r="C30" t="s">
        <v>49</v>
      </c>
      <c r="F30" s="5">
        <f>IF(F28&lt;0,0,F28*Assumptions!$B$29)</f>
        <v>0</v>
      </c>
      <c r="G30" s="5">
        <f>IF(G28&lt;0,0,G28*Assumptions!$B$29)</f>
        <v>0</v>
      </c>
      <c r="H30" s="5">
        <f>IF(H28&lt;0,0,H28*Assumptions!$B$29)</f>
        <v>0</v>
      </c>
      <c r="I30" s="5">
        <f>IF(I28&lt;0,0,I28*Assumptions!$B$29)</f>
        <v>1118.3151432677346</v>
      </c>
      <c r="J30" s="5">
        <f>IF(J28&lt;0,0,J28*Assumptions!$B$29)</f>
        <v>3567.0018631604717</v>
      </c>
      <c r="K30" s="5">
        <f>IF(K28&lt;0,0,K28*Assumptions!$B$29)</f>
        <v>6540.1146456198303</v>
      </c>
      <c r="L30" s="5">
        <f>IF(L28&lt;0,0,L28*Assumptions!$B$29)</f>
        <v>9627.538202406482</v>
      </c>
      <c r="M30" s="5">
        <f>IF(M28&lt;0,0,M28*Assumptions!$B$29)</f>
        <v>12378.197663346456</v>
      </c>
      <c r="N30" s="5">
        <f>IF(N28&lt;0,0,N28*Assumptions!$B$29)</f>
        <v>15430.541318329435</v>
      </c>
      <c r="O30" s="5">
        <f>IF(O28&lt;0,0,O28*Assumptions!$B$29)</f>
        <v>18815.527535884943</v>
      </c>
      <c r="P30" s="5"/>
    </row>
    <row r="32" spans="2:16" ht="15.75" thickBot="1" x14ac:dyDescent="0.3">
      <c r="B32" s="21" t="s">
        <v>34</v>
      </c>
      <c r="F32" s="31">
        <f>F28-F30</f>
        <v>-24651.192539694894</v>
      </c>
      <c r="G32" s="31">
        <f>G28-G30</f>
        <v>-16516.029932600068</v>
      </c>
      <c r="H32" s="31">
        <f>H28-H30</f>
        <v>-5867.8769502187497</v>
      </c>
      <c r="I32" s="31">
        <f>I28-I30</f>
        <v>6337.1191451838295</v>
      </c>
      <c r="J32" s="31">
        <f>J28-J30</f>
        <v>20213.01055790934</v>
      </c>
      <c r="K32" s="31">
        <f t="shared" ref="K32:O32" si="4">K28-K30</f>
        <v>37060.649658512368</v>
      </c>
      <c r="L32" s="31">
        <f t="shared" si="4"/>
        <v>54556.049813636731</v>
      </c>
      <c r="M32" s="31">
        <f t="shared" si="4"/>
        <v>70143.120092296595</v>
      </c>
      <c r="N32" s="31">
        <f t="shared" si="4"/>
        <v>87439.734137200139</v>
      </c>
      <c r="O32" s="31">
        <f t="shared" si="4"/>
        <v>106621.32270334802</v>
      </c>
      <c r="P32" s="37"/>
    </row>
    <row r="33" spans="1:16" ht="15.75" thickTop="1" x14ac:dyDescent="0.25"/>
    <row r="34" spans="1:16" ht="15.75" x14ac:dyDescent="0.25">
      <c r="A34" s="34" t="s">
        <v>18</v>
      </c>
      <c r="B34" s="38"/>
      <c r="C34" s="38"/>
      <c r="D34" s="38"/>
    </row>
    <row r="35" spans="1:16" x14ac:dyDescent="0.25">
      <c r="B35" s="21" t="s">
        <v>19</v>
      </c>
    </row>
    <row r="36" spans="1:16" x14ac:dyDescent="0.25">
      <c r="C36" t="s">
        <v>38</v>
      </c>
      <c r="F36" s="3">
        <v>5000</v>
      </c>
      <c r="G36" s="3">
        <f>$F$36</f>
        <v>5000</v>
      </c>
      <c r="H36" s="3">
        <f>$F$36</f>
        <v>5000</v>
      </c>
      <c r="I36" s="3">
        <f>$F$36</f>
        <v>5000</v>
      </c>
      <c r="J36" s="3">
        <f>$F$36</f>
        <v>5000</v>
      </c>
      <c r="K36" s="3">
        <f t="shared" ref="K36:O36" si="5">$F$36</f>
        <v>5000</v>
      </c>
      <c r="L36" s="3">
        <f t="shared" si="5"/>
        <v>5000</v>
      </c>
      <c r="M36" s="3">
        <f t="shared" si="5"/>
        <v>5000</v>
      </c>
      <c r="N36" s="3">
        <f t="shared" si="5"/>
        <v>5000</v>
      </c>
      <c r="O36" s="3">
        <f t="shared" si="5"/>
        <v>5000</v>
      </c>
      <c r="P36" s="3"/>
    </row>
    <row r="37" spans="1:16" x14ac:dyDescent="0.25">
      <c r="C37" t="s">
        <v>39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24700.833157295667</v>
      </c>
      <c r="M37" s="3">
        <v>98650.86359004899</v>
      </c>
      <c r="N37" s="3">
        <v>189628.1991017515</v>
      </c>
      <c r="O37" s="3">
        <v>299490.88331705215</v>
      </c>
      <c r="P37" s="3"/>
    </row>
    <row r="38" spans="1:16" x14ac:dyDescent="0.25">
      <c r="C38" t="s">
        <v>23</v>
      </c>
      <c r="F38" s="3">
        <f>F5/365*Assumptions!$B$33</f>
        <v>19002.236301369863</v>
      </c>
      <c r="G38" s="3">
        <f>G5/365*Assumptions!$B$33</f>
        <v>20902.459931506848</v>
      </c>
      <c r="H38" s="3">
        <f>H5/365*Assumptions!$B$33</f>
        <v>22992.705924657534</v>
      </c>
      <c r="I38" s="3">
        <f>I5/365*Assumptions!$B$33</f>
        <v>25291.976517123287</v>
      </c>
      <c r="J38" s="3">
        <f>J5/365*Assumptions!$B$33</f>
        <v>27821.17416883562</v>
      </c>
      <c r="K38" s="3">
        <f>K5/365*Assumptions!$B$33</f>
        <v>30603.291585719184</v>
      </c>
      <c r="L38" s="3">
        <f>L5/365*Assumptions!$B$33</f>
        <v>33663.620744291104</v>
      </c>
      <c r="M38" s="3">
        <f>M5/365*Assumptions!$B$33</f>
        <v>37029.982818720222</v>
      </c>
      <c r="N38" s="3">
        <f>N5/365*Assumptions!$B$33</f>
        <v>40732.981100592246</v>
      </c>
      <c r="O38" s="3">
        <f>O5/365*Assumptions!$B$33</f>
        <v>44806.279210651468</v>
      </c>
      <c r="P38" s="3"/>
    </row>
    <row r="39" spans="1:16" x14ac:dyDescent="0.25">
      <c r="C39" t="s">
        <v>24</v>
      </c>
      <c r="F39" s="3">
        <f>F$6/365*Assumptions!$B$34</f>
        <v>3800.447260273972</v>
      </c>
      <c r="G39" s="3">
        <f>G$6/365*Assumptions!$B$34</f>
        <v>4180.4919863013693</v>
      </c>
      <c r="H39" s="3">
        <f>H$6/365*Assumptions!$B$34</f>
        <v>4598.5411849315069</v>
      </c>
      <c r="I39" s="3">
        <f>I$6/365*Assumptions!$B$34</f>
        <v>5058.3953034246579</v>
      </c>
      <c r="J39" s="3">
        <f>J$6/365*Assumptions!$B$34</f>
        <v>5564.2348337671247</v>
      </c>
      <c r="K39" s="3">
        <f>K$6/365*Assumptions!$B$34</f>
        <v>6120.6583171438369</v>
      </c>
      <c r="L39" s="3">
        <f>L$6/365*Assumptions!$B$34</f>
        <v>6732.7241488582213</v>
      </c>
      <c r="M39" s="3">
        <f>M$6/365*Assumptions!$B$34</f>
        <v>7405.9965637440437</v>
      </c>
      <c r="N39" s="3">
        <f>N$6/365*Assumptions!$B$34</f>
        <v>8146.5962201184484</v>
      </c>
      <c r="O39" s="3">
        <f>O$6/365*Assumptions!$B$34</f>
        <v>8961.2558421302929</v>
      </c>
      <c r="P39" s="3"/>
    </row>
    <row r="41" spans="1:16" x14ac:dyDescent="0.25">
      <c r="C41" t="s">
        <v>26</v>
      </c>
      <c r="F41" s="3">
        <v>40000</v>
      </c>
      <c r="G41" s="3">
        <f>$F$41</f>
        <v>40000</v>
      </c>
      <c r="H41" s="3">
        <f>$F$41</f>
        <v>40000</v>
      </c>
      <c r="I41" s="3">
        <f>$F$41</f>
        <v>40000</v>
      </c>
      <c r="J41" s="3">
        <f>$F$41</f>
        <v>40000</v>
      </c>
      <c r="K41" s="3">
        <f t="shared" ref="K41:O41" si="6">$F$41</f>
        <v>40000</v>
      </c>
      <c r="L41" s="3">
        <f t="shared" si="6"/>
        <v>40000</v>
      </c>
      <c r="M41" s="3">
        <f t="shared" si="6"/>
        <v>40000</v>
      </c>
      <c r="N41" s="3">
        <f t="shared" si="6"/>
        <v>40000</v>
      </c>
      <c r="O41" s="3">
        <f t="shared" si="6"/>
        <v>40000</v>
      </c>
      <c r="P41" s="3"/>
    </row>
    <row r="42" spans="1:16" x14ac:dyDescent="0.25">
      <c r="C42" t="s">
        <v>25</v>
      </c>
      <c r="F42" s="3">
        <v>30000</v>
      </c>
      <c r="G42" s="3">
        <f>$F$42</f>
        <v>30000</v>
      </c>
      <c r="H42" s="3">
        <f>$F$42</f>
        <v>30000</v>
      </c>
      <c r="I42" s="3">
        <f>$F$42</f>
        <v>30000</v>
      </c>
      <c r="J42" s="3">
        <f>$F$42</f>
        <v>30000</v>
      </c>
      <c r="K42" s="3">
        <f t="shared" ref="K42:O42" si="7">$F$42</f>
        <v>30000</v>
      </c>
      <c r="L42" s="3">
        <f t="shared" si="7"/>
        <v>30000</v>
      </c>
      <c r="M42" s="3">
        <f t="shared" si="7"/>
        <v>30000</v>
      </c>
      <c r="N42" s="3">
        <f t="shared" si="7"/>
        <v>30000</v>
      </c>
      <c r="O42" s="3">
        <f t="shared" si="7"/>
        <v>30000</v>
      </c>
      <c r="P42" s="3"/>
    </row>
    <row r="43" spans="1:16" x14ac:dyDescent="0.25">
      <c r="C43" t="s">
        <v>27</v>
      </c>
      <c r="F43" s="5">
        <f t="shared" ref="F43:L43" si="8">IF(E$43+F26&gt;70000,70000,E43+F26)</f>
        <v>6500</v>
      </c>
      <c r="G43" s="5">
        <f t="shared" si="8"/>
        <v>13000</v>
      </c>
      <c r="H43" s="5">
        <f t="shared" si="8"/>
        <v>19500</v>
      </c>
      <c r="I43" s="5">
        <f t="shared" si="8"/>
        <v>26000</v>
      </c>
      <c r="J43" s="5">
        <f t="shared" si="8"/>
        <v>32500</v>
      </c>
      <c r="K43" s="5">
        <f t="shared" si="8"/>
        <v>39000</v>
      </c>
      <c r="L43" s="5">
        <f t="shared" si="8"/>
        <v>45500</v>
      </c>
      <c r="M43" s="5">
        <f>IF(L$43+M26&gt;70000,70000,L43+M26)</f>
        <v>52000</v>
      </c>
      <c r="N43" s="5">
        <f t="shared" ref="N43:O43" si="9">IF(M$43+N26&gt;70000,70000,M43+N26)</f>
        <v>58500</v>
      </c>
      <c r="O43" s="5">
        <f t="shared" si="9"/>
        <v>65000</v>
      </c>
      <c r="P43" s="5"/>
    </row>
    <row r="45" spans="1:16" x14ac:dyDescent="0.25">
      <c r="B45" s="21" t="s">
        <v>28</v>
      </c>
      <c r="F45" s="5">
        <f>SUM(F36:F42)-F43</f>
        <v>91302.683561643833</v>
      </c>
      <c r="G45" s="5">
        <f>SUM(G36:G42)-G43</f>
        <v>87082.951917808212</v>
      </c>
      <c r="H45" s="5">
        <f>SUM(H36:H42)-H43</f>
        <v>83091.247109589036</v>
      </c>
      <c r="I45" s="5">
        <f>SUM(I36:I42)-I43</f>
        <v>79350.371820547938</v>
      </c>
      <c r="J45" s="5">
        <f>SUM(J36:J42)-J43</f>
        <v>75885.409002602741</v>
      </c>
      <c r="K45" s="5">
        <f t="shared" ref="K45:O45" si="10">SUM(K36:K42)-K43</f>
        <v>72723.949902863023</v>
      </c>
      <c r="L45" s="5">
        <f t="shared" si="10"/>
        <v>94597.178050444985</v>
      </c>
      <c r="M45" s="5">
        <f t="shared" si="10"/>
        <v>166086.84297251323</v>
      </c>
      <c r="N45" s="5">
        <f t="shared" si="10"/>
        <v>255007.77642246219</v>
      </c>
      <c r="O45" s="5">
        <f t="shared" si="10"/>
        <v>363258.4183698339</v>
      </c>
      <c r="P45" s="5"/>
    </row>
    <row r="47" spans="1:16" x14ac:dyDescent="0.25">
      <c r="B47" s="21" t="s">
        <v>20</v>
      </c>
    </row>
    <row r="48" spans="1:16" x14ac:dyDescent="0.25">
      <c r="C48" t="s">
        <v>29</v>
      </c>
      <c r="F48" s="3">
        <f>F$6/365*Assumptions!$B$36</f>
        <v>7600.894520547944</v>
      </c>
      <c r="G48" s="3">
        <f>G$6/365*Assumptions!$B$36</f>
        <v>8360.9839726027385</v>
      </c>
      <c r="H48" s="3">
        <f>H$6/365*Assumptions!$B$36</f>
        <v>9197.0823698630138</v>
      </c>
      <c r="I48" s="3">
        <f>I$6/365*Assumptions!$B$36</f>
        <v>10116.790606849316</v>
      </c>
      <c r="J48" s="3">
        <f>J$6/365*Assumptions!$B$36</f>
        <v>11128.469667534249</v>
      </c>
      <c r="K48" s="3">
        <f>K$6/365*Assumptions!$B$36</f>
        <v>12241.316634287674</v>
      </c>
      <c r="L48" s="3">
        <f>L$6/365*Assumptions!$B$36</f>
        <v>13465.448297716443</v>
      </c>
      <c r="M48" s="3">
        <f>M$6/365*Assumptions!$B$36</f>
        <v>14811.993127488087</v>
      </c>
      <c r="N48" s="3">
        <f>N$6/365*Assumptions!$B$36</f>
        <v>16293.192440236897</v>
      </c>
      <c r="O48" s="3">
        <f>O$6/365*Assumptions!$B$36</f>
        <v>17922.511684260586</v>
      </c>
      <c r="P48" s="3"/>
    </row>
    <row r="49" spans="2:16" x14ac:dyDescent="0.25">
      <c r="C49" t="s">
        <v>30</v>
      </c>
      <c r="F49" s="3">
        <v>98352.981580790743</v>
      </c>
      <c r="G49" s="3">
        <v>109889.19041750042</v>
      </c>
      <c r="H49" s="3">
        <v>110929.26416223974</v>
      </c>
      <c r="I49" s="3">
        <v>99931.561491028464</v>
      </c>
      <c r="J49" s="3">
        <v>75241.90905448902</v>
      </c>
      <c r="K49" s="3">
        <v>33906.953329483527</v>
      </c>
      <c r="L49" s="3">
        <v>0</v>
      </c>
      <c r="M49" s="3">
        <v>0</v>
      </c>
      <c r="N49" s="3">
        <v>0</v>
      </c>
      <c r="O49" s="3">
        <v>0</v>
      </c>
      <c r="P49" s="3"/>
    </row>
    <row r="51" spans="2:16" x14ac:dyDescent="0.25">
      <c r="B51" s="21" t="s">
        <v>21</v>
      </c>
    </row>
    <row r="52" spans="2:16" x14ac:dyDescent="0.25">
      <c r="C52" t="s">
        <v>21</v>
      </c>
      <c r="F52" s="3">
        <f>10000</f>
        <v>10000</v>
      </c>
      <c r="G52" s="3">
        <f>$F$52</f>
        <v>10000</v>
      </c>
      <c r="H52" s="3">
        <f>$F$52</f>
        <v>10000</v>
      </c>
      <c r="I52" s="3">
        <f>$F$52</f>
        <v>10000</v>
      </c>
      <c r="J52" s="3">
        <f>$F$52</f>
        <v>10000</v>
      </c>
      <c r="K52" s="3">
        <f t="shared" ref="K52:O52" si="11">$F$52</f>
        <v>10000</v>
      </c>
      <c r="L52" s="3">
        <f t="shared" si="11"/>
        <v>10000</v>
      </c>
      <c r="M52" s="3">
        <f t="shared" si="11"/>
        <v>10000</v>
      </c>
      <c r="N52" s="3">
        <f t="shared" si="11"/>
        <v>10000</v>
      </c>
      <c r="O52" s="3">
        <f t="shared" si="11"/>
        <v>10000</v>
      </c>
      <c r="P52" s="3"/>
    </row>
    <row r="53" spans="2:16" x14ac:dyDescent="0.25">
      <c r="C53" t="s">
        <v>31</v>
      </c>
      <c r="F53" s="5">
        <f>F32</f>
        <v>-24651.192539694894</v>
      </c>
      <c r="G53" s="5">
        <f>F$53+G32</f>
        <v>-41167.222472294961</v>
      </c>
      <c r="H53" s="5">
        <f>G$53+H32</f>
        <v>-47035.099422513711</v>
      </c>
      <c r="I53" s="5">
        <f>H$53+I32</f>
        <v>-40697.98027732988</v>
      </c>
      <c r="J53" s="5">
        <f>I$53+J32</f>
        <v>-20484.96971942054</v>
      </c>
      <c r="K53" s="5">
        <f t="shared" ref="K53:O53" si="12">J$53+K32</f>
        <v>16575.679939091828</v>
      </c>
      <c r="L53" s="5">
        <f t="shared" si="12"/>
        <v>71131.729752728555</v>
      </c>
      <c r="M53" s="5">
        <f t="shared" si="12"/>
        <v>141274.84984502516</v>
      </c>
      <c r="N53" s="5">
        <f t="shared" si="12"/>
        <v>228714.5839822253</v>
      </c>
      <c r="O53" s="5">
        <f t="shared" si="12"/>
        <v>335335.90668557334</v>
      </c>
      <c r="P53" s="5"/>
    </row>
    <row r="55" spans="2:16" ht="15.75" thickBot="1" x14ac:dyDescent="0.3">
      <c r="B55" s="21" t="s">
        <v>32</v>
      </c>
      <c r="F55" s="31">
        <f>SUM(F48:F53)</f>
        <v>91302.683561643789</v>
      </c>
      <c r="G55" s="31">
        <f>SUM(G48:G53)</f>
        <v>87082.951917808197</v>
      </c>
      <c r="H55" s="31">
        <f>SUM(H48:H53)</f>
        <v>83091.247109589036</v>
      </c>
      <c r="I55" s="31">
        <f>SUM(I48:I53)</f>
        <v>79350.371820547909</v>
      </c>
      <c r="J55" s="31">
        <f>SUM(J48:J53)</f>
        <v>75885.409002602741</v>
      </c>
      <c r="K55" s="31">
        <f t="shared" ref="K55:O55" si="13">SUM(K48:K53)</f>
        <v>72723.949902863023</v>
      </c>
      <c r="L55" s="31">
        <f t="shared" si="13"/>
        <v>94597.178050445</v>
      </c>
      <c r="M55" s="31">
        <f t="shared" si="13"/>
        <v>166086.84297251326</v>
      </c>
      <c r="N55" s="31">
        <f t="shared" si="13"/>
        <v>255007.77642246219</v>
      </c>
      <c r="O55" s="31">
        <f t="shared" si="13"/>
        <v>363258.4183698339</v>
      </c>
      <c r="P55" s="5"/>
    </row>
    <row r="56" spans="2:16" ht="15.75" thickTop="1" x14ac:dyDescent="0.25"/>
    <row r="57" spans="2:16" x14ac:dyDescent="0.25">
      <c r="D57" t="s">
        <v>43</v>
      </c>
      <c r="F57" s="5">
        <f>F$45-F$55</f>
        <v>0</v>
      </c>
      <c r="G57" s="5">
        <f>G$45-G$55</f>
        <v>0</v>
      </c>
      <c r="H57" s="5">
        <f>H$45-H$55</f>
        <v>0</v>
      </c>
      <c r="I57" s="5">
        <f>I$45-I$55</f>
        <v>0</v>
      </c>
      <c r="J57" s="5">
        <f>J$45-J$55</f>
        <v>0</v>
      </c>
      <c r="K57" s="5">
        <f>K45-K55</f>
        <v>0</v>
      </c>
      <c r="L57" s="5">
        <f t="shared" ref="L57:O57" si="14">L45-L55</f>
        <v>0</v>
      </c>
      <c r="M57" s="5">
        <f t="shared" si="14"/>
        <v>0</v>
      </c>
      <c r="N57" s="5">
        <f t="shared" si="14"/>
        <v>0</v>
      </c>
      <c r="O57" s="5">
        <f t="shared" si="14"/>
        <v>0</v>
      </c>
      <c r="P57" s="1"/>
    </row>
    <row r="58" spans="2:16" x14ac:dyDescent="0.25">
      <c r="L58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3"/>
  <sheetViews>
    <sheetView zoomScaleNormal="100" workbookViewId="0">
      <selection activeCell="G18" sqref="G18"/>
    </sheetView>
  </sheetViews>
  <sheetFormatPr defaultRowHeight="15" x14ac:dyDescent="0.25"/>
  <cols>
    <col min="1" max="1" width="5.7109375" customWidth="1"/>
    <col min="2" max="2" width="37.42578125" customWidth="1"/>
    <col min="3" max="4" width="11.5703125" bestFit="1" customWidth="1"/>
  </cols>
  <sheetData>
    <row r="1" spans="1:9" x14ac:dyDescent="0.25">
      <c r="A1" s="48" t="s">
        <v>143</v>
      </c>
      <c r="B1" s="13"/>
      <c r="C1" s="13"/>
      <c r="D1" s="13"/>
      <c r="E1" s="14"/>
      <c r="H1" s="14"/>
      <c r="I1" s="14"/>
    </row>
    <row r="2" spans="1:9" x14ac:dyDescent="0.25">
      <c r="A2" s="13"/>
      <c r="B2" s="13"/>
      <c r="C2" s="55" t="s">
        <v>63</v>
      </c>
      <c r="D2" s="55" t="s">
        <v>131</v>
      </c>
      <c r="E2" s="14" t="s">
        <v>138</v>
      </c>
      <c r="F2" s="14"/>
      <c r="G2" s="14"/>
      <c r="H2" s="14"/>
      <c r="I2" s="14"/>
    </row>
    <row r="3" spans="1:9" x14ac:dyDescent="0.25">
      <c r="A3" s="49" t="s">
        <v>136</v>
      </c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50" t="s">
        <v>137</v>
      </c>
      <c r="C4" s="13"/>
      <c r="D4" s="13">
        <f>Assumptions!B8*'Break Even'!E4</f>
        <v>35</v>
      </c>
      <c r="E4" s="14">
        <v>1</v>
      </c>
      <c r="F4" s="14"/>
      <c r="G4" s="14"/>
      <c r="H4" s="14"/>
      <c r="I4" s="14"/>
    </row>
    <row r="5" spans="1:9" x14ac:dyDescent="0.25">
      <c r="A5" s="13"/>
      <c r="B5" s="13"/>
      <c r="C5" s="13"/>
      <c r="D5" s="13"/>
      <c r="E5" s="14"/>
      <c r="F5" s="14"/>
      <c r="G5" s="14"/>
      <c r="H5" s="14"/>
      <c r="I5" s="14"/>
    </row>
    <row r="6" spans="1:9" x14ac:dyDescent="0.25">
      <c r="A6" s="51"/>
      <c r="B6" s="51"/>
      <c r="C6" s="13"/>
      <c r="D6" s="13"/>
      <c r="E6" s="14"/>
      <c r="F6" s="14"/>
      <c r="G6" s="14"/>
      <c r="H6" s="14"/>
      <c r="I6" s="14"/>
    </row>
    <row r="7" spans="1:9" x14ac:dyDescent="0.25">
      <c r="A7" s="49" t="s">
        <v>132</v>
      </c>
      <c r="B7" s="13"/>
      <c r="C7" s="13"/>
      <c r="D7" s="13"/>
      <c r="E7" s="14"/>
      <c r="F7" s="14"/>
      <c r="G7" s="14"/>
      <c r="H7" s="14"/>
      <c r="I7" s="14"/>
    </row>
    <row r="8" spans="1:9" x14ac:dyDescent="0.25">
      <c r="A8" s="13" t="s">
        <v>133</v>
      </c>
      <c r="B8" s="13"/>
      <c r="C8" s="13"/>
      <c r="D8" s="13">
        <f>D4*E8</f>
        <v>14</v>
      </c>
      <c r="E8" s="46">
        <f>Assumptions!B12</f>
        <v>0.4</v>
      </c>
      <c r="F8" s="14"/>
      <c r="G8" s="14"/>
      <c r="H8" s="14"/>
      <c r="I8" s="14"/>
    </row>
    <row r="9" spans="1:9" x14ac:dyDescent="0.25">
      <c r="A9" s="13" t="s">
        <v>139</v>
      </c>
      <c r="B9" s="50"/>
      <c r="C9" s="13"/>
      <c r="D9" s="52">
        <f>E9*SUM(D4:D4)</f>
        <v>1.05</v>
      </c>
      <c r="E9" s="18">
        <f>Assumptions!B21</f>
        <v>0.03</v>
      </c>
      <c r="F9" s="14"/>
      <c r="G9" s="14"/>
      <c r="H9" s="14"/>
      <c r="I9" s="14"/>
    </row>
    <row r="10" spans="1:9" x14ac:dyDescent="0.25">
      <c r="A10" s="13" t="s">
        <v>140</v>
      </c>
      <c r="B10" s="13"/>
      <c r="C10" s="13"/>
      <c r="D10" s="52">
        <f>D4*E10</f>
        <v>0.35000000000000003</v>
      </c>
      <c r="E10" s="59">
        <v>0.01</v>
      </c>
      <c r="F10" s="14"/>
      <c r="G10" s="14"/>
      <c r="H10" s="14"/>
      <c r="I10" s="14"/>
    </row>
    <row r="11" spans="1:9" x14ac:dyDescent="0.25">
      <c r="A11" s="13"/>
      <c r="B11" s="13"/>
      <c r="C11" s="13"/>
      <c r="D11" s="52"/>
      <c r="E11" s="18"/>
      <c r="F11" s="14"/>
      <c r="G11" s="14"/>
      <c r="H11" s="14"/>
      <c r="I11" s="14"/>
    </row>
    <row r="12" spans="1:9" x14ac:dyDescent="0.25">
      <c r="A12" s="13" t="s">
        <v>134</v>
      </c>
      <c r="B12" s="13"/>
      <c r="C12" s="13"/>
      <c r="D12" s="52">
        <f>SUM(D4:D4)-SUM(D8:D10)</f>
        <v>19.600000000000001</v>
      </c>
      <c r="E12" s="14"/>
      <c r="F12" s="14"/>
      <c r="G12" s="14"/>
      <c r="H12" s="14"/>
      <c r="I12" s="14"/>
    </row>
    <row r="13" spans="1:9" x14ac:dyDescent="0.25">
      <c r="A13" s="13"/>
      <c r="B13" s="13"/>
      <c r="C13" s="13"/>
      <c r="D13" s="13"/>
      <c r="E13" s="14"/>
      <c r="F13" s="14"/>
      <c r="G13" s="14"/>
      <c r="H13" s="14"/>
      <c r="I13" s="14"/>
    </row>
    <row r="14" spans="1:9" x14ac:dyDescent="0.25">
      <c r="A14" s="49" t="s">
        <v>135</v>
      </c>
      <c r="B14" s="13"/>
      <c r="C14" s="13"/>
      <c r="D14" s="13"/>
      <c r="E14" s="14"/>
      <c r="F14" s="14"/>
      <c r="G14" s="14"/>
      <c r="H14" s="14"/>
      <c r="I14" s="14"/>
    </row>
    <row r="15" spans="1:9" x14ac:dyDescent="0.25">
      <c r="A15" s="51" t="s">
        <v>9</v>
      </c>
      <c r="B15" s="51"/>
      <c r="C15" s="53">
        <f>'Pro Forma'!F15</f>
        <v>40800</v>
      </c>
      <c r="D15" s="13"/>
      <c r="E15" s="14"/>
      <c r="F15" s="14"/>
      <c r="G15" s="14"/>
      <c r="H15" s="14"/>
      <c r="I15" s="14"/>
    </row>
    <row r="16" spans="1:9" x14ac:dyDescent="0.25">
      <c r="A16" s="51" t="s">
        <v>10</v>
      </c>
      <c r="B16" s="51"/>
      <c r="C16" s="53">
        <f>'Pro Forma'!F16</f>
        <v>588</v>
      </c>
      <c r="D16" s="13"/>
      <c r="E16" s="14"/>
      <c r="F16" s="14"/>
      <c r="G16" s="14"/>
      <c r="H16" s="14"/>
      <c r="I16" s="14"/>
    </row>
    <row r="17" spans="1:9" x14ac:dyDescent="0.25">
      <c r="A17" s="51" t="s">
        <v>41</v>
      </c>
      <c r="B17" s="51"/>
      <c r="C17" s="53">
        <f>'Pro Forma'!F17</f>
        <v>1200</v>
      </c>
      <c r="D17" s="54"/>
      <c r="E17" s="14"/>
      <c r="F17" s="14"/>
      <c r="G17" s="14"/>
      <c r="H17" s="14"/>
      <c r="I17" s="14"/>
    </row>
    <row r="18" spans="1:9" x14ac:dyDescent="0.25">
      <c r="A18" s="51" t="s">
        <v>48</v>
      </c>
      <c r="B18" s="51"/>
      <c r="C18" s="53">
        <f>'Pro Forma'!F18</f>
        <v>1000</v>
      </c>
      <c r="D18" s="54"/>
      <c r="E18" s="14"/>
      <c r="F18" s="14"/>
      <c r="G18" s="14"/>
      <c r="H18" s="14"/>
      <c r="I18" s="14"/>
    </row>
    <row r="19" spans="1:9" x14ac:dyDescent="0.25">
      <c r="A19" s="51" t="s">
        <v>12</v>
      </c>
      <c r="B19" s="51"/>
      <c r="C19" s="53">
        <f>'Pro Forma'!F19</f>
        <v>1800</v>
      </c>
      <c r="D19" s="13"/>
      <c r="E19" s="14"/>
      <c r="F19" s="14"/>
      <c r="G19" s="14"/>
      <c r="H19" s="14"/>
      <c r="I19" s="14"/>
    </row>
    <row r="20" spans="1:9" x14ac:dyDescent="0.25">
      <c r="A20" s="51" t="s">
        <v>11</v>
      </c>
      <c r="B20" s="51"/>
      <c r="C20" s="53">
        <f>'Pro Forma'!F20</f>
        <v>1440</v>
      </c>
      <c r="D20" s="13"/>
      <c r="E20" s="14"/>
      <c r="F20" s="14"/>
      <c r="G20" s="14"/>
      <c r="H20" s="14"/>
      <c r="I20" s="14"/>
    </row>
    <row r="21" spans="1:9" x14ac:dyDescent="0.25">
      <c r="A21" s="51" t="s">
        <v>15</v>
      </c>
      <c r="B21" s="51"/>
      <c r="C21" s="53">
        <f>'Pro Forma'!F21</f>
        <v>64320</v>
      </c>
      <c r="D21" s="13"/>
      <c r="E21" s="14"/>
      <c r="F21" s="14"/>
      <c r="G21" s="14"/>
      <c r="H21" s="14"/>
      <c r="I21" s="14"/>
    </row>
    <row r="22" spans="1:9" x14ac:dyDescent="0.25">
      <c r="A22" s="51" t="s">
        <v>16</v>
      </c>
      <c r="B22" s="51"/>
      <c r="C22" s="53">
        <f>'Pro Forma'!F22</f>
        <v>200</v>
      </c>
      <c r="D22" s="13"/>
      <c r="E22" s="14"/>
      <c r="F22" s="14"/>
      <c r="G22" s="14"/>
      <c r="H22" s="14"/>
      <c r="I22" s="14"/>
    </row>
    <row r="23" spans="1:9" x14ac:dyDescent="0.25">
      <c r="A23" s="51" t="s">
        <v>17</v>
      </c>
      <c r="B23" s="51"/>
      <c r="C23" s="53">
        <f>'Pro Forma'!F23</f>
        <v>3000</v>
      </c>
      <c r="D23" s="13"/>
      <c r="E23" s="14"/>
      <c r="F23" s="14"/>
      <c r="G23" s="14"/>
      <c r="H23" s="14"/>
      <c r="I23" s="14"/>
    </row>
    <row r="24" spans="1:9" x14ac:dyDescent="0.25">
      <c r="A24" s="51" t="s">
        <v>50</v>
      </c>
      <c r="B24" s="51"/>
      <c r="C24" s="53">
        <f>'Pro Forma'!F24</f>
        <v>13871.632499999998</v>
      </c>
      <c r="D24" s="51"/>
      <c r="E24" s="14"/>
      <c r="F24" s="14"/>
      <c r="G24" s="14"/>
      <c r="H24" s="14"/>
      <c r="I24" s="14"/>
    </row>
    <row r="25" spans="1:9" x14ac:dyDescent="0.25">
      <c r="A25" s="51" t="s">
        <v>51</v>
      </c>
      <c r="B25" s="51"/>
      <c r="C25" s="53">
        <f>'Pro Forma'!F25</f>
        <v>5306.4000000000005</v>
      </c>
      <c r="D25" s="51"/>
    </row>
    <row r="26" spans="1:9" x14ac:dyDescent="0.25">
      <c r="A26" s="51" t="s">
        <v>14</v>
      </c>
      <c r="B26" s="51"/>
      <c r="C26" s="53">
        <f>'Pro Forma'!F26</f>
        <v>6500</v>
      </c>
      <c r="D26" s="51"/>
    </row>
    <row r="27" spans="1:9" x14ac:dyDescent="0.25">
      <c r="A27" s="51" t="s">
        <v>33</v>
      </c>
      <c r="B27" s="51"/>
      <c r="C27" s="58">
        <f>'Pro Forma'!F27</f>
        <v>11802.357789694888</v>
      </c>
      <c r="D27" s="51"/>
    </row>
    <row r="28" spans="1:9" x14ac:dyDescent="0.25">
      <c r="A28" s="51"/>
      <c r="B28" s="51"/>
      <c r="C28" s="53"/>
      <c r="D28" s="51"/>
    </row>
    <row r="29" spans="1:9" x14ac:dyDescent="0.25">
      <c r="A29" s="56" t="s">
        <v>141</v>
      </c>
      <c r="B29" s="56"/>
      <c r="C29" s="57">
        <f>SUM(C15:C27)</f>
        <v>151828.39028969489</v>
      </c>
      <c r="D29" s="51"/>
    </row>
    <row r="30" spans="1:9" x14ac:dyDescent="0.25">
      <c r="D30" s="51"/>
    </row>
    <row r="32" spans="1:9" ht="15.75" thickBot="1" x14ac:dyDescent="0.3">
      <c r="A32" s="21" t="s">
        <v>142</v>
      </c>
      <c r="D32" s="31">
        <f>C29/D12</f>
        <v>7746.3464433517793</v>
      </c>
    </row>
    <row r="33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0"/>
  <sheetViews>
    <sheetView tabSelected="1" workbookViewId="0">
      <selection activeCell="D21" sqref="D21"/>
    </sheetView>
  </sheetViews>
  <sheetFormatPr defaultRowHeight="15" x14ac:dyDescent="0.25"/>
  <cols>
    <col min="1" max="1" width="19.5703125" customWidth="1"/>
    <col min="2" max="2" width="10.5703125" bestFit="1" customWidth="1"/>
    <col min="3" max="3" width="10.42578125" customWidth="1"/>
    <col min="7" max="7" width="46" customWidth="1"/>
    <col min="8" max="8" width="16.42578125" customWidth="1"/>
  </cols>
  <sheetData>
    <row r="1" spans="1:11" x14ac:dyDescent="0.25">
      <c r="A1" s="21" t="s">
        <v>67</v>
      </c>
    </row>
    <row r="2" spans="1:11" x14ac:dyDescent="0.25">
      <c r="A2" s="21"/>
    </row>
    <row r="3" spans="1:11" x14ac:dyDescent="0.25">
      <c r="A3" s="25" t="s">
        <v>55</v>
      </c>
      <c r="C3" s="21" t="s">
        <v>110</v>
      </c>
      <c r="G3" s="13" t="s">
        <v>69</v>
      </c>
      <c r="H3" s="12">
        <f>B4*(B6-B5)+B5</f>
        <v>9.5862000000000003E-2</v>
      </c>
    </row>
    <row r="4" spans="1:11" x14ac:dyDescent="0.25">
      <c r="A4" t="s">
        <v>56</v>
      </c>
      <c r="B4" s="26">
        <v>1.46</v>
      </c>
      <c r="C4" t="s">
        <v>106</v>
      </c>
      <c r="G4" s="13"/>
    </row>
    <row r="5" spans="1:11" x14ac:dyDescent="0.25">
      <c r="A5" t="s">
        <v>57</v>
      </c>
      <c r="B5" s="27">
        <v>1.4E-3</v>
      </c>
      <c r="C5" t="s">
        <v>107</v>
      </c>
      <c r="G5" s="13" t="s">
        <v>70</v>
      </c>
      <c r="H5" s="12">
        <f>D10</f>
        <v>0.12</v>
      </c>
    </row>
    <row r="6" spans="1:11" x14ac:dyDescent="0.25">
      <c r="A6" t="s">
        <v>58</v>
      </c>
      <c r="B6" s="27">
        <v>6.6100000000000006E-2</v>
      </c>
      <c r="C6" t="s">
        <v>59</v>
      </c>
      <c r="G6" s="13" t="s">
        <v>71</v>
      </c>
      <c r="H6" s="4">
        <f>Assumptions!B29</f>
        <v>0.15</v>
      </c>
    </row>
    <row r="7" spans="1:11" x14ac:dyDescent="0.25">
      <c r="B7" s="9"/>
      <c r="G7" s="13"/>
    </row>
    <row r="8" spans="1:11" x14ac:dyDescent="0.25">
      <c r="A8" s="25" t="s">
        <v>61</v>
      </c>
      <c r="C8" s="25" t="s">
        <v>60</v>
      </c>
      <c r="D8" s="20" t="s">
        <v>66</v>
      </c>
      <c r="G8" s="13" t="s">
        <v>72</v>
      </c>
      <c r="H8" s="9">
        <f>B10/B18</f>
        <v>1.1750403749733649</v>
      </c>
    </row>
    <row r="9" spans="1:11" x14ac:dyDescent="0.25">
      <c r="A9" t="s">
        <v>62</v>
      </c>
      <c r="B9" s="3">
        <f>'Pro Forma'!F49</f>
        <v>98352.981580790743</v>
      </c>
      <c r="C9" s="7">
        <f>IFERROR(B9/B10,B9)</f>
        <v>1</v>
      </c>
      <c r="D9" s="9">
        <f>Assumptions!B35</f>
        <v>0.12</v>
      </c>
      <c r="G9" s="13" t="s">
        <v>73</v>
      </c>
      <c r="H9" s="9">
        <f>B15/B18</f>
        <v>-0.1750403749733648</v>
      </c>
    </row>
    <row r="10" spans="1:11" x14ac:dyDescent="0.25">
      <c r="A10" t="s">
        <v>63</v>
      </c>
      <c r="B10" s="3">
        <f>SUM(B9)</f>
        <v>98352.981580790743</v>
      </c>
      <c r="D10" s="9">
        <f>C9*D9</f>
        <v>0.12</v>
      </c>
      <c r="G10" s="13"/>
    </row>
    <row r="11" spans="1:11" x14ac:dyDescent="0.25">
      <c r="G11" s="13" t="s">
        <v>78</v>
      </c>
      <c r="H11" s="12">
        <f>H8*(1-H6)*H5+H9*H3</f>
        <v>0.10307439782158652</v>
      </c>
    </row>
    <row r="12" spans="1:11" x14ac:dyDescent="0.25">
      <c r="A12" s="25" t="s">
        <v>64</v>
      </c>
      <c r="G12" s="13"/>
    </row>
    <row r="13" spans="1:11" x14ac:dyDescent="0.25">
      <c r="A13" t="s">
        <v>21</v>
      </c>
      <c r="B13" s="3">
        <f>'Pro Forma'!F52</f>
        <v>10000</v>
      </c>
      <c r="G13" s="13" t="s">
        <v>74</v>
      </c>
      <c r="H13" s="28">
        <f>B4/(1+(1-$H$6)*($H$8/H9))</f>
        <v>-0.31024076037083831</v>
      </c>
      <c r="J13" s="25" t="s">
        <v>108</v>
      </c>
      <c r="K13" s="25" t="s">
        <v>109</v>
      </c>
    </row>
    <row r="14" spans="1:11" x14ac:dyDescent="0.25">
      <c r="A14" t="s">
        <v>65</v>
      </c>
      <c r="B14" s="3">
        <f>'Pro Forma'!F53</f>
        <v>-24651.192539694894</v>
      </c>
      <c r="G14" s="13" t="s">
        <v>75</v>
      </c>
      <c r="H14" s="28">
        <f>H13*(1+(1-$H$6)*($J$14/$K$14))</f>
        <v>-0.70579772984365696</v>
      </c>
      <c r="J14" s="29">
        <v>0.6</v>
      </c>
      <c r="K14" s="29">
        <v>0.4</v>
      </c>
    </row>
    <row r="15" spans="1:11" ht="15.75" thickBot="1" x14ac:dyDescent="0.3">
      <c r="A15" t="s">
        <v>63</v>
      </c>
      <c r="B15" s="24">
        <f>SUM(B13:B14)</f>
        <v>-14651.192539694894</v>
      </c>
      <c r="G15" s="13"/>
    </row>
    <row r="16" spans="1:11" ht="15.75" thickTop="1" x14ac:dyDescent="0.25">
      <c r="G16" s="13" t="s">
        <v>76</v>
      </c>
      <c r="H16" s="9">
        <f>$B$5+$H$14*($B$6-$B$5)</f>
        <v>-4.426511312088461E-2</v>
      </c>
    </row>
    <row r="17" spans="1:8" x14ac:dyDescent="0.25">
      <c r="G17" s="13"/>
    </row>
    <row r="18" spans="1:8" ht="15.75" thickBot="1" x14ac:dyDescent="0.3">
      <c r="A18" s="21" t="s">
        <v>68</v>
      </c>
      <c r="B18" s="10">
        <f>B10+B15</f>
        <v>83701.78904109585</v>
      </c>
      <c r="G18" s="13" t="s">
        <v>77</v>
      </c>
      <c r="H18" s="9">
        <f>$J$14*$H$5*(1-$H$6)+$K$14*$H$16</f>
        <v>4.3493954751646149E-2</v>
      </c>
    </row>
    <row r="19" spans="1:8" ht="15.75" thickTop="1" x14ac:dyDescent="0.25">
      <c r="C19" s="7"/>
    </row>
    <row r="20" spans="1:8" x14ac:dyDescent="0.25">
      <c r="B20" s="4"/>
      <c r="C20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Q36"/>
  <sheetViews>
    <sheetView topLeftCell="A12" workbookViewId="0">
      <selection activeCell="C38" sqref="C38"/>
    </sheetView>
  </sheetViews>
  <sheetFormatPr defaultRowHeight="15" x14ac:dyDescent="0.25"/>
  <cols>
    <col min="2" max="2" width="36.28515625" customWidth="1"/>
    <col min="3" max="3" width="11.5703125" customWidth="1"/>
    <col min="5" max="5" width="9.7109375" bestFit="1" customWidth="1"/>
    <col min="6" max="13" width="9.5703125" bestFit="1" customWidth="1"/>
    <col min="14" max="14" width="10.5703125" bestFit="1" customWidth="1"/>
    <col min="16" max="16" width="24.140625" customWidth="1"/>
    <col min="17" max="17" width="10.5703125" bestFit="1" customWidth="1"/>
  </cols>
  <sheetData>
    <row r="3" spans="1:17" x14ac:dyDescent="0.25">
      <c r="A3" s="19" t="s">
        <v>79</v>
      </c>
      <c r="E3" s="20">
        <f>'Pro Forma'!F3</f>
        <v>2013</v>
      </c>
      <c r="F3" s="20">
        <f>'Pro Forma'!G3</f>
        <v>2014</v>
      </c>
      <c r="G3" s="20">
        <f>'Pro Forma'!H3</f>
        <v>2015</v>
      </c>
      <c r="H3" s="20">
        <f>'Pro Forma'!I3</f>
        <v>2016</v>
      </c>
      <c r="I3" s="20">
        <f>'Pro Forma'!J3</f>
        <v>2017</v>
      </c>
      <c r="J3" s="20">
        <f>'Pro Forma'!K3</f>
        <v>2018</v>
      </c>
      <c r="K3" s="20">
        <f>'Pro Forma'!L3</f>
        <v>2019</v>
      </c>
      <c r="L3" s="20">
        <f>'Pro Forma'!M3</f>
        <v>2020</v>
      </c>
      <c r="M3" s="20">
        <f>'Pro Forma'!N3</f>
        <v>2021</v>
      </c>
      <c r="N3" s="20">
        <f>'Pro Forma'!O3</f>
        <v>2022</v>
      </c>
    </row>
    <row r="4" spans="1:17" x14ac:dyDescent="0.25">
      <c r="A4" s="14"/>
      <c r="B4" t="s">
        <v>80</v>
      </c>
      <c r="C4" s="15"/>
      <c r="D4" s="3"/>
      <c r="E4" s="3">
        <f>'Pro Forma'!F28+'Pro Forma'!F27+'Pro Forma'!F26+'Pro Forma'!F25+'Pro Forma'!F24</f>
        <v>12829.197749999992</v>
      </c>
      <c r="F4" s="3">
        <f>'Pro Forma'!G28+'Pro Forma'!G27+'Pro Forma'!G26+'Pro Forma'!G25+'Pro Forma'!G24</f>
        <v>23895.06066749998</v>
      </c>
      <c r="G4" s="3">
        <f>'Pro Forma'!H28+'Pro Forma'!H27+'Pro Forma'!H26+'Pro Forma'!H25+'Pro Forma'!H24</f>
        <v>36357.869834250014</v>
      </c>
      <c r="H4" s="3">
        <f>'Pro Forma'!I28+'Pro Forma'!I27+'Pro Forma'!I26+'Pro Forma'!I25+'Pro Forma'!I24</f>
        <v>50208.811077674982</v>
      </c>
      <c r="I4" s="3">
        <f>'Pro Forma'!J28+'Pro Forma'!J27+'Pro Forma'!J26+'Pro Forma'!J25+'Pro Forma'!J24</f>
        <v>65590.898600242494</v>
      </c>
      <c r="J4" s="3">
        <f>'Pro Forma'!K28+'Pro Forma'!K27+'Pro Forma'!K26+'Pro Forma'!K25+'Pro Forma'!K24</f>
        <v>82661.573509110749</v>
      </c>
      <c r="K4" s="3">
        <f>'Pro Forma'!L28+'Pro Forma'!L27+'Pro Forma'!L26+'Pro Forma'!L25+'Pro Forma'!L24</f>
        <v>101594.15026567721</v>
      </c>
      <c r="L4" s="3">
        <f>'Pro Forma'!M28+'Pro Forma'!M27+'Pro Forma'!M26+'Pro Forma'!M25+'Pro Forma'!M24</f>
        <v>122579.40789279933</v>
      </c>
      <c r="M4" s="3">
        <f>'Pro Forma'!N28+'Pro Forma'!N27+'Pro Forma'!N26+'Pro Forma'!N25+'Pro Forma'!N24</f>
        <v>145827.34041883715</v>
      </c>
      <c r="N4" s="3">
        <f>'Pro Forma'!O28+'Pro Forma'!O27+'Pro Forma'!O26+'Pro Forma'!O25+'Pro Forma'!O24</f>
        <v>171569.08248568006</v>
      </c>
      <c r="O4" s="3"/>
    </row>
    <row r="5" spans="1:17" x14ac:dyDescent="0.25">
      <c r="A5" s="14"/>
      <c r="B5" t="s">
        <v>81</v>
      </c>
      <c r="C5" s="3"/>
      <c r="D5" s="3"/>
      <c r="E5" s="8">
        <f>'Pro Forma'!F$26</f>
        <v>6500</v>
      </c>
      <c r="F5" s="8">
        <f>'Pro Forma'!G$26</f>
        <v>6500</v>
      </c>
      <c r="G5" s="8">
        <f>'Pro Forma'!H$26</f>
        <v>6500</v>
      </c>
      <c r="H5" s="8">
        <f>'Pro Forma'!I$26</f>
        <v>6500</v>
      </c>
      <c r="I5" s="8">
        <f>'Pro Forma'!J$26</f>
        <v>6500</v>
      </c>
      <c r="J5" s="8">
        <f>'Pro Forma'!K$26</f>
        <v>6500</v>
      </c>
      <c r="K5" s="8">
        <f>'Pro Forma'!L$26</f>
        <v>6500</v>
      </c>
      <c r="L5" s="8">
        <f>'Pro Forma'!M$26</f>
        <v>6500</v>
      </c>
      <c r="M5" s="8">
        <f>'Pro Forma'!N$26</f>
        <v>6500</v>
      </c>
      <c r="N5" s="8">
        <f>'Pro Forma'!O$26</f>
        <v>6500</v>
      </c>
    </row>
    <row r="6" spans="1:17" x14ac:dyDescent="0.25">
      <c r="A6" s="14"/>
      <c r="B6" t="s">
        <v>82</v>
      </c>
      <c r="C6" s="3"/>
      <c r="D6" s="3"/>
      <c r="E6" s="3">
        <f>E4-E5</f>
        <v>6329.1977499999921</v>
      </c>
      <c r="F6" s="3">
        <f>F4-F5</f>
        <v>17395.06066749998</v>
      </c>
      <c r="G6" s="3">
        <f>G4-G5</f>
        <v>29857.869834250014</v>
      </c>
      <c r="H6" s="3">
        <f>H4-H5</f>
        <v>43708.811077674982</v>
      </c>
      <c r="I6" s="3">
        <f t="shared" ref="I6:N6" si="0">I4-I5</f>
        <v>59090.898600242494</v>
      </c>
      <c r="J6" s="3">
        <f t="shared" si="0"/>
        <v>76161.573509110749</v>
      </c>
      <c r="K6" s="3">
        <f t="shared" si="0"/>
        <v>95094.150265677206</v>
      </c>
      <c r="L6" s="3">
        <f t="shared" si="0"/>
        <v>116079.40789279933</v>
      </c>
      <c r="M6" s="3">
        <f t="shared" si="0"/>
        <v>139327.34041883715</v>
      </c>
      <c r="N6" s="3">
        <f t="shared" si="0"/>
        <v>165069.08248568006</v>
      </c>
    </row>
    <row r="7" spans="1:17" x14ac:dyDescent="0.25">
      <c r="A7" s="14"/>
      <c r="B7" t="s">
        <v>83</v>
      </c>
      <c r="C7" s="3"/>
      <c r="D7" s="3"/>
      <c r="E7" s="3">
        <f>E6*WACC!$H$6</f>
        <v>949.37966249999874</v>
      </c>
      <c r="F7" s="3">
        <f>F6*WACC!$H$6</f>
        <v>2609.2591001249971</v>
      </c>
      <c r="G7" s="3">
        <f>G6*WACC!$H$6</f>
        <v>4478.6804751375021</v>
      </c>
      <c r="H7" s="3">
        <f>H6*WACC!$H$6</f>
        <v>6556.3216616512473</v>
      </c>
      <c r="I7" s="3">
        <f>I6*WACC!$H$6</f>
        <v>8863.6347900363744</v>
      </c>
      <c r="J7" s="3">
        <f>J6*WACC!$H$6</f>
        <v>11424.236026366612</v>
      </c>
      <c r="K7" s="3">
        <f>K6*WACC!$H$6</f>
        <v>14264.12253985158</v>
      </c>
      <c r="L7" s="3">
        <f>L6*WACC!$H$6</f>
        <v>17411.911183919899</v>
      </c>
      <c r="M7" s="3">
        <f>M6*WACC!$H$6</f>
        <v>20899.101062825572</v>
      </c>
      <c r="N7" s="3">
        <f>N6*WACC!$H$6</f>
        <v>24760.362372852007</v>
      </c>
    </row>
    <row r="8" spans="1:17" x14ac:dyDescent="0.25">
      <c r="A8" s="14"/>
      <c r="B8" t="s">
        <v>84</v>
      </c>
      <c r="C8" s="3"/>
      <c r="D8" s="3"/>
      <c r="E8" s="8">
        <f>E5</f>
        <v>6500</v>
      </c>
      <c r="F8" s="8">
        <f>F5</f>
        <v>6500</v>
      </c>
      <c r="G8" s="8">
        <f>G5</f>
        <v>6500</v>
      </c>
      <c r="H8" s="8">
        <f>H5</f>
        <v>6500</v>
      </c>
      <c r="I8" s="8">
        <f t="shared" ref="I8:N8" si="1">I5</f>
        <v>6500</v>
      </c>
      <c r="J8" s="8">
        <f t="shared" si="1"/>
        <v>6500</v>
      </c>
      <c r="K8" s="8">
        <f t="shared" si="1"/>
        <v>6500</v>
      </c>
      <c r="L8" s="8">
        <f t="shared" si="1"/>
        <v>6500</v>
      </c>
      <c r="M8" s="8">
        <f t="shared" si="1"/>
        <v>6500</v>
      </c>
      <c r="N8" s="8">
        <f t="shared" si="1"/>
        <v>6500</v>
      </c>
    </row>
    <row r="9" spans="1:17" ht="15.75" thickBot="1" x14ac:dyDescent="0.3">
      <c r="A9" s="14"/>
      <c r="B9" t="s">
        <v>85</v>
      </c>
      <c r="C9" s="3"/>
      <c r="D9" s="3"/>
      <c r="E9" s="24">
        <f>E6-E7+E8</f>
        <v>11879.818087499993</v>
      </c>
      <c r="F9" s="24">
        <f>F6-F7+F8</f>
        <v>21285.801567374983</v>
      </c>
      <c r="G9" s="24">
        <f>G6-G7+G8</f>
        <v>31879.189359112512</v>
      </c>
      <c r="H9" s="24">
        <f>H6-H7+H8</f>
        <v>43652.489416023731</v>
      </c>
      <c r="I9" s="24">
        <f t="shared" ref="I9:N9" si="2">I6-I7+I8</f>
        <v>56727.263810206117</v>
      </c>
      <c r="J9" s="24">
        <f t="shared" si="2"/>
        <v>71237.337482744129</v>
      </c>
      <c r="K9" s="24">
        <f t="shared" si="2"/>
        <v>87330.027725825625</v>
      </c>
      <c r="L9" s="24">
        <f t="shared" si="2"/>
        <v>105167.49670887942</v>
      </c>
      <c r="M9" s="24">
        <f t="shared" si="2"/>
        <v>124928.23935601157</v>
      </c>
      <c r="N9" s="24">
        <f t="shared" si="2"/>
        <v>146808.72011282804</v>
      </c>
    </row>
    <row r="10" spans="1:17" ht="15.75" thickTop="1" x14ac:dyDescent="0.25">
      <c r="A10" s="14"/>
      <c r="C10" s="3"/>
      <c r="D10" s="3"/>
      <c r="E10" s="3"/>
      <c r="F10" s="3"/>
      <c r="G10" s="15"/>
      <c r="H10" s="15"/>
      <c r="I10" s="14"/>
      <c r="J10" s="14"/>
      <c r="P10" s="14" t="s">
        <v>101</v>
      </c>
      <c r="Q10" s="15">
        <f>SUM('Pro Forma'!F41:F42)</f>
        <v>70000</v>
      </c>
    </row>
    <row r="11" spans="1:17" x14ac:dyDescent="0.25">
      <c r="A11" s="14"/>
      <c r="B11" t="s">
        <v>102</v>
      </c>
      <c r="C11" s="14"/>
      <c r="D11" s="3"/>
      <c r="E11" s="3"/>
      <c r="F11" s="3"/>
      <c r="G11" s="15"/>
      <c r="H11" s="15"/>
      <c r="I11" s="14"/>
      <c r="J11" s="14"/>
      <c r="P11" s="14" t="s">
        <v>105</v>
      </c>
      <c r="Q11" s="23">
        <f>'Pro Forma'!O43</f>
        <v>65000</v>
      </c>
    </row>
    <row r="12" spans="1:17" x14ac:dyDescent="0.25">
      <c r="A12" s="14"/>
      <c r="B12" t="s">
        <v>100</v>
      </c>
      <c r="C12" s="3">
        <f>-SUM('Pro Forma'!F41:F42)</f>
        <v>-70000</v>
      </c>
      <c r="D12" s="3"/>
      <c r="E12" s="15"/>
      <c r="F12" s="3"/>
      <c r="G12" s="15"/>
      <c r="H12" s="15"/>
      <c r="I12" s="14"/>
      <c r="J12" s="14"/>
      <c r="P12" s="14" t="s">
        <v>86</v>
      </c>
      <c r="Q12" s="15">
        <f>Q10-Q11</f>
        <v>5000</v>
      </c>
    </row>
    <row r="13" spans="1:17" x14ac:dyDescent="0.25">
      <c r="A13" s="14"/>
      <c r="B13" t="s">
        <v>99</v>
      </c>
      <c r="C13" s="3">
        <f>Q12*$Q$14</f>
        <v>6500</v>
      </c>
      <c r="D13" s="3"/>
      <c r="E13" s="3"/>
      <c r="F13" s="3"/>
      <c r="G13" s="15"/>
      <c r="H13" s="15"/>
      <c r="I13" s="14"/>
      <c r="J13" s="14"/>
      <c r="N13" s="5">
        <f>C13</f>
        <v>6500</v>
      </c>
      <c r="P13" s="14"/>
      <c r="Q13" s="14"/>
    </row>
    <row r="14" spans="1:17" x14ac:dyDescent="0.25">
      <c r="A14" s="14"/>
      <c r="B14" t="s">
        <v>87</v>
      </c>
      <c r="C14" s="3">
        <f>-(C13-Q12)*WACC!$H$6</f>
        <v>-225</v>
      </c>
      <c r="D14" s="3"/>
      <c r="E14" s="3"/>
      <c r="F14" s="3"/>
      <c r="G14" s="15"/>
      <c r="H14" s="15"/>
      <c r="I14" s="14"/>
      <c r="J14" s="14"/>
      <c r="N14" s="15">
        <f>C14</f>
        <v>-225</v>
      </c>
      <c r="P14" s="14" t="s">
        <v>88</v>
      </c>
      <c r="Q14" s="16">
        <v>1.3</v>
      </c>
    </row>
    <row r="15" spans="1:17" x14ac:dyDescent="0.25">
      <c r="A15" s="14"/>
      <c r="C15" s="3"/>
      <c r="D15" s="3"/>
      <c r="E15" s="3"/>
      <c r="F15" s="3"/>
      <c r="G15" s="15"/>
      <c r="H15" s="15"/>
      <c r="I15" s="14"/>
      <c r="J15" s="14"/>
      <c r="K15" s="14"/>
      <c r="L15" s="14"/>
    </row>
    <row r="16" spans="1:17" x14ac:dyDescent="0.25">
      <c r="A16" s="21" t="s">
        <v>89</v>
      </c>
      <c r="B16" s="14"/>
      <c r="C16" s="3"/>
      <c r="D16" s="3"/>
      <c r="E16" s="3"/>
      <c r="F16" s="3"/>
      <c r="G16" s="15"/>
      <c r="H16" s="15"/>
      <c r="I16" s="14"/>
      <c r="J16" s="14"/>
      <c r="K16" s="14"/>
      <c r="L16" s="14"/>
    </row>
    <row r="17" spans="1:14" x14ac:dyDescent="0.25">
      <c r="A17" s="30" t="s">
        <v>90</v>
      </c>
      <c r="B17" s="14" t="s">
        <v>23</v>
      </c>
      <c r="C17" s="3"/>
      <c r="D17" s="3"/>
      <c r="E17" s="3">
        <f>'Pro Forma'!F$38</f>
        <v>19002.236301369863</v>
      </c>
      <c r="F17" s="3">
        <f>'Pro Forma'!G$38-'Pro Forma'!F$38</f>
        <v>1900.2236301369849</v>
      </c>
      <c r="G17" s="3">
        <f>'Pro Forma'!H$38-'Pro Forma'!G$38</f>
        <v>2090.2459931506855</v>
      </c>
      <c r="H17" s="3">
        <f>'Pro Forma'!I$38-'Pro Forma'!H$38</f>
        <v>2299.270592465753</v>
      </c>
      <c r="I17" s="3">
        <f>'Pro Forma'!J$38-'Pro Forma'!I$38</f>
        <v>2529.197651712333</v>
      </c>
      <c r="J17" s="3">
        <f>'Pro Forma'!K$38-'Pro Forma'!J$38</f>
        <v>2782.1174168835641</v>
      </c>
      <c r="K17" s="3">
        <f>'Pro Forma'!L$38-'Pro Forma'!K$38</f>
        <v>3060.3291585719198</v>
      </c>
      <c r="L17" s="3">
        <f>'Pro Forma'!M$38-'Pro Forma'!L$38</f>
        <v>3366.3620744291184</v>
      </c>
      <c r="M17" s="3">
        <f>'Pro Forma'!N$38-'Pro Forma'!M$38</f>
        <v>3702.9982818720237</v>
      </c>
      <c r="N17" s="3">
        <f>'Pro Forma'!O$38-'Pro Forma'!N$38</f>
        <v>4073.2981100592224</v>
      </c>
    </row>
    <row r="18" spans="1:14" x14ac:dyDescent="0.25">
      <c r="A18" s="30" t="s">
        <v>90</v>
      </c>
      <c r="B18" s="14" t="s">
        <v>24</v>
      </c>
      <c r="C18" s="3"/>
      <c r="D18" s="3"/>
      <c r="E18" s="3">
        <f>'Pro Forma'!F39</f>
        <v>3800.447260273972</v>
      </c>
      <c r="F18" s="3">
        <f>'Pro Forma'!G$39-'Pro Forma'!F$39</f>
        <v>380.04472602739725</v>
      </c>
      <c r="G18" s="3">
        <f>'Pro Forma'!H$39-'Pro Forma'!G$39</f>
        <v>418.04919863013765</v>
      </c>
      <c r="H18" s="3">
        <f>'Pro Forma'!I$39-'Pro Forma'!H$39</f>
        <v>459.85411849315096</v>
      </c>
      <c r="I18" s="3">
        <f>'Pro Forma'!J$39-'Pro Forma'!I$39</f>
        <v>505.83953034246679</v>
      </c>
      <c r="J18" s="3">
        <f>'Pro Forma'!K$39-'Pro Forma'!J$39</f>
        <v>556.42348337671228</v>
      </c>
      <c r="K18" s="3">
        <f>'Pro Forma'!L$39-'Pro Forma'!K$39</f>
        <v>612.06583171438433</v>
      </c>
      <c r="L18" s="3">
        <f>'Pro Forma'!M$39-'Pro Forma'!L$39</f>
        <v>673.2724148858224</v>
      </c>
      <c r="M18" s="3">
        <f>'Pro Forma'!N$39-'Pro Forma'!M$39</f>
        <v>740.59965637440473</v>
      </c>
      <c r="N18" s="3">
        <f>'Pro Forma'!O$39-'Pro Forma'!N$39</f>
        <v>814.65962201184448</v>
      </c>
    </row>
    <row r="19" spans="1:14" x14ac:dyDescent="0.25">
      <c r="A19" s="30" t="s">
        <v>91</v>
      </c>
      <c r="B19" s="14" t="s">
        <v>92</v>
      </c>
      <c r="C19" s="3"/>
      <c r="D19" s="3"/>
      <c r="E19" s="3">
        <f>E7</f>
        <v>949.37966249999874</v>
      </c>
      <c r="F19" s="3">
        <f>F7-E7</f>
        <v>1659.8794376249984</v>
      </c>
      <c r="G19" s="3">
        <f t="shared" ref="G19:H19" si="3">G7-F7</f>
        <v>1869.421375012505</v>
      </c>
      <c r="H19" s="3">
        <f t="shared" si="3"/>
        <v>2077.6411865137452</v>
      </c>
      <c r="I19" s="3">
        <f t="shared" ref="I19" si="4">I7-H7</f>
        <v>2307.3131283851271</v>
      </c>
      <c r="J19" s="3">
        <f t="shared" ref="J19" si="5">J7-I7</f>
        <v>2560.601236330238</v>
      </c>
      <c r="K19" s="3">
        <f t="shared" ref="K19" si="6">K7-J7</f>
        <v>2839.8865134849675</v>
      </c>
      <c r="L19" s="3">
        <f t="shared" ref="L19" si="7">L7-K7</f>
        <v>3147.7886440683196</v>
      </c>
      <c r="M19" s="3">
        <f t="shared" ref="M19" si="8">M7-L7</f>
        <v>3487.1898789056722</v>
      </c>
      <c r="N19" s="3">
        <f t="shared" ref="N19" si="9">N7-M7</f>
        <v>3861.2613100264352</v>
      </c>
    </row>
    <row r="20" spans="1:14" x14ac:dyDescent="0.25">
      <c r="A20" s="30" t="s">
        <v>91</v>
      </c>
      <c r="B20" s="14" t="s">
        <v>93</v>
      </c>
      <c r="C20" s="3"/>
      <c r="D20" s="3"/>
      <c r="E20" s="3">
        <f>'Pro Forma'!F48</f>
        <v>7600.894520547944</v>
      </c>
      <c r="F20" s="3">
        <f>'Pro Forma'!G$48-'Pro Forma'!F$48</f>
        <v>760.08945205479449</v>
      </c>
      <c r="G20" s="3">
        <f>'Pro Forma'!H$48-'Pro Forma'!G$48</f>
        <v>836.09839726027531</v>
      </c>
      <c r="H20" s="3">
        <f>'Pro Forma'!I$48-'Pro Forma'!H$48</f>
        <v>919.70823698630193</v>
      </c>
      <c r="I20" s="3">
        <f>'Pro Forma'!J$48-'Pro Forma'!I$48</f>
        <v>1011.6790606849336</v>
      </c>
      <c r="J20" s="3">
        <f>'Pro Forma'!K$48-'Pro Forma'!J$48</f>
        <v>1112.8469667534246</v>
      </c>
      <c r="K20" s="3">
        <f>'Pro Forma'!L$48-'Pro Forma'!K$48</f>
        <v>1224.1316634287687</v>
      </c>
      <c r="L20" s="3">
        <f>'Pro Forma'!M$48-'Pro Forma'!L$48</f>
        <v>1346.5448297716448</v>
      </c>
      <c r="M20" s="3">
        <f>'Pro Forma'!N$48-'Pro Forma'!M$48</f>
        <v>1481.1993127488095</v>
      </c>
      <c r="N20" s="3">
        <f>'Pro Forma'!O$48-'Pro Forma'!N$48</f>
        <v>1629.319244023689</v>
      </c>
    </row>
    <row r="21" spans="1:14" x14ac:dyDescent="0.25">
      <c r="A21" s="14"/>
      <c r="C21" s="3"/>
      <c r="D21" s="3"/>
      <c r="E21" s="3"/>
      <c r="F21" s="3"/>
      <c r="G21" s="15"/>
      <c r="H21" s="15"/>
      <c r="I21" s="14"/>
      <c r="J21" s="14"/>
      <c r="K21" s="14"/>
      <c r="L21" s="14"/>
    </row>
    <row r="22" spans="1:14" x14ac:dyDescent="0.25">
      <c r="A22" s="19" t="s">
        <v>94</v>
      </c>
      <c r="C22" s="3"/>
      <c r="D22" s="3"/>
      <c r="E22" s="3"/>
      <c r="F22" s="3"/>
      <c r="G22" s="15"/>
      <c r="H22" s="15"/>
      <c r="I22" s="14"/>
      <c r="J22" s="14"/>
      <c r="K22" s="14"/>
      <c r="L22" s="14"/>
    </row>
    <row r="23" spans="1:14" x14ac:dyDescent="0.25">
      <c r="A23" s="30" t="s">
        <v>91</v>
      </c>
      <c r="B23" s="14" t="s">
        <v>23</v>
      </c>
      <c r="C23" s="3"/>
      <c r="D23" s="3"/>
      <c r="E23" s="3"/>
      <c r="F23" s="3"/>
      <c r="G23" s="15"/>
      <c r="H23" s="15"/>
      <c r="I23" s="14"/>
      <c r="J23" s="14"/>
      <c r="K23" s="14"/>
      <c r="L23" s="14"/>
      <c r="N23" s="3">
        <f>'Pro Forma'!O38</f>
        <v>44806.279210651468</v>
      </c>
    </row>
    <row r="24" spans="1:14" x14ac:dyDescent="0.25">
      <c r="A24" s="30" t="s">
        <v>91</v>
      </c>
      <c r="B24" s="14" t="s">
        <v>24</v>
      </c>
      <c r="C24" s="3"/>
      <c r="D24" s="3"/>
      <c r="E24" s="3"/>
      <c r="F24" s="3"/>
      <c r="G24" s="15"/>
      <c r="H24" s="15"/>
      <c r="I24" s="14"/>
      <c r="J24" s="14"/>
      <c r="K24" s="14"/>
      <c r="L24" s="14"/>
      <c r="N24" s="3">
        <f>'Pro Forma'!O39</f>
        <v>8961.2558421302929</v>
      </c>
    </row>
    <row r="25" spans="1:14" x14ac:dyDescent="0.25">
      <c r="A25" s="30" t="s">
        <v>90</v>
      </c>
      <c r="B25" s="14" t="s">
        <v>92</v>
      </c>
      <c r="G25" s="14"/>
      <c r="H25" s="17"/>
      <c r="I25" s="14"/>
      <c r="J25" s="14"/>
      <c r="K25" s="14"/>
      <c r="L25" s="14"/>
      <c r="N25" s="3">
        <f>N7</f>
        <v>24760.362372852007</v>
      </c>
    </row>
    <row r="26" spans="1:14" x14ac:dyDescent="0.25">
      <c r="A26" s="30" t="s">
        <v>90</v>
      </c>
      <c r="B26" s="14" t="s">
        <v>93</v>
      </c>
      <c r="G26" s="14"/>
      <c r="H26" s="15"/>
      <c r="I26" s="14"/>
      <c r="J26" s="14"/>
      <c r="K26" s="14"/>
      <c r="L26" s="14"/>
      <c r="N26" s="3">
        <f>'Pro Forma'!O48</f>
        <v>17922.511684260586</v>
      </c>
    </row>
    <row r="27" spans="1:14" x14ac:dyDescent="0.25">
      <c r="A27" s="14"/>
      <c r="B27" s="14"/>
      <c r="G27" s="14"/>
      <c r="H27" s="15"/>
      <c r="I27" s="14"/>
      <c r="J27" s="14"/>
      <c r="K27" s="14"/>
      <c r="L27" s="14"/>
      <c r="N27" s="3"/>
    </row>
    <row r="28" spans="1:14" x14ac:dyDescent="0.25">
      <c r="A28" s="19" t="s">
        <v>95</v>
      </c>
      <c r="B28" s="14"/>
      <c r="G28" s="14"/>
      <c r="H28" s="15"/>
      <c r="I28" s="14"/>
      <c r="J28" s="14"/>
      <c r="K28" s="14"/>
      <c r="L28" s="14"/>
      <c r="N28" s="3"/>
    </row>
    <row r="29" spans="1:14" x14ac:dyDescent="0.25">
      <c r="A29" s="14"/>
      <c r="B29" s="14" t="s">
        <v>96</v>
      </c>
      <c r="C29" s="18">
        <f>WACC!H11</f>
        <v>0.10307439782158652</v>
      </c>
      <c r="D29" s="22">
        <v>0</v>
      </c>
      <c r="E29" s="22">
        <v>1</v>
      </c>
      <c r="F29" s="22">
        <v>2</v>
      </c>
      <c r="G29" s="22">
        <v>3</v>
      </c>
      <c r="H29" s="22">
        <v>4</v>
      </c>
      <c r="I29" s="22">
        <v>5</v>
      </c>
      <c r="J29" s="22">
        <v>6</v>
      </c>
      <c r="K29" s="22">
        <v>7</v>
      </c>
      <c r="L29" s="22">
        <v>8</v>
      </c>
      <c r="M29" s="22">
        <v>9</v>
      </c>
      <c r="N29" s="22">
        <v>10</v>
      </c>
    </row>
    <row r="30" spans="1:14" x14ac:dyDescent="0.25">
      <c r="B30" s="14" t="s">
        <v>104</v>
      </c>
      <c r="D30" s="15">
        <f>C12</f>
        <v>-70000</v>
      </c>
      <c r="E30" s="17">
        <f>E9-E17-E18+E19+E20</f>
        <v>-2372.5912910958987</v>
      </c>
      <c r="F30" s="17">
        <f>F9-F17-F18+F19+F20</f>
        <v>21425.502100890393</v>
      </c>
      <c r="G30" s="17">
        <f>G9-G17-G18+G19+G20</f>
        <v>32076.41393960447</v>
      </c>
      <c r="H30" s="17">
        <f>H9-H17-H18+H19+H20+H23+H24-H25-H26+H13+H14</f>
        <v>43890.714128564883</v>
      </c>
      <c r="I30" s="17">
        <f t="shared" ref="I30:M30" si="10">I9-I17-I18+I19+I20+I23+I24-I25-I26+I13+I14</f>
        <v>57011.218817221372</v>
      </c>
      <c r="J30" s="17">
        <f t="shared" si="10"/>
        <v>71572.244785567527</v>
      </c>
      <c r="K30" s="17">
        <f t="shared" si="10"/>
        <v>87721.650912453057</v>
      </c>
      <c r="L30" s="17">
        <f t="shared" si="10"/>
        <v>105622.19569340446</v>
      </c>
      <c r="M30" s="17">
        <f t="shared" si="10"/>
        <v>125453.03060941963</v>
      </c>
      <c r="N30" s="17">
        <f>N9-N17-N18+N19+N20+N23+N24-N25-N26+N13+N14</f>
        <v>164771.0039304762</v>
      </c>
    </row>
    <row r="31" spans="1:14" x14ac:dyDescent="0.25">
      <c r="A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4" x14ac:dyDescent="0.25">
      <c r="A32" s="14"/>
      <c r="B32" s="14" t="s">
        <v>97</v>
      </c>
      <c r="D32" s="15">
        <f t="shared" ref="D32:N32" si="11">-PV($C$29,D29,,D30)</f>
        <v>-70000</v>
      </c>
      <c r="E32" s="15">
        <f t="shared" si="11"/>
        <v>-2150.8896369831677</v>
      </c>
      <c r="F32" s="15">
        <f t="shared" si="11"/>
        <v>17608.460955606624</v>
      </c>
      <c r="G32" s="15">
        <f t="shared" si="11"/>
        <v>23898.54137050339</v>
      </c>
      <c r="H32" s="15">
        <f t="shared" si="11"/>
        <v>29645.134694833887</v>
      </c>
      <c r="I32" s="15">
        <f t="shared" si="11"/>
        <v>34908.911054845528</v>
      </c>
      <c r="J32" s="15">
        <f t="shared" si="11"/>
        <v>39729.747945024916</v>
      </c>
      <c r="K32" s="15">
        <f t="shared" si="11"/>
        <v>44144.150406783912</v>
      </c>
      <c r="L32" s="15">
        <f t="shared" si="11"/>
        <v>48185.542516981543</v>
      </c>
      <c r="M32" s="15">
        <f t="shared" si="11"/>
        <v>51884.533221403275</v>
      </c>
      <c r="N32" s="15">
        <f t="shared" si="11"/>
        <v>61777.842880120224</v>
      </c>
    </row>
    <row r="33" spans="1:12" x14ac:dyDescent="0.25">
      <c r="A33" s="14"/>
      <c r="B33" s="14"/>
    </row>
    <row r="34" spans="1:1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x14ac:dyDescent="0.25">
      <c r="A35" s="14"/>
      <c r="B35" s="19" t="s">
        <v>98</v>
      </c>
      <c r="C35" s="17">
        <f>SUM(D32:N32)</f>
        <v>279631.97540912015</v>
      </c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4"/>
      <c r="B36" s="19" t="s">
        <v>103</v>
      </c>
      <c r="C36" s="18">
        <f>IRR(D30:N30)</f>
        <v>0.43388658317045192</v>
      </c>
      <c r="D36" s="14"/>
      <c r="E36" s="14"/>
      <c r="F36" s="14"/>
      <c r="G36" s="14"/>
      <c r="H36" s="14"/>
      <c r="I36" s="14"/>
      <c r="J36" s="14"/>
      <c r="K36" s="14"/>
      <c r="L3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H23" sqref="H23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Pro Forma</vt:lpstr>
      <vt:lpstr>Break Even</vt:lpstr>
      <vt:lpstr>WACC</vt:lpstr>
      <vt:lpstr>NPV &amp; IRR</vt:lpstr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2019-07-17T21:52:58Z</dcterms:created>
  <dcterms:modified xsi:type="dcterms:W3CDTF">2019-07-17T21:53:05Z</dcterms:modified>
</cp:coreProperties>
</file>