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75" windowWidth="9555" windowHeight="7740"/>
  </bookViews>
  <sheets>
    <sheet name="Forecast" sheetId="3" r:id="rId1"/>
    <sheet name="Potential Sales" sheetId="1" r:id="rId2"/>
    <sheet name="Labor Expenses" sheetId="4" r:id="rId3"/>
    <sheet name="Other Expenses" sheetId="5" r:id="rId4"/>
    <sheet name="Mortgage" sheetId="6" r:id="rId5"/>
    <sheet name="Depreciation schedules" sheetId="7" r:id="rId6"/>
  </sheets>
  <calcPr calcId="145621"/>
</workbook>
</file>

<file path=xl/calcChain.xml><?xml version="1.0" encoding="utf-8"?>
<calcChain xmlns="http://schemas.openxmlformats.org/spreadsheetml/2006/main">
  <c r="I133" i="3" l="1"/>
  <c r="I134" i="3"/>
  <c r="I135" i="3"/>
  <c r="I136" i="3"/>
  <c r="I137" i="3"/>
  <c r="I138" i="3"/>
  <c r="I139" i="3"/>
  <c r="I140" i="3"/>
  <c r="I132" i="3"/>
  <c r="I131" i="3"/>
  <c r="G150" i="3"/>
  <c r="D144" i="3" l="1"/>
  <c r="I150" i="3"/>
  <c r="I149" i="3"/>
  <c r="G154" i="3"/>
  <c r="D150" i="3" l="1"/>
  <c r="L48" i="3" l="1"/>
  <c r="K48" i="3"/>
  <c r="J48" i="3"/>
  <c r="L47" i="3"/>
  <c r="K47" i="3"/>
  <c r="I58" i="7"/>
  <c r="I59" i="7"/>
  <c r="I60" i="7"/>
  <c r="I61" i="7"/>
  <c r="I57" i="7"/>
  <c r="J57" i="7" s="1"/>
  <c r="I43" i="7"/>
  <c r="I44" i="7"/>
  <c r="I45" i="7"/>
  <c r="M45" i="7" s="1"/>
  <c r="H48" i="3" s="1"/>
  <c r="I46" i="7"/>
  <c r="I42" i="7"/>
  <c r="J42" i="7" s="1"/>
  <c r="C53" i="7"/>
  <c r="N59" i="7" s="1"/>
  <c r="M61" i="7"/>
  <c r="J47" i="3" s="1"/>
  <c r="M46" i="7"/>
  <c r="I48" i="3" s="1"/>
  <c r="H138" i="3"/>
  <c r="H135" i="3"/>
  <c r="I35" i="7"/>
  <c r="I3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14" i="7"/>
  <c r="I12" i="7"/>
  <c r="I13" i="7"/>
  <c r="I11" i="7"/>
  <c r="J11" i="7" s="1"/>
  <c r="C5" i="7"/>
  <c r="J12" i="7" l="1"/>
  <c r="J13" i="7" s="1"/>
  <c r="J58" i="7"/>
  <c r="J59" i="7" s="1"/>
  <c r="K59" i="7" s="1"/>
  <c r="N16" i="7"/>
  <c r="D55" i="7"/>
  <c r="M55" i="7" s="1"/>
  <c r="D47" i="3" s="1"/>
  <c r="N61" i="7"/>
  <c r="D58" i="7"/>
  <c r="M58" i="7" s="1"/>
  <c r="G47" i="3" s="1"/>
  <c r="N56" i="7"/>
  <c r="N57" i="7"/>
  <c r="D12" i="7"/>
  <c r="M12" i="7" s="1"/>
  <c r="I46" i="3" s="1"/>
  <c r="N11" i="7"/>
  <c r="D16" i="7"/>
  <c r="M16" i="7" s="1"/>
  <c r="N17" i="7"/>
  <c r="D28" i="7"/>
  <c r="M28" i="7" s="1"/>
  <c r="N21" i="7"/>
  <c r="D32" i="7"/>
  <c r="M32" i="7" s="1"/>
  <c r="N33" i="7"/>
  <c r="N58" i="7"/>
  <c r="D24" i="7"/>
  <c r="M24" i="7" s="1"/>
  <c r="D8" i="7"/>
  <c r="M8" i="7" s="1"/>
  <c r="E46" i="3" s="1"/>
  <c r="N29" i="7"/>
  <c r="D57" i="7"/>
  <c r="M57" i="7" s="1"/>
  <c r="F47" i="3" s="1"/>
  <c r="D54" i="7"/>
  <c r="N54" i="7"/>
  <c r="N60" i="7"/>
  <c r="D6" i="7"/>
  <c r="M6" i="7" s="1"/>
  <c r="C46" i="3" s="1"/>
  <c r="D20" i="7"/>
  <c r="M20" i="7" s="1"/>
  <c r="N8" i="7"/>
  <c r="N25" i="7"/>
  <c r="N10" i="7"/>
  <c r="D56" i="7"/>
  <c r="M56" i="7" s="1"/>
  <c r="E47" i="3" s="1"/>
  <c r="N55" i="7"/>
  <c r="J60" i="7"/>
  <c r="K60" i="7" s="1"/>
  <c r="M59" i="7"/>
  <c r="H47" i="3" s="1"/>
  <c r="M60" i="7"/>
  <c r="I47" i="3" s="1"/>
  <c r="J43" i="7"/>
  <c r="D29" i="7"/>
  <c r="M29" i="7" s="1"/>
  <c r="D25" i="7"/>
  <c r="M25" i="7" s="1"/>
  <c r="D21" i="7"/>
  <c r="M21" i="7" s="1"/>
  <c r="D17" i="7"/>
  <c r="M17" i="7" s="1"/>
  <c r="D9" i="7"/>
  <c r="M9" i="7" s="1"/>
  <c r="F46" i="3" s="1"/>
  <c r="N9" i="7"/>
  <c r="N34" i="7"/>
  <c r="N26" i="7"/>
  <c r="N14" i="7"/>
  <c r="D34" i="7"/>
  <c r="M34" i="7" s="1"/>
  <c r="D30" i="7"/>
  <c r="M30" i="7" s="1"/>
  <c r="D26" i="7"/>
  <c r="M26" i="7" s="1"/>
  <c r="D22" i="7"/>
  <c r="M22" i="7" s="1"/>
  <c r="D18" i="7"/>
  <c r="M18" i="7" s="1"/>
  <c r="D14" i="7"/>
  <c r="M14" i="7" s="1"/>
  <c r="K46" i="3" s="1"/>
  <c r="D10" i="7"/>
  <c r="M10" i="7" s="1"/>
  <c r="G46" i="3" s="1"/>
  <c r="N6" i="7"/>
  <c r="N35" i="7"/>
  <c r="N31" i="7"/>
  <c r="N27" i="7"/>
  <c r="N23" i="7"/>
  <c r="N19" i="7"/>
  <c r="N15" i="7"/>
  <c r="D33" i="7"/>
  <c r="M33" i="7" s="1"/>
  <c r="D13" i="7"/>
  <c r="M13" i="7" s="1"/>
  <c r="J46" i="3" s="1"/>
  <c r="N12" i="7"/>
  <c r="N30" i="7"/>
  <c r="N22" i="7"/>
  <c r="N18" i="7"/>
  <c r="D35" i="7"/>
  <c r="M35" i="7" s="1"/>
  <c r="D31" i="7"/>
  <c r="M31" i="7" s="1"/>
  <c r="D27" i="7"/>
  <c r="M27" i="7" s="1"/>
  <c r="D23" i="7"/>
  <c r="M23" i="7" s="1"/>
  <c r="D19" i="7"/>
  <c r="M19" i="7" s="1"/>
  <c r="D15" i="7"/>
  <c r="M15" i="7" s="1"/>
  <c r="L46" i="3" s="1"/>
  <c r="D11" i="7"/>
  <c r="M11" i="7" s="1"/>
  <c r="H46" i="3" s="1"/>
  <c r="D7" i="7"/>
  <c r="N7" i="7"/>
  <c r="N13" i="7"/>
  <c r="N32" i="7"/>
  <c r="N28" i="7"/>
  <c r="N24" i="7"/>
  <c r="N20" i="7"/>
  <c r="J14" i="7"/>
  <c r="B100" i="3"/>
  <c r="B93" i="3"/>
  <c r="B92" i="3"/>
  <c r="B91" i="3"/>
  <c r="B90" i="3"/>
  <c r="B101" i="3"/>
  <c r="B99" i="3"/>
  <c r="B98" i="3"/>
  <c r="B97" i="3"/>
  <c r="B96" i="3"/>
  <c r="E5" i="5"/>
  <c r="A5" i="5"/>
  <c r="C42" i="3" s="1"/>
  <c r="C50" i="3"/>
  <c r="D50" i="3" s="1"/>
  <c r="E50" i="3" s="1"/>
  <c r="F50" i="3" s="1"/>
  <c r="G50" i="3" s="1"/>
  <c r="H50" i="3" s="1"/>
  <c r="I50" i="3" s="1"/>
  <c r="J50" i="3" s="1"/>
  <c r="K50" i="3" s="1"/>
  <c r="L50" i="3" s="1"/>
  <c r="E21" i="5"/>
  <c r="C49" i="3"/>
  <c r="D67" i="3"/>
  <c r="E67" i="3" s="1"/>
  <c r="D69" i="3"/>
  <c r="E69" i="3" l="1"/>
  <c r="F69" i="3" s="1"/>
  <c r="G69" i="3" s="1"/>
  <c r="H69" i="3" s="1"/>
  <c r="I69" i="3" s="1"/>
  <c r="E6" i="7"/>
  <c r="K6" i="7" s="1"/>
  <c r="E54" i="7"/>
  <c r="M54" i="7"/>
  <c r="C47" i="3" s="1"/>
  <c r="C68" i="3" s="1"/>
  <c r="J61" i="7"/>
  <c r="K61" i="7" s="1"/>
  <c r="J44" i="7"/>
  <c r="M7" i="7"/>
  <c r="D46" i="3" s="1"/>
  <c r="J15" i="7"/>
  <c r="E49" i="3"/>
  <c r="F67" i="3"/>
  <c r="D49" i="3"/>
  <c r="C71" i="3"/>
  <c r="D71" i="3" s="1"/>
  <c r="E71" i="3" s="1"/>
  <c r="F71" i="3" s="1"/>
  <c r="G71" i="3" s="1"/>
  <c r="H71" i="3" s="1"/>
  <c r="I71" i="3" s="1"/>
  <c r="J71" i="3" s="1"/>
  <c r="K71" i="3" s="1"/>
  <c r="L71" i="3" s="1"/>
  <c r="C65" i="3"/>
  <c r="C41" i="3"/>
  <c r="D41" i="3" s="1"/>
  <c r="E41" i="3" s="1"/>
  <c r="F41" i="3" s="1"/>
  <c r="G41" i="3" s="1"/>
  <c r="H41" i="3" s="1"/>
  <c r="I41" i="3" s="1"/>
  <c r="J41" i="3" s="1"/>
  <c r="K41" i="3" s="1"/>
  <c r="L41" i="3" s="1"/>
  <c r="C52" i="3"/>
  <c r="D52" i="3"/>
  <c r="E52" i="3"/>
  <c r="F52" i="3"/>
  <c r="G52" i="3"/>
  <c r="H52" i="3"/>
  <c r="I52" i="3"/>
  <c r="J52" i="3"/>
  <c r="K52" i="3"/>
  <c r="L52" i="3"/>
  <c r="I5" i="6"/>
  <c r="I2" i="6"/>
  <c r="D136" i="3"/>
  <c r="D137" i="3"/>
  <c r="D138" i="3"/>
  <c r="D139" i="3"/>
  <c r="D140" i="3"/>
  <c r="E9" i="5"/>
  <c r="C44" i="3" s="1"/>
  <c r="D44" i="3" s="1"/>
  <c r="E44" i="3" s="1"/>
  <c r="F44" i="3" s="1"/>
  <c r="G44" i="3" s="1"/>
  <c r="H44" i="3" s="1"/>
  <c r="I44" i="3" s="1"/>
  <c r="J44" i="3" s="1"/>
  <c r="K44" i="3" s="1"/>
  <c r="L44" i="3" s="1"/>
  <c r="A9" i="5"/>
  <c r="C43" i="3" s="1"/>
  <c r="D43" i="3" s="1"/>
  <c r="E43" i="3" s="1"/>
  <c r="F43" i="3" s="1"/>
  <c r="G43" i="3" s="1"/>
  <c r="H43" i="3" s="1"/>
  <c r="I43" i="3" s="1"/>
  <c r="J43" i="3" s="1"/>
  <c r="K43" i="3" s="1"/>
  <c r="L43" i="3" s="1"/>
  <c r="F14" i="4"/>
  <c r="F15" i="4" s="1"/>
  <c r="N21" i="1"/>
  <c r="B21" i="1" s="1"/>
  <c r="D22" i="3"/>
  <c r="E22" i="3" s="1"/>
  <c r="F22" i="3" s="1"/>
  <c r="G22" i="3" s="1"/>
  <c r="H22" i="3" s="1"/>
  <c r="I22" i="3" s="1"/>
  <c r="D21" i="3"/>
  <c r="E21" i="3" s="1"/>
  <c r="F21" i="3" s="1"/>
  <c r="G21" i="3" s="1"/>
  <c r="H21" i="3" s="1"/>
  <c r="I21" i="3" s="1"/>
  <c r="J21" i="3" s="1"/>
  <c r="K21" i="3" s="1"/>
  <c r="L21" i="3" s="1"/>
  <c r="D20" i="3"/>
  <c r="E20" i="3" s="1"/>
  <c r="F20" i="3" s="1"/>
  <c r="G20" i="3" s="1"/>
  <c r="H20" i="3" s="1"/>
  <c r="I20" i="3" s="1"/>
  <c r="J20" i="3" s="1"/>
  <c r="K20" i="3" s="1"/>
  <c r="L20" i="3" s="1"/>
  <c r="D19" i="3"/>
  <c r="E19" i="3" s="1"/>
  <c r="F19" i="3" s="1"/>
  <c r="G19" i="3" s="1"/>
  <c r="H19" i="3" s="1"/>
  <c r="I19" i="3" s="1"/>
  <c r="J19" i="3" s="1"/>
  <c r="K19" i="3" s="1"/>
  <c r="L19" i="3" s="1"/>
  <c r="D17" i="3"/>
  <c r="D14" i="3"/>
  <c r="E14" i="3" s="1"/>
  <c r="F14" i="3" s="1"/>
  <c r="G14" i="3" s="1"/>
  <c r="H14" i="3" s="1"/>
  <c r="I14" i="3" s="1"/>
  <c r="J14" i="3" s="1"/>
  <c r="K14" i="3" s="1"/>
  <c r="L14" i="3" s="1"/>
  <c r="D13" i="3"/>
  <c r="E13" i="3" s="1"/>
  <c r="F13" i="3" s="1"/>
  <c r="G13" i="3" s="1"/>
  <c r="H13" i="3" s="1"/>
  <c r="I13" i="3" s="1"/>
  <c r="J13" i="3" s="1"/>
  <c r="K13" i="3" s="1"/>
  <c r="L13" i="3" s="1"/>
  <c r="D9" i="3"/>
  <c r="E9" i="3" s="1"/>
  <c r="F9" i="3" s="1"/>
  <c r="G9" i="3" s="1"/>
  <c r="H9" i="3" s="1"/>
  <c r="I9" i="3" s="1"/>
  <c r="J9" i="3" s="1"/>
  <c r="K9" i="3" s="1"/>
  <c r="L9" i="3" s="1"/>
  <c r="D5" i="3"/>
  <c r="D6" i="3"/>
  <c r="E6" i="3" s="1"/>
  <c r="F6" i="3" s="1"/>
  <c r="G6" i="3" s="1"/>
  <c r="H6" i="3" s="1"/>
  <c r="I6" i="3" s="1"/>
  <c r="J6" i="3" s="1"/>
  <c r="K6" i="3" s="1"/>
  <c r="L6" i="3" s="1"/>
  <c r="B15" i="1"/>
  <c r="B4" i="1"/>
  <c r="B17" i="1" s="1"/>
  <c r="B23" i="1" l="1"/>
  <c r="B27" i="1" s="1"/>
  <c r="C11" i="3" s="1"/>
  <c r="I23" i="1"/>
  <c r="H130" i="3"/>
  <c r="K54" i="7"/>
  <c r="F54" i="7"/>
  <c r="E55" i="7"/>
  <c r="D65" i="3"/>
  <c r="C39" i="7"/>
  <c r="E7" i="7"/>
  <c r="F7" i="7" s="1"/>
  <c r="F6" i="7"/>
  <c r="J69" i="3"/>
  <c r="K69" i="3" s="1"/>
  <c r="L69" i="3" s="1"/>
  <c r="J45" i="7"/>
  <c r="K45" i="7" s="1"/>
  <c r="J16" i="7"/>
  <c r="I7" i="6"/>
  <c r="I9" i="6" s="1"/>
  <c r="E39" i="6" s="1"/>
  <c r="C70" i="3"/>
  <c r="D70" i="3" s="1"/>
  <c r="E70" i="3" s="1"/>
  <c r="E5" i="3"/>
  <c r="D68" i="3"/>
  <c r="E68" i="3" s="1"/>
  <c r="F68" i="3" s="1"/>
  <c r="G67" i="3"/>
  <c r="F49" i="3"/>
  <c r="J22" i="3"/>
  <c r="K22" i="3" s="1"/>
  <c r="L22" i="3" s="1"/>
  <c r="C39" i="3"/>
  <c r="D39" i="3" s="1"/>
  <c r="E39" i="3" s="1"/>
  <c r="F39" i="3" s="1"/>
  <c r="G39" i="3" s="1"/>
  <c r="H39" i="3" s="1"/>
  <c r="I39" i="3" s="1"/>
  <c r="J39" i="3" s="1"/>
  <c r="K39" i="3" s="1"/>
  <c r="L39" i="3" s="1"/>
  <c r="F16" i="4"/>
  <c r="B19" i="1"/>
  <c r="A15" i="4"/>
  <c r="A16" i="4" s="1"/>
  <c r="D42" i="3"/>
  <c r="E42" i="3" s="1"/>
  <c r="F42" i="3" s="1"/>
  <c r="G42" i="3" s="1"/>
  <c r="H42" i="3" s="1"/>
  <c r="I42" i="3" s="1"/>
  <c r="J42" i="3" s="1"/>
  <c r="K42" i="3" s="1"/>
  <c r="L42" i="3" s="1"/>
  <c r="E17" i="3"/>
  <c r="D11" i="3" l="1"/>
  <c r="C16" i="3"/>
  <c r="B113" i="3"/>
  <c r="K7" i="7"/>
  <c r="B2" i="6"/>
  <c r="D2" i="6" s="1"/>
  <c r="E8" i="7"/>
  <c r="E9" i="7" s="1"/>
  <c r="N44" i="7"/>
  <c r="D44" i="7"/>
  <c r="M44" i="7" s="1"/>
  <c r="G48" i="3" s="1"/>
  <c r="N46" i="7"/>
  <c r="N41" i="7"/>
  <c r="N43" i="7"/>
  <c r="N42" i="7"/>
  <c r="N40" i="7"/>
  <c r="D41" i="7"/>
  <c r="D40" i="7"/>
  <c r="D43" i="7"/>
  <c r="M43" i="7" s="1"/>
  <c r="F48" i="3" s="1"/>
  <c r="N45" i="7"/>
  <c r="D42" i="7"/>
  <c r="F55" i="7"/>
  <c r="K55" i="7"/>
  <c r="E56" i="7"/>
  <c r="J46" i="7"/>
  <c r="K46" i="7" s="1"/>
  <c r="J17" i="7"/>
  <c r="F5" i="3"/>
  <c r="H67" i="3"/>
  <c r="G49" i="3"/>
  <c r="C38" i="3"/>
  <c r="D38" i="3" s="1"/>
  <c r="E38" i="3" s="1"/>
  <c r="E65" i="3"/>
  <c r="E349" i="6"/>
  <c r="E237" i="6"/>
  <c r="E61" i="6"/>
  <c r="E322" i="6"/>
  <c r="E206" i="6"/>
  <c r="E114" i="6"/>
  <c r="E50" i="6"/>
  <c r="E348" i="6"/>
  <c r="E284" i="6"/>
  <c r="E220" i="6"/>
  <c r="E156" i="6"/>
  <c r="E92" i="6"/>
  <c r="E36" i="6"/>
  <c r="E217" i="6"/>
  <c r="E25" i="6"/>
  <c r="E265" i="6"/>
  <c r="E153" i="6"/>
  <c r="E77" i="6"/>
  <c r="E350" i="6"/>
  <c r="E238" i="6"/>
  <c r="E130" i="6"/>
  <c r="E66" i="6"/>
  <c r="E27" i="6"/>
  <c r="E300" i="6"/>
  <c r="E236" i="6"/>
  <c r="E172" i="6"/>
  <c r="E108" i="6"/>
  <c r="E44" i="6"/>
  <c r="E257" i="6"/>
  <c r="E9" i="6"/>
  <c r="E321" i="6"/>
  <c r="E213" i="6"/>
  <c r="E109" i="6"/>
  <c r="E45" i="6"/>
  <c r="E294" i="6"/>
  <c r="E178" i="6"/>
  <c r="E98" i="6"/>
  <c r="E23" i="6"/>
  <c r="E332" i="6"/>
  <c r="E268" i="6"/>
  <c r="E204" i="6"/>
  <c r="E140" i="6"/>
  <c r="E76" i="6"/>
  <c r="E333" i="6"/>
  <c r="E181" i="6"/>
  <c r="E129" i="6"/>
  <c r="E8" i="6"/>
  <c r="E293" i="6"/>
  <c r="E185" i="6"/>
  <c r="E93" i="6"/>
  <c r="E37" i="6"/>
  <c r="E266" i="6"/>
  <c r="E150" i="6"/>
  <c r="E82" i="6"/>
  <c r="E20" i="6"/>
  <c r="E316" i="6"/>
  <c r="E252" i="6"/>
  <c r="E188" i="6"/>
  <c r="E124" i="6"/>
  <c r="E60" i="6"/>
  <c r="E297" i="6"/>
  <c r="E149" i="6"/>
  <c r="E4" i="6"/>
  <c r="E357" i="6"/>
  <c r="E301" i="6"/>
  <c r="E245" i="6"/>
  <c r="E193" i="6"/>
  <c r="E133" i="6"/>
  <c r="E97" i="6"/>
  <c r="E65" i="6"/>
  <c r="E18" i="6"/>
  <c r="E330" i="6"/>
  <c r="E274" i="6"/>
  <c r="E214" i="6"/>
  <c r="E154" i="6"/>
  <c r="E118" i="6"/>
  <c r="E86" i="6"/>
  <c r="E54" i="6"/>
  <c r="E24" i="6"/>
  <c r="E352" i="6"/>
  <c r="E320" i="6"/>
  <c r="E288" i="6"/>
  <c r="E256" i="6"/>
  <c r="E208" i="6"/>
  <c r="E176" i="6"/>
  <c r="E160" i="6"/>
  <c r="E128" i="6"/>
  <c r="E96" i="6"/>
  <c r="E64" i="6"/>
  <c r="E17" i="6"/>
  <c r="E345" i="6"/>
  <c r="E229" i="6"/>
  <c r="E157" i="6"/>
  <c r="E334" i="6"/>
  <c r="E302" i="6"/>
  <c r="E226" i="6"/>
  <c r="E158" i="6"/>
  <c r="E351" i="6"/>
  <c r="E319" i="6"/>
  <c r="E271" i="6"/>
  <c r="E239" i="6"/>
  <c r="E191" i="6"/>
  <c r="E159" i="6"/>
  <c r="E127" i="6"/>
  <c r="E95" i="6"/>
  <c r="E63" i="6"/>
  <c r="E6" i="6"/>
  <c r="E7" i="6"/>
  <c r="E11" i="6"/>
  <c r="E28" i="6"/>
  <c r="E337" i="6"/>
  <c r="E309" i="6"/>
  <c r="E281" i="6"/>
  <c r="E253" i="6"/>
  <c r="E225" i="6"/>
  <c r="E197" i="6"/>
  <c r="E169" i="6"/>
  <c r="E137" i="6"/>
  <c r="E117" i="6"/>
  <c r="E101" i="6"/>
  <c r="E85" i="6"/>
  <c r="E69" i="6"/>
  <c r="E53" i="6"/>
  <c r="E22" i="6"/>
  <c r="E29" i="6"/>
  <c r="E338" i="6"/>
  <c r="E306" i="6"/>
  <c r="E278" i="6"/>
  <c r="E250" i="6"/>
  <c r="E222" i="6"/>
  <c r="E194" i="6"/>
  <c r="E162" i="6"/>
  <c r="E138" i="6"/>
  <c r="E122" i="6"/>
  <c r="E106" i="6"/>
  <c r="E90" i="6"/>
  <c r="E74" i="6"/>
  <c r="E58" i="6"/>
  <c r="E38" i="6"/>
  <c r="E34" i="6"/>
  <c r="E35" i="6"/>
  <c r="E356" i="6"/>
  <c r="E340" i="6"/>
  <c r="E324" i="6"/>
  <c r="E308" i="6"/>
  <c r="E292" i="6"/>
  <c r="E276" i="6"/>
  <c r="E260" i="6"/>
  <c r="E244" i="6"/>
  <c r="E228" i="6"/>
  <c r="E212" i="6"/>
  <c r="E196" i="6"/>
  <c r="E180" i="6"/>
  <c r="E164" i="6"/>
  <c r="E148" i="6"/>
  <c r="E132" i="6"/>
  <c r="E116" i="6"/>
  <c r="E100" i="6"/>
  <c r="E84" i="6"/>
  <c r="E68" i="6"/>
  <c r="E52" i="6"/>
  <c r="E21" i="6"/>
  <c r="E353" i="6"/>
  <c r="E317" i="6"/>
  <c r="E277" i="6"/>
  <c r="E241" i="6"/>
  <c r="E201" i="6"/>
  <c r="E165" i="6"/>
  <c r="E125" i="6"/>
  <c r="E346" i="6"/>
  <c r="E310" i="6"/>
  <c r="E270" i="6"/>
  <c r="E234" i="6"/>
  <c r="E198" i="6"/>
  <c r="E166" i="6"/>
  <c r="E19" i="6"/>
  <c r="E355" i="6"/>
  <c r="E339" i="6"/>
  <c r="E323" i="6"/>
  <c r="E307" i="6"/>
  <c r="E291" i="6"/>
  <c r="E275" i="6"/>
  <c r="E259" i="6"/>
  <c r="E243" i="6"/>
  <c r="E227" i="6"/>
  <c r="E211" i="6"/>
  <c r="E195" i="6"/>
  <c r="E179" i="6"/>
  <c r="E163" i="6"/>
  <c r="E147" i="6"/>
  <c r="E131" i="6"/>
  <c r="E115" i="6"/>
  <c r="E99" i="6"/>
  <c r="E83" i="6"/>
  <c r="E67" i="6"/>
  <c r="E51" i="6"/>
  <c r="E14" i="6"/>
  <c r="E326" i="6"/>
  <c r="E290" i="6"/>
  <c r="E254" i="6"/>
  <c r="E218" i="6"/>
  <c r="E182" i="6"/>
  <c r="E146" i="6"/>
  <c r="E26" i="6"/>
  <c r="E347" i="6"/>
  <c r="E331" i="6"/>
  <c r="E315" i="6"/>
  <c r="E299" i="6"/>
  <c r="E283" i="6"/>
  <c r="E267" i="6"/>
  <c r="E251" i="6"/>
  <c r="E235" i="6"/>
  <c r="E219" i="6"/>
  <c r="E203" i="6"/>
  <c r="E187" i="6"/>
  <c r="E171" i="6"/>
  <c r="E155" i="6"/>
  <c r="E139" i="6"/>
  <c r="E123" i="6"/>
  <c r="E107" i="6"/>
  <c r="E91" i="6"/>
  <c r="E75" i="6"/>
  <c r="E59" i="6"/>
  <c r="E43" i="6"/>
  <c r="E3" i="6"/>
  <c r="E5" i="6"/>
  <c r="E329" i="6"/>
  <c r="E273" i="6"/>
  <c r="E221" i="6"/>
  <c r="E161" i="6"/>
  <c r="E113" i="6"/>
  <c r="E81" i="6"/>
  <c r="E49" i="6"/>
  <c r="E358" i="6"/>
  <c r="E298" i="6"/>
  <c r="E242" i="6"/>
  <c r="E186" i="6"/>
  <c r="E134" i="6"/>
  <c r="E102" i="6"/>
  <c r="E70" i="6"/>
  <c r="E13" i="6"/>
  <c r="E31" i="6"/>
  <c r="E336" i="6"/>
  <c r="E304" i="6"/>
  <c r="E272" i="6"/>
  <c r="E240" i="6"/>
  <c r="E224" i="6"/>
  <c r="E192" i="6"/>
  <c r="E144" i="6"/>
  <c r="E112" i="6"/>
  <c r="E80" i="6"/>
  <c r="E48" i="6"/>
  <c r="E305" i="6"/>
  <c r="E269" i="6"/>
  <c r="E189" i="6"/>
  <c r="E41" i="6"/>
  <c r="E262" i="6"/>
  <c r="E190" i="6"/>
  <c r="E30" i="6"/>
  <c r="E335" i="6"/>
  <c r="E303" i="6"/>
  <c r="E287" i="6"/>
  <c r="E255" i="6"/>
  <c r="E223" i="6"/>
  <c r="E207" i="6"/>
  <c r="E175" i="6"/>
  <c r="E143" i="6"/>
  <c r="E111" i="6"/>
  <c r="E79" i="6"/>
  <c r="E47" i="6"/>
  <c r="E10" i="6"/>
  <c r="E2" i="6"/>
  <c r="E32" i="6"/>
  <c r="E341" i="6"/>
  <c r="E313" i="6"/>
  <c r="E289" i="6"/>
  <c r="E261" i="6"/>
  <c r="E233" i="6"/>
  <c r="E205" i="6"/>
  <c r="E177" i="6"/>
  <c r="E145" i="6"/>
  <c r="E121" i="6"/>
  <c r="E105" i="6"/>
  <c r="E89" i="6"/>
  <c r="E73" i="6"/>
  <c r="E57" i="6"/>
  <c r="E12" i="6"/>
  <c r="E33" i="6"/>
  <c r="E342" i="6"/>
  <c r="E314" i="6"/>
  <c r="E286" i="6"/>
  <c r="E258" i="6"/>
  <c r="E230" i="6"/>
  <c r="E202" i="6"/>
  <c r="E170" i="6"/>
  <c r="E142" i="6"/>
  <c r="E126" i="6"/>
  <c r="E110" i="6"/>
  <c r="E94" i="6"/>
  <c r="E78" i="6"/>
  <c r="E62" i="6"/>
  <c r="E42" i="6"/>
  <c r="E15" i="6"/>
  <c r="E16" i="6"/>
  <c r="E360" i="6"/>
  <c r="E344" i="6"/>
  <c r="E328" i="6"/>
  <c r="E312" i="6"/>
  <c r="E296" i="6"/>
  <c r="E280" i="6"/>
  <c r="E264" i="6"/>
  <c r="E248" i="6"/>
  <c r="E232" i="6"/>
  <c r="E216" i="6"/>
  <c r="E200" i="6"/>
  <c r="E184" i="6"/>
  <c r="E168" i="6"/>
  <c r="E152" i="6"/>
  <c r="E136" i="6"/>
  <c r="E120" i="6"/>
  <c r="E104" i="6"/>
  <c r="E88" i="6"/>
  <c r="E72" i="6"/>
  <c r="E56" i="6"/>
  <c r="E40" i="6"/>
  <c r="E361" i="6"/>
  <c r="E325" i="6"/>
  <c r="E285" i="6"/>
  <c r="E249" i="6"/>
  <c r="E209" i="6"/>
  <c r="E173" i="6"/>
  <c r="E141" i="6"/>
  <c r="E354" i="6"/>
  <c r="E318" i="6"/>
  <c r="E282" i="6"/>
  <c r="E246" i="6"/>
  <c r="E210" i="6"/>
  <c r="E174" i="6"/>
  <c r="E46" i="6"/>
  <c r="E359" i="6"/>
  <c r="E343" i="6"/>
  <c r="E327" i="6"/>
  <c r="E311" i="6"/>
  <c r="E295" i="6"/>
  <c r="E279" i="6"/>
  <c r="E263" i="6"/>
  <c r="E247" i="6"/>
  <c r="E231" i="6"/>
  <c r="E215" i="6"/>
  <c r="E199" i="6"/>
  <c r="E183" i="6"/>
  <c r="E167" i="6"/>
  <c r="E151" i="6"/>
  <c r="E135" i="6"/>
  <c r="E119" i="6"/>
  <c r="E103" i="6"/>
  <c r="E87" i="6"/>
  <c r="E71" i="6"/>
  <c r="E55" i="6"/>
  <c r="F70" i="3"/>
  <c r="B26" i="1"/>
  <c r="C3" i="3" s="1"/>
  <c r="F17" i="3"/>
  <c r="B111" i="3" l="1"/>
  <c r="D3" i="3"/>
  <c r="A6" i="4"/>
  <c r="B114" i="3"/>
  <c r="K8" i="7"/>
  <c r="C2" i="6"/>
  <c r="F2" i="6" s="1"/>
  <c r="B3" i="6" s="1"/>
  <c r="D3" i="6" s="1"/>
  <c r="C3" i="6" s="1"/>
  <c r="F3" i="6" s="1"/>
  <c r="B4" i="6" s="1"/>
  <c r="D4" i="6" s="1"/>
  <c r="F8" i="7"/>
  <c r="K56" i="7"/>
  <c r="F56" i="7"/>
  <c r="E57" i="7"/>
  <c r="M40" i="7"/>
  <c r="C48" i="3" s="1"/>
  <c r="E40" i="7"/>
  <c r="E41" i="7" s="1"/>
  <c r="E42" i="7" s="1"/>
  <c r="M42" i="7"/>
  <c r="E48" i="3" s="1"/>
  <c r="M41" i="7"/>
  <c r="D48" i="3" s="1"/>
  <c r="D132" i="3" s="1"/>
  <c r="E10" i="7"/>
  <c r="K9" i="7"/>
  <c r="F9" i="7"/>
  <c r="J18" i="7"/>
  <c r="G68" i="3"/>
  <c r="H68" i="3" s="1"/>
  <c r="I68" i="3" s="1"/>
  <c r="J68" i="3" s="1"/>
  <c r="K68" i="3" s="1"/>
  <c r="L68" i="3" s="1"/>
  <c r="F38" i="3"/>
  <c r="G38" i="3" s="1"/>
  <c r="H38" i="3" s="1"/>
  <c r="I38" i="3" s="1"/>
  <c r="J38" i="3" s="1"/>
  <c r="K38" i="3" s="1"/>
  <c r="L38" i="3" s="1"/>
  <c r="G5" i="3"/>
  <c r="C34" i="3"/>
  <c r="C97" i="3" s="1"/>
  <c r="I67" i="3"/>
  <c r="H49" i="3"/>
  <c r="F65" i="3"/>
  <c r="G70" i="3"/>
  <c r="C27" i="3"/>
  <c r="C91" i="3" s="1"/>
  <c r="F113" i="3" s="1"/>
  <c r="G17" i="3"/>
  <c r="D131" i="3" l="1"/>
  <c r="C66" i="3"/>
  <c r="D66" i="3" s="1"/>
  <c r="E66" i="3" s="1"/>
  <c r="F66" i="3" s="1"/>
  <c r="G66" i="3" s="1"/>
  <c r="E43" i="7"/>
  <c r="F42" i="7"/>
  <c r="K42" i="7"/>
  <c r="K57" i="7"/>
  <c r="F57" i="7"/>
  <c r="E58" i="7"/>
  <c r="K41" i="7"/>
  <c r="F41" i="7"/>
  <c r="F40" i="7"/>
  <c r="K40" i="7"/>
  <c r="E11" i="7"/>
  <c r="K10" i="7"/>
  <c r="F10" i="7"/>
  <c r="J19" i="7"/>
  <c r="D133" i="3"/>
  <c r="H5" i="3"/>
  <c r="D34" i="3"/>
  <c r="J67" i="3"/>
  <c r="I49" i="3"/>
  <c r="A9" i="4"/>
  <c r="A8" i="4" s="1"/>
  <c r="A7" i="4" s="1"/>
  <c r="C37" i="3"/>
  <c r="G65" i="3"/>
  <c r="H70" i="3"/>
  <c r="C4" i="6"/>
  <c r="C63" i="3"/>
  <c r="C169" i="3" s="1"/>
  <c r="C30" i="3"/>
  <c r="E11" i="3"/>
  <c r="D27" i="3"/>
  <c r="D16" i="3"/>
  <c r="D30" i="3" s="1"/>
  <c r="H17" i="3"/>
  <c r="K43" i="7" l="1"/>
  <c r="F43" i="7"/>
  <c r="E44" i="7"/>
  <c r="F58" i="7"/>
  <c r="K58" i="7"/>
  <c r="E12" i="7"/>
  <c r="K11" i="7"/>
  <c r="F11" i="7"/>
  <c r="J20" i="7"/>
  <c r="D134" i="3"/>
  <c r="I5" i="3"/>
  <c r="E34" i="3"/>
  <c r="C62" i="3"/>
  <c r="C168" i="3" s="1"/>
  <c r="C93" i="3"/>
  <c r="F114" i="3" s="1"/>
  <c r="K67" i="3"/>
  <c r="J49" i="3"/>
  <c r="D37" i="3"/>
  <c r="C99" i="3"/>
  <c r="H65" i="3"/>
  <c r="I70" i="3"/>
  <c r="F4" i="6"/>
  <c r="B5" i="6" s="1"/>
  <c r="D62" i="3"/>
  <c r="D168" i="3" s="1"/>
  <c r="D63" i="3"/>
  <c r="D169" i="3" s="1"/>
  <c r="F11" i="3"/>
  <c r="E27" i="3"/>
  <c r="E16" i="3"/>
  <c r="E30" i="3" s="1"/>
  <c r="I17" i="3"/>
  <c r="K44" i="7" l="1"/>
  <c r="F44" i="7"/>
  <c r="E13" i="7"/>
  <c r="F12" i="7"/>
  <c r="K12" i="7"/>
  <c r="J21" i="7"/>
  <c r="H66" i="3"/>
  <c r="I66" i="3" s="1"/>
  <c r="J66" i="3" s="1"/>
  <c r="K66" i="3" s="1"/>
  <c r="L66" i="3" s="1"/>
  <c r="D135" i="3"/>
  <c r="J5" i="3"/>
  <c r="F34" i="3"/>
  <c r="L67" i="3"/>
  <c r="L49" i="3" s="1"/>
  <c r="K49" i="3"/>
  <c r="E37" i="3"/>
  <c r="I65" i="3"/>
  <c r="J70" i="3"/>
  <c r="D5" i="6"/>
  <c r="E62" i="3"/>
  <c r="E168" i="3" s="1"/>
  <c r="E63" i="3"/>
  <c r="E169" i="3" s="1"/>
  <c r="G11" i="3"/>
  <c r="F16" i="3"/>
  <c r="F30" i="3" s="1"/>
  <c r="F27" i="3"/>
  <c r="J17" i="3"/>
  <c r="E14" i="7" l="1"/>
  <c r="F13" i="7"/>
  <c r="K13" i="7"/>
  <c r="J22" i="7"/>
  <c r="K5" i="3"/>
  <c r="F63" i="3"/>
  <c r="F169" i="3" s="1"/>
  <c r="G34" i="3"/>
  <c r="F37" i="3"/>
  <c r="J65" i="3"/>
  <c r="K65" i="3" s="1"/>
  <c r="L65" i="3" s="1"/>
  <c r="K70" i="3"/>
  <c r="C5" i="6"/>
  <c r="F5" i="6" s="1"/>
  <c r="B6" i="6" s="1"/>
  <c r="F62" i="3"/>
  <c r="F168" i="3" s="1"/>
  <c r="H11" i="3"/>
  <c r="G27" i="3"/>
  <c r="G16" i="3"/>
  <c r="G30" i="3" s="1"/>
  <c r="K17" i="3"/>
  <c r="E15" i="7" l="1"/>
  <c r="K14" i="7"/>
  <c r="F14" i="7"/>
  <c r="J23" i="7"/>
  <c r="L5" i="3"/>
  <c r="G63" i="3"/>
  <c r="G169" i="3" s="1"/>
  <c r="H34" i="3"/>
  <c r="G37" i="3"/>
  <c r="L70" i="3"/>
  <c r="D6" i="6"/>
  <c r="G62" i="3"/>
  <c r="G168" i="3" s="1"/>
  <c r="I11" i="3"/>
  <c r="H27" i="3"/>
  <c r="H16" i="3"/>
  <c r="H30" i="3" s="1"/>
  <c r="L17" i="3"/>
  <c r="E16" i="7" l="1"/>
  <c r="K15" i="7"/>
  <c r="F15" i="7"/>
  <c r="J24" i="7"/>
  <c r="I34" i="3"/>
  <c r="H63" i="3"/>
  <c r="H169" i="3" s="1"/>
  <c r="H37" i="3"/>
  <c r="C6" i="6"/>
  <c r="F6" i="6" s="1"/>
  <c r="B7" i="6" s="1"/>
  <c r="H62" i="3"/>
  <c r="H168" i="3" s="1"/>
  <c r="J11" i="3"/>
  <c r="I16" i="3"/>
  <c r="I30" i="3" s="1"/>
  <c r="I27" i="3"/>
  <c r="E17" i="7" l="1"/>
  <c r="F16" i="7"/>
  <c r="K16" i="7"/>
  <c r="J25" i="7"/>
  <c r="J34" i="3"/>
  <c r="I63" i="3"/>
  <c r="I169" i="3" s="1"/>
  <c r="I37" i="3"/>
  <c r="D7" i="6"/>
  <c r="C7" i="6" s="1"/>
  <c r="F7" i="6" s="1"/>
  <c r="B8" i="6" s="1"/>
  <c r="I62" i="3"/>
  <c r="I168" i="3" s="1"/>
  <c r="K11" i="3"/>
  <c r="J16" i="3"/>
  <c r="J30" i="3" s="1"/>
  <c r="J27" i="3"/>
  <c r="E18" i="7" l="1"/>
  <c r="K17" i="7"/>
  <c r="F17" i="7"/>
  <c r="J26" i="7"/>
  <c r="K34" i="3"/>
  <c r="J63" i="3"/>
  <c r="J169" i="3" s="1"/>
  <c r="J37" i="3"/>
  <c r="D8" i="6"/>
  <c r="C8" i="6" s="1"/>
  <c r="F8" i="6" s="1"/>
  <c r="B9" i="6" s="1"/>
  <c r="J62" i="3"/>
  <c r="J168" i="3" s="1"/>
  <c r="L11" i="3"/>
  <c r="K27" i="3"/>
  <c r="K16" i="3"/>
  <c r="K30" i="3" s="1"/>
  <c r="E19" i="7" l="1"/>
  <c r="F18" i="7"/>
  <c r="K18" i="7"/>
  <c r="J27" i="7"/>
  <c r="L34" i="3"/>
  <c r="K63" i="3"/>
  <c r="K169" i="3" s="1"/>
  <c r="K37" i="3"/>
  <c r="D9" i="6"/>
  <c r="C9" i="6" s="1"/>
  <c r="F9" i="6" s="1"/>
  <c r="B10" i="6" s="1"/>
  <c r="K62" i="3"/>
  <c r="K168" i="3" s="1"/>
  <c r="L27" i="3"/>
  <c r="L16" i="3"/>
  <c r="L30" i="3" s="1"/>
  <c r="E20" i="7" l="1"/>
  <c r="K19" i="7"/>
  <c r="F19" i="7"/>
  <c r="J28" i="7"/>
  <c r="L63" i="3"/>
  <c r="L169" i="3" s="1"/>
  <c r="L37" i="3"/>
  <c r="D10" i="6"/>
  <c r="C10" i="6" s="1"/>
  <c r="F10" i="6" s="1"/>
  <c r="B11" i="6" s="1"/>
  <c r="L62" i="3"/>
  <c r="L168" i="3" s="1"/>
  <c r="E21" i="7" l="1"/>
  <c r="K20" i="7"/>
  <c r="F20" i="7"/>
  <c r="J29" i="7"/>
  <c r="D11" i="6"/>
  <c r="C11" i="6" s="1"/>
  <c r="F11" i="6" s="1"/>
  <c r="B12" i="6" s="1"/>
  <c r="E22" i="7" l="1"/>
  <c r="K21" i="7"/>
  <c r="F21" i="7"/>
  <c r="J30" i="7"/>
  <c r="D12" i="6"/>
  <c r="C12" i="6" s="1"/>
  <c r="F12" i="6" s="1"/>
  <c r="B13" i="6" s="1"/>
  <c r="E23" i="7" l="1"/>
  <c r="F22" i="7"/>
  <c r="K22" i="7"/>
  <c r="J31" i="7"/>
  <c r="D13" i="6"/>
  <c r="E24" i="7" l="1"/>
  <c r="F23" i="7"/>
  <c r="K23" i="7"/>
  <c r="J32" i="7"/>
  <c r="C13" i="6"/>
  <c r="F13" i="6" s="1"/>
  <c r="C78" i="3" s="1"/>
  <c r="G13" i="6"/>
  <c r="C51" i="3" s="1"/>
  <c r="E25" i="7" l="1"/>
  <c r="F24" i="7"/>
  <c r="K24" i="7"/>
  <c r="J33" i="7"/>
  <c r="B14" i="6"/>
  <c r="D14" i="6" s="1"/>
  <c r="E26" i="7" l="1"/>
  <c r="K25" i="7"/>
  <c r="F25" i="7"/>
  <c r="J34" i="7"/>
  <c r="C14" i="6"/>
  <c r="F14" i="6" s="1"/>
  <c r="B15" i="6" s="1"/>
  <c r="D15" i="6" s="1"/>
  <c r="C15" i="6" s="1"/>
  <c r="F15" i="6" s="1"/>
  <c r="B16" i="6" s="1"/>
  <c r="D16" i="6" s="1"/>
  <c r="C16" i="6" s="1"/>
  <c r="F16" i="6" s="1"/>
  <c r="B17" i="6" s="1"/>
  <c r="D17" i="6" s="1"/>
  <c r="C17" i="6" s="1"/>
  <c r="F17" i="6" s="1"/>
  <c r="B18" i="6" s="1"/>
  <c r="D18" i="6" s="1"/>
  <c r="C18" i="6" s="1"/>
  <c r="F18" i="6" s="1"/>
  <c r="B19" i="6" s="1"/>
  <c r="D19" i="6" s="1"/>
  <c r="C19" i="6" s="1"/>
  <c r="F19" i="6" s="1"/>
  <c r="B20" i="6" s="1"/>
  <c r="D20" i="6" s="1"/>
  <c r="C20" i="6" s="1"/>
  <c r="F20" i="6" s="1"/>
  <c r="B21" i="6" s="1"/>
  <c r="E27" i="7" l="1"/>
  <c r="K26" i="7"/>
  <c r="F26" i="7"/>
  <c r="J35" i="7"/>
  <c r="D21" i="6"/>
  <c r="C21" i="6" s="1"/>
  <c r="F21" i="6" s="1"/>
  <c r="B22" i="6" s="1"/>
  <c r="D22" i="6" s="1"/>
  <c r="C22" i="6" s="1"/>
  <c r="F22" i="6" s="1"/>
  <c r="B23" i="6" s="1"/>
  <c r="D23" i="6" s="1"/>
  <c r="C23" i="6" s="1"/>
  <c r="F23" i="6" s="1"/>
  <c r="B24" i="6" s="1"/>
  <c r="D24" i="6" s="1"/>
  <c r="C24" i="6" s="1"/>
  <c r="F24" i="6" s="1"/>
  <c r="B25" i="6" s="1"/>
  <c r="E28" i="7" l="1"/>
  <c r="F27" i="7"/>
  <c r="K27" i="7"/>
  <c r="D25" i="6"/>
  <c r="C25" i="6" s="1"/>
  <c r="F25" i="6" s="1"/>
  <c r="E29" i="7" l="1"/>
  <c r="K28" i="7"/>
  <c r="F28" i="7"/>
  <c r="G25" i="6"/>
  <c r="D51" i="3" s="1"/>
  <c r="B26" i="6"/>
  <c r="D26" i="6" s="1"/>
  <c r="D78" i="3"/>
  <c r="E30" i="7" l="1"/>
  <c r="F29" i="7"/>
  <c r="K29" i="7"/>
  <c r="C26" i="6"/>
  <c r="F26" i="6" s="1"/>
  <c r="B27" i="6" s="1"/>
  <c r="D27" i="6" s="1"/>
  <c r="C27" i="6" s="1"/>
  <c r="F27" i="6" s="1"/>
  <c r="B28" i="6" s="1"/>
  <c r="D28" i="6" s="1"/>
  <c r="C28" i="6" s="1"/>
  <c r="E31" i="7" l="1"/>
  <c r="K30" i="7"/>
  <c r="F30" i="7"/>
  <c r="F28" i="6"/>
  <c r="B29" i="6" s="1"/>
  <c r="D29" i="6" s="1"/>
  <c r="C29" i="6" s="1"/>
  <c r="F29" i="6" s="1"/>
  <c r="B30" i="6" s="1"/>
  <c r="D30" i="6" s="1"/>
  <c r="C30" i="6" s="1"/>
  <c r="F30" i="6" s="1"/>
  <c r="B31" i="6" s="1"/>
  <c r="D31" i="6" s="1"/>
  <c r="C31" i="6" s="1"/>
  <c r="F31" i="6" s="1"/>
  <c r="B32" i="6" s="1"/>
  <c r="D32" i="6" s="1"/>
  <c r="E32" i="7" l="1"/>
  <c r="F31" i="7"/>
  <c r="K31" i="7"/>
  <c r="C32" i="6"/>
  <c r="F32" i="6" s="1"/>
  <c r="B33" i="6" s="1"/>
  <c r="D33" i="6" s="1"/>
  <c r="C33" i="6" s="1"/>
  <c r="F33" i="6" s="1"/>
  <c r="B34" i="6" s="1"/>
  <c r="D34" i="6" s="1"/>
  <c r="C34" i="6" s="1"/>
  <c r="F34" i="6" s="1"/>
  <c r="B35" i="6" s="1"/>
  <c r="D35" i="6" s="1"/>
  <c r="C35" i="6" s="1"/>
  <c r="F35" i="6" s="1"/>
  <c r="B36" i="6" s="1"/>
  <c r="E33" i="7" l="1"/>
  <c r="K32" i="7"/>
  <c r="F32" i="7"/>
  <c r="D36" i="6"/>
  <c r="E34" i="7" l="1"/>
  <c r="F33" i="7"/>
  <c r="K33" i="7"/>
  <c r="C36" i="6"/>
  <c r="F36" i="6" s="1"/>
  <c r="B37" i="6" s="1"/>
  <c r="D37" i="6" s="1"/>
  <c r="C37" i="6" s="1"/>
  <c r="F37" i="6" s="1"/>
  <c r="B38" i="6" s="1"/>
  <c r="D38" i="6" s="1"/>
  <c r="E35" i="7" l="1"/>
  <c r="K34" i="7"/>
  <c r="F34" i="7"/>
  <c r="E78" i="3"/>
  <c r="C38" i="6"/>
  <c r="F38" i="6" s="1"/>
  <c r="B39" i="6" s="1"/>
  <c r="D39" i="6" s="1"/>
  <c r="C39" i="6" s="1"/>
  <c r="F39" i="6" s="1"/>
  <c r="B40" i="6" s="1"/>
  <c r="D40" i="6" s="1"/>
  <c r="C40" i="6" s="1"/>
  <c r="F40" i="6" s="1"/>
  <c r="B41" i="6" s="1"/>
  <c r="D41" i="6" s="1"/>
  <c r="C41" i="6" s="1"/>
  <c r="F41" i="6" s="1"/>
  <c r="B42" i="6" s="1"/>
  <c r="D42" i="6" s="1"/>
  <c r="C42" i="6" s="1"/>
  <c r="F42" i="6" s="1"/>
  <c r="B43" i="6" s="1"/>
  <c r="D43" i="6" s="1"/>
  <c r="C43" i="6" s="1"/>
  <c r="F43" i="6" s="1"/>
  <c r="B44" i="6" s="1"/>
  <c r="D44" i="6" s="1"/>
  <c r="C44" i="6" s="1"/>
  <c r="F44" i="6" s="1"/>
  <c r="B45" i="6" s="1"/>
  <c r="D45" i="6" s="1"/>
  <c r="C45" i="6" s="1"/>
  <c r="F45" i="6" s="1"/>
  <c r="B46" i="6" s="1"/>
  <c r="D46" i="6" s="1"/>
  <c r="C46" i="6" s="1"/>
  <c r="F46" i="6" s="1"/>
  <c r="B47" i="6" s="1"/>
  <c r="D47" i="6" s="1"/>
  <c r="C47" i="6" s="1"/>
  <c r="F47" i="6" s="1"/>
  <c r="B48" i="6" s="1"/>
  <c r="D48" i="6" s="1"/>
  <c r="C48" i="6" s="1"/>
  <c r="F48" i="6" s="1"/>
  <c r="B49" i="6" s="1"/>
  <c r="D49" i="6" s="1"/>
  <c r="C49" i="6" s="1"/>
  <c r="F49" i="6" s="1"/>
  <c r="G37" i="6"/>
  <c r="E51" i="3" s="1"/>
  <c r="F35" i="7" l="1"/>
  <c r="K35" i="7"/>
  <c r="G49" i="6"/>
  <c r="F51" i="3" s="1"/>
  <c r="B50" i="6"/>
  <c r="D50" i="6" s="1"/>
  <c r="F78" i="3"/>
  <c r="C50" i="6" l="1"/>
  <c r="F50" i="6" s="1"/>
  <c r="B51" i="6" s="1"/>
  <c r="D51" i="6" s="1"/>
  <c r="C51" i="6" s="1"/>
  <c r="F51" i="6" s="1"/>
  <c r="B52" i="6" s="1"/>
  <c r="D52" i="6" s="1"/>
  <c r="C52" i="6" s="1"/>
  <c r="F52" i="6" s="1"/>
  <c r="B53" i="6" s="1"/>
  <c r="D53" i="6" s="1"/>
  <c r="C53" i="6" s="1"/>
  <c r="F53" i="6" s="1"/>
  <c r="B54" i="6" s="1"/>
  <c r="D54" i="6" l="1"/>
  <c r="C54" i="6" s="1"/>
  <c r="F54" i="6" s="1"/>
  <c r="B55" i="6" s="1"/>
  <c r="D55" i="6" s="1"/>
  <c r="C55" i="6" s="1"/>
  <c r="F55" i="6" s="1"/>
  <c r="B56" i="6" s="1"/>
  <c r="D56" i="6" s="1"/>
  <c r="C56" i="6" s="1"/>
  <c r="F56" i="6" s="1"/>
  <c r="B57" i="6" s="1"/>
  <c r="D57" i="6" l="1"/>
  <c r="C57" i="6" l="1"/>
  <c r="F57" i="6" s="1"/>
  <c r="B58" i="6" s="1"/>
  <c r="D58" i="6" s="1"/>
  <c r="C58" i="6" s="1"/>
  <c r="F58" i="6" s="1"/>
  <c r="B59" i="6" s="1"/>
  <c r="D59" i="6" s="1"/>
  <c r="C59" i="6" s="1"/>
  <c r="F59" i="6" s="1"/>
  <c r="B60" i="6" s="1"/>
  <c r="D60" i="6" l="1"/>
  <c r="C60" i="6" s="1"/>
  <c r="F60" i="6" s="1"/>
  <c r="B61" i="6" s="1"/>
  <c r="D61" i="6" l="1"/>
  <c r="C61" i="6" s="1"/>
  <c r="F61" i="6" s="1"/>
  <c r="G61" i="6" l="1"/>
  <c r="G51" i="3" s="1"/>
  <c r="B62" i="6"/>
  <c r="D62" i="6" s="1"/>
  <c r="G78" i="3"/>
  <c r="C62" i="6" l="1"/>
  <c r="F62" i="6" s="1"/>
  <c r="B63" i="6" s="1"/>
  <c r="D63" i="6" s="1"/>
  <c r="C63" i="6" s="1"/>
  <c r="F63" i="6" s="1"/>
  <c r="B64" i="6" s="1"/>
  <c r="D64" i="6" s="1"/>
  <c r="C64" i="6" s="1"/>
  <c r="F64" i="6" s="1"/>
  <c r="B65" i="6" s="1"/>
  <c r="D65" i="6" s="1"/>
  <c r="C65" i="6" s="1"/>
  <c r="F65" i="6" s="1"/>
  <c r="B66" i="6" s="1"/>
  <c r="D66" i="6" s="1"/>
  <c r="C66" i="6" s="1"/>
  <c r="F66" i="6" s="1"/>
  <c r="B67" i="6" s="1"/>
  <c r="D67" i="6" s="1"/>
  <c r="C67" i="6" s="1"/>
  <c r="F67" i="6" s="1"/>
  <c r="B68" i="6" s="1"/>
  <c r="D68" i="6" s="1"/>
  <c r="C68" i="6" s="1"/>
  <c r="F68" i="6" s="1"/>
  <c r="B69" i="6" s="1"/>
  <c r="D69" i="6" s="1"/>
  <c r="C69" i="6" s="1"/>
  <c r="F69" i="6" s="1"/>
  <c r="B70" i="6" s="1"/>
  <c r="D70" i="6" s="1"/>
  <c r="C70" i="6" s="1"/>
  <c r="F70" i="6" s="1"/>
  <c r="B71" i="6" s="1"/>
  <c r="D71" i="6" s="1"/>
  <c r="C71" i="6" s="1"/>
  <c r="F71" i="6" s="1"/>
  <c r="B72" i="6" s="1"/>
  <c r="D72" i="6" s="1"/>
  <c r="C72" i="6" s="1"/>
  <c r="F72" i="6" s="1"/>
  <c r="B73" i="6" s="1"/>
  <c r="D73" i="6" s="1"/>
  <c r="C73" i="6" s="1"/>
  <c r="F73" i="6" s="1"/>
  <c r="B74" i="6" s="1"/>
  <c r="D74" i="6" s="1"/>
  <c r="C74" i="6" l="1"/>
  <c r="F74" i="6" s="1"/>
  <c r="B75" i="6" s="1"/>
  <c r="D75" i="6" s="1"/>
  <c r="C75" i="6" s="1"/>
  <c r="F75" i="6" s="1"/>
  <c r="B76" i="6" s="1"/>
  <c r="D76" i="6" s="1"/>
  <c r="C76" i="6" s="1"/>
  <c r="F76" i="6" s="1"/>
  <c r="B77" i="6" s="1"/>
  <c r="G73" i="6"/>
  <c r="H51" i="3" s="1"/>
  <c r="H78" i="3"/>
  <c r="D77" i="6" l="1"/>
  <c r="C77" i="6" s="1"/>
  <c r="F77" i="6" s="1"/>
  <c r="B78" i="6" s="1"/>
  <c r="D78" i="6" l="1"/>
  <c r="C78" i="6" s="1"/>
  <c r="F78" i="6" s="1"/>
  <c r="B79" i="6" s="1"/>
  <c r="D79" i="6" l="1"/>
  <c r="C79" i="6" s="1"/>
  <c r="F79" i="6" s="1"/>
  <c r="B80" i="6" s="1"/>
  <c r="D80" i="6" l="1"/>
  <c r="C80" i="6" l="1"/>
  <c r="F80" i="6" s="1"/>
  <c r="B81" i="6" s="1"/>
  <c r="D81" i="6" s="1"/>
  <c r="C81" i="6" s="1"/>
  <c r="F81" i="6" s="1"/>
  <c r="B82" i="6" s="1"/>
  <c r="D82" i="6" l="1"/>
  <c r="C82" i="6" s="1"/>
  <c r="F82" i="6" s="1"/>
  <c r="B83" i="6" s="1"/>
  <c r="D83" i="6" l="1"/>
  <c r="C83" i="6" s="1"/>
  <c r="F83" i="6" s="1"/>
  <c r="B84" i="6" s="1"/>
  <c r="D84" i="6" l="1"/>
  <c r="C84" i="6" s="1"/>
  <c r="F84" i="6" s="1"/>
  <c r="B85" i="6" s="1"/>
  <c r="D85" i="6" l="1"/>
  <c r="C85" i="6" l="1"/>
  <c r="F85" i="6" s="1"/>
  <c r="B86" i="6" s="1"/>
  <c r="D86" i="6" s="1"/>
  <c r="G85" i="6"/>
  <c r="I51" i="3" s="1"/>
  <c r="I78" i="3" l="1"/>
  <c r="C86" i="6"/>
  <c r="F86" i="6" s="1"/>
  <c r="B87" i="6" s="1"/>
  <c r="D87" i="6" s="1"/>
  <c r="C87" i="6" s="1"/>
  <c r="F87" i="6" s="1"/>
  <c r="B88" i="6" s="1"/>
  <c r="D88" i="6" l="1"/>
  <c r="C88" i="6" s="1"/>
  <c r="F88" i="6" s="1"/>
  <c r="B89" i="6" s="1"/>
  <c r="D89" i="6" l="1"/>
  <c r="C89" i="6" s="1"/>
  <c r="F89" i="6" s="1"/>
  <c r="B90" i="6" s="1"/>
  <c r="D90" i="6" l="1"/>
  <c r="C90" i="6" l="1"/>
  <c r="F90" i="6" s="1"/>
  <c r="B91" i="6" s="1"/>
  <c r="D91" i="6" s="1"/>
  <c r="C91" i="6" l="1"/>
  <c r="F91" i="6" s="1"/>
  <c r="B92" i="6" s="1"/>
  <c r="D92" i="6" s="1"/>
  <c r="C92" i="6" s="1"/>
  <c r="F92" i="6" s="1"/>
  <c r="B93" i="6" s="1"/>
  <c r="D93" i="6" l="1"/>
  <c r="C93" i="6" s="1"/>
  <c r="F93" i="6" s="1"/>
  <c r="B94" i="6" s="1"/>
  <c r="D94" i="6" l="1"/>
  <c r="C94" i="6" s="1"/>
  <c r="F94" i="6" s="1"/>
  <c r="B95" i="6" s="1"/>
  <c r="D95" i="6" l="1"/>
  <c r="C95" i="6" s="1"/>
  <c r="F95" i="6" s="1"/>
  <c r="B96" i="6" s="1"/>
  <c r="D96" i="6" l="1"/>
  <c r="C96" i="6" s="1"/>
  <c r="F96" i="6" s="1"/>
  <c r="B97" i="6" s="1"/>
  <c r="D97" i="6" l="1"/>
  <c r="C97" i="6" l="1"/>
  <c r="F97" i="6" s="1"/>
  <c r="J78" i="3" s="1"/>
  <c r="G97" i="6"/>
  <c r="J51" i="3" s="1"/>
  <c r="B98" i="6" l="1"/>
  <c r="D98" i="6" s="1"/>
  <c r="C98" i="6" l="1"/>
  <c r="F98" i="6" s="1"/>
  <c r="B99" i="6" s="1"/>
  <c r="D99" i="6" s="1"/>
  <c r="C99" i="6" s="1"/>
  <c r="F99" i="6" s="1"/>
  <c r="B100" i="6" s="1"/>
  <c r="D100" i="6" s="1"/>
  <c r="C100" i="6" s="1"/>
  <c r="F100" i="6" s="1"/>
  <c r="B101" i="6" s="1"/>
  <c r="D101" i="6" l="1"/>
  <c r="C101" i="6" s="1"/>
  <c r="F101" i="6" s="1"/>
  <c r="B102" i="6" s="1"/>
  <c r="D102" i="6" l="1"/>
  <c r="C102" i="6" s="1"/>
  <c r="F102" i="6" s="1"/>
  <c r="B103" i="6" s="1"/>
  <c r="D103" i="6" l="1"/>
  <c r="C103" i="6" l="1"/>
  <c r="F103" i="6" s="1"/>
  <c r="B104" i="6" s="1"/>
  <c r="D104" i="6" s="1"/>
  <c r="C104" i="6" l="1"/>
  <c r="F104" i="6" s="1"/>
  <c r="B105" i="6" s="1"/>
  <c r="D105" i="6" s="1"/>
  <c r="C105" i="6" s="1"/>
  <c r="F105" i="6" s="1"/>
  <c r="B106" i="6" s="1"/>
  <c r="D106" i="6" l="1"/>
  <c r="C106" i="6" s="1"/>
  <c r="F106" i="6" s="1"/>
  <c r="B107" i="6" s="1"/>
  <c r="D107" i="6" l="1"/>
  <c r="C107" i="6" s="1"/>
  <c r="F107" i="6" s="1"/>
  <c r="B108" i="6" s="1"/>
  <c r="D108" i="6" l="1"/>
  <c r="C108" i="6" s="1"/>
  <c r="F108" i="6" s="1"/>
  <c r="B109" i="6" s="1"/>
  <c r="D109" i="6" l="1"/>
  <c r="C109" i="6" l="1"/>
  <c r="F109" i="6" s="1"/>
  <c r="K78" i="3" s="1"/>
  <c r="G109" i="6"/>
  <c r="K51" i="3" s="1"/>
  <c r="B110" i="6" l="1"/>
  <c r="D110" i="6" s="1"/>
  <c r="C110" i="6" l="1"/>
  <c r="F110" i="6" s="1"/>
  <c r="B111" i="6" s="1"/>
  <c r="D111" i="6" s="1"/>
  <c r="C111" i="6" s="1"/>
  <c r="F111" i="6" s="1"/>
  <c r="B112" i="6" s="1"/>
  <c r="D112" i="6" s="1"/>
  <c r="C112" i="6" s="1"/>
  <c r="F112" i="6" s="1"/>
  <c r="B113" i="6" s="1"/>
  <c r="D113" i="6" l="1"/>
  <c r="C113" i="6" s="1"/>
  <c r="F113" i="6" s="1"/>
  <c r="B114" i="6" s="1"/>
  <c r="D114" i="6" l="1"/>
  <c r="C114" i="6" l="1"/>
  <c r="F114" i="6" s="1"/>
  <c r="B115" i="6" s="1"/>
  <c r="D115" i="6" s="1"/>
  <c r="C115" i="6" s="1"/>
  <c r="F115" i="6" s="1"/>
  <c r="B116" i="6" s="1"/>
  <c r="D116" i="6" l="1"/>
  <c r="C116" i="6" l="1"/>
  <c r="F116" i="6" s="1"/>
  <c r="B117" i="6" s="1"/>
  <c r="D117" i="6" s="1"/>
  <c r="C117" i="6" s="1"/>
  <c r="F117" i="6" s="1"/>
  <c r="B118" i="6" s="1"/>
  <c r="D118" i="6" l="1"/>
  <c r="C118" i="6" l="1"/>
  <c r="F118" i="6" s="1"/>
  <c r="B119" i="6" s="1"/>
  <c r="D119" i="6" s="1"/>
  <c r="C119" i="6" s="1"/>
  <c r="F119" i="6" s="1"/>
  <c r="B120" i="6" s="1"/>
  <c r="D120" i="6" l="1"/>
  <c r="C120" i="6" s="1"/>
  <c r="F120" i="6" s="1"/>
  <c r="B121" i="6" s="1"/>
  <c r="D121" i="6" l="1"/>
  <c r="C121" i="6" l="1"/>
  <c r="F121" i="6" s="1"/>
  <c r="L78" i="3" s="1"/>
  <c r="G149" i="3" s="1"/>
  <c r="G121" i="6"/>
  <c r="L51" i="3" s="1"/>
  <c r="G151" i="3" l="1"/>
  <c r="H149" i="3" s="1"/>
  <c r="B122" i="6"/>
  <c r="D122" i="6" s="1"/>
  <c r="C122" i="6" s="1"/>
  <c r="F122" i="6" s="1"/>
  <c r="B123" i="6" s="1"/>
  <c r="D123" i="6" s="1"/>
  <c r="C123" i="6" s="1"/>
  <c r="F123" i="6" s="1"/>
  <c r="B124" i="6" s="1"/>
  <c r="H150" i="3" l="1"/>
  <c r="D124" i="6"/>
  <c r="C124" i="6" s="1"/>
  <c r="F124" i="6" s="1"/>
  <c r="B125" i="6" s="1"/>
  <c r="I151" i="3" l="1"/>
  <c r="D149" i="3" s="1"/>
  <c r="D125" i="6"/>
  <c r="C125" i="6" s="1"/>
  <c r="F125" i="6" s="1"/>
  <c r="B126" i="6" s="1"/>
  <c r="D126" i="6" l="1"/>
  <c r="C126" i="6" s="1"/>
  <c r="F126" i="6" s="1"/>
  <c r="B127" i="6" s="1"/>
  <c r="D127" i="6" l="1"/>
  <c r="C127" i="6" l="1"/>
  <c r="F127" i="6" s="1"/>
  <c r="B128" i="6" s="1"/>
  <c r="D128" i="6" s="1"/>
  <c r="C128" i="6" s="1"/>
  <c r="F128" i="6" s="1"/>
  <c r="B129" i="6" s="1"/>
  <c r="D129" i="6" l="1"/>
  <c r="C129" i="6" s="1"/>
  <c r="F129" i="6" s="1"/>
  <c r="B130" i="6" s="1"/>
  <c r="D130" i="6" l="1"/>
  <c r="C130" i="6" s="1"/>
  <c r="F130" i="6" s="1"/>
  <c r="B131" i="6" s="1"/>
  <c r="D131" i="6" l="1"/>
  <c r="C131" i="6" s="1"/>
  <c r="F131" i="6" s="1"/>
  <c r="B132" i="6" s="1"/>
  <c r="D132" i="6" l="1"/>
  <c r="C132" i="6" s="1"/>
  <c r="F132" i="6" s="1"/>
  <c r="B133" i="6" s="1"/>
  <c r="D133" i="6" l="1"/>
  <c r="C133" i="6" l="1"/>
  <c r="F133" i="6" s="1"/>
  <c r="B134" i="6" s="1"/>
  <c r="D134" i="6" s="1"/>
  <c r="G133" i="6"/>
  <c r="C134" i="6" l="1"/>
  <c r="F134" i="6" s="1"/>
  <c r="B135" i="6" s="1"/>
  <c r="D135" i="6" s="1"/>
  <c r="C135" i="6" l="1"/>
  <c r="F135" i="6" s="1"/>
  <c r="B136" i="6" s="1"/>
  <c r="D136" i="6" s="1"/>
  <c r="C136" i="6" l="1"/>
  <c r="F136" i="6" s="1"/>
  <c r="B137" i="6" s="1"/>
  <c r="D137" i="6" s="1"/>
  <c r="C137" i="6" l="1"/>
  <c r="F137" i="6" s="1"/>
  <c r="B138" i="6" s="1"/>
  <c r="D138" i="6" s="1"/>
  <c r="C138" i="6" l="1"/>
  <c r="F138" i="6" s="1"/>
  <c r="B139" i="6" s="1"/>
  <c r="D139" i="6" s="1"/>
  <c r="C139" i="6" s="1"/>
  <c r="F139" i="6" s="1"/>
  <c r="B140" i="6" s="1"/>
  <c r="D140" i="6" l="1"/>
  <c r="C140" i="6" s="1"/>
  <c r="F140" i="6" s="1"/>
  <c r="B141" i="6" s="1"/>
  <c r="D141" i="6" l="1"/>
  <c r="C141" i="6" s="1"/>
  <c r="F141" i="6" s="1"/>
  <c r="B142" i="6" s="1"/>
  <c r="D142" i="6" l="1"/>
  <c r="C142" i="6" s="1"/>
  <c r="F142" i="6" s="1"/>
  <c r="B143" i="6" s="1"/>
  <c r="D143" i="6" l="1"/>
  <c r="C143" i="6" s="1"/>
  <c r="F143" i="6" s="1"/>
  <c r="B144" i="6" s="1"/>
  <c r="D144" i="6" l="1"/>
  <c r="C144" i="6" s="1"/>
  <c r="F144" i="6" s="1"/>
  <c r="B145" i="6" s="1"/>
  <c r="D145" i="6" l="1"/>
  <c r="C145" i="6" l="1"/>
  <c r="F145" i="6" s="1"/>
  <c r="B146" i="6" s="1"/>
  <c r="D146" i="6" s="1"/>
  <c r="G145" i="6"/>
  <c r="C146" i="6" l="1"/>
  <c r="F146" i="6" s="1"/>
  <c r="B147" i="6" s="1"/>
  <c r="D147" i="6" s="1"/>
  <c r="C147" i="6" l="1"/>
  <c r="F147" i="6" s="1"/>
  <c r="B148" i="6" s="1"/>
  <c r="D148" i="6" s="1"/>
  <c r="C148" i="6" l="1"/>
  <c r="F148" i="6" s="1"/>
  <c r="B149" i="6" s="1"/>
  <c r="D149" i="6" s="1"/>
  <c r="C149" i="6" s="1"/>
  <c r="F149" i="6" s="1"/>
  <c r="B150" i="6" s="1"/>
  <c r="D150" i="6" l="1"/>
  <c r="C150" i="6" s="1"/>
  <c r="F150" i="6" s="1"/>
  <c r="B151" i="6" s="1"/>
  <c r="D151" i="6" l="1"/>
  <c r="C151" i="6" l="1"/>
  <c r="F151" i="6" s="1"/>
  <c r="B152" i="6" s="1"/>
  <c r="D152" i="6" s="1"/>
  <c r="C152" i="6" s="1"/>
  <c r="F152" i="6" s="1"/>
  <c r="B153" i="6" s="1"/>
  <c r="D153" i="6" l="1"/>
  <c r="C153" i="6" s="1"/>
  <c r="F153" i="6" s="1"/>
  <c r="B154" i="6" s="1"/>
  <c r="D154" i="6" l="1"/>
  <c r="C154" i="6" s="1"/>
  <c r="F154" i="6" s="1"/>
  <c r="B155" i="6" s="1"/>
  <c r="D155" i="6" l="1"/>
  <c r="C155" i="6" s="1"/>
  <c r="F155" i="6" s="1"/>
  <c r="B156" i="6" s="1"/>
  <c r="D156" i="6" l="1"/>
  <c r="C156" i="6" s="1"/>
  <c r="F156" i="6" s="1"/>
  <c r="B157" i="6" s="1"/>
  <c r="D157" i="6" l="1"/>
  <c r="C157" i="6" l="1"/>
  <c r="F157" i="6" s="1"/>
  <c r="B158" i="6" s="1"/>
  <c r="D158" i="6" s="1"/>
  <c r="G157" i="6"/>
  <c r="C158" i="6" l="1"/>
  <c r="F158" i="6" s="1"/>
  <c r="B159" i="6" s="1"/>
  <c r="D159" i="6" s="1"/>
  <c r="C159" i="6" l="1"/>
  <c r="F159" i="6" s="1"/>
  <c r="B160" i="6" s="1"/>
  <c r="D160" i="6" s="1"/>
  <c r="C160" i="6" s="1"/>
  <c r="F160" i="6" s="1"/>
  <c r="B161" i="6" s="1"/>
  <c r="D161" i="6" l="1"/>
  <c r="C161" i="6" s="1"/>
  <c r="F161" i="6" s="1"/>
  <c r="B162" i="6" s="1"/>
  <c r="D162" i="6" l="1"/>
  <c r="C162" i="6" l="1"/>
  <c r="F162" i="6" s="1"/>
  <c r="B163" i="6" s="1"/>
  <c r="D163" i="6" s="1"/>
  <c r="C163" i="6" l="1"/>
  <c r="F163" i="6" s="1"/>
  <c r="B164" i="6" s="1"/>
  <c r="D164" i="6" s="1"/>
  <c r="C164" i="6" s="1"/>
  <c r="F164" i="6" s="1"/>
  <c r="B165" i="6" s="1"/>
  <c r="D165" i="6" l="1"/>
  <c r="C165" i="6" s="1"/>
  <c r="F165" i="6" s="1"/>
  <c r="B166" i="6" s="1"/>
  <c r="D166" i="6" l="1"/>
  <c r="C166" i="6" s="1"/>
  <c r="F166" i="6" s="1"/>
  <c r="B167" i="6" s="1"/>
  <c r="D167" i="6" l="1"/>
  <c r="C167" i="6" s="1"/>
  <c r="F167" i="6" s="1"/>
  <c r="B168" i="6" s="1"/>
  <c r="D168" i="6" l="1"/>
  <c r="C168" i="6" s="1"/>
  <c r="F168" i="6" s="1"/>
  <c r="B169" i="6" s="1"/>
  <c r="D169" i="6" l="1"/>
  <c r="C169" i="6" l="1"/>
  <c r="F169" i="6" s="1"/>
  <c r="B170" i="6" s="1"/>
  <c r="D170" i="6" s="1"/>
  <c r="G169" i="6"/>
  <c r="C170" i="6" l="1"/>
  <c r="F170" i="6" s="1"/>
  <c r="B171" i="6" s="1"/>
  <c r="D171" i="6" s="1"/>
  <c r="C171" i="6" l="1"/>
  <c r="F171" i="6" s="1"/>
  <c r="B172" i="6" s="1"/>
  <c r="D172" i="6" s="1"/>
  <c r="C172" i="6" l="1"/>
  <c r="F172" i="6" s="1"/>
  <c r="B173" i="6" s="1"/>
  <c r="D173" i="6" s="1"/>
  <c r="C173" i="6" l="1"/>
  <c r="F173" i="6" s="1"/>
  <c r="B174" i="6" s="1"/>
  <c r="D174" i="6" s="1"/>
  <c r="C174" i="6" l="1"/>
  <c r="F174" i="6" s="1"/>
  <c r="B175" i="6" s="1"/>
  <c r="D175" i="6" s="1"/>
  <c r="C175" i="6" s="1"/>
  <c r="F175" i="6" s="1"/>
  <c r="B176" i="6" s="1"/>
  <c r="D176" i="6" l="1"/>
  <c r="C176" i="6" s="1"/>
  <c r="F176" i="6" s="1"/>
  <c r="B177" i="6" s="1"/>
  <c r="D177" i="6" l="1"/>
  <c r="C177" i="6" s="1"/>
  <c r="F177" i="6" s="1"/>
  <c r="B178" i="6" s="1"/>
  <c r="D178" i="6" l="1"/>
  <c r="C178" i="6" s="1"/>
  <c r="F178" i="6" s="1"/>
  <c r="B179" i="6" s="1"/>
  <c r="D179" i="6" l="1"/>
  <c r="C179" i="6" s="1"/>
  <c r="F179" i="6" s="1"/>
  <c r="B180" i="6" s="1"/>
  <c r="D180" i="6" l="1"/>
  <c r="C180" i="6" s="1"/>
  <c r="F180" i="6" s="1"/>
  <c r="B181" i="6" s="1"/>
  <c r="D181" i="6" l="1"/>
  <c r="C181" i="6" l="1"/>
  <c r="F181" i="6" s="1"/>
  <c r="B182" i="6" s="1"/>
  <c r="D182" i="6" s="1"/>
  <c r="G181" i="6"/>
  <c r="C182" i="6" l="1"/>
  <c r="F182" i="6" s="1"/>
  <c r="B183" i="6" s="1"/>
  <c r="D183" i="6" s="1"/>
  <c r="C183" i="6" l="1"/>
  <c r="F183" i="6" s="1"/>
  <c r="B184" i="6" s="1"/>
  <c r="D184" i="6" s="1"/>
  <c r="C184" i="6" l="1"/>
  <c r="F184" i="6" s="1"/>
  <c r="B185" i="6" s="1"/>
  <c r="D185" i="6" s="1"/>
  <c r="C185" i="6" l="1"/>
  <c r="F185" i="6" s="1"/>
  <c r="B186" i="6" s="1"/>
  <c r="D186" i="6" s="1"/>
  <c r="C186" i="6" l="1"/>
  <c r="F186" i="6" s="1"/>
  <c r="B187" i="6" s="1"/>
  <c r="D187" i="6" s="1"/>
  <c r="C187" i="6" s="1"/>
  <c r="F187" i="6" s="1"/>
  <c r="B188" i="6" s="1"/>
  <c r="D188" i="6" l="1"/>
  <c r="C188" i="6" s="1"/>
  <c r="F188" i="6" s="1"/>
  <c r="B189" i="6" s="1"/>
  <c r="D189" i="6" l="1"/>
  <c r="C189" i="6" s="1"/>
  <c r="F189" i="6" s="1"/>
  <c r="B190" i="6" s="1"/>
  <c r="D190" i="6" l="1"/>
  <c r="C190" i="6" s="1"/>
  <c r="F190" i="6" s="1"/>
  <c r="B191" i="6" s="1"/>
  <c r="D191" i="6" l="1"/>
  <c r="C191" i="6" s="1"/>
  <c r="F191" i="6" s="1"/>
  <c r="B192" i="6" s="1"/>
  <c r="D192" i="6" l="1"/>
  <c r="C192" i="6" s="1"/>
  <c r="F192" i="6" s="1"/>
  <c r="B193" i="6" s="1"/>
  <c r="D193" i="6" l="1"/>
  <c r="C193" i="6" l="1"/>
  <c r="F193" i="6" s="1"/>
  <c r="B194" i="6" s="1"/>
  <c r="D194" i="6" s="1"/>
  <c r="G193" i="6"/>
  <c r="C194" i="6" l="1"/>
  <c r="F194" i="6" s="1"/>
  <c r="B195" i="6" s="1"/>
  <c r="D195" i="6" s="1"/>
  <c r="C195" i="6" l="1"/>
  <c r="F195" i="6" s="1"/>
  <c r="B196" i="6" s="1"/>
  <c r="D196" i="6" s="1"/>
  <c r="C196" i="6" l="1"/>
  <c r="F196" i="6" s="1"/>
  <c r="B197" i="6" s="1"/>
  <c r="D197" i="6" s="1"/>
  <c r="C197" i="6" l="1"/>
  <c r="F197" i="6" s="1"/>
  <c r="B198" i="6" s="1"/>
  <c r="D198" i="6" s="1"/>
  <c r="C198" i="6" s="1"/>
  <c r="F198" i="6" s="1"/>
  <c r="B199" i="6" s="1"/>
  <c r="D199" i="6" l="1"/>
  <c r="C199" i="6" s="1"/>
  <c r="F199" i="6" s="1"/>
  <c r="B200" i="6" s="1"/>
  <c r="D200" i="6" l="1"/>
  <c r="C200" i="6" s="1"/>
  <c r="F200" i="6" s="1"/>
  <c r="B201" i="6" s="1"/>
  <c r="D201" i="6" l="1"/>
  <c r="C201" i="6" s="1"/>
  <c r="F201" i="6" s="1"/>
  <c r="B202" i="6" s="1"/>
  <c r="D202" i="6" l="1"/>
  <c r="C202" i="6" s="1"/>
  <c r="F202" i="6" s="1"/>
  <c r="B203" i="6" s="1"/>
  <c r="D203" i="6" l="1"/>
  <c r="C203" i="6" s="1"/>
  <c r="F203" i="6" s="1"/>
  <c r="B204" i="6" s="1"/>
  <c r="D204" i="6" l="1"/>
  <c r="C204" i="6" s="1"/>
  <c r="F204" i="6" s="1"/>
  <c r="B205" i="6" s="1"/>
  <c r="D205" i="6" l="1"/>
  <c r="C205" i="6" l="1"/>
  <c r="F205" i="6" s="1"/>
  <c r="B206" i="6" s="1"/>
  <c r="D206" i="6" s="1"/>
  <c r="G205" i="6"/>
  <c r="C206" i="6" l="1"/>
  <c r="F206" i="6" s="1"/>
  <c r="B207" i="6" s="1"/>
  <c r="D207" i="6" s="1"/>
  <c r="C207" i="6" l="1"/>
  <c r="F207" i="6" s="1"/>
  <c r="B208" i="6" s="1"/>
  <c r="D208" i="6" s="1"/>
  <c r="C208" i="6" l="1"/>
  <c r="F208" i="6" s="1"/>
  <c r="B209" i="6" s="1"/>
  <c r="D209" i="6" s="1"/>
  <c r="C209" i="6" l="1"/>
  <c r="F209" i="6" s="1"/>
  <c r="B210" i="6" s="1"/>
  <c r="D210" i="6" s="1"/>
  <c r="C210" i="6" l="1"/>
  <c r="F210" i="6" s="1"/>
  <c r="B211" i="6" s="1"/>
  <c r="D211" i="6" s="1"/>
  <c r="C211" i="6" s="1"/>
  <c r="F211" i="6" s="1"/>
  <c r="B212" i="6" s="1"/>
  <c r="D212" i="6" l="1"/>
  <c r="C212" i="6" s="1"/>
  <c r="F212" i="6" s="1"/>
  <c r="B213" i="6" s="1"/>
  <c r="D213" i="6" l="1"/>
  <c r="C213" i="6" s="1"/>
  <c r="F213" i="6" s="1"/>
  <c r="B214" i="6" s="1"/>
  <c r="D214" i="6" l="1"/>
  <c r="C214" i="6" s="1"/>
  <c r="F214" i="6" s="1"/>
  <c r="B215" i="6" s="1"/>
  <c r="D215" i="6" l="1"/>
  <c r="C215" i="6" s="1"/>
  <c r="F215" i="6" s="1"/>
  <c r="B216" i="6" s="1"/>
  <c r="D216" i="6" l="1"/>
  <c r="C216" i="6" s="1"/>
  <c r="F216" i="6" s="1"/>
  <c r="B217" i="6" s="1"/>
  <c r="D217" i="6" l="1"/>
  <c r="C217" i="6" l="1"/>
  <c r="F217" i="6" s="1"/>
  <c r="B218" i="6" s="1"/>
  <c r="D218" i="6" s="1"/>
  <c r="G217" i="6"/>
  <c r="C218" i="6" l="1"/>
  <c r="F218" i="6" s="1"/>
  <c r="B219" i="6" s="1"/>
  <c r="D219" i="6" s="1"/>
  <c r="C219" i="6" l="1"/>
  <c r="F219" i="6" s="1"/>
  <c r="B220" i="6" s="1"/>
  <c r="D220" i="6" s="1"/>
  <c r="C220" i="6" l="1"/>
  <c r="F220" i="6" s="1"/>
  <c r="B221" i="6" s="1"/>
  <c r="D221" i="6" s="1"/>
  <c r="C221" i="6" l="1"/>
  <c r="F221" i="6" s="1"/>
  <c r="B222" i="6" s="1"/>
  <c r="D222" i="6" s="1"/>
  <c r="C222" i="6" l="1"/>
  <c r="F222" i="6" s="1"/>
  <c r="B223" i="6" s="1"/>
  <c r="D223" i="6" s="1"/>
  <c r="C223" i="6" s="1"/>
  <c r="F223" i="6" s="1"/>
  <c r="B224" i="6" s="1"/>
  <c r="D224" i="6" l="1"/>
  <c r="C224" i="6" s="1"/>
  <c r="F224" i="6" s="1"/>
  <c r="B225" i="6" s="1"/>
  <c r="D225" i="6" l="1"/>
  <c r="C225" i="6" s="1"/>
  <c r="F225" i="6" s="1"/>
  <c r="B226" i="6" s="1"/>
  <c r="D226" i="6" l="1"/>
  <c r="C226" i="6" s="1"/>
  <c r="F226" i="6" s="1"/>
  <c r="B227" i="6" s="1"/>
  <c r="D227" i="6" l="1"/>
  <c r="C227" i="6" s="1"/>
  <c r="F227" i="6" s="1"/>
  <c r="B228" i="6" s="1"/>
  <c r="D228" i="6" l="1"/>
  <c r="C228" i="6" s="1"/>
  <c r="F228" i="6" s="1"/>
  <c r="B229" i="6" s="1"/>
  <c r="D229" i="6" l="1"/>
  <c r="C229" i="6" l="1"/>
  <c r="F229" i="6" s="1"/>
  <c r="B230" i="6" s="1"/>
  <c r="D230" i="6" s="1"/>
  <c r="G229" i="6"/>
  <c r="C230" i="6" l="1"/>
  <c r="F230" i="6" s="1"/>
  <c r="B231" i="6" s="1"/>
  <c r="D231" i="6" s="1"/>
  <c r="C231" i="6" l="1"/>
  <c r="F231" i="6" s="1"/>
  <c r="B232" i="6" s="1"/>
  <c r="D232" i="6" s="1"/>
  <c r="C232" i="6" l="1"/>
  <c r="F232" i="6" s="1"/>
  <c r="B233" i="6" s="1"/>
  <c r="D233" i="6" s="1"/>
  <c r="C233" i="6" l="1"/>
  <c r="F233" i="6" s="1"/>
  <c r="B234" i="6" s="1"/>
  <c r="D234" i="6" s="1"/>
  <c r="C234" i="6" l="1"/>
  <c r="F234" i="6" s="1"/>
  <c r="B235" i="6" s="1"/>
  <c r="D235" i="6" s="1"/>
  <c r="C235" i="6" s="1"/>
  <c r="F235" i="6" s="1"/>
  <c r="B236" i="6" s="1"/>
  <c r="D236" i="6" l="1"/>
  <c r="C236" i="6" s="1"/>
  <c r="F236" i="6" s="1"/>
  <c r="B237" i="6" s="1"/>
  <c r="D237" i="6" l="1"/>
  <c r="C237" i="6" s="1"/>
  <c r="F237" i="6" s="1"/>
  <c r="B238" i="6" s="1"/>
  <c r="D238" i="6" l="1"/>
  <c r="C238" i="6" s="1"/>
  <c r="F238" i="6" s="1"/>
  <c r="B239" i="6" s="1"/>
  <c r="D239" i="6" l="1"/>
  <c r="C239" i="6" s="1"/>
  <c r="F239" i="6" s="1"/>
  <c r="B240" i="6" s="1"/>
  <c r="D240" i="6" l="1"/>
  <c r="C240" i="6" s="1"/>
  <c r="F240" i="6" s="1"/>
  <c r="B241" i="6" s="1"/>
  <c r="D241" i="6" l="1"/>
  <c r="C241" i="6" l="1"/>
  <c r="F241" i="6" s="1"/>
  <c r="B242" i="6" s="1"/>
  <c r="D242" i="6" s="1"/>
  <c r="G241" i="6"/>
  <c r="C242" i="6" l="1"/>
  <c r="F242" i="6" s="1"/>
  <c r="B243" i="6" s="1"/>
  <c r="D243" i="6" s="1"/>
  <c r="C243" i="6" l="1"/>
  <c r="F243" i="6" s="1"/>
  <c r="B244" i="6" s="1"/>
  <c r="D244" i="6" s="1"/>
  <c r="C244" i="6" l="1"/>
  <c r="F244" i="6" s="1"/>
  <c r="B245" i="6" s="1"/>
  <c r="D245" i="6" s="1"/>
  <c r="C245" i="6" l="1"/>
  <c r="F245" i="6" s="1"/>
  <c r="B246" i="6" s="1"/>
  <c r="D246" i="6" s="1"/>
  <c r="C246" i="6" l="1"/>
  <c r="F246" i="6" s="1"/>
  <c r="B247" i="6" s="1"/>
  <c r="D247" i="6" s="1"/>
  <c r="C247" i="6" s="1"/>
  <c r="F247" i="6" s="1"/>
  <c r="B248" i="6" s="1"/>
  <c r="D248" i="6" l="1"/>
  <c r="C248" i="6" s="1"/>
  <c r="F248" i="6" s="1"/>
  <c r="B249" i="6" s="1"/>
  <c r="D249" i="6" l="1"/>
  <c r="C249" i="6" s="1"/>
  <c r="F249" i="6" s="1"/>
  <c r="B250" i="6" s="1"/>
  <c r="D250" i="6" l="1"/>
  <c r="C250" i="6" s="1"/>
  <c r="F250" i="6" s="1"/>
  <c r="B251" i="6" s="1"/>
  <c r="D251" i="6" l="1"/>
  <c r="C251" i="6" s="1"/>
  <c r="F251" i="6" s="1"/>
  <c r="B252" i="6" s="1"/>
  <c r="D252" i="6" l="1"/>
  <c r="C252" i="6" s="1"/>
  <c r="F252" i="6" s="1"/>
  <c r="B253" i="6" s="1"/>
  <c r="D253" i="6" l="1"/>
  <c r="C253" i="6" l="1"/>
  <c r="F253" i="6" s="1"/>
  <c r="B254" i="6" s="1"/>
  <c r="D254" i="6" s="1"/>
  <c r="G253" i="6"/>
  <c r="C254" i="6" l="1"/>
  <c r="F254" i="6" s="1"/>
  <c r="B255" i="6" s="1"/>
  <c r="D255" i="6" s="1"/>
  <c r="C255" i="6" s="1"/>
  <c r="F255" i="6" s="1"/>
  <c r="B256" i="6" s="1"/>
  <c r="D256" i="6" l="1"/>
  <c r="C256" i="6" l="1"/>
  <c r="F256" i="6" s="1"/>
  <c r="B257" i="6" s="1"/>
  <c r="D257" i="6" s="1"/>
  <c r="C257" i="6" l="1"/>
  <c r="F257" i="6" s="1"/>
  <c r="B258" i="6" s="1"/>
  <c r="D258" i="6" s="1"/>
  <c r="C258" i="6" l="1"/>
  <c r="F258" i="6" s="1"/>
  <c r="B259" i="6" s="1"/>
  <c r="D259" i="6" s="1"/>
  <c r="C259" i="6" l="1"/>
  <c r="F259" i="6" s="1"/>
  <c r="B260" i="6" s="1"/>
  <c r="D260" i="6" s="1"/>
  <c r="C260" i="6" s="1"/>
  <c r="F260" i="6" s="1"/>
  <c r="B261" i="6" s="1"/>
  <c r="D261" i="6" l="1"/>
  <c r="C261" i="6" s="1"/>
  <c r="F261" i="6" s="1"/>
  <c r="B262" i="6" s="1"/>
  <c r="D262" i="6" l="1"/>
  <c r="C262" i="6" s="1"/>
  <c r="F262" i="6" s="1"/>
  <c r="B263" i="6" s="1"/>
  <c r="D263" i="6" l="1"/>
  <c r="C263" i="6" s="1"/>
  <c r="F263" i="6" s="1"/>
  <c r="B264" i="6" s="1"/>
  <c r="D264" i="6" l="1"/>
  <c r="C264" i="6" s="1"/>
  <c r="F264" i="6" s="1"/>
  <c r="B265" i="6" s="1"/>
  <c r="D265" i="6" l="1"/>
  <c r="C265" i="6" l="1"/>
  <c r="F265" i="6" s="1"/>
  <c r="B266" i="6" s="1"/>
  <c r="D266" i="6" s="1"/>
  <c r="G265" i="6"/>
  <c r="C266" i="6" l="1"/>
  <c r="F266" i="6" s="1"/>
  <c r="B267" i="6" s="1"/>
  <c r="D267" i="6" s="1"/>
  <c r="C267" i="6" l="1"/>
  <c r="F267" i="6" s="1"/>
  <c r="B268" i="6" s="1"/>
  <c r="D268" i="6" s="1"/>
  <c r="C268" i="6" l="1"/>
  <c r="F268" i="6" s="1"/>
  <c r="B269" i="6" s="1"/>
  <c r="D269" i="6" s="1"/>
  <c r="C269" i="6" l="1"/>
  <c r="F269" i="6" s="1"/>
  <c r="B270" i="6" s="1"/>
  <c r="D270" i="6" s="1"/>
  <c r="C270" i="6" l="1"/>
  <c r="F270" i="6" s="1"/>
  <c r="B271" i="6" s="1"/>
  <c r="D271" i="6" s="1"/>
  <c r="C271" i="6" s="1"/>
  <c r="F271" i="6" s="1"/>
  <c r="B272" i="6" s="1"/>
  <c r="D272" i="6" l="1"/>
  <c r="C272" i="6" s="1"/>
  <c r="F272" i="6" s="1"/>
  <c r="B273" i="6" s="1"/>
  <c r="D273" i="6" l="1"/>
  <c r="C273" i="6" s="1"/>
  <c r="F273" i="6" s="1"/>
  <c r="B274" i="6" s="1"/>
  <c r="D274" i="6" l="1"/>
  <c r="C274" i="6" s="1"/>
  <c r="F274" i="6" s="1"/>
  <c r="B275" i="6" s="1"/>
  <c r="D275" i="6" l="1"/>
  <c r="C275" i="6" s="1"/>
  <c r="F275" i="6" s="1"/>
  <c r="B276" i="6" s="1"/>
  <c r="D276" i="6" l="1"/>
  <c r="C276" i="6" s="1"/>
  <c r="F276" i="6" s="1"/>
  <c r="B277" i="6" s="1"/>
  <c r="D277" i="6" l="1"/>
  <c r="C277" i="6" l="1"/>
  <c r="F277" i="6" s="1"/>
  <c r="B278" i="6" s="1"/>
  <c r="D278" i="6" s="1"/>
  <c r="G277" i="6"/>
  <c r="C278" i="6" l="1"/>
  <c r="F278" i="6" s="1"/>
  <c r="B279" i="6" s="1"/>
  <c r="D279" i="6" s="1"/>
  <c r="C279" i="6" l="1"/>
  <c r="F279" i="6" s="1"/>
  <c r="B280" i="6" s="1"/>
  <c r="D280" i="6" s="1"/>
  <c r="C280" i="6" l="1"/>
  <c r="F280" i="6" s="1"/>
  <c r="B281" i="6" s="1"/>
  <c r="D281" i="6" s="1"/>
  <c r="C281" i="6" l="1"/>
  <c r="F281" i="6" s="1"/>
  <c r="B282" i="6" s="1"/>
  <c r="D282" i="6" s="1"/>
  <c r="C282" i="6" l="1"/>
  <c r="F282" i="6" s="1"/>
  <c r="B283" i="6" s="1"/>
  <c r="D283" i="6" s="1"/>
  <c r="C283" i="6" s="1"/>
  <c r="F283" i="6" s="1"/>
  <c r="B284" i="6" s="1"/>
  <c r="D284" i="6" l="1"/>
  <c r="C284" i="6" s="1"/>
  <c r="F284" i="6" s="1"/>
  <c r="B285" i="6" s="1"/>
  <c r="D285" i="6" l="1"/>
  <c r="C285" i="6" s="1"/>
  <c r="F285" i="6" s="1"/>
  <c r="B286" i="6" s="1"/>
  <c r="D286" i="6" l="1"/>
  <c r="C286" i="6" s="1"/>
  <c r="F286" i="6" s="1"/>
  <c r="B287" i="6" s="1"/>
  <c r="D287" i="6" l="1"/>
  <c r="C287" i="6" s="1"/>
  <c r="F287" i="6" s="1"/>
  <c r="B288" i="6" s="1"/>
  <c r="D288" i="6" l="1"/>
  <c r="C288" i="6" s="1"/>
  <c r="F288" i="6" s="1"/>
  <c r="B289" i="6" s="1"/>
  <c r="D289" i="6" l="1"/>
  <c r="C289" i="6" l="1"/>
  <c r="F289" i="6" s="1"/>
  <c r="B290" i="6" s="1"/>
  <c r="D290" i="6" s="1"/>
  <c r="G289" i="6"/>
  <c r="C290" i="6" l="1"/>
  <c r="F290" i="6" s="1"/>
  <c r="B291" i="6" s="1"/>
  <c r="D291" i="6" s="1"/>
  <c r="C291" i="6" s="1"/>
  <c r="F291" i="6" s="1"/>
  <c r="B292" i="6" s="1"/>
  <c r="D292" i="6" l="1"/>
  <c r="C292" i="6" s="1"/>
  <c r="F292" i="6" s="1"/>
  <c r="B293" i="6" s="1"/>
  <c r="D293" i="6" l="1"/>
  <c r="C293" i="6" l="1"/>
  <c r="F293" i="6" s="1"/>
  <c r="B294" i="6" s="1"/>
  <c r="D294" i="6" s="1"/>
  <c r="C294" i="6" s="1"/>
  <c r="F294" i="6" s="1"/>
  <c r="B295" i="6" s="1"/>
  <c r="D295" i="6" l="1"/>
  <c r="C295" i="6" l="1"/>
  <c r="F295" i="6" s="1"/>
  <c r="B296" i="6" s="1"/>
  <c r="D296" i="6" s="1"/>
  <c r="C296" i="6" l="1"/>
  <c r="F296" i="6" s="1"/>
  <c r="B297" i="6" s="1"/>
  <c r="D297" i="6" s="1"/>
  <c r="C297" i="6" s="1"/>
  <c r="F297" i="6" s="1"/>
  <c r="B298" i="6" s="1"/>
  <c r="D298" i="6" l="1"/>
  <c r="C298" i="6" s="1"/>
  <c r="F298" i="6" s="1"/>
  <c r="B299" i="6" s="1"/>
  <c r="D299" i="6" l="1"/>
  <c r="C299" i="6" s="1"/>
  <c r="F299" i="6" s="1"/>
  <c r="B300" i="6" s="1"/>
  <c r="D300" i="6" l="1"/>
  <c r="C300" i="6" s="1"/>
  <c r="F300" i="6" s="1"/>
  <c r="B301" i="6" s="1"/>
  <c r="D301" i="6" l="1"/>
  <c r="C301" i="6" l="1"/>
  <c r="F301" i="6" s="1"/>
  <c r="B302" i="6" s="1"/>
  <c r="D302" i="6" s="1"/>
  <c r="G301" i="6"/>
  <c r="C302" i="6" l="1"/>
  <c r="F302" i="6" s="1"/>
  <c r="B303" i="6" s="1"/>
  <c r="D303" i="6" s="1"/>
  <c r="C303" i="6" l="1"/>
  <c r="F303" i="6" s="1"/>
  <c r="B304" i="6" s="1"/>
  <c r="D304" i="6" s="1"/>
  <c r="C304" i="6" l="1"/>
  <c r="F304" i="6" s="1"/>
  <c r="B305" i="6" s="1"/>
  <c r="D305" i="6" s="1"/>
  <c r="C305" i="6" l="1"/>
  <c r="F305" i="6" s="1"/>
  <c r="B306" i="6" s="1"/>
  <c r="D306" i="6" s="1"/>
  <c r="C306" i="6" l="1"/>
  <c r="F306" i="6" s="1"/>
  <c r="B307" i="6" s="1"/>
  <c r="D307" i="6" s="1"/>
  <c r="C307" i="6" s="1"/>
  <c r="F307" i="6" s="1"/>
  <c r="B308" i="6" s="1"/>
  <c r="D308" i="6" l="1"/>
  <c r="C308" i="6" s="1"/>
  <c r="F308" i="6" s="1"/>
  <c r="B309" i="6" s="1"/>
  <c r="D309" i="6" l="1"/>
  <c r="C309" i="6" s="1"/>
  <c r="F309" i="6" s="1"/>
  <c r="B310" i="6" s="1"/>
  <c r="D310" i="6" l="1"/>
  <c r="C310" i="6" s="1"/>
  <c r="F310" i="6" s="1"/>
  <c r="B311" i="6" s="1"/>
  <c r="D311" i="6" l="1"/>
  <c r="C311" i="6" s="1"/>
  <c r="F311" i="6" s="1"/>
  <c r="B312" i="6" s="1"/>
  <c r="D312" i="6" l="1"/>
  <c r="C312" i="6" s="1"/>
  <c r="F312" i="6" s="1"/>
  <c r="B313" i="6" s="1"/>
  <c r="D313" i="6" l="1"/>
  <c r="C313" i="6" l="1"/>
  <c r="F313" i="6" s="1"/>
  <c r="B314" i="6" s="1"/>
  <c r="D314" i="6" s="1"/>
  <c r="G313" i="6"/>
  <c r="C314" i="6" l="1"/>
  <c r="F314" i="6" s="1"/>
  <c r="B315" i="6" s="1"/>
  <c r="D315" i="6" s="1"/>
  <c r="C315" i="6" l="1"/>
  <c r="F315" i="6" s="1"/>
  <c r="B316" i="6" s="1"/>
  <c r="D316" i="6" s="1"/>
  <c r="C316" i="6" l="1"/>
  <c r="F316" i="6" s="1"/>
  <c r="B317" i="6" s="1"/>
  <c r="D317" i="6" s="1"/>
  <c r="C317" i="6" l="1"/>
  <c r="F317" i="6" s="1"/>
  <c r="B318" i="6" s="1"/>
  <c r="D318" i="6" s="1"/>
  <c r="C318" i="6" l="1"/>
  <c r="F318" i="6" s="1"/>
  <c r="B319" i="6" s="1"/>
  <c r="D319" i="6" s="1"/>
  <c r="C319" i="6" s="1"/>
  <c r="F319" i="6" s="1"/>
  <c r="B320" i="6" s="1"/>
  <c r="D320" i="6" l="1"/>
  <c r="C320" i="6" s="1"/>
  <c r="F320" i="6" s="1"/>
  <c r="B321" i="6" s="1"/>
  <c r="D321" i="6" l="1"/>
  <c r="C321" i="6" s="1"/>
  <c r="F321" i="6" s="1"/>
  <c r="B322" i="6" s="1"/>
  <c r="D322" i="6" l="1"/>
  <c r="C322" i="6" s="1"/>
  <c r="F322" i="6" s="1"/>
  <c r="B323" i="6" s="1"/>
  <c r="D323" i="6" l="1"/>
  <c r="C323" i="6" s="1"/>
  <c r="F323" i="6" s="1"/>
  <c r="B324" i="6" s="1"/>
  <c r="D324" i="6" l="1"/>
  <c r="C324" i="6" s="1"/>
  <c r="F324" i="6" s="1"/>
  <c r="B325" i="6" s="1"/>
  <c r="D325" i="6" l="1"/>
  <c r="C325" i="6" l="1"/>
  <c r="F325" i="6" s="1"/>
  <c r="B326" i="6" s="1"/>
  <c r="D326" i="6" s="1"/>
  <c r="G325" i="6"/>
  <c r="C326" i="6" l="1"/>
  <c r="F326" i="6" s="1"/>
  <c r="B327" i="6" s="1"/>
  <c r="D327" i="6" s="1"/>
  <c r="C327" i="6" l="1"/>
  <c r="F327" i="6" s="1"/>
  <c r="B328" i="6" s="1"/>
  <c r="D328" i="6" s="1"/>
  <c r="C328" i="6" l="1"/>
  <c r="F328" i="6" s="1"/>
  <c r="B329" i="6" s="1"/>
  <c r="D329" i="6" s="1"/>
  <c r="C329" i="6" l="1"/>
  <c r="F329" i="6" s="1"/>
  <c r="B330" i="6" s="1"/>
  <c r="D330" i="6" s="1"/>
  <c r="C330" i="6" l="1"/>
  <c r="F330" i="6" s="1"/>
  <c r="B331" i="6" s="1"/>
  <c r="D331" i="6" s="1"/>
  <c r="C331" i="6" s="1"/>
  <c r="F331" i="6" s="1"/>
  <c r="B332" i="6" s="1"/>
  <c r="D332" i="6" l="1"/>
  <c r="C332" i="6" s="1"/>
  <c r="F332" i="6" s="1"/>
  <c r="B333" i="6" s="1"/>
  <c r="D333" i="6" l="1"/>
  <c r="C333" i="6" s="1"/>
  <c r="F333" i="6" s="1"/>
  <c r="B334" i="6" s="1"/>
  <c r="D334" i="6" l="1"/>
  <c r="C334" i="6" s="1"/>
  <c r="F334" i="6" s="1"/>
  <c r="B335" i="6" s="1"/>
  <c r="D335" i="6" l="1"/>
  <c r="C335" i="6" s="1"/>
  <c r="F335" i="6" s="1"/>
  <c r="B336" i="6" s="1"/>
  <c r="D336" i="6" l="1"/>
  <c r="C336" i="6" s="1"/>
  <c r="F336" i="6" s="1"/>
  <c r="B337" i="6" s="1"/>
  <c r="D337" i="6" l="1"/>
  <c r="C337" i="6" l="1"/>
  <c r="F337" i="6" s="1"/>
  <c r="B338" i="6" s="1"/>
  <c r="D338" i="6" s="1"/>
  <c r="G337" i="6"/>
  <c r="C338" i="6" l="1"/>
  <c r="F338" i="6" s="1"/>
  <c r="B339" i="6" s="1"/>
  <c r="D339" i="6" s="1"/>
  <c r="C339" i="6" l="1"/>
  <c r="F339" i="6" s="1"/>
  <c r="B340" i="6" s="1"/>
  <c r="D340" i="6" s="1"/>
  <c r="C340" i="6" l="1"/>
  <c r="F340" i="6" s="1"/>
  <c r="B341" i="6" s="1"/>
  <c r="D341" i="6" s="1"/>
  <c r="C341" i="6" l="1"/>
  <c r="F341" i="6" s="1"/>
  <c r="B342" i="6" s="1"/>
  <c r="D342" i="6" s="1"/>
  <c r="C342" i="6" l="1"/>
  <c r="F342" i="6" s="1"/>
  <c r="B343" i="6" s="1"/>
  <c r="D343" i="6" s="1"/>
  <c r="C343" i="6" s="1"/>
  <c r="F343" i="6" s="1"/>
  <c r="B344" i="6" s="1"/>
  <c r="D344" i="6" l="1"/>
  <c r="C344" i="6" s="1"/>
  <c r="F344" i="6" s="1"/>
  <c r="B345" i="6" s="1"/>
  <c r="D345" i="6" l="1"/>
  <c r="C345" i="6" s="1"/>
  <c r="F345" i="6" s="1"/>
  <c r="B346" i="6" s="1"/>
  <c r="D346" i="6" l="1"/>
  <c r="C346" i="6" s="1"/>
  <c r="F346" i="6" s="1"/>
  <c r="B347" i="6" s="1"/>
  <c r="D347" i="6" l="1"/>
  <c r="C347" i="6" s="1"/>
  <c r="F347" i="6" s="1"/>
  <c r="B348" i="6" s="1"/>
  <c r="D348" i="6" l="1"/>
  <c r="C348" i="6" s="1"/>
  <c r="F348" i="6" s="1"/>
  <c r="B349" i="6" s="1"/>
  <c r="D349" i="6" l="1"/>
  <c r="C349" i="6" l="1"/>
  <c r="F349" i="6" s="1"/>
  <c r="B350" i="6" s="1"/>
  <c r="D350" i="6" s="1"/>
  <c r="G349" i="6"/>
  <c r="C350" i="6" l="1"/>
  <c r="F350" i="6" s="1"/>
  <c r="B351" i="6" s="1"/>
  <c r="D351" i="6" s="1"/>
  <c r="C351" i="6" l="1"/>
  <c r="F351" i="6" s="1"/>
  <c r="B352" i="6" s="1"/>
  <c r="D352" i="6" s="1"/>
  <c r="C352" i="6" l="1"/>
  <c r="F352" i="6" s="1"/>
  <c r="B353" i="6" s="1"/>
  <c r="D353" i="6" s="1"/>
  <c r="C353" i="6" l="1"/>
  <c r="F353" i="6" s="1"/>
  <c r="B354" i="6" s="1"/>
  <c r="D354" i="6" s="1"/>
  <c r="C354" i="6" l="1"/>
  <c r="F354" i="6" s="1"/>
  <c r="B355" i="6" s="1"/>
  <c r="D355" i="6" s="1"/>
  <c r="C355" i="6" s="1"/>
  <c r="F355" i="6" s="1"/>
  <c r="B356" i="6" s="1"/>
  <c r="D356" i="6" l="1"/>
  <c r="C356" i="6" s="1"/>
  <c r="F356" i="6" s="1"/>
  <c r="B357" i="6" s="1"/>
  <c r="D357" i="6" l="1"/>
  <c r="C357" i="6" s="1"/>
  <c r="F357" i="6" s="1"/>
  <c r="B358" i="6" s="1"/>
  <c r="D358" i="6" l="1"/>
  <c r="C358" i="6" s="1"/>
  <c r="F358" i="6" s="1"/>
  <c r="B359" i="6" s="1"/>
  <c r="D359" i="6" l="1"/>
  <c r="C359" i="6" s="1"/>
  <c r="F359" i="6" s="1"/>
  <c r="B360" i="6" s="1"/>
  <c r="D360" i="6" l="1"/>
  <c r="C360" i="6" s="1"/>
  <c r="F360" i="6" s="1"/>
  <c r="B361" i="6" s="1"/>
  <c r="D361" i="6" l="1"/>
  <c r="C361" i="6" l="1"/>
  <c r="F361" i="6" s="1"/>
  <c r="G361" i="6"/>
  <c r="C33" i="3"/>
  <c r="C8" i="3"/>
  <c r="D26" i="3"/>
  <c r="C26" i="3"/>
  <c r="C90" i="3" s="1"/>
  <c r="F111" i="3" s="1"/>
  <c r="C96" i="3" l="1"/>
  <c r="A22" i="5"/>
  <c r="C40" i="3" s="1"/>
  <c r="C101" i="3" s="1"/>
  <c r="B112" i="3"/>
  <c r="D8" i="3"/>
  <c r="D29" i="3" s="1"/>
  <c r="D31" i="3" s="1"/>
  <c r="B132" i="3" s="1"/>
  <c r="D33" i="3"/>
  <c r="C76" i="3"/>
  <c r="D45" i="3"/>
  <c r="D64" i="3"/>
  <c r="F6" i="4"/>
  <c r="C36" i="3" s="1"/>
  <c r="C198" i="3" s="1"/>
  <c r="C131" i="3" s="1"/>
  <c r="E3" i="3"/>
  <c r="C45" i="3"/>
  <c r="C100" i="3" s="1"/>
  <c r="C64" i="3"/>
  <c r="F9" i="4"/>
  <c r="F8" i="4" s="1"/>
  <c r="F7" i="4" s="1"/>
  <c r="A13" i="5"/>
  <c r="C29" i="3"/>
  <c r="C92" i="3" s="1"/>
  <c r="F112" i="3" s="1"/>
  <c r="C72" i="3" l="1"/>
  <c r="C170" i="3"/>
  <c r="C167" i="3"/>
  <c r="D76" i="3"/>
  <c r="D167" i="3" s="1"/>
  <c r="D72" i="3"/>
  <c r="D170" i="3"/>
  <c r="L130" i="3"/>
  <c r="D40" i="3"/>
  <c r="E40" i="3" s="1"/>
  <c r="F40" i="3" s="1"/>
  <c r="G40" i="3" s="1"/>
  <c r="H40" i="3" s="1"/>
  <c r="I40" i="3" s="1"/>
  <c r="J40" i="3" s="1"/>
  <c r="K40" i="3" s="1"/>
  <c r="L40" i="3" s="1"/>
  <c r="C31" i="3"/>
  <c r="B131" i="3" s="1"/>
  <c r="E8" i="3"/>
  <c r="E29" i="3" s="1"/>
  <c r="E33" i="3"/>
  <c r="E26" i="3"/>
  <c r="F3" i="3"/>
  <c r="C98" i="3"/>
  <c r="C102" i="3" s="1"/>
  <c r="D36" i="3"/>
  <c r="D198" i="3" s="1"/>
  <c r="C132" i="3" s="1"/>
  <c r="C53" i="3"/>
  <c r="B115" i="3"/>
  <c r="E112" i="3" s="1"/>
  <c r="C94" i="3"/>
  <c r="C172" i="3" l="1"/>
  <c r="C171" i="3"/>
  <c r="C107" i="3"/>
  <c r="D172" i="3"/>
  <c r="E131" i="3"/>
  <c r="C104" i="3"/>
  <c r="E111" i="3"/>
  <c r="H111" i="3" s="1"/>
  <c r="J111" i="3" s="1"/>
  <c r="I120" i="3" s="1"/>
  <c r="E113" i="3"/>
  <c r="E114" i="3"/>
  <c r="H112" i="3"/>
  <c r="J112" i="3" s="1"/>
  <c r="E36" i="3"/>
  <c r="E198" i="3" s="1"/>
  <c r="C133" i="3" s="1"/>
  <c r="D53" i="3"/>
  <c r="D54" i="3" s="1"/>
  <c r="E76" i="3"/>
  <c r="E167" i="3" s="1"/>
  <c r="E64" i="3"/>
  <c r="E31" i="3"/>
  <c r="B133" i="3" s="1"/>
  <c r="E45" i="3"/>
  <c r="F26" i="3"/>
  <c r="F8" i="3"/>
  <c r="F29" i="3" s="1"/>
  <c r="F33" i="3"/>
  <c r="G3" i="3"/>
  <c r="C54" i="3"/>
  <c r="C55" i="3" s="1"/>
  <c r="E72" i="3" l="1"/>
  <c r="E170" i="3"/>
  <c r="C173" i="3" s="1"/>
  <c r="F131" i="3"/>
  <c r="G131" i="3" s="1"/>
  <c r="J131" i="3"/>
  <c r="E132" i="3"/>
  <c r="J132" i="3" s="1"/>
  <c r="F36" i="3"/>
  <c r="F198" i="3" s="1"/>
  <c r="C134" i="3" s="1"/>
  <c r="E133" i="3"/>
  <c r="H113" i="3"/>
  <c r="H114" i="3"/>
  <c r="J114" i="3" s="1"/>
  <c r="I121" i="3"/>
  <c r="D55" i="3"/>
  <c r="D75" i="3" s="1"/>
  <c r="C75" i="3"/>
  <c r="F76" i="3"/>
  <c r="F167" i="3" s="1"/>
  <c r="F31" i="3"/>
  <c r="B134" i="3" s="1"/>
  <c r="F45" i="3"/>
  <c r="F64" i="3"/>
  <c r="G8" i="3"/>
  <c r="G29" i="3" s="1"/>
  <c r="H3" i="3"/>
  <c r="G26" i="3"/>
  <c r="G33" i="3"/>
  <c r="E53" i="3"/>
  <c r="E54" i="3" s="1"/>
  <c r="D173" i="3" l="1"/>
  <c r="F72" i="3"/>
  <c r="F170" i="3"/>
  <c r="C174" i="3" s="1"/>
  <c r="D174" i="3" s="1"/>
  <c r="L131" i="3"/>
  <c r="J133" i="3"/>
  <c r="F132" i="3"/>
  <c r="G132" i="3" s="1"/>
  <c r="F133" i="3"/>
  <c r="G133" i="3" s="1"/>
  <c r="G36" i="3"/>
  <c r="G198" i="3" s="1"/>
  <c r="C135" i="3" s="1"/>
  <c r="E134" i="3"/>
  <c r="F53" i="3"/>
  <c r="F54" i="3" s="1"/>
  <c r="I123" i="3"/>
  <c r="J113" i="3"/>
  <c r="I122" i="3" s="1"/>
  <c r="H115" i="3"/>
  <c r="D56" i="3"/>
  <c r="E55" i="3"/>
  <c r="E75" i="3" s="1"/>
  <c r="G31" i="3"/>
  <c r="B135" i="3" s="1"/>
  <c r="G45" i="3"/>
  <c r="G64" i="3"/>
  <c r="C56" i="3"/>
  <c r="C82" i="3" s="1"/>
  <c r="C83" i="3" s="1"/>
  <c r="H33" i="3"/>
  <c r="H8" i="3"/>
  <c r="H29" i="3" s="1"/>
  <c r="I3" i="3"/>
  <c r="H26" i="3"/>
  <c r="G76" i="3"/>
  <c r="G167" i="3" s="1"/>
  <c r="L132" i="3" l="1"/>
  <c r="L133" i="3"/>
  <c r="G72" i="3"/>
  <c r="G170" i="3"/>
  <c r="C175" i="3"/>
  <c r="F134" i="3"/>
  <c r="G134" i="3" s="1"/>
  <c r="J134" i="3"/>
  <c r="D82" i="3"/>
  <c r="H36" i="3"/>
  <c r="H198" i="3" s="1"/>
  <c r="C136" i="3" s="1"/>
  <c r="E135" i="3"/>
  <c r="J135" i="3" s="1"/>
  <c r="G53" i="3"/>
  <c r="G54" i="3" s="1"/>
  <c r="G55" i="3" s="1"/>
  <c r="G75" i="3" s="1"/>
  <c r="I124" i="3"/>
  <c r="H100" i="3" s="1"/>
  <c r="I100" i="3" s="1"/>
  <c r="I26" i="3"/>
  <c r="I33" i="3"/>
  <c r="J3" i="3"/>
  <c r="I8" i="3"/>
  <c r="I29" i="3" s="1"/>
  <c r="E56" i="3"/>
  <c r="F55" i="3"/>
  <c r="F75" i="3" s="1"/>
  <c r="H45" i="3"/>
  <c r="H64" i="3"/>
  <c r="H31" i="3"/>
  <c r="B136" i="3" s="1"/>
  <c r="H76" i="3"/>
  <c r="H167" i="3" s="1"/>
  <c r="H72" i="3" l="1"/>
  <c r="H170" i="3"/>
  <c r="C176" i="3" s="1"/>
  <c r="D175" i="3"/>
  <c r="L134" i="3"/>
  <c r="H53" i="3"/>
  <c r="H54" i="3" s="1"/>
  <c r="E82" i="3"/>
  <c r="C84" i="3"/>
  <c r="I36" i="3"/>
  <c r="I198" i="3" s="1"/>
  <c r="C137" i="3" s="1"/>
  <c r="F135" i="3"/>
  <c r="G135" i="3" s="1"/>
  <c r="J100" i="3"/>
  <c r="I102" i="3"/>
  <c r="I101" i="3"/>
  <c r="I103" i="3"/>
  <c r="G56" i="3"/>
  <c r="I45" i="3"/>
  <c r="I53" i="3" s="1"/>
  <c r="I64" i="3"/>
  <c r="I31" i="3"/>
  <c r="B137" i="3" s="1"/>
  <c r="I76" i="3"/>
  <c r="I167" i="3" s="1"/>
  <c r="K3" i="3"/>
  <c r="J8" i="3"/>
  <c r="J29" i="3" s="1"/>
  <c r="J26" i="3"/>
  <c r="J33" i="3"/>
  <c r="F56" i="3"/>
  <c r="D176" i="3" l="1"/>
  <c r="I72" i="3"/>
  <c r="I170" i="3"/>
  <c r="C177" i="3" s="1"/>
  <c r="L135" i="3"/>
  <c r="F82" i="3"/>
  <c r="G82" i="3" s="1"/>
  <c r="E136" i="3"/>
  <c r="J36" i="3"/>
  <c r="J198" i="3" s="1"/>
  <c r="C138" i="3" s="1"/>
  <c r="E137" i="3"/>
  <c r="J102" i="3"/>
  <c r="J101" i="3"/>
  <c r="J103" i="3"/>
  <c r="J76" i="3"/>
  <c r="J167" i="3" s="1"/>
  <c r="I54" i="3"/>
  <c r="J45" i="3"/>
  <c r="J64" i="3"/>
  <c r="J31" i="3"/>
  <c r="B138" i="3" s="1"/>
  <c r="H55" i="3"/>
  <c r="H75" i="3" s="1"/>
  <c r="K26" i="3"/>
  <c r="K8" i="3"/>
  <c r="K29" i="3" s="1"/>
  <c r="L3" i="3"/>
  <c r="K33" i="3"/>
  <c r="J72" i="3" l="1"/>
  <c r="J170" i="3"/>
  <c r="C178" i="3" s="1"/>
  <c r="D177" i="3"/>
  <c r="F136" i="3"/>
  <c r="G136" i="3" s="1"/>
  <c r="L136" i="3" s="1"/>
  <c r="J136" i="3"/>
  <c r="F137" i="3"/>
  <c r="G137" i="3" s="1"/>
  <c r="J137" i="3"/>
  <c r="D83" i="3"/>
  <c r="D84" i="3" s="1"/>
  <c r="K36" i="3"/>
  <c r="K198" i="3" s="1"/>
  <c r="C139" i="3" s="1"/>
  <c r="E138" i="3"/>
  <c r="J53" i="3"/>
  <c r="J54" i="3" s="1"/>
  <c r="J55" i="3" s="1"/>
  <c r="J75" i="3" s="1"/>
  <c r="J104" i="3"/>
  <c r="L8" i="3"/>
  <c r="L29" i="3" s="1"/>
  <c r="L26" i="3"/>
  <c r="L33" i="3"/>
  <c r="I55" i="3"/>
  <c r="I75" i="3" s="1"/>
  <c r="K76" i="3"/>
  <c r="K167" i="3" s="1"/>
  <c r="K64" i="3"/>
  <c r="K45" i="3"/>
  <c r="K31" i="3"/>
  <c r="B139" i="3" s="1"/>
  <c r="H56" i="3"/>
  <c r="H82" i="3" s="1"/>
  <c r="L137" i="3" l="1"/>
  <c r="D178" i="3"/>
  <c r="K72" i="3"/>
  <c r="K170" i="3"/>
  <c r="C179" i="3"/>
  <c r="F138" i="3"/>
  <c r="G138" i="3" s="1"/>
  <c r="J138" i="3"/>
  <c r="K53" i="3"/>
  <c r="K54" i="3" s="1"/>
  <c r="K55" i="3" s="1"/>
  <c r="K75" i="3" s="1"/>
  <c r="L36" i="3"/>
  <c r="L198" i="3" s="1"/>
  <c r="C140" i="3" s="1"/>
  <c r="E139" i="3"/>
  <c r="J139" i="3" s="1"/>
  <c r="E83" i="3"/>
  <c r="E84" i="3" s="1"/>
  <c r="J106" i="3"/>
  <c r="F120" i="3" s="1"/>
  <c r="J120" i="3" s="1"/>
  <c r="J56" i="3"/>
  <c r="F83" i="3"/>
  <c r="F84" i="3" s="1"/>
  <c r="L76" i="3"/>
  <c r="L167" i="3" s="1"/>
  <c r="I56" i="3"/>
  <c r="I82" i="3" s="1"/>
  <c r="L31" i="3"/>
  <c r="B140" i="3" s="1"/>
  <c r="L45" i="3"/>
  <c r="L64" i="3"/>
  <c r="L72" i="3" l="1"/>
  <c r="H140" i="3" s="1"/>
  <c r="J142" i="3" s="1"/>
  <c r="J143" i="3" s="1"/>
  <c r="L170" i="3"/>
  <c r="C180" i="3" s="1"/>
  <c r="D179" i="3"/>
  <c r="L138" i="3"/>
  <c r="J82" i="3"/>
  <c r="L53" i="3"/>
  <c r="L54" i="3" s="1"/>
  <c r="F139" i="3"/>
  <c r="G139" i="3" s="1"/>
  <c r="E140" i="3"/>
  <c r="F121" i="3"/>
  <c r="J121" i="3" s="1"/>
  <c r="F122" i="3"/>
  <c r="J122" i="3" s="1"/>
  <c r="F123" i="3"/>
  <c r="J123" i="3" s="1"/>
  <c r="G83" i="3"/>
  <c r="G84" i="3" s="1"/>
  <c r="K56" i="3"/>
  <c r="L139" i="3" l="1"/>
  <c r="D180" i="3"/>
  <c r="K82" i="3"/>
  <c r="J140" i="3"/>
  <c r="F140" i="3"/>
  <c r="G140" i="3" s="1"/>
  <c r="J124" i="3"/>
  <c r="L55" i="3"/>
  <c r="L75" i="3" s="1"/>
  <c r="H83" i="3"/>
  <c r="H84" i="3" s="1"/>
  <c r="K140" i="3" l="1"/>
  <c r="L140" i="3" s="1"/>
  <c r="L156" i="3" s="1"/>
  <c r="I83" i="3"/>
  <c r="I84" i="3" s="1"/>
  <c r="L56" i="3"/>
  <c r="L82" i="3" s="1"/>
  <c r="G155" i="3" s="1"/>
  <c r="G156" i="3" s="1"/>
  <c r="G158" i="3" s="1"/>
  <c r="H161" i="3" s="1"/>
  <c r="H162" i="3" l="1"/>
  <c r="D145" i="3" s="1"/>
  <c r="J83" i="3"/>
  <c r="J84" i="3" s="1"/>
  <c r="L83" i="3" l="1"/>
  <c r="L84" i="3" s="1"/>
  <c r="K83" i="3"/>
  <c r="K84" i="3" s="1"/>
  <c r="G144" i="3" l="1"/>
  <c r="D155" i="3" s="1"/>
  <c r="D156" i="3" s="1"/>
  <c r="D147" i="3" l="1"/>
  <c r="D152" i="3" s="1"/>
  <c r="D160" i="3"/>
  <c r="D162" i="3" s="1"/>
  <c r="L147" i="3" l="1"/>
  <c r="L151" i="3"/>
  <c r="L150" i="3"/>
  <c r="L143" i="3"/>
  <c r="L144" i="3"/>
  <c r="L145" i="3"/>
  <c r="L149" i="3"/>
  <c r="L146" i="3"/>
  <c r="L152" i="3"/>
  <c r="L148" i="3"/>
  <c r="L153" i="3"/>
  <c r="L154" i="3" l="1"/>
</calcChain>
</file>

<file path=xl/sharedStrings.xml><?xml version="1.0" encoding="utf-8"?>
<sst xmlns="http://schemas.openxmlformats.org/spreadsheetml/2006/main" count="658" uniqueCount="241">
  <si>
    <t>Kingston NY</t>
  </si>
  <si>
    <t>Newburg NY</t>
  </si>
  <si>
    <t>Poughkeepsie NY</t>
  </si>
  <si>
    <t>NY</t>
  </si>
  <si>
    <t>NJ</t>
  </si>
  <si>
    <t>PA</t>
  </si>
  <si>
    <t>CT</t>
  </si>
  <si>
    <t>RI</t>
  </si>
  <si>
    <t>ME</t>
  </si>
  <si>
    <t>MA</t>
  </si>
  <si>
    <t>VT</t>
  </si>
  <si>
    <t>NH</t>
  </si>
  <si>
    <t>Permits in BFRI region (2012)</t>
  </si>
  <si>
    <t>Total target population (2012)</t>
  </si>
  <si>
    <t>Population in Northeast BFRI region (2012)</t>
  </si>
  <si>
    <t>Tile</t>
  </si>
  <si>
    <t>Granite</t>
  </si>
  <si>
    <t>INCOME STATEMENT</t>
  </si>
  <si>
    <t>Utilities</t>
  </si>
  <si>
    <t>Taxable Income</t>
  </si>
  <si>
    <t>Taxes</t>
  </si>
  <si>
    <t>Net Income</t>
  </si>
  <si>
    <t>BALANCE SHEET</t>
  </si>
  <si>
    <t>Assets</t>
  </si>
  <si>
    <t>Equipment</t>
  </si>
  <si>
    <t>Buildings</t>
  </si>
  <si>
    <t>Total Assets</t>
  </si>
  <si>
    <t>Liabilities and Equity</t>
  </si>
  <si>
    <t>Taxes Payable</t>
  </si>
  <si>
    <t>Accounts Payable</t>
  </si>
  <si>
    <t>Mortgage Loan</t>
  </si>
  <si>
    <t>Common Stock</t>
  </si>
  <si>
    <t>Retained Earnings</t>
  </si>
  <si>
    <t>Total Liabilities and Equity</t>
  </si>
  <si>
    <t>Tile sales</t>
  </si>
  <si>
    <t>Granite sales</t>
  </si>
  <si>
    <t>Number of sales</t>
  </si>
  <si>
    <t>% growth</t>
  </si>
  <si>
    <t>Average sq. ft. per sale</t>
  </si>
  <si>
    <t>Tile Summary</t>
  </si>
  <si>
    <t>Average price (sq. ft.)</t>
  </si>
  <si>
    <t>Average cost (sq. ft.)</t>
  </si>
  <si>
    <t>Installation customers</t>
  </si>
  <si>
    <t>Potential buyers of ACCU-Tile</t>
  </si>
  <si>
    <t>% of buyers that are tile customers (assumption)</t>
  </si>
  <si>
    <t>% of buyers that are granite customers (assumption)</t>
  </si>
  <si>
    <t>Inst. price per sq. ft.</t>
  </si>
  <si>
    <t>Granite Summary</t>
  </si>
  <si>
    <t>Ratios</t>
  </si>
  <si>
    <t>Days of inventory (granite)</t>
  </si>
  <si>
    <t>Days of inventory (tile)</t>
  </si>
  <si>
    <t>Days of payables (COGS)</t>
  </si>
  <si>
    <t>Total revenue</t>
  </si>
  <si>
    <t>Share of the BFREI of each company</t>
  </si>
  <si>
    <t>Revenue</t>
  </si>
  <si>
    <t>Average wages</t>
  </si>
  <si>
    <t>Average hours per engagement</t>
  </si>
  <si>
    <t>Yr expense</t>
  </si>
  <si>
    <t>Store</t>
  </si>
  <si>
    <t>Number of employees</t>
  </si>
  <si>
    <t>Average number of employees per engagement</t>
  </si>
  <si>
    <t>Tile installation labor</t>
  </si>
  <si>
    <t>Granite installation labor</t>
  </si>
  <si>
    <t>Store labor</t>
  </si>
  <si>
    <t>Owner salary</t>
  </si>
  <si>
    <t>Owner</t>
  </si>
  <si>
    <t>Average price per kWh</t>
  </si>
  <si>
    <t>kWh per year</t>
  </si>
  <si>
    <t>Electric</t>
  </si>
  <si>
    <t>Gas</t>
  </si>
  <si>
    <t>Average price per cubic feet</t>
  </si>
  <si>
    <t>Monthly rate</t>
  </si>
  <si>
    <t>Cubic feet per year</t>
  </si>
  <si>
    <t>Business insurance</t>
  </si>
  <si>
    <t>Cable-phone-internet</t>
  </si>
  <si>
    <t>Advertising &amp; Marketing</t>
  </si>
  <si>
    <t>Percent of sales</t>
  </si>
  <si>
    <t>Advertising</t>
  </si>
  <si>
    <t>Depreciation</t>
  </si>
  <si>
    <t>Total expenses</t>
  </si>
  <si>
    <t>Days of receivables (granite)</t>
  </si>
  <si>
    <t>Accounts receivable</t>
  </si>
  <si>
    <t>Minimum cash inventory</t>
  </si>
  <si>
    <t>Accumulated depreciation</t>
  </si>
  <si>
    <t>Cost of goods sold</t>
  </si>
  <si>
    <t>Years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</si>
  <si>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</si>
  <si>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</si>
  <si>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</si>
  <si>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</si>
  <si>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</si>
  <si>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</si>
  <si>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</si>
  <si>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Feb</t>
  </si>
  <si>
    <t>FV</t>
  </si>
  <si>
    <t>Mar</t>
  </si>
  <si>
    <t>Apr</t>
  </si>
  <si>
    <t>Per</t>
  </si>
  <si>
    <t>May</t>
  </si>
  <si>
    <t>Type</t>
  </si>
  <si>
    <t>Jun</t>
  </si>
  <si>
    <t>PV</t>
  </si>
  <si>
    <t>Jul</t>
  </si>
  <si>
    <t>Aug</t>
  </si>
  <si>
    <t>Sep</t>
  </si>
  <si>
    <t>Oct</t>
  </si>
  <si>
    <t>Nov</t>
  </si>
  <si>
    <t>Dec</t>
  </si>
  <si>
    <t>Jan</t>
  </si>
  <si>
    <t>Building yr. depreciation</t>
  </si>
  <si>
    <t>Equipment yr. depreciation</t>
  </si>
  <si>
    <t>Property taxes</t>
  </si>
  <si>
    <t>Land</t>
  </si>
  <si>
    <t>Transportation</t>
  </si>
  <si>
    <t>Average miles per engagement</t>
  </si>
  <si>
    <t>Miles per gallon</t>
  </si>
  <si>
    <t>Diesel price per gallon</t>
  </si>
  <si>
    <t>Vehicle insurance</t>
  </si>
  <si>
    <t>Number of vehicles</t>
  </si>
  <si>
    <t>Operating expenses</t>
  </si>
  <si>
    <t>Vehicles</t>
  </si>
  <si>
    <t>Insurance rate</t>
  </si>
  <si>
    <t>Cost of vehicles</t>
  </si>
  <si>
    <t>Yr. depreciation</t>
  </si>
  <si>
    <t>Real estate taxes</t>
  </si>
  <si>
    <t xml:space="preserve">Tile and Granite companies in target area </t>
  </si>
  <si>
    <t>http://propertydata.orangecountygov.com/imate/propdetail.aspx?swis=331100&amp;printkey=04400000040032000000</t>
  </si>
  <si>
    <t>land is worth</t>
  </si>
  <si>
    <t>Affordable Granite Outlet</t>
  </si>
  <si>
    <t>Best Tile Distributors</t>
  </si>
  <si>
    <t>All Stiles</t>
  </si>
  <si>
    <t>Extra cash</t>
  </si>
  <si>
    <t>Extra Bank Loan</t>
  </si>
  <si>
    <t>Inventory - Granite</t>
  </si>
  <si>
    <t>Inventory - Tile</t>
  </si>
  <si>
    <t>tax levied in 2012</t>
  </si>
  <si>
    <t>Interest expense - Mortgage</t>
  </si>
  <si>
    <t>Interest  expense - Bank Loan</t>
  </si>
  <si>
    <t xml:space="preserve">Depreciation - Vehicles </t>
  </si>
  <si>
    <t xml:space="preserve">Depreciation - Equipment </t>
  </si>
  <si>
    <t xml:space="preserve">Depreciation - Building </t>
  </si>
  <si>
    <t>Phone, cable and internet</t>
  </si>
  <si>
    <t>Average Individual wages</t>
  </si>
  <si>
    <t>Sales revenue - Tile</t>
  </si>
  <si>
    <t>Sales revenue - Granite</t>
  </si>
  <si>
    <t>Installation revenue - Tile</t>
  </si>
  <si>
    <t>Installation revenue - Granite</t>
  </si>
  <si>
    <t>ACCU-Tile</t>
  </si>
  <si>
    <t>Newburgh Granite and Masonry</t>
  </si>
  <si>
    <t>Total hours of granite labor</t>
  </si>
  <si>
    <t>Total hours of tile labor</t>
  </si>
  <si>
    <t>Individual labor hours (year)</t>
  </si>
  <si>
    <t>Percent of BFREI region</t>
  </si>
  <si>
    <t>Total permits in community</t>
  </si>
  <si>
    <t>Bank loan interest rate</t>
  </si>
  <si>
    <t>Fixed interest</t>
  </si>
  <si>
    <t>Other utilities</t>
  </si>
  <si>
    <t>Variable expenses</t>
  </si>
  <si>
    <t>Fixed expenses</t>
  </si>
  <si>
    <t>Total</t>
  </si>
  <si>
    <t>Total contribution margin</t>
  </si>
  <si>
    <t>Unit summary</t>
  </si>
  <si>
    <t>Revenue per sale</t>
  </si>
  <si>
    <t>Tile installation</t>
  </si>
  <si>
    <t>Granite installation</t>
  </si>
  <si>
    <t>Results</t>
  </si>
  <si>
    <t>BREAK-EVEN ANALYSIS</t>
  </si>
  <si>
    <t>Contribution Margin</t>
  </si>
  <si>
    <t>Tile installations</t>
  </si>
  <si>
    <t>Granite installations</t>
  </si>
  <si>
    <t>Per unit:</t>
  </si>
  <si>
    <t>Activity level:</t>
  </si>
  <si>
    <t>% of activity:</t>
  </si>
  <si>
    <t>Amount relevant:</t>
  </si>
  <si>
    <t>Per Unit:</t>
  </si>
  <si>
    <t xml:space="preserve"> </t>
  </si>
  <si>
    <t>General and Administrative</t>
  </si>
  <si>
    <t>http://pages.stern.nyu.edu/~adamodar/New_Home_Page/datafile/Betas.html</t>
  </si>
  <si>
    <t>Building Materials</t>
  </si>
  <si>
    <t>Unlevered Beta corrected for cash</t>
  </si>
  <si>
    <t>Cash/Firm Value</t>
  </si>
  <si>
    <t>Unlevered Beta</t>
  </si>
  <si>
    <t>Tax Rate</t>
  </si>
  <si>
    <t>Market D/E Ratio</t>
  </si>
  <si>
    <t>Average Beta</t>
  </si>
  <si>
    <t>Number of Firms</t>
  </si>
  <si>
    <t>Industry Name</t>
  </si>
  <si>
    <t>Industry data</t>
  </si>
  <si>
    <t>Operating costs</t>
  </si>
  <si>
    <t>Net income</t>
  </si>
  <si>
    <t>Net income from operations</t>
  </si>
  <si>
    <t>Adjustments to net income</t>
  </si>
  <si>
    <t>Less: Depreciation</t>
  </si>
  <si>
    <t>Cash from operations</t>
  </si>
  <si>
    <t>Cash from capital exp.</t>
  </si>
  <si>
    <t>Book value</t>
  </si>
  <si>
    <t>Purchase Price</t>
  </si>
  <si>
    <t>Yr. depr.</t>
  </si>
  <si>
    <t>Accum. depr.</t>
  </si>
  <si>
    <t>refurbishings</t>
  </si>
  <si>
    <t>Book Value</t>
  </si>
  <si>
    <t>YR dep.</t>
  </si>
  <si>
    <t>New trucks</t>
  </si>
  <si>
    <t>New equip.</t>
  </si>
  <si>
    <t>Working capital</t>
  </si>
  <si>
    <t>Income tax payable</t>
  </si>
  <si>
    <t>Liquidating</t>
  </si>
  <si>
    <t>FCF</t>
  </si>
  <si>
    <t>PV of FCF</t>
  </si>
  <si>
    <t>IRR</t>
  </si>
  <si>
    <t>WACC</t>
  </si>
  <si>
    <t>CAPM</t>
  </si>
  <si>
    <t>Cost of Equity using CAPM (%)</t>
  </si>
  <si>
    <t>Equity Beta</t>
  </si>
  <si>
    <t>TBIlls</t>
  </si>
  <si>
    <t>Blended Cost of Debt (%)</t>
  </si>
  <si>
    <t>Tax rate:</t>
  </si>
  <si>
    <t>S&amp;P500</t>
  </si>
  <si>
    <t>Tax Rate (%)</t>
  </si>
  <si>
    <t>New D/E Proportion:</t>
  </si>
  <si>
    <t>Debt:</t>
  </si>
  <si>
    <t>Debt Proportion:</t>
  </si>
  <si>
    <t>Percent Debt Currently (%)</t>
  </si>
  <si>
    <t>Mortgage</t>
  </si>
  <si>
    <t>Percent Equity Currently (%)</t>
  </si>
  <si>
    <t>Extra Loan</t>
  </si>
  <si>
    <t>TOTAL</t>
  </si>
  <si>
    <t>Equity</t>
  </si>
  <si>
    <t xml:space="preserve">Unlevered Beta </t>
  </si>
  <si>
    <t>Stock</t>
  </si>
  <si>
    <t>Retained</t>
  </si>
  <si>
    <t>TOTAL CAPITAL</t>
  </si>
  <si>
    <t>Unlevered beta</t>
  </si>
  <si>
    <t>Relevered beta</t>
  </si>
  <si>
    <t>Debt Rate:</t>
  </si>
  <si>
    <t>Cost of Equity with Rel. B. using CAPM (%)</t>
  </si>
  <si>
    <t>NPV of FCF</t>
  </si>
  <si>
    <t>Relevered Beta at new D/E proportion</t>
  </si>
  <si>
    <t>Current WACC (%)</t>
  </si>
  <si>
    <t>Operations tax expense</t>
  </si>
  <si>
    <t>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</si>
</sst>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  <numFmt numFmtId="167" formatCode="_(&quot;$&quot;* #,##0.0000_);_(&quot;$&quot;* \(#,##0.0000\);_(&quot;$&quot;* &quot;-&quot;??_);_(@_)"/>
    <numFmt numFmtId="168" formatCode="_(&quot;$&quot;* #,##0_);_(&quot;$&quot;* \(#,##0\);_(&quot;$&quot;* &quot;-&quot;??_);_(@_)"/>
    <numFmt numFmtId="169" formatCode="_(\$* #,##0.00_);_(\$* \(#,##0.00\);_(\$* \-??_);_(@_)"/>
    <numFmt numFmtId="170" formatCode="[$$-409]#,##0.00;[Red]\-[$$-409]#,##0.00"/>
    <numFmt numFmtId="171" formatCode="_(\$* #,##0_);_(\$* \(#,##0\);_(\$* \-??_);_(@_)"/>
    <numFmt numFmtId="172" formatCode="_(* #,##0.00_);_(* \(#,##0.00\);_(* \-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.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Verdana"/>
      <family val="2"/>
    </font>
    <font>
      <i/>
      <sz val="10"/>
      <name val="Calibri"/>
      <family val="2"/>
    </font>
    <font>
      <u/>
      <sz val="9.35"/>
      <color theme="10"/>
      <name val="Calibri"/>
      <family val="2"/>
    </font>
    <font>
      <sz val="11"/>
      <color indexed="8"/>
      <name val="Calibri"/>
      <family val="2"/>
      <charset val="1"/>
    </font>
    <font>
      <b/>
      <sz val="14"/>
      <name val="Arial"/>
      <family val="2"/>
    </font>
    <font>
      <sz val="14"/>
      <color indexed="8"/>
      <name val="Calibri"/>
      <family val="2"/>
      <charset val="1"/>
    </font>
    <font>
      <sz val="14"/>
      <name val="Arial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98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6" fontId="0" fillId="0" borderId="0" xfId="3" applyNumberFormat="1" applyFont="1"/>
    <xf numFmtId="164" fontId="0" fillId="2" borderId="2" xfId="1" applyNumberFormat="1" applyFont="1" applyFill="1" applyBorder="1"/>
    <xf numFmtId="9" fontId="0" fillId="2" borderId="2" xfId="3" applyFont="1" applyFill="1" applyBorder="1"/>
    <xf numFmtId="44" fontId="0" fillId="2" borderId="2" xfId="2" applyFont="1" applyFill="1" applyBorder="1"/>
    <xf numFmtId="44" fontId="0" fillId="0" borderId="0" xfId="2" applyNumberFormat="1" applyFont="1"/>
    <xf numFmtId="0" fontId="0" fillId="2" borderId="2" xfId="0" applyFill="1" applyBorder="1"/>
    <xf numFmtId="44" fontId="0" fillId="0" borderId="0" xfId="0" applyNumberFormat="1"/>
    <xf numFmtId="168" fontId="0" fillId="2" borderId="2" xfId="2" applyNumberFormat="1" applyFont="1" applyFill="1" applyBorder="1"/>
    <xf numFmtId="167" fontId="0" fillId="2" borderId="2" xfId="2" applyNumberFormat="1" applyFont="1" applyFill="1" applyBorder="1"/>
    <xf numFmtId="9" fontId="0" fillId="2" borderId="2" xfId="0" applyNumberFormat="1" applyFill="1" applyBorder="1"/>
    <xf numFmtId="13" fontId="0" fillId="2" borderId="2" xfId="3" applyNumberFormat="1" applyFont="1" applyFill="1" applyBorder="1"/>
    <xf numFmtId="12" fontId="0" fillId="2" borderId="2" xfId="2" applyNumberFormat="1" applyFont="1" applyFill="1" applyBorder="1"/>
    <xf numFmtId="0" fontId="3" fillId="0" borderId="0" xfId="0" applyFont="1"/>
    <xf numFmtId="0" fontId="3" fillId="0" borderId="0" xfId="0" applyFont="1" applyFill="1"/>
    <xf numFmtId="10" fontId="3" fillId="0" borderId="0" xfId="0" applyNumberFormat="1" applyFont="1" applyFill="1"/>
    <xf numFmtId="0" fontId="0" fillId="0" borderId="0" xfId="0" applyFont="1"/>
    <xf numFmtId="17" fontId="3" fillId="0" borderId="4" xfId="0" applyNumberFormat="1" applyFont="1" applyBorder="1" applyAlignment="1">
      <alignment wrapText="1"/>
    </xf>
    <xf numFmtId="169" fontId="4" fillId="0" borderId="5" xfId="2" applyNumberFormat="1" applyFont="1" applyBorder="1"/>
    <xf numFmtId="169" fontId="4" fillId="0" borderId="6" xfId="2" applyNumberFormat="1" applyFont="1" applyBorder="1"/>
    <xf numFmtId="0" fontId="3" fillId="0" borderId="7" xfId="0" applyFont="1" applyBorder="1" applyAlignment="1">
      <alignment wrapText="1"/>
    </xf>
    <xf numFmtId="169" fontId="4" fillId="0" borderId="0" xfId="2" applyNumberFormat="1" applyFont="1" applyBorder="1"/>
    <xf numFmtId="169" fontId="4" fillId="0" borderId="8" xfId="2" applyNumberFormat="1" applyFont="1" applyBorder="1"/>
    <xf numFmtId="170" fontId="3" fillId="0" borderId="0" xfId="0" applyNumberFormat="1" applyFont="1" applyFill="1"/>
    <xf numFmtId="169" fontId="4" fillId="0" borderId="0" xfId="2" applyNumberFormat="1" applyFont="1"/>
    <xf numFmtId="0" fontId="3" fillId="0" borderId="9" xfId="0" applyFont="1" applyBorder="1" applyAlignment="1">
      <alignment wrapText="1"/>
    </xf>
    <xf numFmtId="169" fontId="4" fillId="0" borderId="10" xfId="2" applyNumberFormat="1" applyFont="1" applyBorder="1"/>
    <xf numFmtId="169" fontId="4" fillId="0" borderId="11" xfId="2" applyNumberFormat="1" applyFont="1" applyBorder="1"/>
    <xf numFmtId="169" fontId="3" fillId="0" borderId="0" xfId="0" applyNumberFormat="1" applyFont="1"/>
    <xf numFmtId="10" fontId="3" fillId="2" borderId="2" xfId="0" applyNumberFormat="1" applyFont="1" applyFill="1" applyBorder="1"/>
    <xf numFmtId="0" fontId="3" fillId="2" borderId="2" xfId="0" applyFont="1" applyFill="1" applyBorder="1"/>
    <xf numFmtId="44" fontId="0" fillId="0" borderId="0" xfId="2" applyFont="1"/>
    <xf numFmtId="12" fontId="0" fillId="2" borderId="2" xfId="1" applyNumberFormat="1" applyFont="1" applyFill="1" applyBorder="1"/>
    <xf numFmtId="164" fontId="0" fillId="0" borderId="0" xfId="1" applyNumberFormat="1" applyFont="1" applyFill="1"/>
    <xf numFmtId="0" fontId="0" fillId="0" borderId="0" xfId="0" applyFill="1"/>
    <xf numFmtId="43" fontId="0" fillId="2" borderId="2" xfId="1" applyFont="1" applyFill="1" applyBorder="1"/>
    <xf numFmtId="8" fontId="5" fillId="2" borderId="2" xfId="0" applyNumberFormat="1" applyFont="1" applyFill="1" applyBorder="1"/>
    <xf numFmtId="0" fontId="6" fillId="0" borderId="0" xfId="1" applyNumberFormat="1" applyFont="1"/>
    <xf numFmtId="164" fontId="7" fillId="0" borderId="0" xfId="1" applyNumberFormat="1" applyFont="1"/>
    <xf numFmtId="164" fontId="7" fillId="2" borderId="2" xfId="1" applyNumberFormat="1" applyFont="1" applyFill="1" applyBorder="1"/>
    <xf numFmtId="44" fontId="7" fillId="2" borderId="2" xfId="2" applyFont="1" applyFill="1" applyBorder="1"/>
    <xf numFmtId="44" fontId="7" fillId="0" borderId="0" xfId="2" applyFont="1"/>
    <xf numFmtId="44" fontId="7" fillId="2" borderId="3" xfId="2" applyFont="1" applyFill="1" applyBorder="1"/>
    <xf numFmtId="9" fontId="7" fillId="2" borderId="2" xfId="3" applyFont="1" applyFill="1" applyBorder="1"/>
    <xf numFmtId="168" fontId="7" fillId="0" borderId="0" xfId="2" applyNumberFormat="1" applyFont="1"/>
    <xf numFmtId="168" fontId="7" fillId="0" borderId="1" xfId="2" applyNumberFormat="1" applyFont="1" applyBorder="1"/>
    <xf numFmtId="165" fontId="7" fillId="0" borderId="0" xfId="3" applyNumberFormat="1" applyFont="1" applyFill="1"/>
    <xf numFmtId="168" fontId="7" fillId="0" borderId="14" xfId="2" applyNumberFormat="1" applyFont="1" applyBorder="1"/>
    <xf numFmtId="168" fontId="7" fillId="0" borderId="13" xfId="2" applyNumberFormat="1" applyFont="1" applyBorder="1"/>
    <xf numFmtId="168" fontId="7" fillId="2" borderId="2" xfId="2" applyNumberFormat="1" applyFont="1" applyFill="1" applyBorder="1"/>
    <xf numFmtId="168" fontId="7" fillId="0" borderId="0" xfId="2" applyNumberFormat="1" applyFont="1" applyFill="1" applyBorder="1"/>
    <xf numFmtId="168" fontId="7" fillId="0" borderId="0" xfId="2" applyNumberFormat="1" applyFont="1" applyBorder="1"/>
    <xf numFmtId="164" fontId="7" fillId="0" borderId="1" xfId="1" applyNumberFormat="1" applyFont="1" applyFill="1" applyBorder="1"/>
    <xf numFmtId="168" fontId="7" fillId="0" borderId="0" xfId="2" applyNumberFormat="1" applyFont="1" applyFill="1"/>
    <xf numFmtId="165" fontId="2" fillId="0" borderId="0" xfId="3" applyNumberFormat="1" applyFont="1"/>
    <xf numFmtId="9" fontId="2" fillId="0" borderId="0" xfId="3" applyFont="1"/>
    <xf numFmtId="165" fontId="1" fillId="0" borderId="0" xfId="3" applyNumberFormat="1" applyFont="1"/>
    <xf numFmtId="9" fontId="1" fillId="0" borderId="0" xfId="3" applyFont="1"/>
    <xf numFmtId="165" fontId="1" fillId="2" borderId="2" xfId="3" applyNumberFormat="1" applyFont="1" applyFill="1" applyBorder="1"/>
    <xf numFmtId="9" fontId="1" fillId="2" borderId="2" xfId="3" applyFont="1" applyFill="1" applyBorder="1"/>
    <xf numFmtId="9" fontId="1" fillId="0" borderId="0" xfId="3" applyFont="1" applyFill="1" applyBorder="1"/>
    <xf numFmtId="165" fontId="1" fillId="0" borderId="0" xfId="3" applyNumberFormat="1" applyFont="1" applyFill="1"/>
    <xf numFmtId="164" fontId="7" fillId="0" borderId="12" xfId="1" applyNumberFormat="1" applyFont="1" applyBorder="1"/>
    <xf numFmtId="164" fontId="7" fillId="0" borderId="1" xfId="1" applyNumberFormat="1" applyFont="1" applyBorder="1"/>
    <xf numFmtId="43" fontId="9" fillId="0" borderId="0" xfId="1" applyFont="1"/>
    <xf numFmtId="0" fontId="10" fillId="0" borderId="0" xfId="1" applyNumberFormat="1" applyFont="1"/>
    <xf numFmtId="164" fontId="10" fillId="0" borderId="0" xfId="1" applyNumberFormat="1" applyFont="1"/>
    <xf numFmtId="164" fontId="11" fillId="0" borderId="0" xfId="1" applyNumberFormat="1" applyFont="1"/>
    <xf numFmtId="43" fontId="12" fillId="0" borderId="0" xfId="1" applyFont="1"/>
    <xf numFmtId="164" fontId="11" fillId="0" borderId="0" xfId="1" applyNumberFormat="1" applyFont="1" applyAlignment="1">
      <alignment horizontal="left" indent="1"/>
    </xf>
    <xf numFmtId="43" fontId="9" fillId="0" borderId="0" xfId="1" applyFont="1" applyAlignment="1">
      <alignment horizontal="left" indent="1"/>
    </xf>
    <xf numFmtId="164" fontId="6" fillId="0" borderId="0" xfId="1" applyNumberFormat="1" applyFont="1"/>
    <xf numFmtId="43" fontId="8" fillId="0" borderId="0" xfId="1" applyFont="1"/>
    <xf numFmtId="43" fontId="13" fillId="0" borderId="0" xfId="1" applyFont="1"/>
    <xf numFmtId="164" fontId="0" fillId="0" borderId="0" xfId="0" applyNumberFormat="1"/>
    <xf numFmtId="44" fontId="0" fillId="0" borderId="0" xfId="0" applyNumberFormat="1" applyFill="1"/>
    <xf numFmtId="168" fontId="7" fillId="0" borderId="1" xfId="2" applyNumberFormat="1" applyFont="1" applyFill="1" applyBorder="1"/>
    <xf numFmtId="168" fontId="6" fillId="0" borderId="0" xfId="2" applyNumberFormat="1" applyFont="1"/>
    <xf numFmtId="9" fontId="7" fillId="0" borderId="0" xfId="3" applyFont="1"/>
    <xf numFmtId="44" fontId="7" fillId="0" borderId="0" xfId="2" applyNumberFormat="1" applyFont="1"/>
    <xf numFmtId="44" fontId="7" fillId="0" borderId="0" xfId="2" applyNumberFormat="1" applyFont="1" applyFill="1"/>
    <xf numFmtId="44" fontId="7" fillId="0" borderId="0" xfId="2" applyNumberFormat="1" applyFont="1" applyBorder="1"/>
    <xf numFmtId="164" fontId="7" fillId="0" borderId="0" xfId="1" applyNumberFormat="1" applyFont="1" applyFill="1" applyBorder="1"/>
    <xf numFmtId="44" fontId="7" fillId="0" borderId="0" xfId="2" applyNumberFormat="1" applyFont="1" applyFill="1" applyBorder="1"/>
    <xf numFmtId="164" fontId="7" fillId="0" borderId="0" xfId="3" applyNumberFormat="1" applyFont="1"/>
    <xf numFmtId="168" fontId="13" fillId="0" borderId="0" xfId="2" applyNumberFormat="1" applyFont="1"/>
    <xf numFmtId="168" fontId="7" fillId="0" borderId="15" xfId="2" applyNumberFormat="1" applyFont="1" applyBorder="1"/>
    <xf numFmtId="165" fontId="7" fillId="0" borderId="0" xfId="3" applyNumberFormat="1" applyFont="1"/>
    <xf numFmtId="168" fontId="14" fillId="0" borderId="0" xfId="2" applyNumberFormat="1" applyFont="1"/>
    <xf numFmtId="168" fontId="15" fillId="3" borderId="0" xfId="2" applyNumberFormat="1" applyFont="1" applyFill="1"/>
    <xf numFmtId="164" fontId="15" fillId="3" borderId="0" xfId="1" applyNumberFormat="1" applyFont="1" applyFill="1"/>
    <xf numFmtId="168" fontId="16" fillId="0" borderId="0" xfId="2" applyNumberFormat="1" applyFont="1"/>
    <xf numFmtId="164" fontId="16" fillId="0" borderId="0" xfId="1" applyNumberFormat="1" applyFont="1"/>
    <xf numFmtId="43" fontId="16" fillId="0" borderId="0" xfId="1" applyFont="1"/>
    <xf numFmtId="9" fontId="16" fillId="0" borderId="0" xfId="3" applyFont="1"/>
    <xf numFmtId="168" fontId="16" fillId="0" borderId="0" xfId="2" applyNumberFormat="1" applyFont="1" applyFill="1" applyBorder="1"/>
    <xf numFmtId="164" fontId="16" fillId="0" borderId="0" xfId="1" applyNumberFormat="1" applyFont="1" applyFill="1" applyBorder="1"/>
    <xf numFmtId="43" fontId="16" fillId="0" borderId="0" xfId="1" applyNumberFormat="1" applyFont="1"/>
    <xf numFmtId="168" fontId="7" fillId="3" borderId="0" xfId="2" applyNumberFormat="1" applyFont="1" applyFill="1"/>
    <xf numFmtId="168" fontId="7" fillId="0" borderId="13" xfId="2" applyNumberFormat="1" applyFont="1" applyFill="1" applyBorder="1"/>
    <xf numFmtId="164" fontId="16" fillId="3" borderId="0" xfId="1" applyNumberFormat="1" applyFont="1" applyFill="1" applyBorder="1"/>
    <xf numFmtId="168" fontId="16" fillId="3" borderId="0" xfId="2" applyNumberFormat="1" applyFont="1" applyFill="1"/>
    <xf numFmtId="164" fontId="7" fillId="0" borderId="0" xfId="1" applyNumberFormat="1" applyFont="1" applyFill="1" applyBorder="1" applyAlignment="1">
      <alignment horizontal="right"/>
    </xf>
    <xf numFmtId="168" fontId="7" fillId="0" borderId="0" xfId="2" applyNumberFormat="1" applyFont="1" applyAlignment="1">
      <alignment horizontal="right"/>
    </xf>
    <xf numFmtId="168" fontId="7" fillId="0" borderId="0" xfId="2" applyNumberFormat="1" applyFont="1" applyAlignment="1">
      <alignment horizontal="left"/>
    </xf>
    <xf numFmtId="168" fontId="7" fillId="0" borderId="0" xfId="2" applyNumberFormat="1" applyFont="1" applyFill="1" applyBorder="1" applyAlignment="1">
      <alignment horizontal="right"/>
    </xf>
    <xf numFmtId="168" fontId="7" fillId="0" borderId="1" xfId="2" applyNumberFormat="1" applyFont="1" applyFill="1" applyBorder="1" applyAlignment="1">
      <alignment horizontal="right"/>
    </xf>
    <xf numFmtId="168" fontId="16" fillId="3" borderId="0" xfId="2" applyNumberFormat="1" applyFont="1" applyFill="1" applyBorder="1" applyAlignment="1">
      <alignment horizontal="right"/>
    </xf>
    <xf numFmtId="165" fontId="0" fillId="0" borderId="0" xfId="3" applyNumberFormat="1" applyFont="1"/>
    <xf numFmtId="0" fontId="17" fillId="0" borderId="16" xfId="0" applyFont="1" applyFill="1" applyBorder="1" applyAlignment="1">
      <alignment horizontal="center"/>
    </xf>
    <xf numFmtId="10" fontId="17" fillId="0" borderId="16" xfId="0" applyNumberFormat="1" applyFont="1" applyFill="1" applyBorder="1" applyAlignment="1">
      <alignment horizontal="center"/>
    </xf>
    <xf numFmtId="0" fontId="17" fillId="0" borderId="17" xfId="0" applyFont="1" applyFill="1" applyBorder="1"/>
    <xf numFmtId="0" fontId="18" fillId="0" borderId="2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10" fontId="17" fillId="0" borderId="1" xfId="0" applyNumberFormat="1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164" fontId="7" fillId="0" borderId="18" xfId="1" applyNumberFormat="1" applyFont="1" applyBorder="1"/>
    <xf numFmtId="0" fontId="17" fillId="0" borderId="2" xfId="0" applyFont="1" applyFill="1" applyBorder="1" applyAlignment="1">
      <alignment horizontal="center"/>
    </xf>
    <xf numFmtId="164" fontId="7" fillId="0" borderId="0" xfId="1" applyNumberFormat="1" applyFont="1" applyBorder="1"/>
    <xf numFmtId="0" fontId="7" fillId="0" borderId="0" xfId="1" applyNumberFormat="1" applyFont="1"/>
    <xf numFmtId="168" fontId="6" fillId="0" borderId="0" xfId="2" applyNumberFormat="1" applyFont="1" applyAlignment="1">
      <alignment horizontal="left"/>
    </xf>
    <xf numFmtId="168" fontId="6" fillId="0" borderId="0" xfId="2" applyNumberFormat="1" applyFont="1" applyAlignment="1"/>
    <xf numFmtId="164" fontId="0" fillId="0" borderId="0" xfId="1" applyNumberFormat="1" applyFont="1" applyAlignment="1"/>
    <xf numFmtId="0" fontId="0" fillId="0" borderId="0" xfId="1" applyNumberFormat="1" applyFont="1"/>
    <xf numFmtId="0" fontId="19" fillId="0" borderId="0" xfId="4" applyAlignment="1" applyProtection="1"/>
    <xf numFmtId="168" fontId="6" fillId="0" borderId="0" xfId="2" applyNumberFormat="1" applyFont="1" applyBorder="1" applyAlignment="1"/>
    <xf numFmtId="168" fontId="7" fillId="0" borderId="2" xfId="2" applyNumberFormat="1" applyFont="1" applyBorder="1"/>
    <xf numFmtId="0" fontId="20" fillId="0" borderId="0" xfId="5"/>
    <xf numFmtId="164" fontId="7" fillId="0" borderId="15" xfId="1" applyNumberFormat="1" applyFont="1" applyBorder="1"/>
    <xf numFmtId="164" fontId="7" fillId="0" borderId="24" xfId="1" applyNumberFormat="1" applyFont="1" applyBorder="1"/>
    <xf numFmtId="43" fontId="16" fillId="0" borderId="0" xfId="1" applyFont="1" applyBorder="1"/>
    <xf numFmtId="164" fontId="7" fillId="0" borderId="25" xfId="1" applyNumberFormat="1" applyFont="1" applyBorder="1"/>
    <xf numFmtId="168" fontId="6" fillId="0" borderId="2" xfId="2" applyNumberFormat="1" applyFont="1" applyBorder="1"/>
    <xf numFmtId="10" fontId="6" fillId="0" borderId="2" xfId="3" applyNumberFormat="1" applyFont="1" applyBorder="1"/>
    <xf numFmtId="10" fontId="21" fillId="0" borderId="20" xfId="3" applyNumberFormat="1" applyFont="1" applyFill="1" applyBorder="1"/>
    <xf numFmtId="0" fontId="22" fillId="0" borderId="21" xfId="5" applyFont="1" applyFill="1" applyBorder="1"/>
    <xf numFmtId="0" fontId="22" fillId="0" borderId="15" xfId="5" applyFont="1" applyFill="1" applyBorder="1"/>
    <xf numFmtId="0" fontId="22" fillId="0" borderId="15" xfId="5" applyFont="1" applyBorder="1"/>
    <xf numFmtId="0" fontId="22" fillId="0" borderId="23" xfId="5" applyFont="1" applyBorder="1"/>
    <xf numFmtId="164" fontId="16" fillId="0" borderId="0" xfId="1" applyNumberFormat="1" applyFont="1" applyBorder="1"/>
    <xf numFmtId="0" fontId="22" fillId="0" borderId="0" xfId="5" applyFont="1" applyBorder="1"/>
    <xf numFmtId="2" fontId="22" fillId="4" borderId="2" xfId="5" applyNumberFormat="1" applyFont="1" applyFill="1" applyBorder="1"/>
    <xf numFmtId="9" fontId="22" fillId="4" borderId="2" xfId="5" applyNumberFormat="1" applyFont="1" applyFill="1" applyBorder="1"/>
    <xf numFmtId="10" fontId="22" fillId="4" borderId="2" xfId="5" applyNumberFormat="1" applyFont="1" applyFill="1" applyBorder="1"/>
    <xf numFmtId="0" fontId="22" fillId="0" borderId="24" xfId="5" applyFont="1" applyFill="1" applyBorder="1"/>
    <xf numFmtId="0" fontId="22" fillId="0" borderId="0" xfId="5" applyFont="1" applyFill="1" applyBorder="1"/>
    <xf numFmtId="10" fontId="23" fillId="0" borderId="2" xfId="3" applyNumberFormat="1" applyFont="1" applyFill="1" applyBorder="1"/>
    <xf numFmtId="0" fontId="22" fillId="0" borderId="25" xfId="5" applyFont="1" applyBorder="1"/>
    <xf numFmtId="0" fontId="22" fillId="0" borderId="0" xfId="5" applyFont="1" applyBorder="1" applyAlignment="1">
      <alignment horizontal="right"/>
    </xf>
    <xf numFmtId="0" fontId="22" fillId="0" borderId="25" xfId="5" applyFont="1" applyBorder="1" applyAlignment="1">
      <alignment horizontal="right"/>
    </xf>
    <xf numFmtId="10" fontId="22" fillId="0" borderId="2" xfId="5" applyNumberFormat="1" applyFont="1" applyFill="1" applyBorder="1"/>
    <xf numFmtId="171" fontId="22" fillId="4" borderId="2" xfId="5" applyNumberFormat="1" applyFont="1" applyFill="1" applyBorder="1"/>
    <xf numFmtId="10" fontId="23" fillId="0" borderId="0" xfId="3" applyNumberFormat="1" applyFont="1" applyBorder="1"/>
    <xf numFmtId="9" fontId="22" fillId="0" borderId="17" xfId="5" applyNumberFormat="1" applyFont="1" applyFill="1" applyBorder="1"/>
    <xf numFmtId="171" fontId="22" fillId="0" borderId="0" xfId="5" applyNumberFormat="1" applyFont="1" applyBorder="1"/>
    <xf numFmtId="10" fontId="24" fillId="0" borderId="25" xfId="5" applyNumberFormat="1" applyFont="1" applyBorder="1"/>
    <xf numFmtId="172" fontId="22" fillId="0" borderId="2" xfId="1" applyNumberFormat="1" applyFont="1" applyFill="1" applyBorder="1"/>
    <xf numFmtId="0" fontId="22" fillId="0" borderId="22" xfId="5" applyFont="1" applyFill="1" applyBorder="1"/>
    <xf numFmtId="0" fontId="22" fillId="0" borderId="1" xfId="5" applyFont="1" applyFill="1" applyBorder="1"/>
    <xf numFmtId="10" fontId="22" fillId="0" borderId="17" xfId="5" applyNumberFormat="1" applyFont="1" applyFill="1" applyBorder="1"/>
    <xf numFmtId="0" fontId="22" fillId="0" borderId="0" xfId="5" applyFont="1" applyFill="1" applyBorder="1" applyAlignment="1">
      <alignment horizontal="right"/>
    </xf>
    <xf numFmtId="0" fontId="22" fillId="0" borderId="1" xfId="5" applyFont="1" applyFill="1" applyBorder="1" applyAlignment="1">
      <alignment horizontal="right"/>
    </xf>
    <xf numFmtId="168" fontId="7" fillId="0" borderId="21" xfId="2" applyNumberFormat="1" applyFont="1" applyBorder="1"/>
    <xf numFmtId="168" fontId="7" fillId="0" borderId="24" xfId="2" applyNumberFormat="1" applyFont="1" applyBorder="1"/>
    <xf numFmtId="168" fontId="7" fillId="0" borderId="22" xfId="2" applyNumberFormat="1" applyFont="1" applyBorder="1"/>
    <xf numFmtId="168" fontId="7" fillId="0" borderId="3" xfId="2" applyNumberFormat="1" applyFont="1" applyBorder="1"/>
    <xf numFmtId="168" fontId="7" fillId="0" borderId="26" xfId="2" applyNumberFormat="1" applyFont="1" applyBorder="1"/>
    <xf numFmtId="168" fontId="7" fillId="0" borderId="17" xfId="2" applyNumberFormat="1" applyFont="1" applyBorder="1"/>
    <xf numFmtId="0" fontId="24" fillId="0" borderId="24" xfId="5" applyFont="1" applyFill="1" applyBorder="1"/>
    <xf numFmtId="164" fontId="13" fillId="0" borderId="0" xfId="1" applyNumberFormat="1" applyFont="1"/>
    <xf numFmtId="164" fontId="9" fillId="0" borderId="0" xfId="1" applyNumberFormat="1" applyFont="1"/>
    <xf numFmtId="165" fontId="13" fillId="0" borderId="0" xfId="3" applyNumberFormat="1" applyFont="1"/>
    <xf numFmtId="0" fontId="13" fillId="0" borderId="0" xfId="1" applyNumberFormat="1" applyFont="1"/>
    <xf numFmtId="9" fontId="13" fillId="0" borderId="0" xfId="3" applyFont="1"/>
    <xf numFmtId="164" fontId="7" fillId="0" borderId="13" xfId="1" applyNumberFormat="1" applyFont="1" applyBorder="1"/>
    <xf numFmtId="164" fontId="16" fillId="0" borderId="0" xfId="1" applyNumberFormat="1" applyFont="1" applyFill="1"/>
    <xf numFmtId="164" fontId="7" fillId="0" borderId="0" xfId="1" applyNumberFormat="1" applyFont="1" applyFill="1"/>
    <xf numFmtId="43" fontId="8" fillId="0" borderId="0" xfId="1" applyFont="1" applyAlignment="1">
      <alignment horizontal="center"/>
    </xf>
    <xf numFmtId="168" fontId="15" fillId="3" borderId="0" xfId="2" applyNumberFormat="1" applyFont="1" applyFill="1" applyAlignment="1">
      <alignment horizontal="center"/>
    </xf>
    <xf numFmtId="168" fontId="16" fillId="3" borderId="0" xfId="2" applyNumberFormat="1" applyFont="1" applyFill="1" applyAlignment="1">
      <alignment horizontal="left"/>
    </xf>
    <xf numFmtId="168" fontId="6" fillId="0" borderId="19" xfId="2" applyNumberFormat="1" applyFont="1" applyBorder="1" applyAlignment="1">
      <alignment horizontal="center"/>
    </xf>
    <xf numFmtId="168" fontId="6" fillId="0" borderId="14" xfId="2" applyNumberFormat="1" applyFont="1" applyBorder="1" applyAlignment="1">
      <alignment horizontal="center"/>
    </xf>
    <xf numFmtId="168" fontId="6" fillId="0" borderId="18" xfId="2" applyNumberFormat="1" applyFont="1" applyBorder="1" applyAlignment="1">
      <alignment horizontal="center"/>
    </xf>
    <xf numFmtId="168" fontId="7" fillId="0" borderId="3" xfId="2" applyNumberFormat="1" applyFont="1" applyBorder="1" applyAlignment="1">
      <alignment horizontal="center" wrapText="1"/>
    </xf>
    <xf numFmtId="168" fontId="7" fillId="0" borderId="17" xfId="2" applyNumberFormat="1" applyFont="1" applyBorder="1" applyAlignment="1">
      <alignment horizontal="center" wrapText="1"/>
    </xf>
    <xf numFmtId="168" fontId="6" fillId="0" borderId="0" xfId="2" applyNumberFormat="1" applyFont="1" applyAlignment="1">
      <alignment horizontal="center"/>
    </xf>
    <xf numFmtId="168" fontId="7" fillId="0" borderId="21" xfId="2" applyNumberFormat="1" applyFont="1" applyBorder="1" applyAlignment="1">
      <alignment horizontal="center" wrapText="1"/>
    </xf>
    <xf numFmtId="168" fontId="7" fillId="0" borderId="22" xfId="2" applyNumberFormat="1" applyFont="1" applyBorder="1" applyAlignment="1">
      <alignment horizontal="center" wrapText="1"/>
    </xf>
    <xf numFmtId="168" fontId="7" fillId="0" borderId="2" xfId="2" applyNumberFormat="1" applyFont="1" applyBorder="1" applyAlignment="1">
      <alignment horizontal="center" wrapText="1"/>
    </xf>
    <xf numFmtId="168" fontId="6" fillId="0" borderId="2" xfId="2" applyNumberFormat="1" applyFont="1" applyBorder="1" applyAlignment="1">
      <alignment horizontal="center"/>
    </xf>
    <xf numFmtId="168" fontId="6" fillId="0" borderId="3" xfId="2" applyNumberFormat="1" applyFont="1" applyBorder="1" applyAlignment="1">
      <alignment horizontal="center"/>
    </xf>
    <xf numFmtId="164" fontId="6" fillId="0" borderId="19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 wrapText="1"/>
    </xf>
  </cellXfs>
  <cellStyles count="6">
    <cellStyle name="Comma" xfId="1" builtinId="3"/>
    <cellStyle name="Currency" xfId="2" builtinId="4"/>
    <cellStyle name="Excel Built-in Normal" xfId="5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200026</xdr:colOff>
      <xdr:row>13</xdr:row>
      <xdr:rowOff>190499</xdr:rowOff>
    </xdr:from>
    <xdr:to>
      <xdr:col>7</xdr:col>
      <xdr:colOff>19050</xdr:colOff>
      <xdr:row>18</xdr:row>
      <xdr:rowOff>180974</xdr:rowOff>
    </xdr:to>
    <xdr:sp macro="" textlink="">
      <xdr:nvSpPr>
        <xdr:cNvPr id="2" name="Left Brace 1"/>
        <xdr:cNvSpPr/>
      </xdr:nvSpPr>
      <xdr:spPr>
        <a:xfrm>
          <a:off x="4086226" y="2666999"/>
          <a:ext cx="428624" cy="942975"/>
        </a:xfrm>
        <a:prstGeom prst="leftBrace">
          <a:avLst>
            <a:gd name="adj1" fmla="val 0"/>
            <a:gd name="adj2" fmla="val 7061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ges.stern.nyu.edu/~adamodar/New_Home_Page/datafile/Beta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08"/>
  <sheetViews>
    <sheetView tabSelected="1" zoomScale="85" zoomScaleNormal="85" zoomScalePageLayoutView="75" workbookViewId="0">
      <selection activeCell="N147" sqref="N147"/>
    </sheetView>
  </sheetViews>
  <sheetFormatPr defaultRowHeight="18.75" x14ac:dyDescent="0.3"/>
  <cols>
    <col min="1" max="1" width="4.42578125" style="40" customWidth="1"/>
    <col min="2" max="2" width="29.42578125" style="69" customWidth="1"/>
    <col min="3" max="11" width="14.7109375" style="40" customWidth="1"/>
    <col min="12" max="12" width="17" style="40" bestFit="1" customWidth="1"/>
    <col min="13" max="13" width="6.42578125" style="58" customWidth="1"/>
    <col min="14" max="14" width="6.42578125" style="59" customWidth="1"/>
    <col min="15" max="16384" width="9.140625" style="40"/>
  </cols>
  <sheetData>
    <row r="1" spans="1:14" s="39" customFormat="1" x14ac:dyDescent="0.3">
      <c r="B1" s="67"/>
      <c r="C1" s="39">
        <v>2013</v>
      </c>
      <c r="D1" s="39">
        <v>2014</v>
      </c>
      <c r="E1" s="39">
        <v>2015</v>
      </c>
      <c r="F1" s="39">
        <v>2016</v>
      </c>
      <c r="G1" s="39">
        <v>2017</v>
      </c>
      <c r="H1" s="39">
        <v>2018</v>
      </c>
      <c r="I1" s="39">
        <v>2019</v>
      </c>
      <c r="J1" s="39">
        <v>2020</v>
      </c>
      <c r="K1" s="39">
        <v>2021</v>
      </c>
      <c r="L1" s="39">
        <v>2022</v>
      </c>
      <c r="M1" s="56" t="s">
        <v>37</v>
      </c>
      <c r="N1" s="57"/>
    </row>
    <row r="2" spans="1:14" x14ac:dyDescent="0.3">
      <c r="A2" s="73" t="s">
        <v>39</v>
      </c>
    </row>
    <row r="3" spans="1:14" x14ac:dyDescent="0.3">
      <c r="B3" s="69" t="s">
        <v>36</v>
      </c>
      <c r="C3" s="40">
        <f>'Potential Sales'!B26</f>
        <v>293</v>
      </c>
      <c r="D3" s="40">
        <f>C3*(1+$M3)</f>
        <v>295.93</v>
      </c>
      <c r="E3" s="40">
        <f t="shared" ref="E3:L3" si="0">D3*(1+$M3)</f>
        <v>298.88929999999999</v>
      </c>
      <c r="F3" s="40">
        <f t="shared" si="0"/>
        <v>301.87819300000001</v>
      </c>
      <c r="G3" s="40">
        <f t="shared" si="0"/>
        <v>304.89697493</v>
      </c>
      <c r="H3" s="40">
        <f t="shared" si="0"/>
        <v>307.9459446793</v>
      </c>
      <c r="I3" s="40">
        <f t="shared" si="0"/>
        <v>311.02540412609301</v>
      </c>
      <c r="J3" s="40">
        <f t="shared" si="0"/>
        <v>314.13565816735394</v>
      </c>
      <c r="K3" s="40">
        <f t="shared" si="0"/>
        <v>317.2770147490275</v>
      </c>
      <c r="L3" s="40">
        <f t="shared" si="0"/>
        <v>320.44978489651777</v>
      </c>
      <c r="M3" s="60">
        <v>0.01</v>
      </c>
    </row>
    <row r="4" spans="1:14" x14ac:dyDescent="0.3">
      <c r="B4" s="69" t="s">
        <v>38</v>
      </c>
      <c r="C4" s="41">
        <v>500</v>
      </c>
      <c r="D4" s="41">
        <v>500</v>
      </c>
      <c r="E4" s="41">
        <v>500</v>
      </c>
      <c r="F4" s="41">
        <v>500</v>
      </c>
      <c r="G4" s="41">
        <v>500</v>
      </c>
      <c r="H4" s="41">
        <v>500</v>
      </c>
      <c r="I4" s="41">
        <v>500</v>
      </c>
      <c r="J4" s="41">
        <v>500</v>
      </c>
      <c r="K4" s="41">
        <v>500</v>
      </c>
      <c r="L4" s="41">
        <v>500</v>
      </c>
    </row>
    <row r="5" spans="1:14" x14ac:dyDescent="0.3">
      <c r="B5" s="69" t="s">
        <v>40</v>
      </c>
      <c r="C5" s="42">
        <v>1.8</v>
      </c>
      <c r="D5" s="43">
        <f>C5*(1+$M5)</f>
        <v>1.7909999999999999</v>
      </c>
      <c r="E5" s="43">
        <f t="shared" ref="E5:L5" si="1">D5*(1+$M5)</f>
        <v>1.7820449999999999</v>
      </c>
      <c r="F5" s="43">
        <f t="shared" si="1"/>
        <v>1.7731347749999999</v>
      </c>
      <c r="G5" s="43">
        <f t="shared" si="1"/>
        <v>1.764269101125</v>
      </c>
      <c r="H5" s="43">
        <f t="shared" si="1"/>
        <v>1.755447755619375</v>
      </c>
      <c r="I5" s="43">
        <f t="shared" si="1"/>
        <v>1.7466705168412782</v>
      </c>
      <c r="J5" s="43">
        <f t="shared" si="1"/>
        <v>1.7379371642570718</v>
      </c>
      <c r="K5" s="43">
        <f t="shared" si="1"/>
        <v>1.7292474784357865</v>
      </c>
      <c r="L5" s="43">
        <f t="shared" si="1"/>
        <v>1.7206012410436076</v>
      </c>
      <c r="M5" s="60">
        <v>-5.0000000000000001E-3</v>
      </c>
    </row>
    <row r="6" spans="1:14" x14ac:dyDescent="0.3">
      <c r="B6" s="69" t="s">
        <v>41</v>
      </c>
      <c r="C6" s="44">
        <v>0.8</v>
      </c>
      <c r="D6" s="43">
        <f>C6*(1+$M6)</f>
        <v>0.79600000000000004</v>
      </c>
      <c r="E6" s="43">
        <f t="shared" ref="E6:L6" si="2">D6*(1+$M6)</f>
        <v>0.79202000000000006</v>
      </c>
      <c r="F6" s="43">
        <f t="shared" si="2"/>
        <v>0.78805990000000004</v>
      </c>
      <c r="G6" s="43">
        <f t="shared" si="2"/>
        <v>0.78411960050000007</v>
      </c>
      <c r="H6" s="43">
        <f t="shared" si="2"/>
        <v>0.78019900249750007</v>
      </c>
      <c r="I6" s="43">
        <f t="shared" si="2"/>
        <v>0.77629800748501254</v>
      </c>
      <c r="J6" s="43">
        <f t="shared" si="2"/>
        <v>0.77241651744758744</v>
      </c>
      <c r="K6" s="43">
        <f t="shared" si="2"/>
        <v>0.76855443486034947</v>
      </c>
      <c r="L6" s="43">
        <f t="shared" si="2"/>
        <v>0.76471166268604773</v>
      </c>
      <c r="M6" s="60">
        <v>-5.0000000000000001E-3</v>
      </c>
    </row>
    <row r="7" spans="1:14" x14ac:dyDescent="0.3">
      <c r="B7" s="69" t="s">
        <v>42</v>
      </c>
      <c r="C7" s="45">
        <v>0.7</v>
      </c>
      <c r="D7" s="45">
        <v>0.7</v>
      </c>
      <c r="E7" s="45">
        <v>0.7</v>
      </c>
      <c r="F7" s="45">
        <v>0.7</v>
      </c>
      <c r="G7" s="45">
        <v>0.7</v>
      </c>
      <c r="H7" s="45">
        <v>0.7</v>
      </c>
      <c r="I7" s="45">
        <v>0.7</v>
      </c>
      <c r="J7" s="45">
        <v>0.7</v>
      </c>
      <c r="K7" s="45">
        <v>0.7</v>
      </c>
      <c r="L7" s="45">
        <v>0.7</v>
      </c>
    </row>
    <row r="8" spans="1:14" x14ac:dyDescent="0.3">
      <c r="C8" s="40">
        <f>C3*C7</f>
        <v>205.1</v>
      </c>
      <c r="D8" s="40">
        <f t="shared" ref="D8:L8" si="3">D3*D7</f>
        <v>207.15099999999998</v>
      </c>
      <c r="E8" s="40">
        <f t="shared" si="3"/>
        <v>209.22250999999997</v>
      </c>
      <c r="F8" s="40">
        <f t="shared" si="3"/>
        <v>211.31473510000001</v>
      </c>
      <c r="G8" s="40">
        <f t="shared" si="3"/>
        <v>213.42788245099999</v>
      </c>
      <c r="H8" s="40">
        <f t="shared" si="3"/>
        <v>215.56216127550999</v>
      </c>
      <c r="I8" s="40">
        <f t="shared" si="3"/>
        <v>217.71778288826511</v>
      </c>
      <c r="J8" s="40">
        <f t="shared" si="3"/>
        <v>219.89496071714774</v>
      </c>
      <c r="K8" s="40">
        <f t="shared" si="3"/>
        <v>222.09391032431924</v>
      </c>
      <c r="L8" s="40">
        <f t="shared" si="3"/>
        <v>224.31484942756242</v>
      </c>
    </row>
    <row r="9" spans="1:14" x14ac:dyDescent="0.3">
      <c r="B9" s="69" t="s">
        <v>46</v>
      </c>
      <c r="C9" s="42">
        <v>1</v>
      </c>
      <c r="D9" s="43">
        <f>C9*(1+$M9)</f>
        <v>1</v>
      </c>
      <c r="E9" s="43">
        <f t="shared" ref="E9" si="4">D9*(1+$M9)</f>
        <v>1</v>
      </c>
      <c r="F9" s="43">
        <f t="shared" ref="F9" si="5">E9*(1+$M9)</f>
        <v>1</v>
      </c>
      <c r="G9" s="43">
        <f t="shared" ref="G9" si="6">F9*(1+$M9)</f>
        <v>1</v>
      </c>
      <c r="H9" s="43">
        <f t="shared" ref="H9" si="7">G9*(1+$M9)</f>
        <v>1</v>
      </c>
      <c r="I9" s="43">
        <f t="shared" ref="I9" si="8">H9*(1+$M9)</f>
        <v>1</v>
      </c>
      <c r="J9" s="43">
        <f t="shared" ref="J9" si="9">I9*(1+$M9)</f>
        <v>1</v>
      </c>
      <c r="K9" s="43">
        <f t="shared" ref="K9" si="10">J9*(1+$M9)</f>
        <v>1</v>
      </c>
      <c r="L9" s="43">
        <f t="shared" ref="L9" si="11">K9*(1+$M9)</f>
        <v>1</v>
      </c>
      <c r="M9" s="60">
        <v>0</v>
      </c>
    </row>
    <row r="10" spans="1:14" x14ac:dyDescent="0.3">
      <c r="A10" s="73" t="s">
        <v>47</v>
      </c>
    </row>
    <row r="11" spans="1:14" x14ac:dyDescent="0.3">
      <c r="B11" s="69" t="s">
        <v>36</v>
      </c>
      <c r="C11" s="40">
        <f>'Potential Sales'!B27</f>
        <v>147</v>
      </c>
      <c r="D11" s="40">
        <f>C11*(1+$M11)</f>
        <v>148.47</v>
      </c>
      <c r="E11" s="40">
        <f t="shared" ref="E11" si="12">D11*(1+$M11)</f>
        <v>149.9547</v>
      </c>
      <c r="F11" s="40">
        <f t="shared" ref="F11" si="13">E11*(1+$M11)</f>
        <v>151.45424700000001</v>
      </c>
      <c r="G11" s="40">
        <f t="shared" ref="G11" si="14">F11*(1+$M11)</f>
        <v>152.96878947000002</v>
      </c>
      <c r="H11" s="40">
        <f t="shared" ref="H11" si="15">G11*(1+$M11)</f>
        <v>154.49847736470002</v>
      </c>
      <c r="I11" s="40">
        <f t="shared" ref="I11" si="16">H11*(1+$M11)</f>
        <v>156.04346213834702</v>
      </c>
      <c r="J11" s="40">
        <f t="shared" ref="J11" si="17">I11*(1+$M11)</f>
        <v>157.6038967597305</v>
      </c>
      <c r="K11" s="40">
        <f t="shared" ref="K11" si="18">J11*(1+$M11)</f>
        <v>159.1799357273278</v>
      </c>
      <c r="L11" s="40">
        <f t="shared" ref="L11" si="19">K11*(1+$M11)</f>
        <v>160.77173508460109</v>
      </c>
      <c r="M11" s="60">
        <v>0.01</v>
      </c>
    </row>
    <row r="12" spans="1:14" x14ac:dyDescent="0.3">
      <c r="B12" s="69" t="s">
        <v>38</v>
      </c>
      <c r="C12" s="41">
        <v>55</v>
      </c>
      <c r="D12" s="41">
        <v>55</v>
      </c>
      <c r="E12" s="41">
        <v>55</v>
      </c>
      <c r="F12" s="41">
        <v>55</v>
      </c>
      <c r="G12" s="41">
        <v>55</v>
      </c>
      <c r="H12" s="41">
        <v>55</v>
      </c>
      <c r="I12" s="41">
        <v>55</v>
      </c>
      <c r="J12" s="41">
        <v>55</v>
      </c>
      <c r="K12" s="41">
        <v>55</v>
      </c>
      <c r="L12" s="41">
        <v>55</v>
      </c>
    </row>
    <row r="13" spans="1:14" x14ac:dyDescent="0.3">
      <c r="B13" s="69" t="s">
        <v>40</v>
      </c>
      <c r="C13" s="42">
        <v>42</v>
      </c>
      <c r="D13" s="43">
        <f>C13*(1+$M13)</f>
        <v>41.915999999999997</v>
      </c>
      <c r="E13" s="43">
        <f t="shared" ref="E13" si="20">D13*(1+$M13)</f>
        <v>41.832167999999996</v>
      </c>
      <c r="F13" s="43">
        <f t="shared" ref="F13" si="21">E13*(1+$M13)</f>
        <v>41.748503663999998</v>
      </c>
      <c r="G13" s="43">
        <f t="shared" ref="G13" si="22">F13*(1+$M13)</f>
        <v>41.665006656671999</v>
      </c>
      <c r="H13" s="43">
        <f t="shared" ref="H13" si="23">G13*(1+$M13)</f>
        <v>41.581676643358655</v>
      </c>
      <c r="I13" s="43">
        <f t="shared" ref="I13" si="24">H13*(1+$M13)</f>
        <v>41.498513290071941</v>
      </c>
      <c r="J13" s="43">
        <f t="shared" ref="J13" si="25">I13*(1+$M13)</f>
        <v>41.415516263491796</v>
      </c>
      <c r="K13" s="43">
        <f t="shared" ref="K13" si="26">J13*(1+$M13)</f>
        <v>41.332685230964813</v>
      </c>
      <c r="L13" s="43">
        <f t="shared" ref="L13" si="27">K13*(1+$M13)</f>
        <v>41.250019860502881</v>
      </c>
      <c r="M13" s="60">
        <v>-2E-3</v>
      </c>
    </row>
    <row r="14" spans="1:14" x14ac:dyDescent="0.3">
      <c r="B14" s="69" t="s">
        <v>41</v>
      </c>
      <c r="C14" s="42">
        <v>25</v>
      </c>
      <c r="D14" s="43">
        <f>C14*(1+$M14)</f>
        <v>24.875</v>
      </c>
      <c r="E14" s="43">
        <f t="shared" ref="E14" si="28">D14*(1+$M14)</f>
        <v>24.750624999999999</v>
      </c>
      <c r="F14" s="43">
        <f t="shared" ref="F14" si="29">E14*(1+$M14)</f>
        <v>24.626871874999999</v>
      </c>
      <c r="G14" s="43">
        <f t="shared" ref="G14" si="30">F14*(1+$M14)</f>
        <v>24.503737515624998</v>
      </c>
      <c r="H14" s="43">
        <f t="shared" ref="H14" si="31">G14*(1+$M14)</f>
        <v>24.381218828046872</v>
      </c>
      <c r="I14" s="43">
        <f t="shared" ref="I14" si="32">H14*(1+$M14)</f>
        <v>24.259312733906636</v>
      </c>
      <c r="J14" s="43">
        <f t="shared" ref="J14" si="33">I14*(1+$M14)</f>
        <v>24.138016170237105</v>
      </c>
      <c r="K14" s="43">
        <f t="shared" ref="K14" si="34">J14*(1+$M14)</f>
        <v>24.017326089385918</v>
      </c>
      <c r="L14" s="43">
        <f t="shared" ref="L14" si="35">K14*(1+$M14)</f>
        <v>23.897239458938987</v>
      </c>
      <c r="M14" s="60">
        <v>-5.0000000000000001E-3</v>
      </c>
    </row>
    <row r="15" spans="1:14" x14ac:dyDescent="0.3">
      <c r="B15" s="69" t="s">
        <v>42</v>
      </c>
      <c r="C15" s="45">
        <v>0.95</v>
      </c>
      <c r="D15" s="45">
        <v>0.95</v>
      </c>
      <c r="E15" s="45">
        <v>0.95</v>
      </c>
      <c r="F15" s="45">
        <v>0.95</v>
      </c>
      <c r="G15" s="45">
        <v>0.95</v>
      </c>
      <c r="H15" s="45">
        <v>0.95</v>
      </c>
      <c r="I15" s="45">
        <v>0.95</v>
      </c>
      <c r="J15" s="45">
        <v>0.95</v>
      </c>
      <c r="K15" s="45">
        <v>0.95</v>
      </c>
      <c r="L15" s="45">
        <v>0.95</v>
      </c>
    </row>
    <row r="16" spans="1:14" x14ac:dyDescent="0.3">
      <c r="C16" s="40">
        <f>C11*C15</f>
        <v>139.65</v>
      </c>
      <c r="D16" s="40">
        <f t="shared" ref="D16" si="36">D11*D15</f>
        <v>141.04649999999998</v>
      </c>
      <c r="E16" s="40">
        <f t="shared" ref="E16" si="37">E11*E15</f>
        <v>142.456965</v>
      </c>
      <c r="F16" s="40">
        <f t="shared" ref="F16" si="38">F11*F15</f>
        <v>143.88153464999999</v>
      </c>
      <c r="G16" s="40">
        <f t="shared" ref="G16" si="39">G11*G15</f>
        <v>145.3203499965</v>
      </c>
      <c r="H16" s="40">
        <f t="shared" ref="H16" si="40">H11*H15</f>
        <v>146.77355349646501</v>
      </c>
      <c r="I16" s="40">
        <f t="shared" ref="I16" si="41">I11*I15</f>
        <v>148.24128903142966</v>
      </c>
      <c r="J16" s="40">
        <f t="shared" ref="J16" si="42">J11*J15</f>
        <v>149.72370192174398</v>
      </c>
      <c r="K16" s="40">
        <f t="shared" ref="K16" si="43">K11*K15</f>
        <v>151.22093894096142</v>
      </c>
      <c r="L16" s="40">
        <f t="shared" ref="L16" si="44">L11*L15</f>
        <v>152.73314833037102</v>
      </c>
    </row>
    <row r="17" spans="1:14" x14ac:dyDescent="0.3">
      <c r="B17" s="69" t="s">
        <v>46</v>
      </c>
      <c r="C17" s="42">
        <v>28</v>
      </c>
      <c r="D17" s="43">
        <f>C17*(1+$M17)</f>
        <v>28.560000000000002</v>
      </c>
      <c r="E17" s="43">
        <f t="shared" ref="E17" si="45">D17*(1+$M17)</f>
        <v>29.131200000000003</v>
      </c>
      <c r="F17" s="43">
        <f t="shared" ref="F17" si="46">E17*(1+$M17)</f>
        <v>29.713824000000002</v>
      </c>
      <c r="G17" s="43">
        <f t="shared" ref="G17" si="47">F17*(1+$M17)</f>
        <v>30.308100480000004</v>
      </c>
      <c r="H17" s="43">
        <f t="shared" ref="H17" si="48">G17*(1+$M17)</f>
        <v>30.914262489600006</v>
      </c>
      <c r="I17" s="43">
        <f t="shared" ref="I17" si="49">H17*(1+$M17)</f>
        <v>31.532547739392008</v>
      </c>
      <c r="J17" s="43">
        <f t="shared" ref="J17" si="50">I17*(1+$M17)</f>
        <v>32.163198694179847</v>
      </c>
      <c r="K17" s="43">
        <f t="shared" ref="K17" si="51">J17*(1+$M17)</f>
        <v>32.806462668063446</v>
      </c>
      <c r="L17" s="43">
        <f>K17*(1+$M17)</f>
        <v>33.462591921424718</v>
      </c>
      <c r="M17" s="60">
        <v>0.02</v>
      </c>
    </row>
    <row r="18" spans="1:14" x14ac:dyDescent="0.3">
      <c r="A18" s="73" t="s">
        <v>48</v>
      </c>
    </row>
    <row r="19" spans="1:14" x14ac:dyDescent="0.3">
      <c r="B19" s="69" t="s">
        <v>80</v>
      </c>
      <c r="C19" s="41">
        <v>25</v>
      </c>
      <c r="D19" s="40">
        <f t="shared" ref="D19:L19" si="52">C19*(1+$M19)</f>
        <v>24.875</v>
      </c>
      <c r="E19" s="40">
        <f t="shared" si="52"/>
        <v>24.750624999999999</v>
      </c>
      <c r="F19" s="40">
        <f t="shared" si="52"/>
        <v>24.626871874999999</v>
      </c>
      <c r="G19" s="40">
        <f t="shared" si="52"/>
        <v>24.503737515624998</v>
      </c>
      <c r="H19" s="40">
        <f t="shared" si="52"/>
        <v>24.381218828046872</v>
      </c>
      <c r="I19" s="40">
        <f t="shared" si="52"/>
        <v>24.259312733906636</v>
      </c>
      <c r="J19" s="40">
        <f t="shared" si="52"/>
        <v>24.138016170237105</v>
      </c>
      <c r="K19" s="40">
        <f t="shared" si="52"/>
        <v>24.017326089385918</v>
      </c>
      <c r="L19" s="40">
        <f t="shared" si="52"/>
        <v>23.897239458938987</v>
      </c>
      <c r="M19" s="60">
        <v>-5.0000000000000001E-3</v>
      </c>
    </row>
    <row r="20" spans="1:14" x14ac:dyDescent="0.3">
      <c r="B20" s="69" t="s">
        <v>49</v>
      </c>
      <c r="C20" s="41">
        <v>100</v>
      </c>
      <c r="D20" s="40">
        <f t="shared" ref="D20:L20" si="53">C20*(1+$M20)</f>
        <v>102</v>
      </c>
      <c r="E20" s="40">
        <f t="shared" si="53"/>
        <v>104.04</v>
      </c>
      <c r="F20" s="40">
        <f t="shared" si="53"/>
        <v>106.1208</v>
      </c>
      <c r="G20" s="40">
        <f t="shared" si="53"/>
        <v>108.243216</v>
      </c>
      <c r="H20" s="40">
        <f t="shared" si="53"/>
        <v>110.40808032000001</v>
      </c>
      <c r="I20" s="40">
        <f t="shared" si="53"/>
        <v>112.61624192640001</v>
      </c>
      <c r="J20" s="40">
        <f t="shared" si="53"/>
        <v>114.868566764928</v>
      </c>
      <c r="K20" s="40">
        <f t="shared" si="53"/>
        <v>117.16593810022657</v>
      </c>
      <c r="L20" s="40">
        <f t="shared" si="53"/>
        <v>119.5092568622311</v>
      </c>
      <c r="M20" s="60">
        <v>0.02</v>
      </c>
    </row>
    <row r="21" spans="1:14" x14ac:dyDescent="0.3">
      <c r="B21" s="69" t="s">
        <v>50</v>
      </c>
      <c r="C21" s="41">
        <v>80</v>
      </c>
      <c r="D21" s="40">
        <f t="shared" ref="D21:L21" si="54">C21*(1+$M21)</f>
        <v>81.599999999999994</v>
      </c>
      <c r="E21" s="40">
        <f t="shared" si="54"/>
        <v>83.231999999999999</v>
      </c>
      <c r="F21" s="40">
        <f t="shared" si="54"/>
        <v>84.896640000000005</v>
      </c>
      <c r="G21" s="40">
        <f t="shared" si="54"/>
        <v>86.594572800000009</v>
      </c>
      <c r="H21" s="40">
        <f t="shared" si="54"/>
        <v>88.326464256000008</v>
      </c>
      <c r="I21" s="40">
        <f t="shared" si="54"/>
        <v>90.092993541120009</v>
      </c>
      <c r="J21" s="40">
        <f t="shared" si="54"/>
        <v>91.894853411942407</v>
      </c>
      <c r="K21" s="40">
        <f t="shared" si="54"/>
        <v>93.732750480181252</v>
      </c>
      <c r="L21" s="40">
        <f t="shared" si="54"/>
        <v>95.607405489784881</v>
      </c>
      <c r="M21" s="60">
        <v>0.02</v>
      </c>
    </row>
    <row r="22" spans="1:14" x14ac:dyDescent="0.3">
      <c r="B22" s="69" t="s">
        <v>51</v>
      </c>
      <c r="C22" s="41">
        <v>30</v>
      </c>
      <c r="D22" s="40">
        <f t="shared" ref="D22:L22" si="55">C22*(1+$M22)</f>
        <v>29.85</v>
      </c>
      <c r="E22" s="40">
        <f t="shared" si="55"/>
        <v>29.700750000000003</v>
      </c>
      <c r="F22" s="40">
        <f t="shared" si="55"/>
        <v>29.552246250000003</v>
      </c>
      <c r="G22" s="40">
        <f t="shared" si="55"/>
        <v>29.404485018750002</v>
      </c>
      <c r="H22" s="40">
        <f t="shared" si="55"/>
        <v>29.257462593656253</v>
      </c>
      <c r="I22" s="40">
        <f t="shared" si="55"/>
        <v>29.111175280687974</v>
      </c>
      <c r="J22" s="40">
        <f>I22*(1+$M22)</f>
        <v>28.965619404284535</v>
      </c>
      <c r="K22" s="40">
        <f t="shared" si="55"/>
        <v>28.820791307263111</v>
      </c>
      <c r="L22" s="40">
        <f t="shared" si="55"/>
        <v>28.676687350726795</v>
      </c>
      <c r="M22" s="60">
        <v>-5.0000000000000001E-3</v>
      </c>
    </row>
    <row r="24" spans="1:14" x14ac:dyDescent="0.3">
      <c r="A24" s="180" t="s">
        <v>17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</row>
    <row r="25" spans="1:14" x14ac:dyDescent="0.3">
      <c r="A25" s="74" t="s">
        <v>54</v>
      </c>
      <c r="B25" s="68"/>
      <c r="C25" s="39">
        <v>2013</v>
      </c>
      <c r="D25" s="39">
        <v>2014</v>
      </c>
      <c r="E25" s="39">
        <v>2015</v>
      </c>
      <c r="F25" s="39">
        <v>2016</v>
      </c>
      <c r="G25" s="39">
        <v>2017</v>
      </c>
      <c r="H25" s="39">
        <v>2018</v>
      </c>
      <c r="I25" s="39">
        <v>2019</v>
      </c>
      <c r="J25" s="39">
        <v>2020</v>
      </c>
      <c r="K25" s="39">
        <v>2021</v>
      </c>
      <c r="L25" s="39">
        <v>2022</v>
      </c>
    </row>
    <row r="26" spans="1:14" x14ac:dyDescent="0.3">
      <c r="B26" s="66" t="s">
        <v>143</v>
      </c>
      <c r="C26" s="46">
        <f>C3*C4*C5</f>
        <v>263700</v>
      </c>
      <c r="D26" s="46">
        <f t="shared" ref="D26:L26" si="56">D3*D4*D5</f>
        <v>265005.315</v>
      </c>
      <c r="E26" s="46">
        <f t="shared" si="56"/>
        <v>266317.09130924998</v>
      </c>
      <c r="F26" s="46">
        <f t="shared" si="56"/>
        <v>267635.36091123079</v>
      </c>
      <c r="G26" s="46">
        <f t="shared" si="56"/>
        <v>268960.15594774141</v>
      </c>
      <c r="H26" s="46">
        <f t="shared" si="56"/>
        <v>270291.50871968269</v>
      </c>
      <c r="I26" s="46">
        <f t="shared" si="56"/>
        <v>271629.45168784517</v>
      </c>
      <c r="J26" s="46">
        <f t="shared" si="56"/>
        <v>272974.01747369999</v>
      </c>
      <c r="K26" s="46">
        <f t="shared" si="56"/>
        <v>274325.2388601948</v>
      </c>
      <c r="L26" s="46">
        <f t="shared" si="56"/>
        <v>275683.14879255276</v>
      </c>
    </row>
    <row r="27" spans="1:14" x14ac:dyDescent="0.3">
      <c r="B27" s="66" t="s">
        <v>144</v>
      </c>
      <c r="C27" s="46">
        <f t="shared" ref="C27:L27" si="57">C11*C12*C13</f>
        <v>339570</v>
      </c>
      <c r="D27" s="46">
        <f t="shared" si="57"/>
        <v>342279.76860000001</v>
      </c>
      <c r="E27" s="46">
        <f t="shared" si="57"/>
        <v>345011.16115342797</v>
      </c>
      <c r="F27" s="46">
        <f t="shared" si="57"/>
        <v>347764.35021943232</v>
      </c>
      <c r="G27" s="46">
        <f t="shared" si="57"/>
        <v>350539.50973418343</v>
      </c>
      <c r="H27" s="46">
        <f t="shared" si="57"/>
        <v>353336.81502186222</v>
      </c>
      <c r="I27" s="46">
        <f t="shared" si="57"/>
        <v>356156.44280573673</v>
      </c>
      <c r="J27" s="46">
        <f t="shared" si="57"/>
        <v>358998.57121932652</v>
      </c>
      <c r="K27" s="46">
        <f t="shared" si="57"/>
        <v>361863.37981765671</v>
      </c>
      <c r="L27" s="46">
        <f t="shared" si="57"/>
        <v>364751.04958860169</v>
      </c>
    </row>
    <row r="28" spans="1:14" x14ac:dyDescent="0.3"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14" x14ac:dyDescent="0.3">
      <c r="B29" s="66" t="s">
        <v>145</v>
      </c>
      <c r="C29" s="46">
        <f>C8*C9*C4</f>
        <v>102550</v>
      </c>
      <c r="D29" s="46">
        <f t="shared" ref="D29:L29" si="58">D8*D9*D4</f>
        <v>103575.49999999999</v>
      </c>
      <c r="E29" s="46">
        <f t="shared" si="58"/>
        <v>104611.25499999999</v>
      </c>
      <c r="F29" s="46">
        <f t="shared" si="58"/>
        <v>105657.36755000001</v>
      </c>
      <c r="G29" s="46">
        <f t="shared" si="58"/>
        <v>106713.94122549999</v>
      </c>
      <c r="H29" s="46">
        <f t="shared" si="58"/>
        <v>107781.080637755</v>
      </c>
      <c r="I29" s="46">
        <f t="shared" si="58"/>
        <v>108858.89144413255</v>
      </c>
      <c r="J29" s="46">
        <f t="shared" si="58"/>
        <v>109947.48035857387</v>
      </c>
      <c r="K29" s="46">
        <f t="shared" si="58"/>
        <v>111046.95516215962</v>
      </c>
      <c r="L29" s="46">
        <f t="shared" si="58"/>
        <v>112157.42471378121</v>
      </c>
    </row>
    <row r="30" spans="1:14" x14ac:dyDescent="0.3">
      <c r="B30" s="66" t="s">
        <v>146</v>
      </c>
      <c r="C30" s="47">
        <f>C17*C16*C12</f>
        <v>215061.00000000003</v>
      </c>
      <c r="D30" s="47">
        <f t="shared" ref="D30:L30" si="59">D17*D16*D12</f>
        <v>221555.84219999998</v>
      </c>
      <c r="E30" s="47">
        <f t="shared" si="59"/>
        <v>228246.82863444003</v>
      </c>
      <c r="F30" s="47">
        <f t="shared" si="59"/>
        <v>235139.88285920006</v>
      </c>
      <c r="G30" s="47">
        <f t="shared" si="59"/>
        <v>242241.10732154793</v>
      </c>
      <c r="H30" s="47">
        <f t="shared" si="59"/>
        <v>249556.78876265875</v>
      </c>
      <c r="I30" s="47">
        <f t="shared" si="59"/>
        <v>257093.40378329105</v>
      </c>
      <c r="J30" s="47">
        <f t="shared" si="59"/>
        <v>264857.62457754649</v>
      </c>
      <c r="K30" s="47">
        <f t="shared" si="59"/>
        <v>272856.32483978843</v>
      </c>
      <c r="L30" s="47">
        <f t="shared" si="59"/>
        <v>281096.58584994997</v>
      </c>
    </row>
    <row r="31" spans="1:14" x14ac:dyDescent="0.3">
      <c r="A31" s="40" t="s">
        <v>52</v>
      </c>
      <c r="C31" s="40">
        <f>SUM(C26:C30)</f>
        <v>920881</v>
      </c>
      <c r="D31" s="40">
        <f t="shared" ref="D31:L31" si="60">SUM(D26:D30)</f>
        <v>932416.42579999997</v>
      </c>
      <c r="E31" s="40">
        <f t="shared" si="60"/>
        <v>944186.33609711798</v>
      </c>
      <c r="F31" s="40">
        <f t="shared" si="60"/>
        <v>956196.96153986314</v>
      </c>
      <c r="G31" s="40">
        <f t="shared" si="60"/>
        <v>968454.71422897279</v>
      </c>
      <c r="H31" s="40">
        <f t="shared" si="60"/>
        <v>980966.19314195868</v>
      </c>
      <c r="I31" s="40">
        <f t="shared" si="60"/>
        <v>993738.1897210055</v>
      </c>
      <c r="J31" s="40">
        <f t="shared" si="60"/>
        <v>1006777.6936291468</v>
      </c>
      <c r="K31" s="40">
        <f t="shared" si="60"/>
        <v>1020091.8986797996</v>
      </c>
      <c r="L31" s="40">
        <f t="shared" si="60"/>
        <v>1033688.2089448856</v>
      </c>
    </row>
    <row r="32" spans="1:14" x14ac:dyDescent="0.3">
      <c r="A32" s="73" t="s">
        <v>84</v>
      </c>
      <c r="B32" s="68"/>
      <c r="C32" s="81"/>
      <c r="D32" s="46"/>
      <c r="E32" s="46"/>
      <c r="F32" s="46"/>
      <c r="G32" s="46"/>
      <c r="H32" s="46"/>
      <c r="I32" s="46"/>
      <c r="J32" s="46"/>
      <c r="K32" s="46"/>
      <c r="L32" s="46"/>
    </row>
    <row r="33" spans="1:15" x14ac:dyDescent="0.3">
      <c r="B33" s="69" t="s">
        <v>15</v>
      </c>
      <c r="C33" s="46">
        <f t="shared" ref="C33:L33" si="61">C3*C4*C6</f>
        <v>117200</v>
      </c>
      <c r="D33" s="46">
        <f t="shared" si="61"/>
        <v>117780.14</v>
      </c>
      <c r="E33" s="46">
        <f t="shared" si="61"/>
        <v>118363.15169300001</v>
      </c>
      <c r="F33" s="46">
        <f t="shared" si="61"/>
        <v>118949.04929388037</v>
      </c>
      <c r="G33" s="46">
        <f t="shared" si="61"/>
        <v>119537.84708788508</v>
      </c>
      <c r="H33" s="46">
        <f t="shared" si="61"/>
        <v>120129.5594309701</v>
      </c>
      <c r="I33" s="46">
        <f t="shared" si="61"/>
        <v>120724.20075015341</v>
      </c>
      <c r="J33" s="46">
        <f t="shared" si="61"/>
        <v>121321.78554386666</v>
      </c>
      <c r="K33" s="46">
        <f t="shared" si="61"/>
        <v>121922.3283823088</v>
      </c>
      <c r="L33" s="46">
        <f t="shared" si="61"/>
        <v>122525.84390780122</v>
      </c>
    </row>
    <row r="34" spans="1:15" x14ac:dyDescent="0.3">
      <c r="B34" s="69" t="s">
        <v>16</v>
      </c>
      <c r="C34" s="46">
        <f t="shared" ref="C34:L34" si="62">C11*C12*C14</f>
        <v>202125</v>
      </c>
      <c r="D34" s="46">
        <f t="shared" si="62"/>
        <v>203125.51875000002</v>
      </c>
      <c r="E34" s="46">
        <f t="shared" si="62"/>
        <v>204130.9900678125</v>
      </c>
      <c r="F34" s="46">
        <f t="shared" si="62"/>
        <v>205141.43846864815</v>
      </c>
      <c r="G34" s="46">
        <f t="shared" si="62"/>
        <v>206156.888589068</v>
      </c>
      <c r="H34" s="46">
        <f t="shared" si="62"/>
        <v>207177.36518758387</v>
      </c>
      <c r="I34" s="46">
        <f t="shared" si="62"/>
        <v>208202.89314526238</v>
      </c>
      <c r="J34" s="46">
        <f t="shared" si="62"/>
        <v>209233.49746633146</v>
      </c>
      <c r="K34" s="46">
        <f t="shared" si="62"/>
        <v>210269.20327878979</v>
      </c>
      <c r="L34" s="46">
        <f t="shared" si="62"/>
        <v>211310.03583501981</v>
      </c>
    </row>
    <row r="35" spans="1:15" x14ac:dyDescent="0.3">
      <c r="A35" s="74" t="s">
        <v>119</v>
      </c>
      <c r="B35" s="68"/>
    </row>
    <row r="36" spans="1:15" x14ac:dyDescent="0.3">
      <c r="B36" s="66" t="s">
        <v>61</v>
      </c>
      <c r="C36" s="46">
        <f>'Labor Expenses'!F6</f>
        <v>184590</v>
      </c>
      <c r="D36" s="46">
        <f t="shared" ref="D36:L36" si="63">C36*(1+$M36)</f>
        <v>188281.80000000002</v>
      </c>
      <c r="E36" s="46">
        <f t="shared" si="63"/>
        <v>192047.43600000002</v>
      </c>
      <c r="F36" s="46">
        <f t="shared" si="63"/>
        <v>195888.38472000003</v>
      </c>
      <c r="G36" s="46">
        <f t="shared" si="63"/>
        <v>199806.15241440004</v>
      </c>
      <c r="H36" s="46">
        <f t="shared" si="63"/>
        <v>203802.27546268803</v>
      </c>
      <c r="I36" s="46">
        <f t="shared" si="63"/>
        <v>207878.32097194181</v>
      </c>
      <c r="J36" s="46">
        <f t="shared" si="63"/>
        <v>212035.88739138065</v>
      </c>
      <c r="K36" s="46">
        <f t="shared" si="63"/>
        <v>216276.60513920826</v>
      </c>
      <c r="L36" s="46">
        <f t="shared" si="63"/>
        <v>220602.13724199243</v>
      </c>
      <c r="M36" s="60">
        <v>0.02</v>
      </c>
    </row>
    <row r="37" spans="1:15" x14ac:dyDescent="0.3">
      <c r="B37" s="66" t="s">
        <v>62</v>
      </c>
      <c r="C37" s="46">
        <f>'Labor Expenses'!A6</f>
        <v>90493.2</v>
      </c>
      <c r="D37" s="46">
        <f t="shared" ref="D37:L37" si="64">C37*(1+$M37)</f>
        <v>92303.063999999998</v>
      </c>
      <c r="E37" s="46">
        <f t="shared" si="64"/>
        <v>94149.125279999993</v>
      </c>
      <c r="F37" s="46">
        <f t="shared" si="64"/>
        <v>96032.10778559999</v>
      </c>
      <c r="G37" s="46">
        <f t="shared" si="64"/>
        <v>97952.749941311995</v>
      </c>
      <c r="H37" s="46">
        <f t="shared" si="64"/>
        <v>99911.80494013823</v>
      </c>
      <c r="I37" s="46">
        <f t="shared" si="64"/>
        <v>101910.041038941</v>
      </c>
      <c r="J37" s="46">
        <f t="shared" si="64"/>
        <v>103948.24185971981</v>
      </c>
      <c r="K37" s="46">
        <f t="shared" si="64"/>
        <v>106027.2066969142</v>
      </c>
      <c r="L37" s="46">
        <f t="shared" si="64"/>
        <v>108147.75083085248</v>
      </c>
      <c r="M37" s="60">
        <v>0.02</v>
      </c>
    </row>
    <row r="38" spans="1:15" x14ac:dyDescent="0.3">
      <c r="B38" s="66" t="s">
        <v>63</v>
      </c>
      <c r="C38" s="46">
        <f>'Labor Expenses'!A15</f>
        <v>88000</v>
      </c>
      <c r="D38" s="46">
        <f t="shared" ref="D38:L38" si="65">C38*(1+$M38)</f>
        <v>89760</v>
      </c>
      <c r="E38" s="46">
        <f t="shared" si="65"/>
        <v>91555.199999999997</v>
      </c>
      <c r="F38" s="46">
        <f>E38*(1+$M38)</f>
        <v>93386.304000000004</v>
      </c>
      <c r="G38" s="46">
        <f t="shared" si="65"/>
        <v>95254.030080000011</v>
      </c>
      <c r="H38" s="46">
        <f t="shared" si="65"/>
        <v>97159.11068160001</v>
      </c>
      <c r="I38" s="46">
        <f t="shared" si="65"/>
        <v>99102.292895232007</v>
      </c>
      <c r="J38" s="46">
        <f t="shared" si="65"/>
        <v>101084.33875313665</v>
      </c>
      <c r="K38" s="46">
        <f t="shared" si="65"/>
        <v>103106.02552819937</v>
      </c>
      <c r="L38" s="46">
        <f t="shared" si="65"/>
        <v>105168.14603876337</v>
      </c>
      <c r="M38" s="60">
        <v>0.02</v>
      </c>
    </row>
    <row r="39" spans="1:15" x14ac:dyDescent="0.3">
      <c r="A39" s="75"/>
      <c r="B39" s="66" t="s">
        <v>176</v>
      </c>
      <c r="C39" s="46">
        <f>'Labor Expenses'!F15</f>
        <v>41600</v>
      </c>
      <c r="D39" s="46">
        <f t="shared" ref="D39:L39" si="66">C39*(1+$M39)</f>
        <v>42432</v>
      </c>
      <c r="E39" s="46">
        <f t="shared" si="66"/>
        <v>43280.639999999999</v>
      </c>
      <c r="F39" s="46">
        <f t="shared" si="66"/>
        <v>44146.252800000002</v>
      </c>
      <c r="G39" s="46">
        <f t="shared" si="66"/>
        <v>45029.177856000002</v>
      </c>
      <c r="H39" s="46">
        <f t="shared" si="66"/>
        <v>45929.761413120003</v>
      </c>
      <c r="I39" s="46">
        <f t="shared" si="66"/>
        <v>46848.356641382401</v>
      </c>
      <c r="J39" s="46">
        <f t="shared" si="66"/>
        <v>47785.323774210046</v>
      </c>
      <c r="K39" s="46">
        <f t="shared" si="66"/>
        <v>48741.030249694246</v>
      </c>
      <c r="L39" s="46">
        <f t="shared" si="66"/>
        <v>49715.850854688135</v>
      </c>
      <c r="M39" s="60">
        <v>0.02</v>
      </c>
    </row>
    <row r="40" spans="1:15" x14ac:dyDescent="0.3">
      <c r="A40" s="75"/>
      <c r="B40" s="66" t="s">
        <v>113</v>
      </c>
      <c r="C40" s="46">
        <f>'Other Expenses'!A22</f>
        <v>9698.9666666666672</v>
      </c>
      <c r="D40" s="46">
        <f t="shared" ref="D40:L40" si="67">C40*(1+$M40)</f>
        <v>9892.9459999999999</v>
      </c>
      <c r="E40" s="46">
        <f t="shared" si="67"/>
        <v>10090.80492</v>
      </c>
      <c r="F40" s="46">
        <f t="shared" si="67"/>
        <v>10292.621018400001</v>
      </c>
      <c r="G40" s="46">
        <f t="shared" si="67"/>
        <v>10498.473438768002</v>
      </c>
      <c r="H40" s="46">
        <f t="shared" si="67"/>
        <v>10708.442907543362</v>
      </c>
      <c r="I40" s="46">
        <f t="shared" si="67"/>
        <v>10922.61176569423</v>
      </c>
      <c r="J40" s="46">
        <f t="shared" si="67"/>
        <v>11141.064001008115</v>
      </c>
      <c r="K40" s="46">
        <f t="shared" si="67"/>
        <v>11363.885281028277</v>
      </c>
      <c r="L40" s="46">
        <f t="shared" si="67"/>
        <v>11591.162986648842</v>
      </c>
      <c r="M40" s="60">
        <v>0.02</v>
      </c>
    </row>
    <row r="41" spans="1:15" x14ac:dyDescent="0.3">
      <c r="A41" s="75"/>
      <c r="B41" s="69" t="s">
        <v>117</v>
      </c>
      <c r="C41" s="46">
        <f>'Other Expenses'!E21</f>
        <v>1440</v>
      </c>
      <c r="D41" s="46">
        <f t="shared" ref="D41:K41" si="68">C41*(1+$M41)</f>
        <v>1468.8</v>
      </c>
      <c r="E41" s="46">
        <f t="shared" si="68"/>
        <v>1498.1759999999999</v>
      </c>
      <c r="F41" s="46">
        <f t="shared" si="68"/>
        <v>1528.1395199999999</v>
      </c>
      <c r="G41" s="46">
        <f t="shared" si="68"/>
        <v>1558.7023104</v>
      </c>
      <c r="H41" s="46">
        <f t="shared" si="68"/>
        <v>1589.8763566079999</v>
      </c>
      <c r="I41" s="46">
        <f t="shared" si="68"/>
        <v>1621.6738837401599</v>
      </c>
      <c r="J41" s="46">
        <f t="shared" si="68"/>
        <v>1654.1073614149632</v>
      </c>
      <c r="K41" s="46">
        <f t="shared" si="68"/>
        <v>1687.1895086432626</v>
      </c>
      <c r="L41" s="46">
        <f>K41*(1+$M41)</f>
        <v>1720.9332988161279</v>
      </c>
      <c r="M41" s="60">
        <v>0.02</v>
      </c>
    </row>
    <row r="42" spans="1:15" x14ac:dyDescent="0.3">
      <c r="A42" s="75"/>
      <c r="B42" s="66" t="s">
        <v>18</v>
      </c>
      <c r="C42" s="46">
        <f>'Other Expenses'!A5+'Other Expenses'!E5+'Other Expenses'!I3</f>
        <v>4306.1000000000004</v>
      </c>
      <c r="D42" s="46">
        <f t="shared" ref="D42:L42" si="69">C42*(1+$M42)</f>
        <v>4392.2220000000007</v>
      </c>
      <c r="E42" s="46">
        <f t="shared" si="69"/>
        <v>4480.0664400000005</v>
      </c>
      <c r="F42" s="46">
        <f t="shared" si="69"/>
        <v>4569.6677688000009</v>
      </c>
      <c r="G42" s="46">
        <f t="shared" si="69"/>
        <v>4661.0611241760007</v>
      </c>
      <c r="H42" s="46">
        <f t="shared" si="69"/>
        <v>4754.282346659521</v>
      </c>
      <c r="I42" s="46">
        <f t="shared" si="69"/>
        <v>4849.3679935927112</v>
      </c>
      <c r="J42" s="46">
        <f t="shared" si="69"/>
        <v>4946.3553534645653</v>
      </c>
      <c r="K42" s="46">
        <f t="shared" si="69"/>
        <v>5045.2824605338565</v>
      </c>
      <c r="L42" s="46">
        <f t="shared" si="69"/>
        <v>5146.1881097445339</v>
      </c>
      <c r="M42" s="60">
        <v>0.02</v>
      </c>
    </row>
    <row r="43" spans="1:15" x14ac:dyDescent="0.3">
      <c r="A43" s="75"/>
      <c r="B43" s="66" t="s">
        <v>141</v>
      </c>
      <c r="C43" s="46">
        <f>'Other Expenses'!A9</f>
        <v>1176</v>
      </c>
      <c r="D43" s="46">
        <f t="shared" ref="D43:L43" si="70">C43*(1+$M43)</f>
        <v>1176</v>
      </c>
      <c r="E43" s="46">
        <f t="shared" si="70"/>
        <v>1176</v>
      </c>
      <c r="F43" s="46">
        <f t="shared" si="70"/>
        <v>1176</v>
      </c>
      <c r="G43" s="46">
        <f t="shared" si="70"/>
        <v>1176</v>
      </c>
      <c r="H43" s="46">
        <f t="shared" si="70"/>
        <v>1176</v>
      </c>
      <c r="I43" s="46">
        <f t="shared" si="70"/>
        <v>1176</v>
      </c>
      <c r="J43" s="46">
        <f t="shared" si="70"/>
        <v>1176</v>
      </c>
      <c r="K43" s="46">
        <f t="shared" si="70"/>
        <v>1176</v>
      </c>
      <c r="L43" s="46">
        <f t="shared" si="70"/>
        <v>1176</v>
      </c>
      <c r="M43" s="60">
        <v>0</v>
      </c>
    </row>
    <row r="44" spans="1:15" x14ac:dyDescent="0.3">
      <c r="A44" s="75"/>
      <c r="B44" s="66" t="s">
        <v>73</v>
      </c>
      <c r="C44" s="46">
        <f>'Other Expenses'!E9</f>
        <v>6000</v>
      </c>
      <c r="D44" s="46">
        <f t="shared" ref="D44:L44" si="71">C44*(1+$M44)</f>
        <v>6120</v>
      </c>
      <c r="E44" s="46">
        <f t="shared" si="71"/>
        <v>6242.4000000000005</v>
      </c>
      <c r="F44" s="46">
        <f t="shared" si="71"/>
        <v>6367.2480000000005</v>
      </c>
      <c r="G44" s="46">
        <f t="shared" si="71"/>
        <v>6494.5929600000009</v>
      </c>
      <c r="H44" s="46">
        <f t="shared" si="71"/>
        <v>6624.4848192000009</v>
      </c>
      <c r="I44" s="46">
        <f t="shared" si="71"/>
        <v>6756.974515584001</v>
      </c>
      <c r="J44" s="46">
        <f t="shared" si="71"/>
        <v>6892.1140058956807</v>
      </c>
      <c r="K44" s="46">
        <f t="shared" si="71"/>
        <v>7029.9562860135948</v>
      </c>
      <c r="L44" s="46">
        <f t="shared" si="71"/>
        <v>7170.555411733867</v>
      </c>
      <c r="M44" s="60">
        <v>0.02</v>
      </c>
    </row>
    <row r="45" spans="1:15" x14ac:dyDescent="0.3">
      <c r="A45" s="75"/>
      <c r="B45" s="66" t="s">
        <v>77</v>
      </c>
      <c r="C45" s="46">
        <f>'Other Expenses'!$A$12*(Forecast!C26+Forecast!C27)</f>
        <v>18098.099999999999</v>
      </c>
      <c r="D45" s="46">
        <f>'Other Expenses'!$A$12*(Forecast!D26+Forecast!D27)</f>
        <v>18218.552508000001</v>
      </c>
      <c r="E45" s="46">
        <f>'Other Expenses'!$A$12*(Forecast!E26+Forecast!E27)</f>
        <v>18339.847573880335</v>
      </c>
      <c r="F45" s="46">
        <f>'Other Expenses'!$A$12*(Forecast!F26+Forecast!F27)</f>
        <v>18461.99133391989</v>
      </c>
      <c r="G45" s="46">
        <f>'Other Expenses'!$A$12*(Forecast!G26+Forecast!G27)</f>
        <v>18584.989970457747</v>
      </c>
      <c r="H45" s="46">
        <f>'Other Expenses'!$A$12*(Forecast!H26+Forecast!H27)</f>
        <v>18708.849712246349</v>
      </c>
      <c r="I45" s="46">
        <f>'Other Expenses'!$A$12*(Forecast!I26+Forecast!I27)</f>
        <v>18833.57683480746</v>
      </c>
      <c r="J45" s="46">
        <f>'Other Expenses'!$A$12*(Forecast!J26+Forecast!J27)</f>
        <v>18959.177660790792</v>
      </c>
      <c r="K45" s="46">
        <f>'Other Expenses'!$A$12*(Forecast!K26+Forecast!K27)</f>
        <v>19085.658560335545</v>
      </c>
      <c r="L45" s="46">
        <f>'Other Expenses'!$A$12*(Forecast!L26+Forecast!L27)</f>
        <v>19213.025951434633</v>
      </c>
    </row>
    <row r="46" spans="1:15" x14ac:dyDescent="0.3">
      <c r="A46" s="75"/>
      <c r="B46" s="66" t="s">
        <v>140</v>
      </c>
      <c r="C46" s="55">
        <f>'Depreciation schedules'!M6</f>
        <v>16666.666666666668</v>
      </c>
      <c r="D46" s="55">
        <f>'Depreciation schedules'!M7</f>
        <v>16666.666666666668</v>
      </c>
      <c r="E46" s="55">
        <f>'Depreciation schedules'!M8</f>
        <v>16666.666666666668</v>
      </c>
      <c r="F46" s="55">
        <f>'Depreciation schedules'!M9</f>
        <v>16666.666666666668</v>
      </c>
      <c r="G46" s="55">
        <f>'Depreciation schedules'!M10</f>
        <v>16666.666666666668</v>
      </c>
      <c r="H46" s="55">
        <f>'Depreciation schedules'!M11</f>
        <v>18666.666666666668</v>
      </c>
      <c r="I46" s="55">
        <f>'Depreciation schedules'!M12</f>
        <v>18666.666666666668</v>
      </c>
      <c r="J46" s="55">
        <f>'Depreciation schedules'!M13</f>
        <v>18666.666666666668</v>
      </c>
      <c r="K46" s="55">
        <f>'Depreciation schedules'!M14</f>
        <v>20939.39393939394</v>
      </c>
      <c r="L46" s="55">
        <f>'Depreciation schedules'!M15</f>
        <v>20939.39393939394</v>
      </c>
    </row>
    <row r="47" spans="1:15" x14ac:dyDescent="0.3">
      <c r="A47" s="75"/>
      <c r="B47" s="66" t="s">
        <v>139</v>
      </c>
      <c r="C47" s="46">
        <f>'Depreciation schedules'!M54</f>
        <v>30000</v>
      </c>
      <c r="D47" s="46">
        <f>'Depreciation schedules'!M55</f>
        <v>30000</v>
      </c>
      <c r="E47" s="46">
        <f>'Depreciation schedules'!M56</f>
        <v>30000</v>
      </c>
      <c r="F47" s="46">
        <f>'Depreciation schedules'!M57</f>
        <v>40000</v>
      </c>
      <c r="G47" s="46">
        <f>'Depreciation schedules'!M58</f>
        <v>40000</v>
      </c>
      <c r="H47" s="46">
        <f>'Depreciation schedules'!M59</f>
        <v>10000</v>
      </c>
      <c r="I47" s="46">
        <f>'Depreciation schedules'!M60</f>
        <v>10000</v>
      </c>
      <c r="J47" s="46">
        <f>'Depreciation schedules'!M61</f>
        <v>10000</v>
      </c>
      <c r="K47" s="46">
        <f>'Depreciation schedules'!M62</f>
        <v>0</v>
      </c>
      <c r="L47" s="46">
        <f>'Depreciation schedules'!M63</f>
        <v>0</v>
      </c>
      <c r="O47" s="48"/>
    </row>
    <row r="48" spans="1:15" x14ac:dyDescent="0.3">
      <c r="A48" s="75"/>
      <c r="B48" s="69" t="s">
        <v>138</v>
      </c>
      <c r="C48" s="46">
        <f>'Depreciation schedules'!M40</f>
        <v>6000</v>
      </c>
      <c r="D48" s="46">
        <f>'Depreciation schedules'!M41</f>
        <v>6000</v>
      </c>
      <c r="E48" s="46">
        <f>'Depreciation schedules'!M42</f>
        <v>12000</v>
      </c>
      <c r="F48" s="46">
        <f>'Depreciation schedules'!M43</f>
        <v>12000</v>
      </c>
      <c r="G48" s="46">
        <f>'Depreciation schedules'!M44</f>
        <v>12000</v>
      </c>
      <c r="H48" s="40">
        <f>'Depreciation schedules'!M45</f>
        <v>6000</v>
      </c>
      <c r="I48" s="40">
        <f>'Depreciation schedules'!M46</f>
        <v>6000</v>
      </c>
      <c r="J48" s="40">
        <f>'Depreciation schedules'!M47</f>
        <v>0</v>
      </c>
      <c r="K48" s="40">
        <f>'Depreciation schedules'!M48</f>
        <v>0</v>
      </c>
      <c r="L48" s="40">
        <f>'Depreciation schedules'!M49</f>
        <v>0</v>
      </c>
    </row>
    <row r="49" spans="1:14" x14ac:dyDescent="0.3">
      <c r="A49" s="75"/>
      <c r="B49" s="69" t="s">
        <v>111</v>
      </c>
      <c r="C49" s="46">
        <f>C67*$N$49</f>
        <v>1500</v>
      </c>
      <c r="D49" s="46">
        <f t="shared" ref="D49:L49" si="72">D67*$N$49</f>
        <v>1500</v>
      </c>
      <c r="E49" s="46">
        <f t="shared" si="72"/>
        <v>2000</v>
      </c>
      <c r="F49" s="46">
        <f t="shared" si="72"/>
        <v>2000</v>
      </c>
      <c r="G49" s="46">
        <f t="shared" si="72"/>
        <v>2000</v>
      </c>
      <c r="H49" s="46">
        <f t="shared" si="72"/>
        <v>2000</v>
      </c>
      <c r="I49" s="46">
        <f t="shared" si="72"/>
        <v>2000</v>
      </c>
      <c r="J49" s="46">
        <f t="shared" si="72"/>
        <v>2000</v>
      </c>
      <c r="K49" s="46">
        <f t="shared" si="72"/>
        <v>2000</v>
      </c>
      <c r="L49" s="46">
        <f t="shared" si="72"/>
        <v>2000</v>
      </c>
      <c r="N49" s="61">
        <v>0.01</v>
      </c>
    </row>
    <row r="50" spans="1:14" x14ac:dyDescent="0.3">
      <c r="A50" s="75"/>
      <c r="B50" s="66" t="s">
        <v>124</v>
      </c>
      <c r="C50" s="46">
        <f>'Other Expenses'!A27</f>
        <v>4405.6899999999996</v>
      </c>
      <c r="D50" s="46">
        <f t="shared" ref="D50" si="73">C50*(1+$M50)</f>
        <v>4493.8037999999997</v>
      </c>
      <c r="E50" s="46">
        <f t="shared" ref="E50" si="74">D50*(1+$M50)</f>
        <v>4583.6798760000001</v>
      </c>
      <c r="F50" s="46">
        <f t="shared" ref="F50" si="75">E50*(1+$M50)</f>
        <v>4675.3534735200001</v>
      </c>
      <c r="G50" s="46">
        <f t="shared" ref="G50" si="76">F50*(1+$M50)</f>
        <v>4768.8605429904001</v>
      </c>
      <c r="H50" s="46">
        <f t="shared" ref="H50" si="77">G50*(1+$M50)</f>
        <v>4864.2377538502078</v>
      </c>
      <c r="I50" s="46">
        <f t="shared" ref="I50" si="78">H50*(1+$M50)</f>
        <v>4961.5225089272117</v>
      </c>
      <c r="J50" s="46">
        <f t="shared" ref="J50" si="79">I50*(1+$M50)</f>
        <v>5060.7529591057564</v>
      </c>
      <c r="K50" s="46">
        <f t="shared" ref="K50" si="80">J50*(1+$M50)</f>
        <v>5161.9680182878719</v>
      </c>
      <c r="L50" s="46">
        <f t="shared" ref="L50" si="81">K50*(1+$M50)</f>
        <v>5265.2073786536293</v>
      </c>
      <c r="M50" s="60">
        <v>0.02</v>
      </c>
      <c r="N50" s="62"/>
    </row>
    <row r="51" spans="1:14" x14ac:dyDescent="0.3">
      <c r="B51" s="66" t="s">
        <v>136</v>
      </c>
      <c r="C51" s="46">
        <f>Mortgage!G13</f>
        <v>22493.990083218396</v>
      </c>
      <c r="D51" s="46">
        <f>Mortgage!G25</f>
        <v>22104.308729328521</v>
      </c>
      <c r="E51" s="46">
        <f>Mortgage!G37</f>
        <v>21697.739475472608</v>
      </c>
      <c r="F51" s="46">
        <f>Mortgage!G49</f>
        <v>21273.550438632883</v>
      </c>
      <c r="G51" s="46">
        <f>Mortgage!G61</f>
        <v>20830.978017652957</v>
      </c>
      <c r="H51" s="46">
        <f>Mortgage!G73</f>
        <v>20369.225518646137</v>
      </c>
      <c r="I51" s="46">
        <f>Mortgage!G85</f>
        <v>19887.4617208321</v>
      </c>
      <c r="J51" s="46">
        <f>Mortgage!G97</f>
        <v>19384.81938022016</v>
      </c>
      <c r="K51" s="46">
        <f>Mortgage!G109</f>
        <v>18860.393668445577</v>
      </c>
      <c r="L51" s="46">
        <f>Mortgage!G121</f>
        <v>18313.240543948632</v>
      </c>
    </row>
    <row r="52" spans="1:14" x14ac:dyDescent="0.3">
      <c r="B52" s="66" t="s">
        <v>137</v>
      </c>
      <c r="C52" s="47">
        <f>C79*'Other Expenses'!$E$16</f>
        <v>28013.083055328811</v>
      </c>
      <c r="D52" s="47">
        <f>D79*'Other Expenses'!$E$16</f>
        <v>25564.534758164809</v>
      </c>
      <c r="E52" s="47">
        <f>E79*'Other Expenses'!$E$16</f>
        <v>25752.456703244818</v>
      </c>
      <c r="F52" s="47">
        <f>F79*'Other Expenses'!$E$16</f>
        <v>21351.654677795992</v>
      </c>
      <c r="G52" s="47">
        <f>G79*'Other Expenses'!$E$16</f>
        <v>20689.288608334296</v>
      </c>
      <c r="H52" s="47">
        <f>H79*'Other Expenses'!$E$16</f>
        <v>14539.130524986596</v>
      </c>
      <c r="I52" s="47">
        <f>I79*'Other Expenses'!$E$16</f>
        <v>9014.1934350850006</v>
      </c>
      <c r="J52" s="47">
        <f>J79*'Other Expenses'!$E$16</f>
        <v>6416.3346730768208</v>
      </c>
      <c r="K52" s="47">
        <f>K79*'Other Expenses'!$E$16</f>
        <v>0</v>
      </c>
      <c r="L52" s="47">
        <f>L79*'Other Expenses'!$E$16</f>
        <v>0</v>
      </c>
    </row>
    <row r="53" spans="1:14" x14ac:dyDescent="0.3">
      <c r="A53" s="75" t="s">
        <v>79</v>
      </c>
      <c r="B53" s="66"/>
      <c r="C53" s="46">
        <f t="shared" ref="C53:L53" si="82">SUM(C33:C52)</f>
        <v>873806.7964718804</v>
      </c>
      <c r="D53" s="46">
        <f t="shared" si="82"/>
        <v>881280.35721216002</v>
      </c>
      <c r="E53" s="46">
        <f t="shared" si="82"/>
        <v>898054.3806960769</v>
      </c>
      <c r="F53" s="46">
        <f t="shared" si="82"/>
        <v>913906.42996586394</v>
      </c>
      <c r="G53" s="46">
        <f t="shared" si="82"/>
        <v>923666.45960811118</v>
      </c>
      <c r="H53" s="46">
        <f t="shared" si="82"/>
        <v>894111.07372250711</v>
      </c>
      <c r="I53" s="46">
        <f t="shared" si="82"/>
        <v>899356.1547678425</v>
      </c>
      <c r="J53" s="46">
        <f t="shared" si="82"/>
        <v>901706.46685028891</v>
      </c>
      <c r="K53" s="46">
        <f t="shared" si="82"/>
        <v>898692.12699779647</v>
      </c>
      <c r="L53" s="46">
        <f t="shared" si="82"/>
        <v>910005.47232949163</v>
      </c>
    </row>
    <row r="54" spans="1:14" x14ac:dyDescent="0.3">
      <c r="A54" s="75" t="s">
        <v>19</v>
      </c>
      <c r="B54" s="66"/>
      <c r="C54" s="49">
        <f t="shared" ref="C54:L54" si="83">C31-C53</f>
        <v>47074.2035281196</v>
      </c>
      <c r="D54" s="49">
        <f t="shared" si="83"/>
        <v>51136.068587839953</v>
      </c>
      <c r="E54" s="49">
        <f t="shared" si="83"/>
        <v>46131.955401041079</v>
      </c>
      <c r="F54" s="49">
        <f t="shared" si="83"/>
        <v>42290.531573999207</v>
      </c>
      <c r="G54" s="49">
        <f t="shared" si="83"/>
        <v>44788.254620861611</v>
      </c>
      <c r="H54" s="49">
        <f t="shared" si="83"/>
        <v>86855.11941945157</v>
      </c>
      <c r="I54" s="49">
        <f t="shared" si="83"/>
        <v>94382.034953163005</v>
      </c>
      <c r="J54" s="49">
        <f t="shared" si="83"/>
        <v>105071.22677885788</v>
      </c>
      <c r="K54" s="49">
        <f t="shared" si="83"/>
        <v>121399.77168200316</v>
      </c>
      <c r="L54" s="49">
        <f t="shared" si="83"/>
        <v>123682.73661539401</v>
      </c>
    </row>
    <row r="55" spans="1:14" x14ac:dyDescent="0.3">
      <c r="A55" s="75" t="s">
        <v>20</v>
      </c>
      <c r="B55" s="66"/>
      <c r="C55" s="46">
        <f>IF(C54&lt;0,0,C54*'Other Expenses'!$A$16)</f>
        <v>16475.971234841858</v>
      </c>
      <c r="D55" s="46">
        <f>IF(D54&lt;0,0,D54*'Other Expenses'!$A$16)</f>
        <v>17897.624005743983</v>
      </c>
      <c r="E55" s="46">
        <f>IF(E54&lt;0,0,E54*'Other Expenses'!$A$16)</f>
        <v>16146.184390364377</v>
      </c>
      <c r="F55" s="46">
        <f>IF(F54&lt;0,0,F54*'Other Expenses'!$A$16)</f>
        <v>14801.686050899722</v>
      </c>
      <c r="G55" s="46">
        <f>IF(G54&lt;0,0,G54*'Other Expenses'!$A$16)</f>
        <v>15675.889117301564</v>
      </c>
      <c r="H55" s="46">
        <f>IF(H54&lt;0,0,H54*'Other Expenses'!$A$16)</f>
        <v>30399.291796808047</v>
      </c>
      <c r="I55" s="46">
        <f>IF(I54&lt;0,0,I54*'Other Expenses'!$A$16)</f>
        <v>33033.712233607053</v>
      </c>
      <c r="J55" s="46">
        <f>IF(J54&lt;0,0,J54*'Other Expenses'!$A$16)</f>
        <v>36774.929372600251</v>
      </c>
      <c r="K55" s="46">
        <f>IF(K54&lt;0,0,K54*'Other Expenses'!$A$16)</f>
        <v>42489.920088701103</v>
      </c>
      <c r="L55" s="46">
        <f>IF(L54&lt;0,0,L54*'Other Expenses'!$A$16)</f>
        <v>43288.957815387897</v>
      </c>
    </row>
    <row r="56" spans="1:14" ht="19.5" thickBot="1" x14ac:dyDescent="0.35">
      <c r="A56" s="74" t="s">
        <v>21</v>
      </c>
      <c r="B56" s="66"/>
      <c r="C56" s="50">
        <f>C54-C55</f>
        <v>30598.232293277742</v>
      </c>
      <c r="D56" s="50">
        <f t="shared" ref="D56:L56" si="84">D54-D55</f>
        <v>33238.444582095966</v>
      </c>
      <c r="E56" s="50">
        <f t="shared" si="84"/>
        <v>29985.771010676704</v>
      </c>
      <c r="F56" s="50">
        <f t="shared" si="84"/>
        <v>27488.845523099488</v>
      </c>
      <c r="G56" s="50">
        <f t="shared" si="84"/>
        <v>29112.365503560046</v>
      </c>
      <c r="H56" s="50">
        <f t="shared" si="84"/>
        <v>56455.827622643526</v>
      </c>
      <c r="I56" s="50">
        <f t="shared" si="84"/>
        <v>61348.322719555952</v>
      </c>
      <c r="J56" s="50">
        <f t="shared" si="84"/>
        <v>68296.297406257625</v>
      </c>
      <c r="K56" s="50">
        <f t="shared" si="84"/>
        <v>78909.851593302068</v>
      </c>
      <c r="L56" s="50">
        <f t="shared" si="84"/>
        <v>80393.778800006112</v>
      </c>
    </row>
    <row r="57" spans="1:14" ht="19.5" thickTop="1" x14ac:dyDescent="0.3">
      <c r="A57" s="180" t="s">
        <v>22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</row>
    <row r="58" spans="1:14" x14ac:dyDescent="0.3">
      <c r="A58" s="74" t="s">
        <v>23</v>
      </c>
      <c r="B58" s="70"/>
      <c r="C58" s="39">
        <v>2013</v>
      </c>
      <c r="D58" s="39">
        <v>2014</v>
      </c>
      <c r="E58" s="39">
        <v>2015</v>
      </c>
      <c r="F58" s="39">
        <v>2016</v>
      </c>
      <c r="G58" s="39">
        <v>2017</v>
      </c>
      <c r="H58" s="39">
        <v>2018</v>
      </c>
      <c r="I58" s="39">
        <v>2019</v>
      </c>
      <c r="J58" s="39">
        <v>2020</v>
      </c>
      <c r="K58" s="39">
        <v>2021</v>
      </c>
      <c r="L58" s="39">
        <v>2022</v>
      </c>
    </row>
    <row r="59" spans="1:14" x14ac:dyDescent="0.3">
      <c r="B59" s="6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x14ac:dyDescent="0.3">
      <c r="B60" s="66" t="s">
        <v>82</v>
      </c>
      <c r="C60" s="51">
        <v>3000</v>
      </c>
      <c r="D60" s="51">
        <v>3000</v>
      </c>
      <c r="E60" s="51">
        <v>3000</v>
      </c>
      <c r="F60" s="51">
        <v>3000</v>
      </c>
      <c r="G60" s="51">
        <v>3000</v>
      </c>
      <c r="H60" s="51">
        <v>3000</v>
      </c>
      <c r="I60" s="51">
        <v>3000</v>
      </c>
      <c r="J60" s="51">
        <v>3000</v>
      </c>
      <c r="K60" s="51">
        <v>3000</v>
      </c>
      <c r="L60" s="51">
        <v>3000</v>
      </c>
      <c r="N60" s="62"/>
    </row>
    <row r="61" spans="1:14" x14ac:dyDescent="0.3">
      <c r="B61" s="66" t="s">
        <v>131</v>
      </c>
      <c r="K61" s="40">
        <v>6460.3788048564311</v>
      </c>
      <c r="L61" s="40">
        <v>88997.66756234999</v>
      </c>
    </row>
    <row r="62" spans="1:14" x14ac:dyDescent="0.3">
      <c r="B62" s="66" t="s">
        <v>81</v>
      </c>
      <c r="C62" s="46">
        <f>(C27+C30)/365*C19</f>
        <v>37988.424657534248</v>
      </c>
      <c r="D62" s="46">
        <f t="shared" ref="D62:L62" si="85">(D27+D30)/365*D19</f>
        <v>38425.783064794523</v>
      </c>
      <c r="E62" s="46">
        <f t="shared" si="85"/>
        <v>38872.58502326945</v>
      </c>
      <c r="F62" s="46">
        <f t="shared" si="85"/>
        <v>39329.062639514021</v>
      </c>
      <c r="G62" s="46">
        <f t="shared" si="85"/>
        <v>39795.453821051669</v>
      </c>
      <c r="H62" s="46">
        <f t="shared" si="85"/>
        <v>40272.002421644371</v>
      </c>
      <c r="I62" s="46">
        <f t="shared" si="85"/>
        <v>40758.958390201355</v>
      </c>
      <c r="J62" s="46">
        <f t="shared" si="85"/>
        <v>41256.577923417877</v>
      </c>
      <c r="K62" s="46">
        <f t="shared" si="85"/>
        <v>41765.123622237217</v>
      </c>
      <c r="L62" s="46">
        <f t="shared" si="85"/>
        <v>42284.864652231772</v>
      </c>
    </row>
    <row r="63" spans="1:14" x14ac:dyDescent="0.3">
      <c r="B63" s="66" t="s">
        <v>133</v>
      </c>
      <c r="C63" s="46">
        <f>C27/365*C20</f>
        <v>93032.876712328769</v>
      </c>
      <c r="D63" s="46">
        <f t="shared" ref="D63:L63" si="86">D27/365*D20</f>
        <v>95650.78464986301</v>
      </c>
      <c r="E63" s="46">
        <f t="shared" si="86"/>
        <v>98342.359469596297</v>
      </c>
      <c r="F63" s="46">
        <f t="shared" si="86"/>
        <v>101109.67412812694</v>
      </c>
      <c r="G63" s="46">
        <f t="shared" si="86"/>
        <v>103954.8599142228</v>
      </c>
      <c r="H63" s="46">
        <f t="shared" si="86"/>
        <v>106880.10809026506</v>
      </c>
      <c r="I63" s="46">
        <f t="shared" si="86"/>
        <v>109887.67157988191</v>
      </c>
      <c r="J63" s="46">
        <f t="shared" si="86"/>
        <v>112979.86670307115</v>
      </c>
      <c r="K63" s="46">
        <f t="shared" si="86"/>
        <v>116159.07496014888</v>
      </c>
      <c r="L63" s="46">
        <f t="shared" si="86"/>
        <v>119427.74486589752</v>
      </c>
    </row>
    <row r="64" spans="1:14" x14ac:dyDescent="0.3">
      <c r="B64" s="66" t="s">
        <v>134</v>
      </c>
      <c r="C64" s="46">
        <f>C26/365*C21</f>
        <v>57797.260273972606</v>
      </c>
      <c r="D64" s="46">
        <f t="shared" ref="D64:L64" si="87">D26/365*D21</f>
        <v>59245.023846575343</v>
      </c>
      <c r="E64" s="46">
        <f t="shared" si="87"/>
        <v>60729.052448908202</v>
      </c>
      <c r="F64" s="46">
        <f t="shared" si="87"/>
        <v>62250.254483700919</v>
      </c>
      <c r="G64" s="46">
        <f t="shared" si="87"/>
        <v>63809.561108263144</v>
      </c>
      <c r="H64" s="46">
        <f t="shared" si="87"/>
        <v>65407.926804464027</v>
      </c>
      <c r="I64" s="46">
        <f t="shared" si="87"/>
        <v>67046.329962989053</v>
      </c>
      <c r="J64" s="46">
        <f t="shared" si="87"/>
        <v>68725.773482231962</v>
      </c>
      <c r="K64" s="46">
        <f t="shared" si="87"/>
        <v>70447.285382188376</v>
      </c>
      <c r="L64" s="46">
        <f t="shared" si="87"/>
        <v>72211.919433726827</v>
      </c>
    </row>
    <row r="65" spans="1:13" x14ac:dyDescent="0.3">
      <c r="B65" s="66" t="s">
        <v>120</v>
      </c>
      <c r="C65" s="52">
        <f>'Other Expenses'!H19*'Other Expenses'!E19</f>
        <v>30000</v>
      </c>
      <c r="D65" s="52">
        <f>C65+30000</f>
        <v>60000</v>
      </c>
      <c r="E65" s="52">
        <f t="shared" ref="E65:L65" si="88">D65</f>
        <v>60000</v>
      </c>
      <c r="F65" s="52">
        <f t="shared" si="88"/>
        <v>60000</v>
      </c>
      <c r="G65" s="52">
        <f t="shared" si="88"/>
        <v>60000</v>
      </c>
      <c r="H65" s="52">
        <f t="shared" si="88"/>
        <v>60000</v>
      </c>
      <c r="I65" s="52">
        <f t="shared" si="88"/>
        <v>60000</v>
      </c>
      <c r="J65" s="52">
        <f t="shared" si="88"/>
        <v>60000</v>
      </c>
      <c r="K65" s="52">
        <f t="shared" si="88"/>
        <v>60000</v>
      </c>
      <c r="L65" s="52">
        <f t="shared" si="88"/>
        <v>60000</v>
      </c>
      <c r="M65" s="110" t="s">
        <v>175</v>
      </c>
    </row>
    <row r="66" spans="1:13" x14ac:dyDescent="0.3">
      <c r="B66" s="71" t="s">
        <v>83</v>
      </c>
      <c r="C66" s="40">
        <f>C48</f>
        <v>6000</v>
      </c>
      <c r="D66" s="40">
        <f>C66+D48</f>
        <v>12000</v>
      </c>
      <c r="E66" s="40">
        <f>D66+E48</f>
        <v>24000</v>
      </c>
      <c r="F66" s="40">
        <f>E66+F48</f>
        <v>36000</v>
      </c>
      <c r="G66" s="40">
        <f>F66+G48</f>
        <v>48000</v>
      </c>
      <c r="H66" s="40">
        <f t="shared" ref="H66:L66" si="89">G66+H48</f>
        <v>54000</v>
      </c>
      <c r="I66" s="40">
        <f t="shared" si="89"/>
        <v>60000</v>
      </c>
      <c r="J66" s="40">
        <f t="shared" si="89"/>
        <v>60000</v>
      </c>
      <c r="K66" s="40">
        <f t="shared" si="89"/>
        <v>60000</v>
      </c>
      <c r="L66" s="40">
        <f t="shared" si="89"/>
        <v>60000</v>
      </c>
    </row>
    <row r="67" spans="1:13" x14ac:dyDescent="0.3">
      <c r="A67" s="75"/>
      <c r="B67" s="66" t="s">
        <v>24</v>
      </c>
      <c r="C67" s="52">
        <v>150000</v>
      </c>
      <c r="D67" s="52">
        <f>C67</f>
        <v>150000</v>
      </c>
      <c r="E67" s="52">
        <f>D67+50000</f>
        <v>200000</v>
      </c>
      <c r="F67" s="52">
        <f t="shared" ref="F67:L67" si="90">E67</f>
        <v>200000</v>
      </c>
      <c r="G67" s="52">
        <f t="shared" si="90"/>
        <v>200000</v>
      </c>
      <c r="H67" s="52">
        <f t="shared" si="90"/>
        <v>200000</v>
      </c>
      <c r="I67" s="52">
        <f t="shared" si="90"/>
        <v>200000</v>
      </c>
      <c r="J67" s="52">
        <f t="shared" si="90"/>
        <v>200000</v>
      </c>
      <c r="K67" s="52">
        <f t="shared" si="90"/>
        <v>200000</v>
      </c>
      <c r="L67" s="52">
        <f t="shared" si="90"/>
        <v>200000</v>
      </c>
      <c r="M67" s="63"/>
    </row>
    <row r="68" spans="1:13" x14ac:dyDescent="0.3">
      <c r="A68" s="75"/>
      <c r="B68" s="72" t="s">
        <v>83</v>
      </c>
      <c r="C68" s="46">
        <f>C47</f>
        <v>30000</v>
      </c>
      <c r="D68" s="46">
        <f>C68+D47</f>
        <v>60000</v>
      </c>
      <c r="E68" s="46">
        <f t="shared" ref="E68:L68" si="91">D68+E47</f>
        <v>90000</v>
      </c>
      <c r="F68" s="46">
        <f t="shared" si="91"/>
        <v>130000</v>
      </c>
      <c r="G68" s="46">
        <f t="shared" si="91"/>
        <v>170000</v>
      </c>
      <c r="H68" s="46">
        <f t="shared" si="91"/>
        <v>180000</v>
      </c>
      <c r="I68" s="46">
        <f t="shared" si="91"/>
        <v>190000</v>
      </c>
      <c r="J68" s="46">
        <f t="shared" si="91"/>
        <v>200000</v>
      </c>
      <c r="K68" s="46">
        <f t="shared" si="91"/>
        <v>200000</v>
      </c>
      <c r="L68" s="46">
        <f t="shared" si="91"/>
        <v>200000</v>
      </c>
    </row>
    <row r="69" spans="1:13" x14ac:dyDescent="0.3">
      <c r="B69" s="66" t="s">
        <v>25</v>
      </c>
      <c r="C69" s="52">
        <v>500000</v>
      </c>
      <c r="D69" s="52">
        <f>C69</f>
        <v>500000</v>
      </c>
      <c r="E69" s="52">
        <f t="shared" ref="E69:I69" si="92">D69</f>
        <v>500000</v>
      </c>
      <c r="F69" s="52">
        <f t="shared" si="92"/>
        <v>500000</v>
      </c>
      <c r="G69" s="52">
        <f>F69+50000</f>
        <v>550000</v>
      </c>
      <c r="H69" s="52">
        <f t="shared" si="92"/>
        <v>550000</v>
      </c>
      <c r="I69" s="52">
        <f t="shared" si="92"/>
        <v>550000</v>
      </c>
      <c r="J69" s="52">
        <f>I69+50000</f>
        <v>600000</v>
      </c>
      <c r="K69" s="52">
        <f t="shared" ref="K69:L69" si="93">J69</f>
        <v>600000</v>
      </c>
      <c r="L69" s="52">
        <f t="shared" si="93"/>
        <v>600000</v>
      </c>
      <c r="M69" s="63"/>
    </row>
    <row r="70" spans="1:13" x14ac:dyDescent="0.3">
      <c r="B70" s="72" t="s">
        <v>83</v>
      </c>
      <c r="C70" s="52">
        <f>C46</f>
        <v>16666.666666666668</v>
      </c>
      <c r="D70" s="52">
        <f t="shared" ref="D70:L70" si="94">C70+D46</f>
        <v>33333.333333333336</v>
      </c>
      <c r="E70" s="52">
        <f t="shared" si="94"/>
        <v>50000</v>
      </c>
      <c r="F70" s="52">
        <f t="shared" si="94"/>
        <v>66666.666666666672</v>
      </c>
      <c r="G70" s="52">
        <f t="shared" si="94"/>
        <v>83333.333333333343</v>
      </c>
      <c r="H70" s="52">
        <f t="shared" si="94"/>
        <v>102000.00000000001</v>
      </c>
      <c r="I70" s="52">
        <f t="shared" si="94"/>
        <v>120666.66666666669</v>
      </c>
      <c r="J70" s="52">
        <f t="shared" si="94"/>
        <v>139333.33333333334</v>
      </c>
      <c r="K70" s="52">
        <f t="shared" si="94"/>
        <v>160272.72727272729</v>
      </c>
      <c r="L70" s="52">
        <f t="shared" si="94"/>
        <v>181212.12121212124</v>
      </c>
    </row>
    <row r="71" spans="1:13" x14ac:dyDescent="0.3">
      <c r="B71" s="69" t="s">
        <v>112</v>
      </c>
      <c r="C71" s="54">
        <f>+'Other Expenses'!A26</f>
        <v>166700</v>
      </c>
      <c r="D71" s="46">
        <f t="shared" ref="D71" si="95">C71*(1+$M71)</f>
        <v>167533.49999999997</v>
      </c>
      <c r="E71" s="46">
        <f t="shared" ref="E71" si="96">D71*(1+$M71)</f>
        <v>168371.16749999995</v>
      </c>
      <c r="F71" s="46">
        <f t="shared" ref="F71" si="97">E71*(1+$M71)</f>
        <v>169213.02333749994</v>
      </c>
      <c r="G71" s="46">
        <f t="shared" ref="G71" si="98">F71*(1+$M71)</f>
        <v>170059.08845418741</v>
      </c>
      <c r="H71" s="46">
        <f t="shared" ref="H71" si="99">G71*(1+$M71)</f>
        <v>170909.38389645834</v>
      </c>
      <c r="I71" s="46">
        <f t="shared" ref="I71" si="100">H71*(1+$M71)</f>
        <v>171763.93081594061</v>
      </c>
      <c r="J71" s="46">
        <f t="shared" ref="J71" si="101">I71*(1+$M71)</f>
        <v>172622.75047002028</v>
      </c>
      <c r="K71" s="46">
        <f t="shared" ref="K71" si="102">J71*(1+$M71)</f>
        <v>173485.86422237038</v>
      </c>
      <c r="L71" s="46">
        <f t="shared" ref="L71" si="103">K71*(1+$M71)</f>
        <v>174353.2935434822</v>
      </c>
      <c r="M71" s="60">
        <v>5.0000000000000001E-3</v>
      </c>
    </row>
    <row r="72" spans="1:13" ht="19.5" thickBot="1" x14ac:dyDescent="0.35">
      <c r="A72" s="74" t="s">
        <v>26</v>
      </c>
      <c r="B72" s="66"/>
      <c r="C72" s="64">
        <f>SUM(C59:C67)-C68+C69-C70+C71</f>
        <v>997851.89497716899</v>
      </c>
      <c r="D72" s="177">
        <f t="shared" ref="D72:K72" si="104">SUM(D59:D67)-D68+D69-D70+D71</f>
        <v>992521.75822789955</v>
      </c>
      <c r="E72" s="177">
        <f t="shared" si="104"/>
        <v>1013315.1644417739</v>
      </c>
      <c r="F72" s="177">
        <f t="shared" si="104"/>
        <v>974235.34792217519</v>
      </c>
      <c r="G72" s="177">
        <f t="shared" si="104"/>
        <v>985285.62996439158</v>
      </c>
      <c r="H72" s="177">
        <f t="shared" si="104"/>
        <v>968469.42121283174</v>
      </c>
      <c r="I72" s="177">
        <f t="shared" si="104"/>
        <v>951790.22408234619</v>
      </c>
      <c r="J72" s="177">
        <f t="shared" si="104"/>
        <v>979251.63524540793</v>
      </c>
      <c r="K72" s="177">
        <f t="shared" si="104"/>
        <v>971044.999719074</v>
      </c>
      <c r="L72" s="177">
        <f>SUM(L59:L67)-L68+L69-L70+L71</f>
        <v>1039063.3688455671</v>
      </c>
    </row>
    <row r="73" spans="1:13" ht="19.5" thickTop="1" x14ac:dyDescent="0.3"/>
    <row r="74" spans="1:13" x14ac:dyDescent="0.3">
      <c r="A74" s="74" t="s">
        <v>27</v>
      </c>
      <c r="B74" s="70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3" x14ac:dyDescent="0.3">
      <c r="B75" s="66" t="s">
        <v>28</v>
      </c>
      <c r="C75" s="46">
        <f>C55</f>
        <v>16475.971234841858</v>
      </c>
      <c r="D75" s="46">
        <f t="shared" ref="D75:L75" si="105">D55</f>
        <v>17897.624005743983</v>
      </c>
      <c r="E75" s="46">
        <f t="shared" si="105"/>
        <v>16146.184390364377</v>
      </c>
      <c r="F75" s="46">
        <f t="shared" si="105"/>
        <v>14801.686050899722</v>
      </c>
      <c r="G75" s="46">
        <f t="shared" si="105"/>
        <v>15675.889117301564</v>
      </c>
      <c r="H75" s="46">
        <f t="shared" si="105"/>
        <v>30399.291796808047</v>
      </c>
      <c r="I75" s="46">
        <f t="shared" si="105"/>
        <v>33033.712233607053</v>
      </c>
      <c r="J75" s="46">
        <f t="shared" si="105"/>
        <v>36774.929372600251</v>
      </c>
      <c r="K75" s="46">
        <f t="shared" si="105"/>
        <v>42489.920088701103</v>
      </c>
      <c r="L75" s="46">
        <f t="shared" si="105"/>
        <v>43288.957815387897</v>
      </c>
    </row>
    <row r="76" spans="1:13" x14ac:dyDescent="0.3">
      <c r="B76" s="66" t="s">
        <v>29</v>
      </c>
      <c r="C76" s="46">
        <f>(C34+C33)/365*C22</f>
        <v>26245.890410958902</v>
      </c>
      <c r="D76" s="46">
        <f t="shared" ref="D76:L76" si="106">(D34+D33)/365*D22</f>
        <v>26243.928530650686</v>
      </c>
      <c r="E76" s="46">
        <f t="shared" si="106"/>
        <v>26241.96679699302</v>
      </c>
      <c r="F76" s="46">
        <f t="shared" si="106"/>
        <v>26240.005209974948</v>
      </c>
      <c r="G76" s="46">
        <f t="shared" si="106"/>
        <v>26238.043769585503</v>
      </c>
      <c r="H76" s="46">
        <f t="shared" si="106"/>
        <v>26236.082475813724</v>
      </c>
      <c r="I76" s="46">
        <f t="shared" si="106"/>
        <v>26234.121328648656</v>
      </c>
      <c r="J76" s="46">
        <f t="shared" si="106"/>
        <v>26232.16032807935</v>
      </c>
      <c r="K76" s="46">
        <f t="shared" si="106"/>
        <v>26230.199474094818</v>
      </c>
      <c r="L76" s="46">
        <f t="shared" si="106"/>
        <v>26228.238766684131</v>
      </c>
    </row>
    <row r="77" spans="1:13" x14ac:dyDescent="0.3">
      <c r="B77" s="6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3" x14ac:dyDescent="0.3">
      <c r="B78" s="66" t="s">
        <v>30</v>
      </c>
      <c r="C78" s="46">
        <f>Mortgage!F13</f>
        <v>524368.26284648001</v>
      </c>
      <c r="D78" s="46">
        <f>Mortgage!F25</f>
        <v>514986.84433907003</v>
      </c>
      <c r="E78" s="46">
        <f>Mortgage!F37</f>
        <v>505198.8565778042</v>
      </c>
      <c r="F78" s="46">
        <f>Mortgage!F49</f>
        <v>494986.67977969878</v>
      </c>
      <c r="G78" s="46">
        <f>Mortgage!F61</f>
        <v>484331.93056061346</v>
      </c>
      <c r="H78" s="46">
        <f>Mortgage!F73</f>
        <v>473215.42884252116</v>
      </c>
      <c r="I78" s="46">
        <f>Mortgage!F85</f>
        <v>461617.16332661494</v>
      </c>
      <c r="J78" s="46">
        <f>Mortgage!F97</f>
        <v>449516.25547009672</v>
      </c>
      <c r="K78" s="46">
        <f>Mortgage!F109</f>
        <v>436890.92190180381</v>
      </c>
      <c r="L78" s="46">
        <f>Mortgage!F121</f>
        <v>423718.43520901405</v>
      </c>
    </row>
    <row r="79" spans="1:13" x14ac:dyDescent="0.3">
      <c r="B79" s="66" t="s">
        <v>132</v>
      </c>
      <c r="C79" s="46">
        <v>350163.53819161013</v>
      </c>
      <c r="D79" s="46">
        <v>319556.6844770601</v>
      </c>
      <c r="E79" s="46">
        <v>321905.70879056019</v>
      </c>
      <c r="F79" s="46">
        <v>266895.68347244989</v>
      </c>
      <c r="G79" s="46">
        <v>258616.10760417872</v>
      </c>
      <c r="H79" s="46">
        <v>181739.13156233245</v>
      </c>
      <c r="I79" s="46">
        <v>112677.4179385625</v>
      </c>
      <c r="J79" s="46">
        <v>80204.183413460254</v>
      </c>
      <c r="K79" s="46"/>
      <c r="L79" s="46"/>
    </row>
    <row r="80" spans="1:13" x14ac:dyDescent="0.3">
      <c r="B80" s="6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4" x14ac:dyDescent="0.3">
      <c r="B81" s="66" t="s">
        <v>31</v>
      </c>
      <c r="C81" s="51">
        <v>50000</v>
      </c>
      <c r="D81" s="51">
        <v>50000</v>
      </c>
      <c r="E81" s="51">
        <v>50000</v>
      </c>
      <c r="F81" s="51">
        <v>50000</v>
      </c>
      <c r="G81" s="51">
        <v>50000</v>
      </c>
      <c r="H81" s="51">
        <v>50000</v>
      </c>
      <c r="I81" s="51">
        <v>50000</v>
      </c>
      <c r="J81" s="51">
        <v>50000</v>
      </c>
      <c r="K81" s="51">
        <v>50000</v>
      </c>
      <c r="L81" s="51">
        <v>50000</v>
      </c>
    </row>
    <row r="82" spans="1:14" x14ac:dyDescent="0.3">
      <c r="B82" s="66" t="s">
        <v>32</v>
      </c>
      <c r="C82" s="65">
        <f>C56</f>
        <v>30598.232293277742</v>
      </c>
      <c r="D82" s="65">
        <f>C82+D56</f>
        <v>63836.676875373712</v>
      </c>
      <c r="E82" s="65">
        <f t="shared" ref="E82:L82" si="107">D82+E56</f>
        <v>93822.447886050417</v>
      </c>
      <c r="F82" s="65">
        <f t="shared" si="107"/>
        <v>121311.2934091499</v>
      </c>
      <c r="G82" s="65">
        <f t="shared" si="107"/>
        <v>150423.65891270994</v>
      </c>
      <c r="H82" s="65">
        <f t="shared" si="107"/>
        <v>206879.48653535347</v>
      </c>
      <c r="I82" s="65">
        <f t="shared" si="107"/>
        <v>268227.8092549094</v>
      </c>
      <c r="J82" s="65">
        <f t="shared" si="107"/>
        <v>336524.106661167</v>
      </c>
      <c r="K82" s="65">
        <f t="shared" si="107"/>
        <v>415433.95825446909</v>
      </c>
      <c r="L82" s="65">
        <f t="shared" si="107"/>
        <v>495827.73705447523</v>
      </c>
    </row>
    <row r="83" spans="1:14" ht="19.5" thickBot="1" x14ac:dyDescent="0.35">
      <c r="A83" s="74" t="s">
        <v>33</v>
      </c>
      <c r="B83" s="66"/>
      <c r="C83" s="64">
        <f t="shared" ref="C83:L83" si="108">SUM(C75:C82)</f>
        <v>997851.89497716865</v>
      </c>
      <c r="D83" s="64">
        <f t="shared" si="108"/>
        <v>992521.75822789851</v>
      </c>
      <c r="E83" s="64">
        <f t="shared" si="108"/>
        <v>1013315.1644417723</v>
      </c>
      <c r="F83" s="64">
        <f t="shared" si="108"/>
        <v>974235.34792217321</v>
      </c>
      <c r="G83" s="64">
        <f t="shared" si="108"/>
        <v>985285.62996438914</v>
      </c>
      <c r="H83" s="64">
        <f t="shared" si="108"/>
        <v>968469.42121282883</v>
      </c>
      <c r="I83" s="64">
        <f t="shared" si="108"/>
        <v>951790.22408234258</v>
      </c>
      <c r="J83" s="64">
        <f t="shared" si="108"/>
        <v>979251.63524540351</v>
      </c>
      <c r="K83" s="64">
        <f t="shared" si="108"/>
        <v>971044.99971906887</v>
      </c>
      <c r="L83" s="64">
        <f t="shared" si="108"/>
        <v>1039063.3688455613</v>
      </c>
    </row>
    <row r="84" spans="1:14" ht="19.5" thickTop="1" x14ac:dyDescent="0.3">
      <c r="C84" s="40">
        <f>C72-C83</f>
        <v>0</v>
      </c>
      <c r="D84" s="40">
        <f t="shared" ref="D84:L84" si="109">D72-D83</f>
        <v>1.0477378964424133E-9</v>
      </c>
      <c r="E84" s="40">
        <f t="shared" si="109"/>
        <v>1.6298145055770874E-9</v>
      </c>
      <c r="F84" s="40">
        <f t="shared" si="109"/>
        <v>1.9790604710578918E-9</v>
      </c>
      <c r="G84" s="40">
        <f t="shared" si="109"/>
        <v>2.4447217583656311E-9</v>
      </c>
      <c r="H84" s="40">
        <f t="shared" si="109"/>
        <v>2.9103830456733704E-9</v>
      </c>
      <c r="I84" s="40">
        <f t="shared" si="109"/>
        <v>3.6088749766349792E-9</v>
      </c>
      <c r="J84" s="40">
        <f t="shared" si="109"/>
        <v>4.4237822294235229E-9</v>
      </c>
      <c r="K84" s="40">
        <f t="shared" si="109"/>
        <v>5.1222741603851318E-9</v>
      </c>
      <c r="L84" s="40">
        <f t="shared" si="109"/>
        <v>5.8207660913467407E-9</v>
      </c>
    </row>
    <row r="88" spans="1:14" s="46" customFormat="1" x14ac:dyDescent="0.3">
      <c r="A88" s="181" t="s">
        <v>166</v>
      </c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</row>
    <row r="89" spans="1:14" s="46" customFormat="1" x14ac:dyDescent="0.3">
      <c r="A89" s="79" t="s">
        <v>54</v>
      </c>
      <c r="B89" s="79"/>
      <c r="D89" s="55"/>
      <c r="E89" s="55"/>
      <c r="F89" s="55"/>
      <c r="G89" s="55"/>
    </row>
    <row r="90" spans="1:14" s="46" customFormat="1" x14ac:dyDescent="0.3">
      <c r="B90" s="87" t="str">
        <f>B26</f>
        <v>Sales revenue - Tile</v>
      </c>
      <c r="C90" s="55">
        <f>SUMIF($B$26:$B$52,$B90,C$26:C$52)</f>
        <v>263700</v>
      </c>
      <c r="D90" s="82"/>
      <c r="E90" s="55"/>
      <c r="F90" s="55"/>
      <c r="G90" s="55"/>
      <c r="H90" s="55"/>
      <c r="I90" s="55"/>
      <c r="J90" s="55"/>
      <c r="K90" s="55"/>
      <c r="L90" s="55"/>
    </row>
    <row r="91" spans="1:14" s="46" customFormat="1" x14ac:dyDescent="0.3">
      <c r="B91" s="87" t="str">
        <f>B27</f>
        <v>Sales revenue - Granite</v>
      </c>
      <c r="C91" s="55">
        <f>SUMIF($B$26:$B$52,$B91,C$26:C$52)</f>
        <v>339570</v>
      </c>
      <c r="D91" s="82"/>
      <c r="E91" s="55"/>
      <c r="F91" s="55"/>
      <c r="G91" s="55"/>
      <c r="H91" s="55"/>
      <c r="I91" s="55"/>
      <c r="J91" s="55"/>
      <c r="K91" s="55"/>
      <c r="L91" s="55"/>
    </row>
    <row r="92" spans="1:14" s="46" customFormat="1" x14ac:dyDescent="0.3">
      <c r="B92" s="46" t="str">
        <f>B29</f>
        <v>Installation revenue - Tile</v>
      </c>
      <c r="C92" s="55">
        <f>SUMIF($B$26:$B$52,$B92,C$26:C$52)</f>
        <v>102550</v>
      </c>
      <c r="D92" s="82"/>
      <c r="E92" s="55"/>
      <c r="F92" s="55"/>
      <c r="G92" s="55"/>
      <c r="H92" s="55"/>
      <c r="I92" s="55"/>
      <c r="J92" s="55"/>
      <c r="K92" s="55"/>
      <c r="L92" s="55"/>
    </row>
    <row r="93" spans="1:14" s="46" customFormat="1" x14ac:dyDescent="0.3">
      <c r="B93" s="90" t="str">
        <f>B30</f>
        <v>Installation revenue - Granite</v>
      </c>
      <c r="C93" s="55">
        <f>SUMIF($B$26:$B$52,$B93,C$26:C$52)</f>
        <v>215061.00000000003</v>
      </c>
      <c r="D93" s="82"/>
      <c r="E93" s="55"/>
      <c r="F93" s="55"/>
      <c r="G93" s="55"/>
      <c r="H93" s="55"/>
      <c r="I93" s="55"/>
      <c r="J93" s="55"/>
      <c r="K93" s="55"/>
      <c r="L93" s="55"/>
    </row>
    <row r="94" spans="1:14" s="46" customFormat="1" x14ac:dyDescent="0.3">
      <c r="C94" s="88">
        <f>SUM(C90:C93)</f>
        <v>920881</v>
      </c>
      <c r="D94" s="82"/>
      <c r="E94" s="55"/>
      <c r="F94" s="55"/>
      <c r="G94" s="55"/>
      <c r="H94" s="55"/>
      <c r="I94" s="55"/>
      <c r="J94" s="55"/>
      <c r="K94" s="55"/>
      <c r="L94" s="55"/>
    </row>
    <row r="95" spans="1:14" s="46" customFormat="1" x14ac:dyDescent="0.3">
      <c r="A95" s="79" t="s">
        <v>157</v>
      </c>
      <c r="B95" s="79"/>
      <c r="C95" s="55"/>
      <c r="D95" s="85"/>
      <c r="E95" s="52"/>
      <c r="F95" s="52"/>
      <c r="G95" s="52"/>
      <c r="H95" s="52"/>
    </row>
    <row r="96" spans="1:14" s="46" customFormat="1" x14ac:dyDescent="0.3">
      <c r="B96" s="46" t="str">
        <f>B33</f>
        <v>Tile</v>
      </c>
      <c r="C96" s="55">
        <f t="shared" ref="C96:C101" si="110">SUMIF($B$33:$B$52,$B96,C$33:C$52)</f>
        <v>117200</v>
      </c>
      <c r="D96" s="83"/>
      <c r="E96" s="53"/>
      <c r="F96" s="53"/>
      <c r="G96" s="53"/>
      <c r="H96" s="53"/>
    </row>
    <row r="97" spans="1:14" s="46" customFormat="1" x14ac:dyDescent="0.3">
      <c r="B97" s="46" t="str">
        <f>B34</f>
        <v>Granite</v>
      </c>
      <c r="C97" s="55">
        <f t="shared" si="110"/>
        <v>202125</v>
      </c>
      <c r="D97" s="53"/>
      <c r="E97" s="53"/>
    </row>
    <row r="98" spans="1:14" s="46" customFormat="1" x14ac:dyDescent="0.3">
      <c r="B98" s="87" t="str">
        <f>B36</f>
        <v>Tile installation labor</v>
      </c>
      <c r="C98" s="55">
        <f t="shared" si="110"/>
        <v>184590</v>
      </c>
      <c r="D98" s="52"/>
      <c r="E98" s="52"/>
    </row>
    <row r="99" spans="1:14" s="46" customFormat="1" x14ac:dyDescent="0.3">
      <c r="B99" s="87" t="str">
        <f>B37</f>
        <v>Granite installation labor</v>
      </c>
      <c r="C99" s="55">
        <f t="shared" si="110"/>
        <v>90493.2</v>
      </c>
      <c r="D99" s="53"/>
      <c r="E99" s="53"/>
      <c r="H99" s="94"/>
      <c r="I99" s="40"/>
    </row>
    <row r="100" spans="1:14" s="46" customFormat="1" x14ac:dyDescent="0.3">
      <c r="B100" s="87" t="str">
        <f>B45</f>
        <v>Advertising</v>
      </c>
      <c r="C100" s="55">
        <f t="shared" si="110"/>
        <v>18098.099999999999</v>
      </c>
      <c r="D100" s="53"/>
      <c r="H100" s="94">
        <f>C107/I124</f>
        <v>141.63717976418957</v>
      </c>
      <c r="I100" s="95">
        <f>$H$100*E111</f>
        <v>52.882693432185469</v>
      </c>
      <c r="J100" s="94">
        <f>I100*I120</f>
        <v>25221.752865815528</v>
      </c>
    </row>
    <row r="101" spans="1:14" s="46" customFormat="1" x14ac:dyDescent="0.3">
      <c r="B101" s="87" t="str">
        <f>B40</f>
        <v>Transportation</v>
      </c>
      <c r="C101" s="78">
        <f t="shared" si="110"/>
        <v>9698.9666666666672</v>
      </c>
      <c r="D101" s="52"/>
      <c r="H101" s="93"/>
      <c r="I101" s="95">
        <f>$H$100*E112</f>
        <v>37.017885402529821</v>
      </c>
      <c r="J101" s="94">
        <f>I101*I121</f>
        <v>-16536.138594844742</v>
      </c>
    </row>
    <row r="102" spans="1:14" s="46" customFormat="1" x14ac:dyDescent="0.3">
      <c r="B102" s="46" t="s">
        <v>159</v>
      </c>
      <c r="C102" s="46">
        <f>SUM(C96:C101)</f>
        <v>622205.2666666666</v>
      </c>
      <c r="D102" s="52"/>
      <c r="H102" s="93"/>
      <c r="I102" s="95">
        <f>$H$100*E113</f>
        <v>26.531590220243217</v>
      </c>
      <c r="J102" s="94">
        <f>I102*I122</f>
        <v>24195.158712614269</v>
      </c>
    </row>
    <row r="103" spans="1:14" s="46" customFormat="1" x14ac:dyDescent="0.3">
      <c r="D103" s="52"/>
      <c r="H103" s="93"/>
      <c r="I103" s="95">
        <f>$H$100*E114</f>
        <v>25.205010709231061</v>
      </c>
      <c r="J103" s="94">
        <f>I103*I123</f>
        <v>21026.316577847865</v>
      </c>
      <c r="M103" s="40"/>
      <c r="N103" s="40"/>
    </row>
    <row r="104" spans="1:14" s="46" customFormat="1" x14ac:dyDescent="0.3">
      <c r="A104" s="79" t="s">
        <v>160</v>
      </c>
      <c r="B104" s="79"/>
      <c r="C104" s="46">
        <f>C94-C102</f>
        <v>298675.7333333334</v>
      </c>
      <c r="D104" s="52"/>
      <c r="H104" s="96"/>
      <c r="I104" s="97"/>
      <c r="J104" s="94">
        <f>SUM(J100:J103)</f>
        <v>53907.08956143292</v>
      </c>
      <c r="K104" s="40"/>
      <c r="M104" s="40"/>
      <c r="N104" s="40"/>
    </row>
    <row r="105" spans="1:14" s="46" customFormat="1" x14ac:dyDescent="0.3">
      <c r="D105" s="53"/>
      <c r="H105" s="98"/>
      <c r="I105" s="98"/>
      <c r="J105" s="94"/>
      <c r="K105" s="40"/>
      <c r="M105" s="40"/>
      <c r="N105" s="40"/>
    </row>
    <row r="106" spans="1:14" s="46" customFormat="1" x14ac:dyDescent="0.3">
      <c r="E106" s="52"/>
      <c r="H106" s="93"/>
      <c r="I106" s="94"/>
      <c r="J106" s="99">
        <f>C107/J104</f>
        <v>4.667318006817764</v>
      </c>
      <c r="K106" s="40"/>
      <c r="M106" s="40"/>
      <c r="N106" s="40"/>
    </row>
    <row r="107" spans="1:14" s="46" customFormat="1" x14ac:dyDescent="0.3">
      <c r="A107" s="79" t="s">
        <v>158</v>
      </c>
      <c r="B107" s="79"/>
      <c r="C107" s="55">
        <f>C53-C102</f>
        <v>251601.5298052138</v>
      </c>
      <c r="E107" s="52"/>
      <c r="H107" s="93"/>
      <c r="I107" s="94"/>
      <c r="J107" s="94"/>
      <c r="K107" s="40"/>
      <c r="M107" s="40"/>
      <c r="N107" s="40"/>
    </row>
    <row r="108" spans="1:14" s="46" customFormat="1" x14ac:dyDescent="0.3">
      <c r="M108" s="40"/>
      <c r="N108" s="40"/>
    </row>
    <row r="109" spans="1:14" s="46" customFormat="1" x14ac:dyDescent="0.3">
      <c r="B109" s="103" t="s">
        <v>161</v>
      </c>
      <c r="C109" s="100"/>
      <c r="D109" s="100"/>
      <c r="F109" s="103" t="s">
        <v>162</v>
      </c>
      <c r="G109" s="100"/>
      <c r="H109" s="109" t="s">
        <v>157</v>
      </c>
      <c r="I109" s="102"/>
      <c r="J109" s="102"/>
      <c r="K109" s="84"/>
      <c r="N109" s="40"/>
    </row>
    <row r="110" spans="1:14" s="46" customFormat="1" x14ac:dyDescent="0.3">
      <c r="B110" s="105" t="s">
        <v>171</v>
      </c>
      <c r="E110" s="106" t="s">
        <v>172</v>
      </c>
      <c r="H110" s="104" t="s">
        <v>173</v>
      </c>
      <c r="J110" s="104" t="s">
        <v>170</v>
      </c>
      <c r="N110" s="80"/>
    </row>
    <row r="111" spans="1:14" s="46" customFormat="1" x14ac:dyDescent="0.3">
      <c r="B111" s="40">
        <f>C3</f>
        <v>293</v>
      </c>
      <c r="C111" s="46" t="s">
        <v>34</v>
      </c>
      <c r="E111" s="80">
        <f>B111/$B$115</f>
        <v>0.37336731443134757</v>
      </c>
      <c r="F111" s="46">
        <f>C90/B111</f>
        <v>900</v>
      </c>
      <c r="H111" s="107">
        <f>C96+C100*E111</f>
        <v>123957.23899330998</v>
      </c>
      <c r="J111" s="52">
        <f>H111/B111</f>
        <v>423.06224912392486</v>
      </c>
      <c r="N111" s="80"/>
    </row>
    <row r="112" spans="1:14" s="46" customFormat="1" x14ac:dyDescent="0.3">
      <c r="B112" s="86">
        <f>C8</f>
        <v>205.1</v>
      </c>
      <c r="C112" s="46" t="s">
        <v>163</v>
      </c>
      <c r="E112" s="80">
        <f>B112/$B$115</f>
        <v>0.26135712010194329</v>
      </c>
      <c r="F112" s="46">
        <f>C92/B112</f>
        <v>500</v>
      </c>
      <c r="H112" s="107">
        <f>C101/2+C98+C100*E112</f>
        <v>194169.55062865032</v>
      </c>
      <c r="J112" s="52">
        <f>H112/B112</f>
        <v>946.70673149025026</v>
      </c>
      <c r="N112" s="80"/>
    </row>
    <row r="113" spans="1:14" s="46" customFormat="1" x14ac:dyDescent="0.3">
      <c r="B113" s="40">
        <f>C11</f>
        <v>147</v>
      </c>
      <c r="C113" s="46" t="s">
        <v>35</v>
      </c>
      <c r="E113" s="80">
        <f>B113/$B$115</f>
        <v>0.18732080280344057</v>
      </c>
      <c r="F113" s="46">
        <f>C91/B113</f>
        <v>2310</v>
      </c>
      <c r="H113" s="107">
        <f>+C97+C100*E113</f>
        <v>205515.15062121695</v>
      </c>
      <c r="J113" s="52">
        <f>H113/B113</f>
        <v>1398.0622491239249</v>
      </c>
      <c r="N113" s="80"/>
    </row>
    <row r="114" spans="1:14" s="46" customFormat="1" x14ac:dyDescent="0.3">
      <c r="B114" s="86">
        <f>C16</f>
        <v>139.65</v>
      </c>
      <c r="C114" s="46" t="s">
        <v>164</v>
      </c>
      <c r="E114" s="80">
        <f>B114/$B$115</f>
        <v>0.17795476266326857</v>
      </c>
      <c r="F114" s="46">
        <f>C93/B114</f>
        <v>1540.0000000000002</v>
      </c>
      <c r="H114" s="108">
        <f>C101/2+C99+C100*E114</f>
        <v>98563.32642348943</v>
      </c>
      <c r="J114" s="52">
        <f>H114/B114</f>
        <v>705.78823074464322</v>
      </c>
      <c r="N114" s="40"/>
    </row>
    <row r="115" spans="1:14" s="46" customFormat="1" x14ac:dyDescent="0.3">
      <c r="B115" s="94">
        <f>SUM(B111:B114)</f>
        <v>784.75</v>
      </c>
      <c r="H115" s="107">
        <f>SUM(H111:H114)</f>
        <v>622205.2666666666</v>
      </c>
      <c r="I115" s="52"/>
      <c r="N115" s="40"/>
    </row>
    <row r="116" spans="1:14" s="46" customFormat="1" x14ac:dyDescent="0.3">
      <c r="N116" s="40"/>
    </row>
    <row r="117" spans="1:14" s="46" customFormat="1" x14ac:dyDescent="0.3">
      <c r="N117" s="40"/>
    </row>
    <row r="118" spans="1:14" s="46" customFormat="1" x14ac:dyDescent="0.3">
      <c r="F118" s="91" t="s">
        <v>165</v>
      </c>
      <c r="G118" s="91"/>
      <c r="H118" s="92"/>
      <c r="I118" s="182" t="s">
        <v>167</v>
      </c>
      <c r="J118" s="182"/>
    </row>
    <row r="119" spans="1:14" s="46" customFormat="1" x14ac:dyDescent="0.3">
      <c r="I119" s="84" t="s">
        <v>174</v>
      </c>
      <c r="L119" s="46" t="s">
        <v>175</v>
      </c>
    </row>
    <row r="120" spans="1:14" s="46" customFormat="1" x14ac:dyDescent="0.3">
      <c r="F120" s="40">
        <f>I100*$J$106</f>
        <v>246.82034730506274</v>
      </c>
      <c r="G120" s="46" t="s">
        <v>34</v>
      </c>
      <c r="I120" s="85">
        <f>F111-J111</f>
        <v>476.93775087607514</v>
      </c>
      <c r="J120" s="40">
        <f>F120*I120</f>
        <v>117717.94131412836</v>
      </c>
    </row>
    <row r="121" spans="1:14" s="46" customFormat="1" x14ac:dyDescent="0.3">
      <c r="F121" s="40">
        <f>I101*$J$106</f>
        <v>172.77424311354389</v>
      </c>
      <c r="G121" s="46" t="s">
        <v>168</v>
      </c>
      <c r="I121" s="85">
        <f>F112-J112</f>
        <v>-446.70673149025026</v>
      </c>
      <c r="J121" s="40">
        <f>F121*I121</f>
        <v>-77179.417426953078</v>
      </c>
    </row>
    <row r="122" spans="1:14" s="46" customFormat="1" x14ac:dyDescent="0.3">
      <c r="F122" s="40">
        <f>I102*$J$106</f>
        <v>123.83136878445126</v>
      </c>
      <c r="G122" s="46" t="s">
        <v>35</v>
      </c>
      <c r="I122" s="85">
        <f>F113-J113</f>
        <v>911.93775087607514</v>
      </c>
      <c r="J122" s="40">
        <f>F122*I122</f>
        <v>112926.4999371983</v>
      </c>
    </row>
    <row r="123" spans="1:14" s="46" customFormat="1" x14ac:dyDescent="0.3">
      <c r="F123" s="40">
        <f>I103*$J$106</f>
        <v>117.63980034522871</v>
      </c>
      <c r="G123" s="46" t="s">
        <v>169</v>
      </c>
      <c r="I123" s="85">
        <f>F114-J114</f>
        <v>834.21176925535701</v>
      </c>
      <c r="J123" s="40">
        <f>F123*I123</f>
        <v>98136.5059808402</v>
      </c>
    </row>
    <row r="124" spans="1:14" s="46" customFormat="1" ht="19.5" thickBot="1" x14ac:dyDescent="0.35">
      <c r="F124" s="52"/>
      <c r="G124" s="52"/>
      <c r="H124" s="52"/>
      <c r="I124" s="97">
        <f>SUM(I120:I123)</f>
        <v>1776.3805395172571</v>
      </c>
      <c r="J124" s="101">
        <f>SUM(J120:J123)</f>
        <v>251601.5298052138</v>
      </c>
    </row>
    <row r="125" spans="1:14" s="46" customFormat="1" ht="19.5" thickTop="1" x14ac:dyDescent="0.3">
      <c r="I125" s="40"/>
    </row>
    <row r="126" spans="1:14" s="46" customFormat="1" x14ac:dyDescent="0.3">
      <c r="A126" s="124"/>
      <c r="B126" s="183" t="s">
        <v>207</v>
      </c>
      <c r="C126" s="184"/>
      <c r="D126" s="184"/>
      <c r="E126" s="184"/>
      <c r="F126" s="184"/>
      <c r="G126" s="184"/>
      <c r="H126" s="184"/>
      <c r="I126" s="184"/>
      <c r="J126" s="184"/>
      <c r="K126" s="184"/>
      <c r="L126" s="185"/>
      <c r="M126" s="124"/>
      <c r="N126" s="124"/>
    </row>
    <row r="127" spans="1:14" s="46" customFormat="1" x14ac:dyDescent="0.3">
      <c r="A127" s="123"/>
      <c r="B127" s="183" t="s">
        <v>190</v>
      </c>
      <c r="C127" s="184"/>
      <c r="D127" s="184"/>
      <c r="E127" s="184"/>
      <c r="F127" s="184"/>
      <c r="G127" s="185"/>
      <c r="H127" s="192" t="s">
        <v>191</v>
      </c>
      <c r="I127" s="192"/>
      <c r="J127" s="192"/>
      <c r="K127" s="192"/>
      <c r="L127" s="193"/>
      <c r="M127" s="128"/>
      <c r="N127" s="124"/>
    </row>
    <row r="128" spans="1:14" s="46" customFormat="1" ht="18.75" customHeight="1" x14ac:dyDescent="0.3">
      <c r="B128" s="186" t="s">
        <v>54</v>
      </c>
      <c r="C128" s="186" t="s">
        <v>188</v>
      </c>
      <c r="D128" s="186" t="s">
        <v>192</v>
      </c>
      <c r="E128" s="186" t="s">
        <v>239</v>
      </c>
      <c r="F128" s="186" t="s">
        <v>189</v>
      </c>
      <c r="G128" s="186" t="s">
        <v>193</v>
      </c>
      <c r="H128" s="186" t="s">
        <v>194</v>
      </c>
      <c r="I128" s="186" t="s">
        <v>204</v>
      </c>
      <c r="J128" s="186" t="s">
        <v>205</v>
      </c>
      <c r="K128" s="189" t="s">
        <v>206</v>
      </c>
      <c r="L128" s="191" t="s">
        <v>207</v>
      </c>
    </row>
    <row r="129" spans="1:14" x14ac:dyDescent="0.3">
      <c r="B129" s="187"/>
      <c r="C129" s="187"/>
      <c r="D129" s="187"/>
      <c r="E129" s="187"/>
      <c r="F129" s="187"/>
      <c r="G129" s="187"/>
      <c r="H129" s="187"/>
      <c r="I129" s="187"/>
      <c r="J129" s="187"/>
      <c r="K129" s="190"/>
      <c r="L129" s="191"/>
      <c r="M129" s="89"/>
      <c r="N129" s="80"/>
    </row>
    <row r="130" spans="1:14" x14ac:dyDescent="0.3">
      <c r="A130" s="122">
        <v>0</v>
      </c>
      <c r="B130" s="165"/>
      <c r="C130" s="88"/>
      <c r="D130" s="88"/>
      <c r="E130" s="88"/>
      <c r="F130" s="88"/>
      <c r="G130" s="165"/>
      <c r="H130" s="88">
        <f>-C71-C69-C67-C65</f>
        <v>-846700</v>
      </c>
      <c r="I130" s="88"/>
      <c r="J130" s="88"/>
      <c r="K130" s="88"/>
      <c r="L130" s="168">
        <f>SUM(G130:K130)</f>
        <v>-846700</v>
      </c>
      <c r="M130" s="89"/>
      <c r="N130" s="80"/>
    </row>
    <row r="131" spans="1:14" x14ac:dyDescent="0.3">
      <c r="A131" s="122">
        <v>1</v>
      </c>
      <c r="B131" s="166">
        <f>C31</f>
        <v>920881</v>
      </c>
      <c r="C131" s="53">
        <f>C198</f>
        <v>-770633.05666666664</v>
      </c>
      <c r="D131" s="53">
        <f>-SUM(C46:C48)</f>
        <v>-52666.666666666672</v>
      </c>
      <c r="E131" s="53">
        <f>-SUM(B131:D131)*'Other Expenses'!$A$16</f>
        <v>-34153.446833333335</v>
      </c>
      <c r="F131" s="53">
        <f>SUM(B131:E131)</f>
        <v>63427.829833333351</v>
      </c>
      <c r="G131" s="166">
        <f>F131-D131</f>
        <v>116094.49650000002</v>
      </c>
      <c r="H131" s="53"/>
      <c r="I131" s="53">
        <f>C76-C62-C63-C64</f>
        <v>-162572.67123287672</v>
      </c>
      <c r="J131" s="53">
        <f>E131-E130</f>
        <v>-34153.446833333335</v>
      </c>
      <c r="K131" s="53"/>
      <c r="L131" s="169">
        <f>SUM(G131:K131)</f>
        <v>-80631.621566210029</v>
      </c>
      <c r="M131" s="89"/>
      <c r="N131" s="80"/>
    </row>
    <row r="132" spans="1:14" x14ac:dyDescent="0.3">
      <c r="A132" s="122">
        <v>2</v>
      </c>
      <c r="B132" s="166">
        <f>D31</f>
        <v>932416.42579999997</v>
      </c>
      <c r="C132" s="53">
        <f>D198</f>
        <v>-780944.84705800004</v>
      </c>
      <c r="D132" s="53">
        <f>-SUM(D46:D48)</f>
        <v>-52666.666666666672</v>
      </c>
      <c r="E132" s="53">
        <f>-SUM(B132:D132)*'Other Expenses'!$A$16</f>
        <v>-34581.719226366637</v>
      </c>
      <c r="F132" s="53">
        <f t="shared" ref="F132:F140" si="111">SUM(B132:E132)</f>
        <v>64223.192848966617</v>
      </c>
      <c r="G132" s="166">
        <f t="shared" ref="G132:G140" si="112">F132-D132</f>
        <v>116889.85951563329</v>
      </c>
      <c r="H132" s="53">
        <v>-30000</v>
      </c>
      <c r="I132" s="53">
        <f>C171-C172</f>
        <v>-4504.991797705472</v>
      </c>
      <c r="J132" s="53">
        <f>E132-E131</f>
        <v>-428.27239303330134</v>
      </c>
      <c r="K132" s="53"/>
      <c r="L132" s="169">
        <f>SUM(G132:K132)</f>
        <v>81956.595324894515</v>
      </c>
      <c r="M132" s="89"/>
      <c r="N132" s="80"/>
    </row>
    <row r="133" spans="1:14" x14ac:dyDescent="0.3">
      <c r="A133" s="122">
        <v>3</v>
      </c>
      <c r="B133" s="166">
        <f>E31</f>
        <v>944186.33609711798</v>
      </c>
      <c r="C133" s="53">
        <f>E198</f>
        <v>-791937.51785069297</v>
      </c>
      <c r="D133" s="53">
        <f>-SUM(E46:E48)</f>
        <v>-58666.666666666672</v>
      </c>
      <c r="E133" s="53">
        <f>-SUM(B133:D133)*'Other Expenses'!$A$16</f>
        <v>-32753.753052915417</v>
      </c>
      <c r="F133" s="53">
        <f t="shared" si="111"/>
        <v>60828.398526842924</v>
      </c>
      <c r="G133" s="166">
        <f t="shared" si="112"/>
        <v>119495.0651935096</v>
      </c>
      <c r="H133" s="53">
        <v>-50000</v>
      </c>
      <c r="I133" s="53">
        <f t="shared" ref="I133:I140" si="113">C172-C173</f>
        <v>-4624.3671141987434</v>
      </c>
      <c r="J133" s="53">
        <f>E133-E132</f>
        <v>1827.9661734512192</v>
      </c>
      <c r="K133" s="53"/>
      <c r="L133" s="169">
        <f t="shared" ref="L133:L140" si="114">SUM(G133:K133)</f>
        <v>66698.664252762072</v>
      </c>
      <c r="M133" s="89"/>
      <c r="N133" s="80"/>
    </row>
    <row r="134" spans="1:14" x14ac:dyDescent="0.3">
      <c r="A134" s="122">
        <v>4</v>
      </c>
      <c r="B134" s="166">
        <f>F31</f>
        <v>956196.96153986314</v>
      </c>
      <c r="C134" s="53">
        <f>F198</f>
        <v>-802614.55818276852</v>
      </c>
      <c r="D134" s="53">
        <f>-SUM(F46:F48)</f>
        <v>-68666.666666666672</v>
      </c>
      <c r="E134" s="53">
        <f>-SUM(B134:D134)*'Other Expenses'!$A$16</f>
        <v>-29720.507841649778</v>
      </c>
      <c r="F134" s="53">
        <f t="shared" si="111"/>
        <v>55195.22884877817</v>
      </c>
      <c r="G134" s="166">
        <f t="shared" si="112"/>
        <v>123861.89551544483</v>
      </c>
      <c r="H134" s="53"/>
      <c r="I134" s="53">
        <f t="shared" si="113"/>
        <v>-4746.9558965860051</v>
      </c>
      <c r="J134" s="53">
        <f t="shared" ref="J134:J140" si="115">E134-E133</f>
        <v>3033.2452112656392</v>
      </c>
      <c r="K134" s="53"/>
      <c r="L134" s="169">
        <f t="shared" si="114"/>
        <v>122148.18483012446</v>
      </c>
      <c r="M134" s="89"/>
      <c r="N134" s="80"/>
    </row>
    <row r="135" spans="1:14" x14ac:dyDescent="0.3">
      <c r="A135" s="122">
        <v>5</v>
      </c>
      <c r="B135" s="166">
        <f>G31</f>
        <v>968454.71422897279</v>
      </c>
      <c r="C135" s="53">
        <f>G198</f>
        <v>-813479.5263154573</v>
      </c>
      <c r="D135" s="53">
        <f>-SUM(G46:G48)</f>
        <v>-68666.666666666672</v>
      </c>
      <c r="E135" s="53">
        <f>-SUM(B135:D135)*'Other Expenses'!$A$16</f>
        <v>-30207.982436397084</v>
      </c>
      <c r="F135" s="53">
        <f t="shared" si="111"/>
        <v>56100.538810451733</v>
      </c>
      <c r="G135" s="166">
        <f t="shared" si="112"/>
        <v>124767.2054771184</v>
      </c>
      <c r="H135" s="53">
        <f>'Depreciation schedules'!H10</f>
        <v>-50000</v>
      </c>
      <c r="I135" s="53">
        <f t="shared" si="113"/>
        <v>-4872.8450325851736</v>
      </c>
      <c r="J135" s="53">
        <f t="shared" si="115"/>
        <v>-487.47459474730567</v>
      </c>
      <c r="K135" s="53"/>
      <c r="L135" s="169">
        <f t="shared" si="114"/>
        <v>69406.885849785933</v>
      </c>
      <c r="M135" s="89"/>
      <c r="N135" s="80"/>
    </row>
    <row r="136" spans="1:14" x14ac:dyDescent="0.3">
      <c r="A136" s="122">
        <v>6</v>
      </c>
      <c r="B136" s="166">
        <f>H31</f>
        <v>980966.19314195868</v>
      </c>
      <c r="C136" s="53">
        <f>H198</f>
        <v>-824536.05101220764</v>
      </c>
      <c r="D136" s="53">
        <f>-SUM(H46:H48)</f>
        <v>-34666.666666666672</v>
      </c>
      <c r="E136" s="53">
        <f>-SUM(B136:D136)*'Other Expenses'!$A$16</f>
        <v>-42617.216412079528</v>
      </c>
      <c r="F136" s="53">
        <f t="shared" si="111"/>
        <v>79146.259051004832</v>
      </c>
      <c r="G136" s="166">
        <f t="shared" si="112"/>
        <v>113812.9257176715</v>
      </c>
      <c r="H136" s="53"/>
      <c r="I136" s="53">
        <f t="shared" si="113"/>
        <v>-5002.1237666076049</v>
      </c>
      <c r="J136" s="53">
        <f t="shared" si="115"/>
        <v>-12409.233975682444</v>
      </c>
      <c r="K136" s="53"/>
      <c r="L136" s="169">
        <f>SUM(G136:K136)</f>
        <v>96401.567975381447</v>
      </c>
      <c r="M136" s="89"/>
      <c r="N136" s="80"/>
    </row>
    <row r="137" spans="1:14" x14ac:dyDescent="0.3">
      <c r="A137" s="122">
        <v>7</v>
      </c>
      <c r="B137" s="166">
        <f>I31</f>
        <v>993738.1897210055</v>
      </c>
      <c r="C137" s="53">
        <f>I198</f>
        <v>-835787.83294525871</v>
      </c>
      <c r="D137" s="53">
        <f>-SUM(I46:I48)</f>
        <v>-34666.666666666672</v>
      </c>
      <c r="E137" s="53">
        <f>-SUM(B137:D137)*'Other Expenses'!$A$16</f>
        <v>-43149.29153817804</v>
      </c>
      <c r="F137" s="53">
        <f t="shared" si="111"/>
        <v>80134.398570902093</v>
      </c>
      <c r="G137" s="166">
        <f t="shared" si="112"/>
        <v>114801.06523756876</v>
      </c>
      <c r="H137" s="53"/>
      <c r="I137" s="53">
        <f t="shared" si="113"/>
        <v>-5134.8837638639379</v>
      </c>
      <c r="J137" s="53">
        <f t="shared" si="115"/>
        <v>-532.07512609851256</v>
      </c>
      <c r="K137" s="53"/>
      <c r="L137" s="169">
        <f t="shared" si="114"/>
        <v>109134.10634760631</v>
      </c>
      <c r="M137" s="89"/>
      <c r="N137" s="80"/>
    </row>
    <row r="138" spans="1:14" x14ac:dyDescent="0.3">
      <c r="A138" s="122">
        <v>8</v>
      </c>
      <c r="B138" s="166">
        <f>J31</f>
        <v>1006777.6936291468</v>
      </c>
      <c r="C138" s="53">
        <f>J198</f>
        <v>-847238.64613032516</v>
      </c>
      <c r="D138" s="53">
        <f>-SUM(J46:J48)</f>
        <v>-28666.666666666668</v>
      </c>
      <c r="E138" s="53">
        <f>-SUM(B138:D138)*'Other Expenses'!$A$16</f>
        <v>-45805.333291254232</v>
      </c>
      <c r="F138" s="53">
        <f t="shared" si="111"/>
        <v>85067.047540900734</v>
      </c>
      <c r="G138" s="166">
        <f t="shared" si="112"/>
        <v>113733.71420756741</v>
      </c>
      <c r="H138" s="53">
        <f>'Depreciation schedules'!H13</f>
        <v>-50000</v>
      </c>
      <c r="I138" s="53">
        <f t="shared" si="113"/>
        <v>-5271.2191762180009</v>
      </c>
      <c r="J138" s="53">
        <f t="shared" si="115"/>
        <v>-2656.0417530761915</v>
      </c>
      <c r="K138" s="53"/>
      <c r="L138" s="169">
        <f t="shared" si="114"/>
        <v>55806.453278273213</v>
      </c>
      <c r="M138" s="89"/>
      <c r="N138" s="80"/>
    </row>
    <row r="139" spans="1:14" x14ac:dyDescent="0.3">
      <c r="A139" s="122">
        <v>9</v>
      </c>
      <c r="B139" s="166">
        <f>K31</f>
        <v>1020091.8986797996</v>
      </c>
      <c r="C139" s="53">
        <f>K198</f>
        <v>-858892.33938995702</v>
      </c>
      <c r="D139" s="53">
        <f>-SUM(K46:K48)</f>
        <v>-20939.39393939394</v>
      </c>
      <c r="E139" s="53">
        <f>-SUM(B139:D139)*'Other Expenses'!$A$16</f>
        <v>-49091.057872657031</v>
      </c>
      <c r="F139" s="53">
        <f t="shared" si="111"/>
        <v>91169.107477791636</v>
      </c>
      <c r="G139" s="166">
        <f t="shared" si="112"/>
        <v>112108.50141718557</v>
      </c>
      <c r="H139" s="53"/>
      <c r="I139" s="53">
        <f t="shared" si="113"/>
        <v>-5411.2267098380253</v>
      </c>
      <c r="J139" s="53">
        <f t="shared" si="115"/>
        <v>-3285.7245814027992</v>
      </c>
      <c r="K139" s="53"/>
      <c r="L139" s="169">
        <f t="shared" si="114"/>
        <v>103411.55012594475</v>
      </c>
      <c r="M139" s="89"/>
      <c r="N139" s="80"/>
    </row>
    <row r="140" spans="1:14" x14ac:dyDescent="0.3">
      <c r="A140" s="122">
        <v>10</v>
      </c>
      <c r="B140" s="167">
        <f>L31</f>
        <v>1033688.2089448856</v>
      </c>
      <c r="C140" s="47">
        <f>L198</f>
        <v>-870752.83784614899</v>
      </c>
      <c r="D140" s="47">
        <f>-SUM(L46:L48)</f>
        <v>-20939.39393939394</v>
      </c>
      <c r="E140" s="47">
        <f>-SUM(B140:D140)*'Other Expenses'!$A$16</f>
        <v>-49698.59200576994</v>
      </c>
      <c r="F140" s="47">
        <f t="shared" si="111"/>
        <v>92297.385153572759</v>
      </c>
      <c r="G140" s="167">
        <f t="shared" si="112"/>
        <v>113236.7790929667</v>
      </c>
      <c r="H140" s="78">
        <f>L72</f>
        <v>1039063.3688455671</v>
      </c>
      <c r="I140" s="47">
        <f t="shared" si="113"/>
        <v>-5555.0056946923141</v>
      </c>
      <c r="J140" s="47">
        <f t="shared" si="115"/>
        <v>-607.53413311290933</v>
      </c>
      <c r="K140" s="47">
        <f>E140+C181-J143</f>
        <v>-266795.01352596079</v>
      </c>
      <c r="L140" s="170">
        <f t="shared" si="114"/>
        <v>879342.59458476771</v>
      </c>
      <c r="M140" s="89"/>
      <c r="N140" s="80"/>
    </row>
    <row r="141" spans="1:14" x14ac:dyDescent="0.3">
      <c r="B141" s="40"/>
      <c r="C141" s="46"/>
      <c r="D141" s="46"/>
      <c r="E141" s="46"/>
      <c r="F141" s="46"/>
      <c r="G141" s="46"/>
      <c r="H141" s="46"/>
      <c r="I141" s="93"/>
      <c r="J141" s="93"/>
      <c r="K141" s="46"/>
      <c r="L141" s="46"/>
      <c r="M141" s="89"/>
      <c r="N141" s="80"/>
    </row>
    <row r="142" spans="1:14" x14ac:dyDescent="0.3">
      <c r="B142" s="194" t="s">
        <v>210</v>
      </c>
      <c r="C142" s="195"/>
      <c r="D142" s="195"/>
      <c r="E142" s="195"/>
      <c r="F142" s="195"/>
      <c r="G142" s="195"/>
      <c r="H142" s="195"/>
      <c r="I142" s="196"/>
      <c r="J142" s="178">
        <f>H140-'Depreciation schedules'!K15</f>
        <v>620275.49005768821</v>
      </c>
      <c r="L142" s="129" t="s">
        <v>208</v>
      </c>
      <c r="M142" s="89"/>
      <c r="N142" s="80"/>
    </row>
    <row r="143" spans="1:14" x14ac:dyDescent="0.3">
      <c r="B143" s="138"/>
      <c r="C143" s="139"/>
      <c r="D143" s="139"/>
      <c r="E143" s="131"/>
      <c r="F143" s="140" t="s">
        <v>211</v>
      </c>
      <c r="G143" s="140"/>
      <c r="H143" s="131"/>
      <c r="I143" s="141" t="s">
        <v>216</v>
      </c>
      <c r="J143" s="178">
        <f>J142*I144</f>
        <v>217096.42152019087</v>
      </c>
      <c r="L143" s="168">
        <f t="shared" ref="L143:L153" si="116">-PV($D$152,A130,,L130)</f>
        <v>-846700</v>
      </c>
      <c r="M143" s="89"/>
      <c r="N143" s="80"/>
    </row>
    <row r="144" spans="1:14" x14ac:dyDescent="0.3">
      <c r="B144" s="132"/>
      <c r="C144" s="142" t="s">
        <v>232</v>
      </c>
      <c r="D144" s="133">
        <f>G193</f>
        <v>0.99</v>
      </c>
      <c r="E144" s="121"/>
      <c r="F144" s="143" t="s">
        <v>213</v>
      </c>
      <c r="G144" s="144">
        <f>D145</f>
        <v>1.4895400463311157</v>
      </c>
      <c r="H144" s="121"/>
      <c r="I144" s="145">
        <v>0.35</v>
      </c>
      <c r="J144" s="179"/>
      <c r="L144" s="169">
        <f t="shared" si="116"/>
        <v>-75924.224936179831</v>
      </c>
      <c r="M144" s="89"/>
      <c r="N144" s="80"/>
    </row>
    <row r="145" spans="2:14" x14ac:dyDescent="0.3">
      <c r="B145" s="132"/>
      <c r="C145" s="142" t="s">
        <v>233</v>
      </c>
      <c r="D145" s="133">
        <f>D144*(1+(1-I144)*H161/H162)</f>
        <v>1.4895400463311157</v>
      </c>
      <c r="E145" s="121"/>
      <c r="F145" s="143" t="s">
        <v>214</v>
      </c>
      <c r="G145" s="146">
        <v>1.4E-3</v>
      </c>
      <c r="H145" s="143"/>
      <c r="I145" s="134"/>
      <c r="L145" s="169">
        <f t="shared" si="116"/>
        <v>72666.435114481064</v>
      </c>
      <c r="M145" s="89"/>
      <c r="N145" s="80"/>
    </row>
    <row r="146" spans="2:14" x14ac:dyDescent="0.3">
      <c r="B146" s="132"/>
      <c r="C146" s="121"/>
      <c r="D146" s="121"/>
      <c r="E146" s="121"/>
      <c r="F146" s="143" t="s">
        <v>217</v>
      </c>
      <c r="G146" s="146">
        <v>0.06</v>
      </c>
      <c r="H146" s="143"/>
      <c r="I146" s="134"/>
      <c r="L146" s="169">
        <f t="shared" si="116"/>
        <v>55685.491387959417</v>
      </c>
      <c r="M146" s="89"/>
      <c r="N146" s="80"/>
    </row>
    <row r="147" spans="2:14" x14ac:dyDescent="0.3">
      <c r="B147" s="147" t="s">
        <v>212</v>
      </c>
      <c r="C147" s="148"/>
      <c r="D147" s="149">
        <f>G145+G144*(G146-G145)</f>
        <v>8.8687046715003381E-2</v>
      </c>
      <c r="E147" s="121"/>
      <c r="F147" s="121"/>
      <c r="G147" s="143"/>
      <c r="H147" s="143"/>
      <c r="I147" s="150"/>
      <c r="L147" s="169">
        <f t="shared" si="116"/>
        <v>96025.573731341603</v>
      </c>
      <c r="M147" s="89"/>
      <c r="N147" s="80"/>
    </row>
    <row r="148" spans="2:14" x14ac:dyDescent="0.3">
      <c r="B148" s="147"/>
      <c r="C148" s="148"/>
      <c r="D148" s="148"/>
      <c r="E148" s="121"/>
      <c r="F148" s="143" t="s">
        <v>220</v>
      </c>
      <c r="G148" s="143"/>
      <c r="H148" s="151" t="s">
        <v>221</v>
      </c>
      <c r="I148" s="152" t="s">
        <v>234</v>
      </c>
      <c r="L148" s="169">
        <f t="shared" si="116"/>
        <v>51378.027310553567</v>
      </c>
      <c r="M148" s="89"/>
      <c r="N148" s="80"/>
    </row>
    <row r="149" spans="2:14" x14ac:dyDescent="0.3">
      <c r="B149" s="147" t="s">
        <v>215</v>
      </c>
      <c r="C149" s="148"/>
      <c r="D149" s="153">
        <f>I151</f>
        <v>4.2500000000000003E-2</v>
      </c>
      <c r="E149" s="121"/>
      <c r="F149" s="143" t="s">
        <v>223</v>
      </c>
      <c r="G149" s="154">
        <f>L78</f>
        <v>423718.43520901405</v>
      </c>
      <c r="H149" s="155">
        <f>G149/G151</f>
        <v>1</v>
      </c>
      <c r="I149" s="146">
        <f>Mortgage!I1</f>
        <v>4.2500000000000003E-2</v>
      </c>
      <c r="L149" s="169">
        <f t="shared" si="116"/>
        <v>67194.532606362904</v>
      </c>
      <c r="M149" s="89"/>
      <c r="N149" s="80"/>
    </row>
    <row r="150" spans="2:14" x14ac:dyDescent="0.3">
      <c r="B150" s="147" t="s">
        <v>218</v>
      </c>
      <c r="C150" s="148"/>
      <c r="D150" s="156">
        <f>I144</f>
        <v>0.35</v>
      </c>
      <c r="E150" s="121"/>
      <c r="F150" s="143" t="s">
        <v>225</v>
      </c>
      <c r="G150" s="154">
        <f>L79</f>
        <v>0</v>
      </c>
      <c r="H150" s="155">
        <f>G150/G151</f>
        <v>0</v>
      </c>
      <c r="I150" s="146">
        <f>'Other Expenses'!E16</f>
        <v>0.08</v>
      </c>
      <c r="L150" s="169">
        <f t="shared" si="116"/>
        <v>71628.409769611128</v>
      </c>
      <c r="M150" s="89"/>
      <c r="N150" s="80"/>
    </row>
    <row r="151" spans="2:14" ht="19.5" thickBot="1" x14ac:dyDescent="0.35">
      <c r="B151" s="147"/>
      <c r="C151" s="148"/>
      <c r="D151" s="148"/>
      <c r="E151" s="121"/>
      <c r="F151" s="143" t="s">
        <v>226</v>
      </c>
      <c r="G151" s="157">
        <f>SUM(G149:G150)</f>
        <v>423718.43520901405</v>
      </c>
      <c r="H151" s="121"/>
      <c r="I151" s="158">
        <f>I149*H149+I150*H150</f>
        <v>4.2500000000000003E-2</v>
      </c>
      <c r="L151" s="169">
        <f t="shared" si="116"/>
        <v>34489.286378503501</v>
      </c>
      <c r="M151" s="89"/>
      <c r="N151" s="80"/>
    </row>
    <row r="152" spans="2:14" ht="19.5" thickBot="1" x14ac:dyDescent="0.35">
      <c r="B152" s="171" t="s">
        <v>238</v>
      </c>
      <c r="C152" s="148"/>
      <c r="D152" s="137">
        <f>H161*D149*(1-D150)+H162*D147</f>
        <v>6.2001247085329295E-2</v>
      </c>
      <c r="E152" s="121"/>
      <c r="F152" s="143"/>
      <c r="G152" s="143"/>
      <c r="H152" s="143"/>
      <c r="I152" s="150"/>
      <c r="L152" s="169">
        <f t="shared" si="116"/>
        <v>60178.839385038395</v>
      </c>
      <c r="M152" s="89"/>
      <c r="N152" s="80"/>
    </row>
    <row r="153" spans="2:14" x14ac:dyDescent="0.3">
      <c r="B153" s="147"/>
      <c r="C153" s="148"/>
      <c r="D153" s="148"/>
      <c r="E153" s="121"/>
      <c r="F153" s="143" t="s">
        <v>227</v>
      </c>
      <c r="G153" s="143"/>
      <c r="H153" s="121"/>
      <c r="I153" s="134"/>
      <c r="L153" s="170">
        <f t="shared" si="116"/>
        <v>481845.53972520953</v>
      </c>
      <c r="M153" s="89"/>
      <c r="N153" s="80"/>
    </row>
    <row r="154" spans="2:14" x14ac:dyDescent="0.3">
      <c r="B154" s="132"/>
      <c r="C154" s="121"/>
      <c r="D154" s="121"/>
      <c r="E154" s="121"/>
      <c r="F154" s="143" t="s">
        <v>229</v>
      </c>
      <c r="G154" s="154">
        <f>L81</f>
        <v>50000</v>
      </c>
      <c r="H154" s="121"/>
      <c r="I154" s="134"/>
      <c r="K154" s="129" t="s">
        <v>236</v>
      </c>
      <c r="L154" s="129">
        <f>SUM(L143:L153)</f>
        <v>68467.910472881398</v>
      </c>
      <c r="M154" s="89"/>
      <c r="N154" s="80"/>
    </row>
    <row r="155" spans="2:14" x14ac:dyDescent="0.3">
      <c r="B155" s="147" t="s">
        <v>228</v>
      </c>
      <c r="C155" s="148"/>
      <c r="D155" s="159">
        <f>G144/(1+(1-D150)*(H161/H162))</f>
        <v>0.99</v>
      </c>
      <c r="E155" s="121"/>
      <c r="F155" s="143" t="s">
        <v>230</v>
      </c>
      <c r="G155" s="154">
        <f>L82</f>
        <v>495827.73705447523</v>
      </c>
      <c r="H155" s="121"/>
      <c r="I155" s="134"/>
      <c r="L155" s="46"/>
      <c r="M155" s="89"/>
      <c r="N155" s="80"/>
    </row>
    <row r="156" spans="2:14" x14ac:dyDescent="0.3">
      <c r="B156" s="147" t="s">
        <v>237</v>
      </c>
      <c r="C156" s="148"/>
      <c r="D156" s="159">
        <f>D155*(1+(1-D150)*(I161/I162))</f>
        <v>1.0614999999999999</v>
      </c>
      <c r="E156" s="121"/>
      <c r="F156" s="143" t="s">
        <v>226</v>
      </c>
      <c r="G156" s="157">
        <f>SUM(G154:G155)</f>
        <v>545827.73705447523</v>
      </c>
      <c r="H156" s="121"/>
      <c r="I156" s="150"/>
      <c r="J156" s="46"/>
      <c r="K156" s="135" t="s">
        <v>209</v>
      </c>
      <c r="L156" s="136">
        <f>IRR(L130:L140)</f>
        <v>7.2269420616710489E-2</v>
      </c>
      <c r="M156" s="89"/>
      <c r="N156" s="80"/>
    </row>
    <row r="157" spans="2:14" x14ac:dyDescent="0.3">
      <c r="B157" s="132"/>
      <c r="C157" s="121"/>
      <c r="D157" s="121"/>
      <c r="E157" s="121"/>
      <c r="F157" s="143"/>
      <c r="G157" s="143"/>
      <c r="H157" s="121"/>
      <c r="I157" s="150"/>
      <c r="J157" s="46"/>
      <c r="K157" s="46"/>
      <c r="L157" s="46"/>
      <c r="M157" s="89"/>
      <c r="N157" s="80"/>
    </row>
    <row r="158" spans="2:14" x14ac:dyDescent="0.3">
      <c r="B158" s="132"/>
      <c r="C158" s="121"/>
      <c r="D158" s="121"/>
      <c r="E158" s="121"/>
      <c r="F158" s="151" t="s">
        <v>231</v>
      </c>
      <c r="G158" s="157">
        <f>G151+G156</f>
        <v>969546.17226348934</v>
      </c>
      <c r="H158" s="121"/>
      <c r="I158" s="150"/>
      <c r="J158" s="46"/>
      <c r="K158" s="46"/>
      <c r="L158" s="46"/>
      <c r="M158" s="89"/>
      <c r="N158" s="80"/>
    </row>
    <row r="159" spans="2:14" x14ac:dyDescent="0.3">
      <c r="B159" s="147" t="s">
        <v>235</v>
      </c>
      <c r="C159" s="148"/>
      <c r="D159" s="148"/>
      <c r="E159" s="143"/>
      <c r="F159" s="143"/>
      <c r="G159" s="143"/>
      <c r="H159" s="143"/>
      <c r="I159" s="150"/>
      <c r="J159" s="46"/>
      <c r="K159" s="46"/>
      <c r="L159" s="46"/>
      <c r="M159" s="89"/>
      <c r="N159" s="80"/>
    </row>
    <row r="160" spans="2:14" x14ac:dyDescent="0.3">
      <c r="B160" s="132"/>
      <c r="C160" s="148"/>
      <c r="D160" s="149">
        <f>G145+D156*(G146-G145)</f>
        <v>6.3603899999999991E-2</v>
      </c>
      <c r="E160" s="121"/>
      <c r="F160" s="121"/>
      <c r="G160" s="143"/>
      <c r="H160" s="143"/>
      <c r="I160" s="152" t="s">
        <v>219</v>
      </c>
      <c r="J160" s="46"/>
      <c r="K160" s="46"/>
      <c r="L160" s="46"/>
      <c r="M160" s="89"/>
      <c r="N160" s="80"/>
    </row>
    <row r="161" spans="1:15" x14ac:dyDescent="0.3">
      <c r="B161" s="147"/>
      <c r="C161" s="148"/>
      <c r="D161" s="148"/>
      <c r="E161" s="121"/>
      <c r="F161" s="121"/>
      <c r="G161" s="163" t="s">
        <v>222</v>
      </c>
      <c r="H161" s="153">
        <f>G151/G158</f>
        <v>0.43702759840700184</v>
      </c>
      <c r="I161" s="146">
        <v>0.1</v>
      </c>
      <c r="J161" s="46"/>
      <c r="K161" s="46"/>
      <c r="L161" s="46"/>
      <c r="M161" s="89"/>
      <c r="N161" s="80"/>
    </row>
    <row r="162" spans="1:15" x14ac:dyDescent="0.3">
      <c r="B162" s="160" t="s">
        <v>210</v>
      </c>
      <c r="C162" s="161"/>
      <c r="D162" s="149">
        <f>(I161)*D149*(1-D150)+(I162)*D160</f>
        <v>6.0006009999999992E-2</v>
      </c>
      <c r="E162" s="65"/>
      <c r="F162" s="65"/>
      <c r="G162" s="164" t="s">
        <v>224</v>
      </c>
      <c r="H162" s="162">
        <f>G156/G158</f>
        <v>0.56297240159299811</v>
      </c>
      <c r="I162" s="146">
        <v>0.9</v>
      </c>
      <c r="J162" s="46"/>
      <c r="K162" s="46"/>
      <c r="L162" s="46"/>
      <c r="M162" s="89"/>
      <c r="N162" s="80"/>
    </row>
    <row r="163" spans="1:15" x14ac:dyDescent="0.3">
      <c r="J163" s="46"/>
      <c r="K163" s="46"/>
      <c r="L163" s="46"/>
      <c r="M163" s="89"/>
      <c r="N163" s="80"/>
    </row>
    <row r="164" spans="1:15" x14ac:dyDescent="0.3">
      <c r="A164" s="172"/>
      <c r="B164" s="173"/>
      <c r="C164" s="172"/>
      <c r="D164" s="172"/>
      <c r="E164" s="172"/>
      <c r="F164" s="172"/>
      <c r="G164" s="172"/>
      <c r="H164" s="172"/>
      <c r="I164" s="172"/>
      <c r="J164" s="87"/>
      <c r="K164" s="87"/>
      <c r="L164" s="87"/>
      <c r="M164" s="174"/>
      <c r="N164" s="80"/>
    </row>
    <row r="165" spans="1:15" x14ac:dyDescent="0.3">
      <c r="A165" s="172"/>
      <c r="B165" s="172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174"/>
      <c r="N165" s="80"/>
    </row>
    <row r="166" spans="1:15" x14ac:dyDescent="0.3">
      <c r="A166" s="172"/>
      <c r="B166" s="172"/>
      <c r="C166" s="175">
        <v>1</v>
      </c>
      <c r="D166" s="175">
        <v>2</v>
      </c>
      <c r="E166" s="175">
        <v>3</v>
      </c>
      <c r="F166" s="175">
        <v>4</v>
      </c>
      <c r="G166" s="175">
        <v>5</v>
      </c>
      <c r="H166" s="175">
        <v>6</v>
      </c>
      <c r="I166" s="175">
        <v>7</v>
      </c>
      <c r="J166" s="175">
        <v>8</v>
      </c>
      <c r="K166" s="175">
        <v>9</v>
      </c>
      <c r="L166" s="175">
        <v>10</v>
      </c>
      <c r="M166" s="174"/>
      <c r="N166" s="80"/>
    </row>
    <row r="167" spans="1:15" x14ac:dyDescent="0.3">
      <c r="A167" s="172"/>
      <c r="B167" s="172" t="s">
        <v>240</v>
      </c>
      <c r="C167" s="87">
        <f>-C76</f>
        <v>-26245.890410958902</v>
      </c>
      <c r="D167" s="87">
        <f>-D76</f>
        <v>-26243.928530650686</v>
      </c>
      <c r="E167" s="87">
        <f t="shared" ref="E167:L167" si="117">-E76</f>
        <v>-26241.96679699302</v>
      </c>
      <c r="F167" s="87">
        <f t="shared" si="117"/>
        <v>-26240.005209974948</v>
      </c>
      <c r="G167" s="87">
        <f t="shared" si="117"/>
        <v>-26238.043769585503</v>
      </c>
      <c r="H167" s="87">
        <f t="shared" si="117"/>
        <v>-26236.082475813724</v>
      </c>
      <c r="I167" s="87">
        <f t="shared" si="117"/>
        <v>-26234.121328648656</v>
      </c>
      <c r="J167" s="87">
        <f t="shared" si="117"/>
        <v>-26232.16032807935</v>
      </c>
      <c r="K167" s="87">
        <f t="shared" si="117"/>
        <v>-26230.199474094818</v>
      </c>
      <c r="L167" s="87">
        <f t="shared" si="117"/>
        <v>-26228.238766684131</v>
      </c>
      <c r="N167" s="80"/>
      <c r="O167" s="87"/>
    </row>
    <row r="168" spans="1:15" x14ac:dyDescent="0.3">
      <c r="A168" s="172"/>
      <c r="B168" s="172" t="s">
        <v>81</v>
      </c>
      <c r="C168" s="87">
        <f>C62</f>
        <v>37988.424657534248</v>
      </c>
      <c r="D168" s="87">
        <f t="shared" ref="D168:L168" si="118">D62</f>
        <v>38425.783064794523</v>
      </c>
      <c r="E168" s="87">
        <f t="shared" si="118"/>
        <v>38872.58502326945</v>
      </c>
      <c r="F168" s="87">
        <f t="shared" si="118"/>
        <v>39329.062639514021</v>
      </c>
      <c r="G168" s="87">
        <f t="shared" si="118"/>
        <v>39795.453821051669</v>
      </c>
      <c r="H168" s="87">
        <f t="shared" si="118"/>
        <v>40272.002421644371</v>
      </c>
      <c r="I168" s="87">
        <f t="shared" si="118"/>
        <v>40758.958390201355</v>
      </c>
      <c r="J168" s="87">
        <f t="shared" si="118"/>
        <v>41256.577923417877</v>
      </c>
      <c r="K168" s="87">
        <f t="shared" si="118"/>
        <v>41765.123622237217</v>
      </c>
      <c r="L168" s="87">
        <f t="shared" si="118"/>
        <v>42284.864652231772</v>
      </c>
      <c r="M168" s="174"/>
      <c r="N168" s="80"/>
    </row>
    <row r="169" spans="1:15" x14ac:dyDescent="0.3">
      <c r="A169" s="172"/>
      <c r="B169" s="172" t="s">
        <v>133</v>
      </c>
      <c r="C169" s="87">
        <f>C63</f>
        <v>93032.876712328769</v>
      </c>
      <c r="D169" s="87">
        <f t="shared" ref="D169:L169" si="119">D63</f>
        <v>95650.78464986301</v>
      </c>
      <c r="E169" s="87">
        <f t="shared" si="119"/>
        <v>98342.359469596297</v>
      </c>
      <c r="F169" s="87">
        <f t="shared" si="119"/>
        <v>101109.67412812694</v>
      </c>
      <c r="G169" s="87">
        <f t="shared" si="119"/>
        <v>103954.8599142228</v>
      </c>
      <c r="H169" s="87">
        <f t="shared" si="119"/>
        <v>106880.10809026506</v>
      </c>
      <c r="I169" s="87">
        <f t="shared" si="119"/>
        <v>109887.67157988191</v>
      </c>
      <c r="J169" s="87">
        <f t="shared" si="119"/>
        <v>112979.86670307115</v>
      </c>
      <c r="K169" s="87">
        <f t="shared" si="119"/>
        <v>116159.07496014888</v>
      </c>
      <c r="L169" s="87">
        <f t="shared" si="119"/>
        <v>119427.74486589752</v>
      </c>
      <c r="M169" s="174"/>
      <c r="N169" s="80"/>
    </row>
    <row r="170" spans="1:15" x14ac:dyDescent="0.3">
      <c r="A170" s="172"/>
      <c r="B170" s="172" t="s">
        <v>134</v>
      </c>
      <c r="C170" s="87">
        <f>C64</f>
        <v>57797.260273972606</v>
      </c>
      <c r="D170" s="87">
        <f t="shared" ref="D170:L170" si="120">D64</f>
        <v>59245.023846575343</v>
      </c>
      <c r="E170" s="87">
        <f t="shared" si="120"/>
        <v>60729.052448908202</v>
      </c>
      <c r="F170" s="87">
        <f t="shared" si="120"/>
        <v>62250.254483700919</v>
      </c>
      <c r="G170" s="87">
        <f t="shared" si="120"/>
        <v>63809.561108263144</v>
      </c>
      <c r="H170" s="87">
        <f t="shared" si="120"/>
        <v>65407.926804464027</v>
      </c>
      <c r="I170" s="87">
        <f t="shared" si="120"/>
        <v>67046.329962989053</v>
      </c>
      <c r="J170" s="87">
        <f t="shared" si="120"/>
        <v>68725.773482231962</v>
      </c>
      <c r="K170" s="87">
        <f t="shared" si="120"/>
        <v>70447.285382188376</v>
      </c>
      <c r="L170" s="87">
        <f t="shared" si="120"/>
        <v>72211.919433726827</v>
      </c>
      <c r="M170" s="174"/>
      <c r="N170" s="80"/>
    </row>
    <row r="171" spans="1:15" x14ac:dyDescent="0.3">
      <c r="A171" s="172"/>
      <c r="B171" s="172"/>
      <c r="C171" s="87">
        <f>SUM(C167:C170)</f>
        <v>162572.67123287672</v>
      </c>
      <c r="D171" s="172"/>
      <c r="E171" s="172"/>
      <c r="F171" s="172"/>
      <c r="G171" s="172"/>
      <c r="H171" s="172"/>
      <c r="I171" s="172"/>
      <c r="J171" s="172"/>
      <c r="K171" s="172"/>
      <c r="L171" s="172"/>
      <c r="M171" s="174"/>
      <c r="N171" s="80"/>
    </row>
    <row r="172" spans="1:15" x14ac:dyDescent="0.3">
      <c r="A172" s="172"/>
      <c r="B172" s="172"/>
      <c r="C172" s="87">
        <f>SUM(D167:D170)</f>
        <v>167077.66303058219</v>
      </c>
      <c r="D172" s="176">
        <f>C172/C171</f>
        <v>1.0277106340416362</v>
      </c>
      <c r="E172" s="87"/>
      <c r="F172" s="87"/>
      <c r="G172" s="87"/>
      <c r="H172" s="87"/>
      <c r="I172" s="87"/>
      <c r="J172" s="87"/>
      <c r="K172" s="87"/>
      <c r="L172" s="87"/>
      <c r="M172" s="174"/>
      <c r="N172" s="80"/>
    </row>
    <row r="173" spans="1:15" x14ac:dyDescent="0.3">
      <c r="A173" s="172"/>
      <c r="B173" s="172"/>
      <c r="C173" s="87">
        <f>SUM(E167:E170)</f>
        <v>171702.03014478093</v>
      </c>
      <c r="D173" s="176">
        <f t="shared" ref="D173:D180" si="121">C173/C172</f>
        <v>1.0276779494656463</v>
      </c>
      <c r="E173" s="87"/>
      <c r="F173" s="87"/>
      <c r="G173" s="87"/>
      <c r="H173" s="87"/>
      <c r="I173" s="87"/>
      <c r="J173" s="87"/>
      <c r="K173" s="87"/>
      <c r="L173" s="87"/>
      <c r="M173" s="174"/>
      <c r="N173" s="80"/>
    </row>
    <row r="174" spans="1:15" x14ac:dyDescent="0.3">
      <c r="A174" s="172"/>
      <c r="B174" s="172"/>
      <c r="C174" s="87">
        <f>SUM(F167:F170)</f>
        <v>176448.98604136694</v>
      </c>
      <c r="D174" s="176">
        <f t="shared" si="121"/>
        <v>1.0276464750741929</v>
      </c>
      <c r="E174" s="87"/>
      <c r="F174" s="87"/>
      <c r="G174" s="87"/>
      <c r="H174" s="87"/>
      <c r="I174" s="87"/>
      <c r="J174" s="87"/>
      <c r="K174" s="87"/>
      <c r="L174" s="87"/>
      <c r="M174" s="174"/>
      <c r="N174" s="80"/>
    </row>
    <row r="175" spans="1:15" x14ac:dyDescent="0.3">
      <c r="A175" s="172"/>
      <c r="B175" s="172"/>
      <c r="C175" s="87">
        <f>SUM(G167:G170)</f>
        <v>181321.83107395211</v>
      </c>
      <c r="D175" s="176">
        <f t="shared" si="121"/>
        <v>1.0276161690804093</v>
      </c>
      <c r="E175" s="87"/>
      <c r="F175" s="87"/>
      <c r="G175" s="87"/>
      <c r="H175" s="87"/>
      <c r="I175" s="87"/>
      <c r="J175" s="87"/>
      <c r="K175" s="87"/>
      <c r="L175" s="87"/>
      <c r="M175" s="174"/>
      <c r="N175" s="80"/>
    </row>
    <row r="176" spans="1:15" x14ac:dyDescent="0.3">
      <c r="A176" s="172"/>
      <c r="B176" s="172"/>
      <c r="C176" s="87">
        <f>SUM(H167:H170)</f>
        <v>186323.95484055972</v>
      </c>
      <c r="D176" s="176">
        <f>C176/C175</f>
        <v>1.0275869912463409</v>
      </c>
      <c r="E176" s="87"/>
      <c r="F176" s="87"/>
      <c r="G176" s="87"/>
      <c r="H176" s="87"/>
      <c r="I176" s="87"/>
      <c r="J176" s="87"/>
      <c r="K176" s="87"/>
      <c r="L176" s="87"/>
      <c r="M176" s="174"/>
      <c r="N176" s="80"/>
    </row>
    <row r="177" spans="1:14" x14ac:dyDescent="0.3">
      <c r="A177" s="172"/>
      <c r="B177" s="172"/>
      <c r="C177" s="87">
        <f>SUM(I167:I170)</f>
        <v>191458.83860442365</v>
      </c>
      <c r="D177" s="176">
        <f t="shared" si="121"/>
        <v>1.027558902816645</v>
      </c>
      <c r="E177" s="87"/>
      <c r="F177" s="87"/>
      <c r="G177" s="87"/>
      <c r="H177" s="87"/>
      <c r="I177" s="87"/>
      <c r="J177" s="87"/>
      <c r="K177" s="87"/>
      <c r="L177" s="87"/>
      <c r="M177" s="174"/>
      <c r="N177" s="80"/>
    </row>
    <row r="178" spans="1:14" x14ac:dyDescent="0.3">
      <c r="A178" s="172"/>
      <c r="B178" s="172"/>
      <c r="C178" s="87">
        <f>SUM(J167:J170)</f>
        <v>196730.05778064165</v>
      </c>
      <c r="D178" s="176">
        <f t="shared" si="121"/>
        <v>1.0275318664556874</v>
      </c>
      <c r="E178" s="87"/>
      <c r="F178" s="87"/>
      <c r="G178" s="87"/>
      <c r="H178" s="87"/>
      <c r="I178" s="87"/>
      <c r="J178" s="87"/>
      <c r="K178" s="87"/>
      <c r="L178" s="87"/>
      <c r="M178" s="174"/>
      <c r="N178" s="80"/>
    </row>
    <row r="179" spans="1:14" x14ac:dyDescent="0.3">
      <c r="A179" s="172"/>
      <c r="B179" s="172"/>
      <c r="C179" s="87">
        <f>SUM(K167:K170)</f>
        <v>202141.28449047968</v>
      </c>
      <c r="D179" s="176">
        <f t="shared" si="121"/>
        <v>1.0275058461878339</v>
      </c>
      <c r="E179" s="87"/>
      <c r="F179" s="87"/>
      <c r="G179" s="87"/>
      <c r="H179" s="87"/>
      <c r="I179" s="87"/>
      <c r="J179" s="87"/>
      <c r="K179" s="87"/>
      <c r="L179" s="87"/>
      <c r="M179" s="174"/>
      <c r="N179" s="80"/>
    </row>
    <row r="180" spans="1:14" x14ac:dyDescent="0.3">
      <c r="A180" s="172"/>
      <c r="B180" s="172"/>
      <c r="C180" s="87">
        <f>SUM(L167:L170)</f>
        <v>207696.29018517199</v>
      </c>
      <c r="D180" s="176">
        <f t="shared" si="121"/>
        <v>1.0274808073407387</v>
      </c>
      <c r="E180" s="87"/>
      <c r="F180" s="87"/>
      <c r="G180" s="87"/>
      <c r="H180" s="87"/>
      <c r="I180" s="87"/>
      <c r="J180" s="87"/>
      <c r="K180" s="87"/>
      <c r="L180" s="87"/>
      <c r="M180" s="174"/>
      <c r="N180" s="80"/>
    </row>
    <row r="181" spans="1:14" x14ac:dyDescent="0.3">
      <c r="A181" s="172"/>
      <c r="B181" s="172"/>
      <c r="C181" s="87"/>
      <c r="D181" s="176"/>
      <c r="E181" s="87"/>
      <c r="F181" s="87"/>
      <c r="G181" s="87"/>
      <c r="H181" s="87"/>
      <c r="I181" s="87"/>
      <c r="J181" s="87"/>
      <c r="K181" s="87"/>
      <c r="L181" s="87"/>
      <c r="M181" s="174"/>
      <c r="N181" s="80"/>
    </row>
    <row r="182" spans="1:14" x14ac:dyDescent="0.3">
      <c r="A182" s="172"/>
      <c r="B182" s="172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174"/>
      <c r="N182" s="80"/>
    </row>
    <row r="183" spans="1:14" x14ac:dyDescent="0.3">
      <c r="A183" s="172"/>
      <c r="B183" s="172"/>
      <c r="M183" s="174"/>
      <c r="N183" s="80"/>
    </row>
    <row r="184" spans="1:14" x14ac:dyDescent="0.3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74"/>
      <c r="N184" s="80"/>
    </row>
    <row r="185" spans="1:14" x14ac:dyDescent="0.3">
      <c r="A185" s="172"/>
      <c r="B185" s="172"/>
      <c r="C185" s="172"/>
      <c r="D185" s="172"/>
      <c r="E185" s="172"/>
      <c r="F185" s="172"/>
      <c r="G185" s="172"/>
      <c r="H185" s="172"/>
      <c r="I185" s="172"/>
      <c r="J185" s="172"/>
      <c r="K185" s="172"/>
      <c r="L185" s="172"/>
      <c r="M185" s="174"/>
      <c r="N185" s="80"/>
    </row>
    <row r="186" spans="1:14" x14ac:dyDescent="0.3">
      <c r="A186" s="172"/>
      <c r="B186" s="172"/>
      <c r="C186" s="172"/>
      <c r="D186" s="172"/>
      <c r="E186" s="172"/>
      <c r="F186" s="172"/>
      <c r="G186" s="172"/>
      <c r="H186" s="172"/>
      <c r="I186" s="172"/>
      <c r="J186" s="172"/>
      <c r="K186" s="172"/>
      <c r="L186" s="172"/>
      <c r="M186" s="174"/>
      <c r="N186" s="80"/>
    </row>
    <row r="187" spans="1:14" x14ac:dyDescent="0.3">
      <c r="A187" s="172"/>
      <c r="B187" s="172"/>
      <c r="C187" s="172"/>
      <c r="D187" s="172"/>
      <c r="E187" s="172"/>
      <c r="F187" s="172"/>
      <c r="G187" s="172"/>
      <c r="H187" s="172"/>
      <c r="I187" s="172"/>
      <c r="J187" s="172"/>
      <c r="K187" s="172"/>
      <c r="L187" s="172"/>
      <c r="M187" s="174"/>
      <c r="N187" s="80"/>
    </row>
    <row r="188" spans="1:14" x14ac:dyDescent="0.3">
      <c r="B188" s="40"/>
      <c r="M188" s="89"/>
      <c r="N188" s="80"/>
    </row>
    <row r="189" spans="1:14" x14ac:dyDescent="0.3">
      <c r="B189" s="40"/>
      <c r="M189" s="89"/>
      <c r="N189" s="80"/>
    </row>
    <row r="190" spans="1:14" x14ac:dyDescent="0.3">
      <c r="A190" s="188" t="s">
        <v>187</v>
      </c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</row>
    <row r="191" spans="1:14" x14ac:dyDescent="0.3">
      <c r="B191" s="40"/>
      <c r="M191" s="89"/>
      <c r="N191" s="80"/>
    </row>
    <row r="192" spans="1:14" x14ac:dyDescent="0.3">
      <c r="B192" s="114" t="s">
        <v>186</v>
      </c>
      <c r="C192" s="115" t="s">
        <v>185</v>
      </c>
      <c r="D192" s="115" t="s">
        <v>184</v>
      </c>
      <c r="E192" s="115" t="s">
        <v>183</v>
      </c>
      <c r="F192" s="115" t="s">
        <v>182</v>
      </c>
      <c r="G192" s="115" t="s">
        <v>181</v>
      </c>
      <c r="H192" s="116" t="s">
        <v>180</v>
      </c>
      <c r="I192" s="118" t="s">
        <v>179</v>
      </c>
      <c r="J192" s="119"/>
      <c r="M192" s="89"/>
      <c r="N192" s="80"/>
    </row>
    <row r="193" spans="2:14" x14ac:dyDescent="0.3">
      <c r="B193" s="113" t="s">
        <v>178</v>
      </c>
      <c r="C193" s="111">
        <v>43</v>
      </c>
      <c r="D193" s="111">
        <v>1.57</v>
      </c>
      <c r="E193" s="112">
        <v>0.65239999999999998</v>
      </c>
      <c r="F193" s="112">
        <v>9.4799999999999995E-2</v>
      </c>
      <c r="G193" s="111">
        <v>0.99</v>
      </c>
      <c r="H193" s="117">
        <v>6.1800000000000001E-2</v>
      </c>
      <c r="I193" s="120">
        <v>1.05</v>
      </c>
      <c r="J193" s="121"/>
      <c r="K193" s="121"/>
      <c r="M193" s="89"/>
      <c r="N193" s="80"/>
    </row>
    <row r="194" spans="2:14" x14ac:dyDescent="0.3">
      <c r="B194" s="127" t="s">
        <v>177</v>
      </c>
      <c r="C194"/>
      <c r="D194"/>
      <c r="E194"/>
      <c r="F194"/>
      <c r="G194"/>
      <c r="H194"/>
      <c r="I194"/>
      <c r="J194" s="121"/>
      <c r="M194" s="89"/>
      <c r="N194" s="80"/>
    </row>
    <row r="195" spans="2:14" x14ac:dyDescent="0.3">
      <c r="B195" s="127"/>
      <c r="C195"/>
      <c r="D195"/>
      <c r="E195"/>
      <c r="F195"/>
      <c r="G195"/>
      <c r="H195"/>
      <c r="I195"/>
      <c r="J195" s="121"/>
      <c r="M195" s="89"/>
      <c r="N195" s="80"/>
    </row>
    <row r="196" spans="2:14" x14ac:dyDescent="0.3">
      <c r="B196" s="40"/>
      <c r="D196"/>
      <c r="E196"/>
      <c r="F196"/>
      <c r="G196"/>
      <c r="H196"/>
      <c r="I196"/>
      <c r="J196" s="121"/>
      <c r="M196" s="89"/>
      <c r="N196" s="80"/>
    </row>
    <row r="197" spans="2:14" x14ac:dyDescent="0.3">
      <c r="B197" s="40"/>
      <c r="C197" s="40">
        <v>1</v>
      </c>
      <c r="D197">
        <v>2</v>
      </c>
      <c r="E197">
        <v>3</v>
      </c>
      <c r="F197" s="40">
        <v>4</v>
      </c>
      <c r="G197" s="40">
        <v>5</v>
      </c>
      <c r="H197" s="40">
        <v>6</v>
      </c>
      <c r="I197" s="40">
        <v>7</v>
      </c>
      <c r="J197" s="121">
        <v>8</v>
      </c>
      <c r="K197" s="40">
        <v>9</v>
      </c>
      <c r="L197" s="40">
        <v>10</v>
      </c>
      <c r="M197" s="89"/>
      <c r="N197" s="80"/>
    </row>
    <row r="198" spans="2:14" x14ac:dyDescent="0.3">
      <c r="B198" s="127"/>
      <c r="C198" s="87">
        <f>-SUM(C36:C45)-C49-C50-C33-C34</f>
        <v>-770633.05666666664</v>
      </c>
      <c r="D198" s="87">
        <f t="shared" ref="D198:L198" si="122">-SUM(D36:D45)-D49-D50-D33-D34</f>
        <v>-780944.84705800004</v>
      </c>
      <c r="E198" s="87">
        <f t="shared" si="122"/>
        <v>-791937.51785069297</v>
      </c>
      <c r="F198" s="87">
        <f t="shared" si="122"/>
        <v>-802614.55818276852</v>
      </c>
      <c r="G198" s="87">
        <f t="shared" si="122"/>
        <v>-813479.5263154573</v>
      </c>
      <c r="H198" s="87">
        <f t="shared" si="122"/>
        <v>-824536.05101220764</v>
      </c>
      <c r="I198" s="87">
        <f t="shared" si="122"/>
        <v>-835787.83294525871</v>
      </c>
      <c r="J198" s="87">
        <f t="shared" si="122"/>
        <v>-847238.64613032516</v>
      </c>
      <c r="K198" s="87">
        <f t="shared" si="122"/>
        <v>-858892.33938995702</v>
      </c>
      <c r="L198" s="87">
        <f t="shared" si="122"/>
        <v>-870752.83784614899</v>
      </c>
      <c r="M198" s="89"/>
      <c r="N198" s="80"/>
    </row>
    <row r="199" spans="2:14" x14ac:dyDescent="0.3">
      <c r="B199" s="40"/>
      <c r="C199"/>
      <c r="D199"/>
      <c r="E199"/>
      <c r="F199"/>
      <c r="G199"/>
      <c r="H199"/>
      <c r="I199"/>
      <c r="M199" s="89"/>
      <c r="N199" s="80"/>
    </row>
    <row r="200" spans="2:14" x14ac:dyDescent="0.3">
      <c r="B200" s="40"/>
      <c r="M200" s="89"/>
      <c r="N200" s="80"/>
    </row>
    <row r="201" spans="2:14" x14ac:dyDescent="0.3">
      <c r="B201" s="40"/>
      <c r="M201" s="89"/>
      <c r="N201" s="80"/>
    </row>
    <row r="202" spans="2:14" x14ac:dyDescent="0.3">
      <c r="B202" s="40"/>
      <c r="M202" s="89"/>
      <c r="N202" s="80"/>
    </row>
    <row r="203" spans="2:14" x14ac:dyDescent="0.3">
      <c r="B203" s="40"/>
      <c r="M203" s="89"/>
      <c r="N203" s="80"/>
    </row>
    <row r="204" spans="2:14" x14ac:dyDescent="0.3">
      <c r="B204" s="40"/>
      <c r="I204" s="130"/>
      <c r="J204" s="130"/>
      <c r="M204" s="89"/>
      <c r="N204" s="80"/>
    </row>
    <row r="205" spans="2:14" x14ac:dyDescent="0.3">
      <c r="B205" s="40"/>
      <c r="I205" s="130"/>
      <c r="M205" s="89"/>
      <c r="N205" s="80"/>
    </row>
    <row r="206" spans="2:14" x14ac:dyDescent="0.3">
      <c r="B206" s="40"/>
      <c r="I206" s="130"/>
      <c r="M206" s="89"/>
      <c r="N206" s="80"/>
    </row>
    <row r="207" spans="2:14" x14ac:dyDescent="0.3">
      <c r="B207" s="40"/>
      <c r="I207" s="130"/>
      <c r="M207" s="89"/>
      <c r="N207" s="80"/>
    </row>
    <row r="208" spans="2:14" x14ac:dyDescent="0.3">
      <c r="B208" s="40"/>
      <c r="I208" s="130"/>
      <c r="M208" s="89"/>
      <c r="N208" s="80"/>
    </row>
    <row r="209" spans="2:14" x14ac:dyDescent="0.3">
      <c r="B209" s="40"/>
      <c r="I209" s="130"/>
      <c r="J209" s="130"/>
      <c r="M209" s="89"/>
      <c r="N209" s="80"/>
    </row>
    <row r="210" spans="2:14" x14ac:dyDescent="0.3">
      <c r="B210" s="40"/>
      <c r="M210" s="89"/>
      <c r="N210" s="80"/>
    </row>
    <row r="211" spans="2:14" x14ac:dyDescent="0.3">
      <c r="B211" s="40"/>
      <c r="M211" s="89"/>
      <c r="N211" s="80"/>
    </row>
    <row r="212" spans="2:14" x14ac:dyDescent="0.3">
      <c r="B212" s="40"/>
      <c r="M212" s="89"/>
      <c r="N212" s="80"/>
    </row>
    <row r="213" spans="2:14" x14ac:dyDescent="0.3">
      <c r="B213" s="40"/>
      <c r="I213" s="130"/>
      <c r="J213" s="130"/>
      <c r="M213" s="89"/>
      <c r="N213" s="80"/>
    </row>
    <row r="214" spans="2:14" x14ac:dyDescent="0.3">
      <c r="B214" s="40"/>
      <c r="I214" s="130"/>
      <c r="J214" s="130"/>
      <c r="M214" s="89"/>
      <c r="N214" s="80"/>
    </row>
    <row r="215" spans="2:14" x14ac:dyDescent="0.3">
      <c r="B215" s="40"/>
      <c r="I215" s="130"/>
      <c r="J215" s="130"/>
      <c r="M215" s="89"/>
      <c r="N215" s="80"/>
    </row>
    <row r="216" spans="2:14" x14ac:dyDescent="0.3">
      <c r="B216" s="40"/>
      <c r="I216" s="130"/>
      <c r="M216" s="89"/>
      <c r="N216" s="80"/>
    </row>
    <row r="217" spans="2:14" x14ac:dyDescent="0.3">
      <c r="B217" s="40"/>
      <c r="M217" s="89"/>
      <c r="N217" s="80"/>
    </row>
    <row r="218" spans="2:14" x14ac:dyDescent="0.3">
      <c r="B218" s="40"/>
      <c r="M218" s="89"/>
      <c r="N218" s="80"/>
    </row>
    <row r="219" spans="2:14" x14ac:dyDescent="0.3">
      <c r="B219" s="40"/>
      <c r="M219" s="89"/>
      <c r="N219" s="80"/>
    </row>
    <row r="220" spans="2:14" x14ac:dyDescent="0.3">
      <c r="B220" s="40"/>
      <c r="M220" s="89"/>
      <c r="N220" s="80"/>
    </row>
    <row r="221" spans="2:14" x14ac:dyDescent="0.3">
      <c r="B221" s="40"/>
      <c r="M221" s="89"/>
      <c r="N221" s="80"/>
    </row>
    <row r="222" spans="2:14" x14ac:dyDescent="0.3">
      <c r="B222" s="40"/>
      <c r="M222" s="89"/>
      <c r="N222" s="80"/>
    </row>
    <row r="223" spans="2:14" x14ac:dyDescent="0.3">
      <c r="B223" s="40"/>
      <c r="M223" s="89"/>
      <c r="N223" s="80"/>
    </row>
    <row r="224" spans="2:14" x14ac:dyDescent="0.3">
      <c r="B224" s="40"/>
      <c r="M224" s="89"/>
      <c r="N224" s="80"/>
    </row>
    <row r="225" spans="2:14" x14ac:dyDescent="0.3">
      <c r="B225" s="40"/>
      <c r="M225" s="89"/>
      <c r="N225" s="80"/>
    </row>
    <row r="226" spans="2:14" x14ac:dyDescent="0.3">
      <c r="B226" s="40"/>
      <c r="M226" s="89"/>
      <c r="N226" s="80"/>
    </row>
    <row r="227" spans="2:14" x14ac:dyDescent="0.3">
      <c r="B227" s="40"/>
      <c r="M227" s="89"/>
      <c r="N227" s="80"/>
    </row>
    <row r="228" spans="2:14" x14ac:dyDescent="0.3">
      <c r="B228" s="40"/>
      <c r="M228" s="89"/>
      <c r="N228" s="80"/>
    </row>
    <row r="229" spans="2:14" x14ac:dyDescent="0.3">
      <c r="B229" s="40"/>
      <c r="M229" s="89"/>
      <c r="N229" s="80"/>
    </row>
    <row r="230" spans="2:14" x14ac:dyDescent="0.3">
      <c r="B230" s="40"/>
      <c r="M230" s="89"/>
      <c r="N230" s="80"/>
    </row>
    <row r="231" spans="2:14" x14ac:dyDescent="0.3">
      <c r="B231" s="40"/>
      <c r="M231" s="89"/>
      <c r="N231" s="80"/>
    </row>
    <row r="232" spans="2:14" x14ac:dyDescent="0.3">
      <c r="B232" s="40"/>
      <c r="M232" s="89"/>
      <c r="N232" s="80"/>
    </row>
    <row r="233" spans="2:14" x14ac:dyDescent="0.3">
      <c r="B233" s="40"/>
      <c r="M233" s="89"/>
      <c r="N233" s="80"/>
    </row>
    <row r="234" spans="2:14" x14ac:dyDescent="0.3">
      <c r="B234" s="40"/>
      <c r="M234" s="89"/>
      <c r="N234" s="80"/>
    </row>
    <row r="235" spans="2:14" x14ac:dyDescent="0.3">
      <c r="B235" s="40"/>
      <c r="M235" s="89"/>
      <c r="N235" s="80"/>
    </row>
    <row r="236" spans="2:14" x14ac:dyDescent="0.3">
      <c r="B236" s="40"/>
      <c r="M236" s="89"/>
      <c r="N236" s="80"/>
    </row>
    <row r="237" spans="2:14" x14ac:dyDescent="0.3">
      <c r="B237" s="40"/>
      <c r="M237" s="89"/>
      <c r="N237" s="80"/>
    </row>
    <row r="238" spans="2:14" x14ac:dyDescent="0.3">
      <c r="B238" s="40"/>
      <c r="M238" s="89"/>
      <c r="N238" s="80"/>
    </row>
    <row r="239" spans="2:14" x14ac:dyDescent="0.3">
      <c r="B239" s="40"/>
      <c r="M239" s="89"/>
      <c r="N239" s="80"/>
    </row>
    <row r="240" spans="2:14" x14ac:dyDescent="0.3">
      <c r="B240" s="40"/>
      <c r="M240" s="89"/>
      <c r="N240" s="80"/>
    </row>
    <row r="241" spans="2:14" x14ac:dyDescent="0.3">
      <c r="B241" s="40"/>
      <c r="M241" s="89"/>
      <c r="N241" s="80"/>
    </row>
    <row r="242" spans="2:14" x14ac:dyDescent="0.3">
      <c r="B242" s="40"/>
      <c r="M242" s="89"/>
      <c r="N242" s="80"/>
    </row>
    <row r="243" spans="2:14" x14ac:dyDescent="0.3">
      <c r="B243" s="40"/>
      <c r="M243" s="89"/>
      <c r="N243" s="80"/>
    </row>
    <row r="244" spans="2:14" x14ac:dyDescent="0.3">
      <c r="B244" s="40"/>
      <c r="M244" s="89"/>
      <c r="N244" s="80"/>
    </row>
    <row r="245" spans="2:14" x14ac:dyDescent="0.3">
      <c r="B245" s="40"/>
      <c r="M245" s="89"/>
      <c r="N245" s="80"/>
    </row>
    <row r="246" spans="2:14" x14ac:dyDescent="0.3">
      <c r="B246" s="40"/>
      <c r="M246" s="89"/>
      <c r="N246" s="80"/>
    </row>
    <row r="247" spans="2:14" x14ac:dyDescent="0.3">
      <c r="B247" s="40"/>
      <c r="M247" s="89"/>
      <c r="N247" s="80"/>
    </row>
    <row r="248" spans="2:14" x14ac:dyDescent="0.3">
      <c r="B248" s="40"/>
      <c r="M248" s="89"/>
      <c r="N248" s="80"/>
    </row>
    <row r="249" spans="2:14" x14ac:dyDescent="0.3">
      <c r="B249" s="40"/>
      <c r="M249" s="89"/>
      <c r="N249" s="80"/>
    </row>
    <row r="250" spans="2:14" x14ac:dyDescent="0.3">
      <c r="B250" s="40"/>
      <c r="M250" s="89"/>
      <c r="N250" s="80"/>
    </row>
    <row r="251" spans="2:14" x14ac:dyDescent="0.3">
      <c r="B251" s="40"/>
      <c r="M251" s="89"/>
      <c r="N251" s="80"/>
    </row>
    <row r="252" spans="2:14" x14ac:dyDescent="0.3">
      <c r="B252" s="40"/>
      <c r="M252" s="89"/>
      <c r="N252" s="80"/>
    </row>
    <row r="253" spans="2:14" x14ac:dyDescent="0.3">
      <c r="B253" s="40"/>
      <c r="M253" s="89"/>
      <c r="N253" s="80"/>
    </row>
    <row r="254" spans="2:14" x14ac:dyDescent="0.3">
      <c r="B254" s="40"/>
      <c r="M254" s="89"/>
      <c r="N254" s="80"/>
    </row>
    <row r="255" spans="2:14" x14ac:dyDescent="0.3">
      <c r="B255" s="40"/>
      <c r="M255" s="89"/>
      <c r="N255" s="80"/>
    </row>
    <row r="256" spans="2:14" x14ac:dyDescent="0.3">
      <c r="B256" s="40"/>
      <c r="M256" s="89"/>
      <c r="N256" s="80"/>
    </row>
    <row r="257" spans="2:14" x14ac:dyDescent="0.3">
      <c r="B257" s="40"/>
      <c r="M257" s="89"/>
      <c r="N257" s="80"/>
    </row>
    <row r="258" spans="2:14" x14ac:dyDescent="0.3">
      <c r="B258" s="40"/>
      <c r="M258" s="89"/>
      <c r="N258" s="80"/>
    </row>
    <row r="259" spans="2:14" x14ac:dyDescent="0.3">
      <c r="B259" s="40"/>
      <c r="M259" s="89"/>
      <c r="N259" s="80"/>
    </row>
    <row r="260" spans="2:14" x14ac:dyDescent="0.3">
      <c r="B260" s="40"/>
      <c r="M260" s="89"/>
      <c r="N260" s="80"/>
    </row>
    <row r="261" spans="2:14" x14ac:dyDescent="0.3">
      <c r="B261" s="40"/>
      <c r="M261" s="89"/>
      <c r="N261" s="80"/>
    </row>
    <row r="262" spans="2:14" x14ac:dyDescent="0.3">
      <c r="B262" s="40"/>
      <c r="M262" s="89"/>
      <c r="N262" s="80"/>
    </row>
    <row r="263" spans="2:14" x14ac:dyDescent="0.3">
      <c r="B263" s="40"/>
      <c r="M263" s="89"/>
      <c r="N263" s="80"/>
    </row>
    <row r="264" spans="2:14" x14ac:dyDescent="0.3">
      <c r="B264" s="40"/>
      <c r="M264" s="89"/>
      <c r="N264" s="80"/>
    </row>
    <row r="265" spans="2:14" x14ac:dyDescent="0.3">
      <c r="B265" s="40"/>
      <c r="M265" s="89"/>
      <c r="N265" s="80"/>
    </row>
    <row r="266" spans="2:14" x14ac:dyDescent="0.3">
      <c r="B266" s="40"/>
      <c r="M266" s="89"/>
      <c r="N266" s="80"/>
    </row>
    <row r="267" spans="2:14" x14ac:dyDescent="0.3">
      <c r="B267" s="40"/>
      <c r="M267" s="89"/>
      <c r="N267" s="80"/>
    </row>
    <row r="268" spans="2:14" x14ac:dyDescent="0.3">
      <c r="B268" s="40"/>
      <c r="M268" s="89"/>
      <c r="N268" s="80"/>
    </row>
    <row r="269" spans="2:14" x14ac:dyDescent="0.3">
      <c r="B269" s="40"/>
      <c r="M269" s="89"/>
      <c r="N269" s="80"/>
    </row>
    <row r="270" spans="2:14" x14ac:dyDescent="0.3">
      <c r="B270" s="40"/>
      <c r="M270" s="89"/>
      <c r="N270" s="80"/>
    </row>
    <row r="271" spans="2:14" x14ac:dyDescent="0.3">
      <c r="B271" s="40"/>
      <c r="M271" s="89"/>
      <c r="N271" s="80"/>
    </row>
    <row r="272" spans="2:14" x14ac:dyDescent="0.3">
      <c r="B272" s="40"/>
      <c r="M272" s="89"/>
      <c r="N272" s="80"/>
    </row>
    <row r="273" spans="2:14" x14ac:dyDescent="0.3">
      <c r="B273" s="40"/>
      <c r="M273" s="89"/>
      <c r="N273" s="80"/>
    </row>
    <row r="274" spans="2:14" x14ac:dyDescent="0.3">
      <c r="B274" s="40"/>
      <c r="M274" s="89"/>
      <c r="N274" s="80"/>
    </row>
    <row r="275" spans="2:14" x14ac:dyDescent="0.3">
      <c r="B275" s="40"/>
      <c r="M275" s="89"/>
      <c r="N275" s="80"/>
    </row>
    <row r="276" spans="2:14" x14ac:dyDescent="0.3">
      <c r="B276" s="40"/>
      <c r="M276" s="89"/>
      <c r="N276" s="80"/>
    </row>
    <row r="277" spans="2:14" x14ac:dyDescent="0.3">
      <c r="B277" s="40"/>
      <c r="M277" s="89"/>
      <c r="N277" s="80"/>
    </row>
    <row r="278" spans="2:14" x14ac:dyDescent="0.3">
      <c r="B278" s="40"/>
      <c r="M278" s="89"/>
      <c r="N278" s="80"/>
    </row>
    <row r="279" spans="2:14" x14ac:dyDescent="0.3">
      <c r="B279" s="40"/>
      <c r="M279" s="89"/>
      <c r="N279" s="80"/>
    </row>
    <row r="280" spans="2:14" x14ac:dyDescent="0.3">
      <c r="B280" s="40"/>
      <c r="M280" s="89"/>
      <c r="N280" s="80"/>
    </row>
    <row r="281" spans="2:14" x14ac:dyDescent="0.3">
      <c r="B281" s="40"/>
      <c r="M281" s="89"/>
      <c r="N281" s="80"/>
    </row>
    <row r="282" spans="2:14" x14ac:dyDescent="0.3">
      <c r="B282" s="40"/>
      <c r="M282" s="89"/>
      <c r="N282" s="80"/>
    </row>
    <row r="283" spans="2:14" x14ac:dyDescent="0.3">
      <c r="B283" s="40"/>
      <c r="M283" s="89"/>
      <c r="N283" s="80"/>
    </row>
    <row r="284" spans="2:14" x14ac:dyDescent="0.3">
      <c r="B284" s="40"/>
      <c r="M284" s="89"/>
      <c r="N284" s="80"/>
    </row>
    <row r="285" spans="2:14" x14ac:dyDescent="0.3">
      <c r="B285" s="40"/>
      <c r="M285" s="89"/>
      <c r="N285" s="80"/>
    </row>
    <row r="286" spans="2:14" x14ac:dyDescent="0.3">
      <c r="B286" s="40"/>
      <c r="M286" s="89"/>
      <c r="N286" s="80"/>
    </row>
    <row r="287" spans="2:14" x14ac:dyDescent="0.3">
      <c r="B287" s="40"/>
      <c r="M287" s="89"/>
      <c r="N287" s="80"/>
    </row>
    <row r="288" spans="2:14" x14ac:dyDescent="0.3">
      <c r="B288" s="40"/>
      <c r="M288" s="89"/>
      <c r="N288" s="80"/>
    </row>
    <row r="289" spans="2:14" x14ac:dyDescent="0.3">
      <c r="B289" s="40"/>
      <c r="M289" s="89"/>
      <c r="N289" s="80"/>
    </row>
    <row r="290" spans="2:14" x14ac:dyDescent="0.3">
      <c r="B290" s="40"/>
      <c r="M290" s="89"/>
      <c r="N290" s="80"/>
    </row>
    <row r="291" spans="2:14" x14ac:dyDescent="0.3">
      <c r="B291" s="40"/>
      <c r="M291" s="89"/>
      <c r="N291" s="80"/>
    </row>
    <row r="292" spans="2:14" x14ac:dyDescent="0.3">
      <c r="B292" s="40"/>
      <c r="M292" s="89"/>
      <c r="N292" s="80"/>
    </row>
    <row r="293" spans="2:14" x14ac:dyDescent="0.3">
      <c r="B293" s="40"/>
      <c r="M293" s="89"/>
      <c r="N293" s="80"/>
    </row>
    <row r="294" spans="2:14" x14ac:dyDescent="0.3">
      <c r="B294" s="40"/>
      <c r="M294" s="89"/>
      <c r="N294" s="80"/>
    </row>
    <row r="295" spans="2:14" x14ac:dyDescent="0.3">
      <c r="B295" s="40"/>
      <c r="M295" s="89"/>
      <c r="N295" s="80"/>
    </row>
    <row r="296" spans="2:14" x14ac:dyDescent="0.3">
      <c r="B296" s="40"/>
      <c r="M296" s="89"/>
      <c r="N296" s="80"/>
    </row>
    <row r="297" spans="2:14" x14ac:dyDescent="0.3">
      <c r="B297" s="40"/>
      <c r="M297" s="89"/>
      <c r="N297" s="80"/>
    </row>
    <row r="298" spans="2:14" x14ac:dyDescent="0.3">
      <c r="B298" s="40"/>
      <c r="M298" s="89"/>
      <c r="N298" s="80"/>
    </row>
    <row r="299" spans="2:14" x14ac:dyDescent="0.3">
      <c r="B299" s="40"/>
      <c r="M299" s="89"/>
      <c r="N299" s="80"/>
    </row>
    <row r="300" spans="2:14" x14ac:dyDescent="0.3">
      <c r="B300" s="40"/>
      <c r="M300" s="89"/>
      <c r="N300" s="80"/>
    </row>
    <row r="301" spans="2:14" x14ac:dyDescent="0.3">
      <c r="B301" s="40"/>
      <c r="M301" s="89"/>
      <c r="N301" s="80"/>
    </row>
    <row r="302" spans="2:14" x14ac:dyDescent="0.3">
      <c r="B302" s="40"/>
      <c r="M302" s="89"/>
      <c r="N302" s="80"/>
    </row>
    <row r="303" spans="2:14" x14ac:dyDescent="0.3">
      <c r="B303" s="40"/>
      <c r="M303" s="89"/>
      <c r="N303" s="80"/>
    </row>
    <row r="304" spans="2:14" x14ac:dyDescent="0.3">
      <c r="B304" s="40"/>
      <c r="M304" s="89"/>
      <c r="N304" s="80"/>
    </row>
    <row r="305" spans="2:14" x14ac:dyDescent="0.3">
      <c r="B305" s="40"/>
      <c r="M305" s="89"/>
      <c r="N305" s="80"/>
    </row>
    <row r="306" spans="2:14" x14ac:dyDescent="0.3">
      <c r="B306" s="40"/>
      <c r="M306" s="89"/>
      <c r="N306" s="80"/>
    </row>
    <row r="307" spans="2:14" x14ac:dyDescent="0.3">
      <c r="B307" s="40"/>
      <c r="M307" s="89"/>
      <c r="N307" s="80"/>
    </row>
    <row r="308" spans="2:14" x14ac:dyDescent="0.3">
      <c r="B308" s="40"/>
      <c r="M308" s="89"/>
      <c r="N308" s="80"/>
    </row>
    <row r="309" spans="2:14" x14ac:dyDescent="0.3">
      <c r="B309" s="40"/>
      <c r="M309" s="89"/>
      <c r="N309" s="80"/>
    </row>
    <row r="310" spans="2:14" x14ac:dyDescent="0.3">
      <c r="B310" s="40"/>
      <c r="M310" s="89"/>
      <c r="N310" s="80"/>
    </row>
    <row r="311" spans="2:14" x14ac:dyDescent="0.3">
      <c r="B311" s="40"/>
      <c r="M311" s="89"/>
      <c r="N311" s="80"/>
    </row>
    <row r="312" spans="2:14" x14ac:dyDescent="0.3">
      <c r="B312" s="40"/>
      <c r="M312" s="89"/>
      <c r="N312" s="80"/>
    </row>
    <row r="313" spans="2:14" x14ac:dyDescent="0.3">
      <c r="B313" s="40"/>
      <c r="M313" s="89"/>
      <c r="N313" s="80"/>
    </row>
    <row r="314" spans="2:14" x14ac:dyDescent="0.3">
      <c r="B314" s="40"/>
      <c r="M314" s="89"/>
      <c r="N314" s="80"/>
    </row>
    <row r="315" spans="2:14" x14ac:dyDescent="0.3">
      <c r="B315" s="40"/>
      <c r="M315" s="89"/>
      <c r="N315" s="80"/>
    </row>
    <row r="316" spans="2:14" x14ac:dyDescent="0.3">
      <c r="B316" s="40"/>
      <c r="M316" s="89"/>
      <c r="N316" s="80"/>
    </row>
    <row r="317" spans="2:14" x14ac:dyDescent="0.3">
      <c r="B317" s="40"/>
      <c r="M317" s="89"/>
      <c r="N317" s="80"/>
    </row>
    <row r="318" spans="2:14" x14ac:dyDescent="0.3">
      <c r="B318" s="40"/>
      <c r="M318" s="89"/>
      <c r="N318" s="80"/>
    </row>
    <row r="319" spans="2:14" x14ac:dyDescent="0.3">
      <c r="B319" s="40"/>
      <c r="M319" s="89"/>
      <c r="N319" s="80"/>
    </row>
    <row r="320" spans="2:14" x14ac:dyDescent="0.3">
      <c r="B320" s="40"/>
      <c r="M320" s="89"/>
      <c r="N320" s="80"/>
    </row>
    <row r="321" spans="2:14" x14ac:dyDescent="0.3">
      <c r="B321" s="40"/>
      <c r="M321" s="89"/>
      <c r="N321" s="80"/>
    </row>
    <row r="322" spans="2:14" x14ac:dyDescent="0.3">
      <c r="B322" s="40"/>
      <c r="M322" s="89"/>
      <c r="N322" s="80"/>
    </row>
    <row r="323" spans="2:14" x14ac:dyDescent="0.3">
      <c r="B323" s="40"/>
      <c r="M323" s="89"/>
      <c r="N323" s="80"/>
    </row>
    <row r="324" spans="2:14" x14ac:dyDescent="0.3">
      <c r="B324" s="40"/>
      <c r="M324" s="89"/>
      <c r="N324" s="80"/>
    </row>
    <row r="325" spans="2:14" x14ac:dyDescent="0.3">
      <c r="B325" s="40"/>
      <c r="M325" s="89"/>
      <c r="N325" s="80"/>
    </row>
    <row r="326" spans="2:14" x14ac:dyDescent="0.3">
      <c r="B326" s="40"/>
      <c r="M326" s="89"/>
      <c r="N326" s="80"/>
    </row>
    <row r="327" spans="2:14" x14ac:dyDescent="0.3">
      <c r="B327" s="40"/>
      <c r="M327" s="89"/>
      <c r="N327" s="80"/>
    </row>
    <row r="328" spans="2:14" x14ac:dyDescent="0.3">
      <c r="B328" s="40"/>
      <c r="M328" s="89"/>
      <c r="N328" s="80"/>
    </row>
    <row r="329" spans="2:14" x14ac:dyDescent="0.3">
      <c r="B329" s="40"/>
      <c r="M329" s="89"/>
      <c r="N329" s="80"/>
    </row>
    <row r="330" spans="2:14" x14ac:dyDescent="0.3">
      <c r="B330" s="40"/>
      <c r="M330" s="89"/>
      <c r="N330" s="80"/>
    </row>
    <row r="331" spans="2:14" x14ac:dyDescent="0.3">
      <c r="B331" s="40"/>
      <c r="M331" s="89"/>
      <c r="N331" s="80"/>
    </row>
    <row r="332" spans="2:14" x14ac:dyDescent="0.3">
      <c r="B332" s="40"/>
      <c r="M332" s="89"/>
      <c r="N332" s="80"/>
    </row>
    <row r="333" spans="2:14" x14ac:dyDescent="0.3">
      <c r="B333" s="40"/>
      <c r="M333" s="89"/>
      <c r="N333" s="80"/>
    </row>
    <row r="334" spans="2:14" x14ac:dyDescent="0.3">
      <c r="B334" s="40"/>
      <c r="M334" s="89"/>
      <c r="N334" s="80"/>
    </row>
    <row r="335" spans="2:14" x14ac:dyDescent="0.3">
      <c r="B335" s="40"/>
      <c r="M335" s="89"/>
      <c r="N335" s="80"/>
    </row>
    <row r="336" spans="2:14" x14ac:dyDescent="0.3">
      <c r="B336" s="40"/>
      <c r="M336" s="89"/>
      <c r="N336" s="80"/>
    </row>
    <row r="337" spans="2:14" x14ac:dyDescent="0.3">
      <c r="B337" s="40"/>
      <c r="M337" s="89"/>
      <c r="N337" s="80"/>
    </row>
    <row r="338" spans="2:14" x14ac:dyDescent="0.3">
      <c r="B338" s="40"/>
      <c r="M338" s="89"/>
      <c r="N338" s="80"/>
    </row>
    <row r="339" spans="2:14" x14ac:dyDescent="0.3">
      <c r="B339" s="40"/>
      <c r="M339" s="89"/>
      <c r="N339" s="80"/>
    </row>
    <row r="340" spans="2:14" x14ac:dyDescent="0.3">
      <c r="B340" s="40"/>
      <c r="M340" s="89"/>
      <c r="N340" s="80"/>
    </row>
    <row r="341" spans="2:14" x14ac:dyDescent="0.3">
      <c r="B341" s="40"/>
      <c r="M341" s="89"/>
      <c r="N341" s="80"/>
    </row>
    <row r="342" spans="2:14" x14ac:dyDescent="0.3">
      <c r="B342" s="40"/>
      <c r="M342" s="89"/>
      <c r="N342" s="80"/>
    </row>
    <row r="343" spans="2:14" x14ac:dyDescent="0.3">
      <c r="B343" s="40"/>
      <c r="M343" s="89"/>
      <c r="N343" s="80"/>
    </row>
    <row r="344" spans="2:14" x14ac:dyDescent="0.3">
      <c r="B344" s="40"/>
      <c r="M344" s="89"/>
      <c r="N344" s="80"/>
    </row>
    <row r="345" spans="2:14" x14ac:dyDescent="0.3">
      <c r="B345" s="40"/>
      <c r="M345" s="89"/>
      <c r="N345" s="80"/>
    </row>
    <row r="346" spans="2:14" x14ac:dyDescent="0.3">
      <c r="B346" s="40"/>
      <c r="M346" s="89"/>
      <c r="N346" s="80"/>
    </row>
    <row r="347" spans="2:14" x14ac:dyDescent="0.3">
      <c r="B347" s="40"/>
      <c r="M347" s="89"/>
      <c r="N347" s="80"/>
    </row>
    <row r="348" spans="2:14" x14ac:dyDescent="0.3">
      <c r="B348" s="40"/>
      <c r="M348" s="89"/>
      <c r="N348" s="80"/>
    </row>
    <row r="349" spans="2:14" x14ac:dyDescent="0.3">
      <c r="B349" s="40"/>
      <c r="M349" s="89"/>
      <c r="N349" s="80"/>
    </row>
    <row r="350" spans="2:14" x14ac:dyDescent="0.3">
      <c r="B350" s="40"/>
      <c r="M350" s="89"/>
      <c r="N350" s="80"/>
    </row>
    <row r="351" spans="2:14" x14ac:dyDescent="0.3">
      <c r="B351" s="40"/>
      <c r="M351" s="89"/>
      <c r="N351" s="80"/>
    </row>
    <row r="352" spans="2:14" x14ac:dyDescent="0.3">
      <c r="B352" s="40"/>
      <c r="M352" s="89"/>
      <c r="N352" s="80"/>
    </row>
    <row r="353" spans="2:14" x14ac:dyDescent="0.3">
      <c r="B353" s="40"/>
      <c r="M353" s="89"/>
      <c r="N353" s="80"/>
    </row>
    <row r="354" spans="2:14" x14ac:dyDescent="0.3">
      <c r="B354" s="40"/>
      <c r="M354" s="89"/>
      <c r="N354" s="80"/>
    </row>
    <row r="355" spans="2:14" x14ac:dyDescent="0.3">
      <c r="B355" s="40"/>
      <c r="M355" s="89"/>
      <c r="N355" s="80"/>
    </row>
    <row r="356" spans="2:14" x14ac:dyDescent="0.3">
      <c r="B356" s="40"/>
      <c r="M356" s="89"/>
      <c r="N356" s="80"/>
    </row>
    <row r="357" spans="2:14" x14ac:dyDescent="0.3">
      <c r="B357" s="40"/>
      <c r="M357" s="89"/>
      <c r="N357" s="80"/>
    </row>
    <row r="358" spans="2:14" x14ac:dyDescent="0.3">
      <c r="B358" s="40"/>
      <c r="M358" s="89"/>
      <c r="N358" s="80"/>
    </row>
    <row r="359" spans="2:14" x14ac:dyDescent="0.3">
      <c r="B359" s="40"/>
      <c r="M359" s="89"/>
      <c r="N359" s="80"/>
    </row>
    <row r="360" spans="2:14" x14ac:dyDescent="0.3">
      <c r="B360" s="40"/>
      <c r="M360" s="89"/>
      <c r="N360" s="80"/>
    </row>
    <row r="361" spans="2:14" x14ac:dyDescent="0.3">
      <c r="B361" s="40"/>
      <c r="M361" s="89"/>
      <c r="N361" s="80"/>
    </row>
    <row r="362" spans="2:14" x14ac:dyDescent="0.3">
      <c r="B362" s="40"/>
      <c r="M362" s="89"/>
      <c r="N362" s="80"/>
    </row>
    <row r="363" spans="2:14" x14ac:dyDescent="0.3">
      <c r="B363" s="40"/>
      <c r="M363" s="89"/>
      <c r="N363" s="80"/>
    </row>
    <row r="364" spans="2:14" x14ac:dyDescent="0.3">
      <c r="B364" s="40"/>
      <c r="M364" s="89"/>
      <c r="N364" s="80"/>
    </row>
    <row r="365" spans="2:14" x14ac:dyDescent="0.3">
      <c r="B365" s="40"/>
      <c r="M365" s="89"/>
      <c r="N365" s="80"/>
    </row>
    <row r="366" spans="2:14" x14ac:dyDescent="0.3">
      <c r="B366" s="40"/>
      <c r="M366" s="89"/>
      <c r="N366" s="80"/>
    </row>
    <row r="367" spans="2:14" x14ac:dyDescent="0.3">
      <c r="B367" s="40"/>
      <c r="M367" s="89"/>
      <c r="N367" s="80"/>
    </row>
    <row r="368" spans="2:14" x14ac:dyDescent="0.3">
      <c r="B368" s="40"/>
      <c r="M368" s="89"/>
      <c r="N368" s="80"/>
    </row>
    <row r="369" spans="2:14" x14ac:dyDescent="0.3">
      <c r="B369" s="40"/>
      <c r="M369" s="89"/>
      <c r="N369" s="80"/>
    </row>
    <row r="370" spans="2:14" x14ac:dyDescent="0.3">
      <c r="B370" s="40"/>
      <c r="M370" s="89"/>
      <c r="N370" s="80"/>
    </row>
    <row r="371" spans="2:14" x14ac:dyDescent="0.3">
      <c r="B371" s="40"/>
      <c r="M371" s="89"/>
      <c r="N371" s="80"/>
    </row>
    <row r="372" spans="2:14" x14ac:dyDescent="0.3">
      <c r="B372" s="40"/>
      <c r="M372" s="89"/>
      <c r="N372" s="80"/>
    </row>
    <row r="373" spans="2:14" x14ac:dyDescent="0.3">
      <c r="B373" s="40"/>
      <c r="M373" s="89"/>
      <c r="N373" s="80"/>
    </row>
    <row r="374" spans="2:14" x14ac:dyDescent="0.3">
      <c r="B374" s="40"/>
      <c r="M374" s="89"/>
      <c r="N374" s="80"/>
    </row>
    <row r="375" spans="2:14" x14ac:dyDescent="0.3">
      <c r="B375" s="40"/>
      <c r="M375" s="89"/>
      <c r="N375" s="80"/>
    </row>
    <row r="376" spans="2:14" x14ac:dyDescent="0.3">
      <c r="B376" s="40"/>
      <c r="M376" s="89"/>
      <c r="N376" s="80"/>
    </row>
    <row r="377" spans="2:14" x14ac:dyDescent="0.3">
      <c r="B377" s="40"/>
      <c r="M377" s="89"/>
      <c r="N377" s="80"/>
    </row>
    <row r="378" spans="2:14" x14ac:dyDescent="0.3">
      <c r="B378" s="40"/>
      <c r="M378" s="89"/>
      <c r="N378" s="80"/>
    </row>
    <row r="379" spans="2:14" x14ac:dyDescent="0.3">
      <c r="B379" s="40"/>
      <c r="M379" s="89"/>
      <c r="N379" s="80"/>
    </row>
    <row r="380" spans="2:14" x14ac:dyDescent="0.3">
      <c r="B380" s="40"/>
      <c r="M380" s="89"/>
      <c r="N380" s="80"/>
    </row>
    <row r="381" spans="2:14" x14ac:dyDescent="0.3">
      <c r="B381" s="40"/>
      <c r="M381" s="89"/>
      <c r="N381" s="80"/>
    </row>
    <row r="382" spans="2:14" x14ac:dyDescent="0.3">
      <c r="B382" s="40"/>
      <c r="M382" s="89"/>
      <c r="N382" s="80"/>
    </row>
    <row r="383" spans="2:14" x14ac:dyDescent="0.3">
      <c r="B383" s="40"/>
      <c r="M383" s="89"/>
      <c r="N383" s="80"/>
    </row>
    <row r="384" spans="2:14" x14ac:dyDescent="0.3">
      <c r="B384" s="40"/>
      <c r="M384" s="89"/>
      <c r="N384" s="80"/>
    </row>
    <row r="385" spans="2:14" x14ac:dyDescent="0.3">
      <c r="B385" s="40"/>
      <c r="M385" s="89"/>
      <c r="N385" s="80"/>
    </row>
    <row r="386" spans="2:14" x14ac:dyDescent="0.3">
      <c r="B386" s="40"/>
      <c r="M386" s="89"/>
      <c r="N386" s="80"/>
    </row>
    <row r="387" spans="2:14" x14ac:dyDescent="0.3">
      <c r="B387" s="40"/>
      <c r="M387" s="89"/>
      <c r="N387" s="80"/>
    </row>
    <row r="388" spans="2:14" x14ac:dyDescent="0.3">
      <c r="B388" s="40"/>
      <c r="M388" s="89"/>
      <c r="N388" s="80"/>
    </row>
    <row r="389" spans="2:14" x14ac:dyDescent="0.3">
      <c r="B389" s="40"/>
      <c r="M389" s="89"/>
      <c r="N389" s="80"/>
    </row>
    <row r="390" spans="2:14" x14ac:dyDescent="0.3">
      <c r="B390" s="40"/>
      <c r="M390" s="89"/>
      <c r="N390" s="80"/>
    </row>
    <row r="391" spans="2:14" x14ac:dyDescent="0.3">
      <c r="B391" s="40"/>
      <c r="M391" s="89"/>
      <c r="N391" s="80"/>
    </row>
    <row r="392" spans="2:14" x14ac:dyDescent="0.3">
      <c r="B392" s="40"/>
      <c r="M392" s="89"/>
      <c r="N392" s="80"/>
    </row>
    <row r="393" spans="2:14" x14ac:dyDescent="0.3">
      <c r="B393" s="40"/>
      <c r="M393" s="89"/>
      <c r="N393" s="80"/>
    </row>
    <row r="394" spans="2:14" x14ac:dyDescent="0.3">
      <c r="B394" s="40"/>
      <c r="M394" s="89"/>
      <c r="N394" s="80"/>
    </row>
    <row r="395" spans="2:14" x14ac:dyDescent="0.3">
      <c r="B395" s="40"/>
      <c r="M395" s="89"/>
      <c r="N395" s="80"/>
    </row>
    <row r="396" spans="2:14" x14ac:dyDescent="0.3">
      <c r="B396" s="40"/>
      <c r="M396" s="89"/>
      <c r="N396" s="80"/>
    </row>
    <row r="397" spans="2:14" x14ac:dyDescent="0.3">
      <c r="B397" s="40"/>
      <c r="M397" s="89"/>
      <c r="N397" s="80"/>
    </row>
    <row r="398" spans="2:14" x14ac:dyDescent="0.3">
      <c r="B398" s="40"/>
      <c r="M398" s="89"/>
      <c r="N398" s="80"/>
    </row>
    <row r="399" spans="2:14" x14ac:dyDescent="0.3">
      <c r="B399" s="40"/>
      <c r="M399" s="89"/>
      <c r="N399" s="80"/>
    </row>
    <row r="400" spans="2:14" x14ac:dyDescent="0.3">
      <c r="B400" s="40"/>
      <c r="M400" s="89"/>
      <c r="N400" s="80"/>
    </row>
    <row r="401" spans="2:14" x14ac:dyDescent="0.3">
      <c r="B401" s="40"/>
      <c r="M401" s="89"/>
      <c r="N401" s="80"/>
    </row>
    <row r="402" spans="2:14" x14ac:dyDescent="0.3">
      <c r="B402" s="40"/>
      <c r="M402" s="89"/>
      <c r="N402" s="80"/>
    </row>
    <row r="403" spans="2:14" x14ac:dyDescent="0.3">
      <c r="B403" s="40"/>
      <c r="M403" s="89"/>
      <c r="N403" s="80"/>
    </row>
    <row r="404" spans="2:14" x14ac:dyDescent="0.3">
      <c r="B404" s="40"/>
      <c r="M404" s="89"/>
      <c r="N404" s="80"/>
    </row>
    <row r="405" spans="2:14" x14ac:dyDescent="0.3">
      <c r="B405" s="40"/>
      <c r="M405" s="89"/>
      <c r="N405" s="80"/>
    </row>
    <row r="406" spans="2:14" x14ac:dyDescent="0.3">
      <c r="B406" s="40"/>
      <c r="M406" s="89"/>
      <c r="N406" s="80"/>
    </row>
    <row r="407" spans="2:14" x14ac:dyDescent="0.3">
      <c r="B407" s="40"/>
      <c r="M407" s="89"/>
      <c r="N407" s="80"/>
    </row>
    <row r="408" spans="2:14" x14ac:dyDescent="0.3">
      <c r="B408" s="40"/>
      <c r="M408" s="89"/>
      <c r="N408" s="80"/>
    </row>
    <row r="409" spans="2:14" x14ac:dyDescent="0.3">
      <c r="B409" s="40"/>
      <c r="M409" s="89"/>
      <c r="N409" s="80"/>
    </row>
    <row r="410" spans="2:14" x14ac:dyDescent="0.3">
      <c r="B410" s="40"/>
      <c r="M410" s="89"/>
      <c r="N410" s="80"/>
    </row>
    <row r="411" spans="2:14" x14ac:dyDescent="0.3">
      <c r="B411" s="40"/>
      <c r="M411" s="89"/>
      <c r="N411" s="80"/>
    </row>
    <row r="412" spans="2:14" x14ac:dyDescent="0.3">
      <c r="B412" s="40"/>
      <c r="M412" s="89"/>
      <c r="N412" s="80"/>
    </row>
    <row r="413" spans="2:14" x14ac:dyDescent="0.3">
      <c r="B413" s="40"/>
      <c r="M413" s="89"/>
      <c r="N413" s="80"/>
    </row>
    <row r="414" spans="2:14" x14ac:dyDescent="0.3">
      <c r="B414" s="40"/>
      <c r="M414" s="89"/>
      <c r="N414" s="80"/>
    </row>
    <row r="415" spans="2:14" x14ac:dyDescent="0.3">
      <c r="B415" s="40"/>
      <c r="M415" s="89"/>
      <c r="N415" s="80"/>
    </row>
    <row r="416" spans="2:14" x14ac:dyDescent="0.3">
      <c r="B416" s="40"/>
      <c r="M416" s="89"/>
      <c r="N416" s="80"/>
    </row>
    <row r="417" spans="2:14" x14ac:dyDescent="0.3">
      <c r="B417" s="40"/>
      <c r="M417" s="89"/>
      <c r="N417" s="80"/>
    </row>
    <row r="418" spans="2:14" x14ac:dyDescent="0.3">
      <c r="B418" s="40"/>
      <c r="M418" s="89"/>
      <c r="N418" s="80"/>
    </row>
    <row r="419" spans="2:14" x14ac:dyDescent="0.3">
      <c r="B419" s="40"/>
      <c r="M419" s="89"/>
      <c r="N419" s="80"/>
    </row>
    <row r="420" spans="2:14" x14ac:dyDescent="0.3">
      <c r="B420" s="40"/>
      <c r="M420" s="89"/>
      <c r="N420" s="80"/>
    </row>
    <row r="421" spans="2:14" x14ac:dyDescent="0.3">
      <c r="B421" s="40"/>
      <c r="M421" s="89"/>
      <c r="N421" s="80"/>
    </row>
    <row r="422" spans="2:14" x14ac:dyDescent="0.3">
      <c r="B422" s="40"/>
      <c r="M422" s="89"/>
      <c r="N422" s="80"/>
    </row>
    <row r="423" spans="2:14" x14ac:dyDescent="0.3">
      <c r="B423" s="40"/>
      <c r="M423" s="89"/>
      <c r="N423" s="80"/>
    </row>
    <row r="424" spans="2:14" x14ac:dyDescent="0.3">
      <c r="B424" s="40"/>
      <c r="M424" s="89"/>
      <c r="N424" s="80"/>
    </row>
    <row r="425" spans="2:14" x14ac:dyDescent="0.3">
      <c r="B425" s="40"/>
      <c r="M425" s="89"/>
      <c r="N425" s="80"/>
    </row>
    <row r="426" spans="2:14" x14ac:dyDescent="0.3">
      <c r="B426" s="40"/>
      <c r="M426" s="89"/>
      <c r="N426" s="80"/>
    </row>
    <row r="427" spans="2:14" x14ac:dyDescent="0.3">
      <c r="B427" s="40"/>
      <c r="M427" s="89"/>
      <c r="N427" s="80"/>
    </row>
    <row r="428" spans="2:14" x14ac:dyDescent="0.3">
      <c r="B428" s="40"/>
      <c r="M428" s="89"/>
      <c r="N428" s="80"/>
    </row>
    <row r="429" spans="2:14" x14ac:dyDescent="0.3">
      <c r="B429" s="40"/>
      <c r="M429" s="89"/>
      <c r="N429" s="80"/>
    </row>
    <row r="430" spans="2:14" x14ac:dyDescent="0.3">
      <c r="B430" s="40"/>
      <c r="M430" s="89"/>
      <c r="N430" s="80"/>
    </row>
    <row r="431" spans="2:14" x14ac:dyDescent="0.3">
      <c r="B431" s="40"/>
      <c r="M431" s="89"/>
      <c r="N431" s="80"/>
    </row>
    <row r="432" spans="2:14" x14ac:dyDescent="0.3">
      <c r="B432" s="40"/>
      <c r="M432" s="89"/>
      <c r="N432" s="80"/>
    </row>
    <row r="433" spans="2:14" x14ac:dyDescent="0.3">
      <c r="B433" s="40"/>
      <c r="M433" s="89"/>
      <c r="N433" s="80"/>
    </row>
    <row r="434" spans="2:14" x14ac:dyDescent="0.3">
      <c r="B434" s="40"/>
      <c r="M434" s="89"/>
      <c r="N434" s="80"/>
    </row>
    <row r="435" spans="2:14" x14ac:dyDescent="0.3">
      <c r="B435" s="40"/>
      <c r="M435" s="89"/>
      <c r="N435" s="80"/>
    </row>
    <row r="436" spans="2:14" x14ac:dyDescent="0.3">
      <c r="B436" s="40"/>
      <c r="M436" s="89"/>
      <c r="N436" s="80"/>
    </row>
    <row r="437" spans="2:14" x14ac:dyDescent="0.3">
      <c r="B437" s="40"/>
      <c r="M437" s="89"/>
      <c r="N437" s="80"/>
    </row>
    <row r="438" spans="2:14" x14ac:dyDescent="0.3">
      <c r="B438" s="40"/>
      <c r="M438" s="89"/>
      <c r="N438" s="80"/>
    </row>
    <row r="439" spans="2:14" x14ac:dyDescent="0.3">
      <c r="B439" s="40"/>
      <c r="M439" s="89"/>
      <c r="N439" s="80"/>
    </row>
    <row r="440" spans="2:14" x14ac:dyDescent="0.3">
      <c r="B440" s="40"/>
      <c r="M440" s="89"/>
      <c r="N440" s="80"/>
    </row>
    <row r="441" spans="2:14" x14ac:dyDescent="0.3">
      <c r="B441" s="40"/>
      <c r="M441" s="89"/>
      <c r="N441" s="80"/>
    </row>
    <row r="442" spans="2:14" x14ac:dyDescent="0.3">
      <c r="B442" s="40"/>
      <c r="M442" s="89"/>
      <c r="N442" s="80"/>
    </row>
    <row r="443" spans="2:14" x14ac:dyDescent="0.3">
      <c r="B443" s="40"/>
      <c r="M443" s="89"/>
      <c r="N443" s="80"/>
    </row>
    <row r="444" spans="2:14" x14ac:dyDescent="0.3">
      <c r="B444" s="40"/>
      <c r="M444" s="89"/>
      <c r="N444" s="80"/>
    </row>
    <row r="445" spans="2:14" x14ac:dyDescent="0.3">
      <c r="B445" s="40"/>
      <c r="M445" s="89"/>
      <c r="N445" s="80"/>
    </row>
    <row r="446" spans="2:14" x14ac:dyDescent="0.3">
      <c r="B446" s="40"/>
      <c r="M446" s="89"/>
      <c r="N446" s="80"/>
    </row>
    <row r="447" spans="2:14" x14ac:dyDescent="0.3">
      <c r="B447" s="40"/>
      <c r="M447" s="89"/>
      <c r="N447" s="80"/>
    </row>
    <row r="448" spans="2:14" x14ac:dyDescent="0.3">
      <c r="B448" s="40"/>
      <c r="M448" s="89"/>
      <c r="N448" s="80"/>
    </row>
    <row r="449" spans="2:14" x14ac:dyDescent="0.3">
      <c r="B449" s="40"/>
      <c r="M449" s="89"/>
      <c r="N449" s="80"/>
    </row>
    <row r="450" spans="2:14" x14ac:dyDescent="0.3">
      <c r="B450" s="40"/>
      <c r="M450" s="89"/>
      <c r="N450" s="80"/>
    </row>
    <row r="451" spans="2:14" x14ac:dyDescent="0.3">
      <c r="B451" s="40"/>
      <c r="M451" s="89"/>
      <c r="N451" s="80"/>
    </row>
    <row r="452" spans="2:14" x14ac:dyDescent="0.3">
      <c r="B452" s="40"/>
      <c r="M452" s="89"/>
      <c r="N452" s="80"/>
    </row>
    <row r="453" spans="2:14" x14ac:dyDescent="0.3">
      <c r="B453" s="40"/>
      <c r="M453" s="89"/>
      <c r="N453" s="80"/>
    </row>
    <row r="454" spans="2:14" x14ac:dyDescent="0.3">
      <c r="B454" s="40"/>
      <c r="M454" s="89"/>
      <c r="N454" s="80"/>
    </row>
    <row r="455" spans="2:14" x14ac:dyDescent="0.3">
      <c r="B455" s="40"/>
      <c r="M455" s="89"/>
      <c r="N455" s="80"/>
    </row>
    <row r="456" spans="2:14" x14ac:dyDescent="0.3">
      <c r="B456" s="40"/>
      <c r="M456" s="89"/>
      <c r="N456" s="80"/>
    </row>
    <row r="457" spans="2:14" x14ac:dyDescent="0.3">
      <c r="B457" s="40"/>
      <c r="M457" s="89"/>
      <c r="N457" s="80"/>
    </row>
    <row r="458" spans="2:14" x14ac:dyDescent="0.3">
      <c r="B458" s="40"/>
      <c r="M458" s="89"/>
      <c r="N458" s="80"/>
    </row>
    <row r="459" spans="2:14" x14ac:dyDescent="0.3">
      <c r="B459" s="40"/>
      <c r="M459" s="89"/>
      <c r="N459" s="80"/>
    </row>
    <row r="460" spans="2:14" x14ac:dyDescent="0.3">
      <c r="B460" s="40"/>
      <c r="M460" s="89"/>
      <c r="N460" s="80"/>
    </row>
    <row r="461" spans="2:14" x14ac:dyDescent="0.3">
      <c r="B461" s="40"/>
      <c r="M461" s="89"/>
      <c r="N461" s="80"/>
    </row>
    <row r="462" spans="2:14" x14ac:dyDescent="0.3">
      <c r="B462" s="40"/>
      <c r="M462" s="89"/>
      <c r="N462" s="80"/>
    </row>
    <row r="463" spans="2:14" x14ac:dyDescent="0.3">
      <c r="B463" s="40"/>
      <c r="M463" s="89"/>
      <c r="N463" s="80"/>
    </row>
    <row r="464" spans="2:14" x14ac:dyDescent="0.3">
      <c r="B464" s="40"/>
      <c r="M464" s="89"/>
      <c r="N464" s="80"/>
    </row>
    <row r="465" spans="2:14" x14ac:dyDescent="0.3">
      <c r="B465" s="40"/>
      <c r="M465" s="89"/>
      <c r="N465" s="80"/>
    </row>
    <row r="466" spans="2:14" x14ac:dyDescent="0.3">
      <c r="B466" s="40"/>
      <c r="M466" s="89"/>
      <c r="N466" s="80"/>
    </row>
    <row r="467" spans="2:14" x14ac:dyDescent="0.3">
      <c r="B467" s="40"/>
      <c r="M467" s="89"/>
      <c r="N467" s="80"/>
    </row>
    <row r="468" spans="2:14" x14ac:dyDescent="0.3">
      <c r="B468" s="40"/>
      <c r="M468" s="89"/>
      <c r="N468" s="80"/>
    </row>
    <row r="469" spans="2:14" x14ac:dyDescent="0.3">
      <c r="B469" s="40"/>
      <c r="M469" s="89"/>
      <c r="N469" s="80"/>
    </row>
    <row r="470" spans="2:14" x14ac:dyDescent="0.3">
      <c r="B470" s="40"/>
      <c r="M470" s="89"/>
      <c r="N470" s="80"/>
    </row>
    <row r="471" spans="2:14" x14ac:dyDescent="0.3">
      <c r="B471" s="40"/>
      <c r="M471" s="89"/>
      <c r="N471" s="80"/>
    </row>
    <row r="472" spans="2:14" x14ac:dyDescent="0.3">
      <c r="B472" s="40"/>
      <c r="M472" s="89"/>
      <c r="N472" s="80"/>
    </row>
    <row r="473" spans="2:14" x14ac:dyDescent="0.3">
      <c r="B473" s="40"/>
      <c r="M473" s="89"/>
      <c r="N473" s="80"/>
    </row>
    <row r="474" spans="2:14" x14ac:dyDescent="0.3">
      <c r="B474" s="40"/>
      <c r="M474" s="89"/>
      <c r="N474" s="80"/>
    </row>
    <row r="475" spans="2:14" x14ac:dyDescent="0.3">
      <c r="B475" s="40"/>
      <c r="M475" s="89"/>
      <c r="N475" s="80"/>
    </row>
    <row r="476" spans="2:14" x14ac:dyDescent="0.3">
      <c r="B476" s="40"/>
      <c r="M476" s="89"/>
      <c r="N476" s="80"/>
    </row>
    <row r="477" spans="2:14" x14ac:dyDescent="0.3">
      <c r="B477" s="40"/>
      <c r="M477" s="89"/>
      <c r="N477" s="80"/>
    </row>
    <row r="478" spans="2:14" x14ac:dyDescent="0.3">
      <c r="B478" s="40"/>
      <c r="M478" s="89"/>
      <c r="N478" s="80"/>
    </row>
    <row r="479" spans="2:14" x14ac:dyDescent="0.3">
      <c r="B479" s="40"/>
      <c r="M479" s="89"/>
      <c r="N479" s="80"/>
    </row>
    <row r="480" spans="2:14" x14ac:dyDescent="0.3">
      <c r="B480" s="40"/>
      <c r="M480" s="89"/>
      <c r="N480" s="80"/>
    </row>
    <row r="481" spans="2:14" x14ac:dyDescent="0.3">
      <c r="B481" s="40"/>
      <c r="M481" s="89"/>
      <c r="N481" s="80"/>
    </row>
    <row r="482" spans="2:14" x14ac:dyDescent="0.3">
      <c r="B482" s="40"/>
      <c r="M482" s="89"/>
      <c r="N482" s="80"/>
    </row>
    <row r="483" spans="2:14" x14ac:dyDescent="0.3">
      <c r="B483" s="40"/>
      <c r="M483" s="89"/>
      <c r="N483" s="80"/>
    </row>
    <row r="484" spans="2:14" x14ac:dyDescent="0.3">
      <c r="B484" s="40"/>
      <c r="M484" s="89"/>
      <c r="N484" s="80"/>
    </row>
    <row r="485" spans="2:14" x14ac:dyDescent="0.3">
      <c r="B485" s="40"/>
      <c r="M485" s="89"/>
      <c r="N485" s="80"/>
    </row>
    <row r="486" spans="2:14" x14ac:dyDescent="0.3">
      <c r="B486" s="40"/>
      <c r="M486" s="89"/>
      <c r="N486" s="80"/>
    </row>
    <row r="487" spans="2:14" x14ac:dyDescent="0.3">
      <c r="B487" s="40"/>
      <c r="M487" s="89"/>
      <c r="N487" s="80"/>
    </row>
    <row r="488" spans="2:14" x14ac:dyDescent="0.3">
      <c r="B488" s="40"/>
      <c r="M488" s="89"/>
      <c r="N488" s="80"/>
    </row>
    <row r="489" spans="2:14" x14ac:dyDescent="0.3">
      <c r="B489" s="40"/>
      <c r="M489" s="89"/>
      <c r="N489" s="80"/>
    </row>
    <row r="490" spans="2:14" x14ac:dyDescent="0.3">
      <c r="B490" s="40"/>
      <c r="M490" s="89"/>
      <c r="N490" s="80"/>
    </row>
    <row r="491" spans="2:14" x14ac:dyDescent="0.3">
      <c r="B491" s="40"/>
      <c r="M491" s="89"/>
      <c r="N491" s="80"/>
    </row>
    <row r="492" spans="2:14" x14ac:dyDescent="0.3">
      <c r="B492" s="40"/>
      <c r="M492" s="89"/>
      <c r="N492" s="80"/>
    </row>
    <row r="493" spans="2:14" x14ac:dyDescent="0.3">
      <c r="B493" s="40"/>
      <c r="M493" s="89"/>
      <c r="N493" s="80"/>
    </row>
    <row r="494" spans="2:14" x14ac:dyDescent="0.3">
      <c r="B494" s="40"/>
      <c r="M494" s="89"/>
      <c r="N494" s="80"/>
    </row>
    <row r="495" spans="2:14" x14ac:dyDescent="0.3">
      <c r="B495" s="40"/>
      <c r="M495" s="89"/>
      <c r="N495" s="80"/>
    </row>
    <row r="496" spans="2:14" x14ac:dyDescent="0.3">
      <c r="B496" s="40"/>
      <c r="M496" s="89"/>
      <c r="N496" s="80"/>
    </row>
    <row r="497" spans="2:14" x14ac:dyDescent="0.3">
      <c r="B497" s="40"/>
      <c r="M497" s="89"/>
      <c r="N497" s="80"/>
    </row>
    <row r="498" spans="2:14" x14ac:dyDescent="0.3">
      <c r="B498" s="40"/>
      <c r="M498" s="89"/>
      <c r="N498" s="80"/>
    </row>
    <row r="499" spans="2:14" x14ac:dyDescent="0.3">
      <c r="B499" s="40"/>
      <c r="M499" s="89"/>
      <c r="N499" s="80"/>
    </row>
    <row r="500" spans="2:14" x14ac:dyDescent="0.3">
      <c r="B500" s="40"/>
      <c r="M500" s="89"/>
      <c r="N500" s="80"/>
    </row>
    <row r="501" spans="2:14" x14ac:dyDescent="0.3">
      <c r="B501" s="40"/>
      <c r="M501" s="89"/>
      <c r="N501" s="80"/>
    </row>
    <row r="502" spans="2:14" x14ac:dyDescent="0.3">
      <c r="B502" s="40"/>
      <c r="M502" s="89"/>
      <c r="N502" s="80"/>
    </row>
    <row r="503" spans="2:14" x14ac:dyDescent="0.3">
      <c r="B503" s="40"/>
      <c r="M503" s="89"/>
      <c r="N503" s="80"/>
    </row>
    <row r="504" spans="2:14" x14ac:dyDescent="0.3">
      <c r="B504" s="40"/>
      <c r="M504" s="89"/>
      <c r="N504" s="80"/>
    </row>
    <row r="505" spans="2:14" x14ac:dyDescent="0.3">
      <c r="B505" s="40"/>
      <c r="M505" s="89"/>
      <c r="N505" s="80"/>
    </row>
    <row r="506" spans="2:14" x14ac:dyDescent="0.3">
      <c r="B506" s="40"/>
      <c r="M506" s="89"/>
      <c r="N506" s="80"/>
    </row>
    <row r="507" spans="2:14" x14ac:dyDescent="0.3">
      <c r="B507" s="40"/>
      <c r="M507" s="89"/>
      <c r="N507" s="80"/>
    </row>
    <row r="508" spans="2:14" x14ac:dyDescent="0.3">
      <c r="B508" s="40"/>
      <c r="M508" s="89"/>
      <c r="N508" s="80"/>
    </row>
  </sheetData>
  <mergeCells count="20">
    <mergeCell ref="B127:G127"/>
    <mergeCell ref="B128:B129"/>
    <mergeCell ref="A190:N190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H127:L127"/>
    <mergeCell ref="B142:I142"/>
    <mergeCell ref="A24:N24"/>
    <mergeCell ref="A57:N57"/>
    <mergeCell ref="A88:N88"/>
    <mergeCell ref="I118:J118"/>
    <mergeCell ref="B126:L126"/>
  </mergeCells>
  <hyperlinks>
    <hyperlink ref="B194" r:id="rId1"/>
  </hyperlinks>
  <pageMargins left="0.7" right="0.7" top="0.75" bottom="0.75" header="0.3" footer="0.3"/>
  <pageSetup scale="63" orientation="landscape" r:id="rId2"/>
  <rowBreaks count="2" manualBreakCount="2">
    <brk id="23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O27"/>
  <sheetViews>
    <sheetView topLeftCell="A16" zoomScaleNormal="100" workbookViewId="0">
      <selection activeCell="F28" sqref="F28"/>
    </sheetView>
  </sheetViews>
  <sheetFormatPr defaultRowHeight="15" x14ac:dyDescent="0.25"/>
  <cols>
    <col min="1" max="1" width="9.140625" style="1"/>
    <col min="2" max="2" width="12.5703125" style="1" bestFit="1" customWidth="1"/>
    <col min="3" max="16384" width="9.140625" style="1"/>
  </cols>
  <sheetData>
    <row r="1" spans="2:8" x14ac:dyDescent="0.25">
      <c r="B1" s="1">
        <v>23887</v>
      </c>
      <c r="C1" s="1" t="s">
        <v>0</v>
      </c>
    </row>
    <row r="2" spans="2:8" x14ac:dyDescent="0.25">
      <c r="B2" s="1">
        <v>32790</v>
      </c>
      <c r="C2" s="1" t="s">
        <v>2</v>
      </c>
    </row>
    <row r="3" spans="2:8" x14ac:dyDescent="0.25">
      <c r="B3" s="2">
        <v>29026</v>
      </c>
      <c r="C3" s="1" t="s">
        <v>1</v>
      </c>
    </row>
    <row r="4" spans="2:8" x14ac:dyDescent="0.25">
      <c r="B4" s="1">
        <f>SUM(B1:B3)</f>
        <v>85703</v>
      </c>
      <c r="C4" s="1" t="s">
        <v>13</v>
      </c>
    </row>
    <row r="6" spans="2:8" x14ac:dyDescent="0.25">
      <c r="B6" s="1">
        <v>8244910</v>
      </c>
      <c r="C6" s="1" t="s">
        <v>3</v>
      </c>
    </row>
    <row r="7" spans="2:8" x14ac:dyDescent="0.25">
      <c r="B7" s="1">
        <v>1050292</v>
      </c>
      <c r="C7" s="1" t="s">
        <v>7</v>
      </c>
    </row>
    <row r="8" spans="2:8" x14ac:dyDescent="0.25">
      <c r="B8" s="1">
        <v>1329192</v>
      </c>
      <c r="C8" s="1" t="s">
        <v>8</v>
      </c>
    </row>
    <row r="9" spans="2:8" x14ac:dyDescent="0.25">
      <c r="B9" s="1">
        <v>6646144</v>
      </c>
      <c r="C9" s="1" t="s">
        <v>9</v>
      </c>
    </row>
    <row r="10" spans="2:8" x14ac:dyDescent="0.25">
      <c r="B10" s="1">
        <v>626011</v>
      </c>
      <c r="C10" s="1" t="s">
        <v>10</v>
      </c>
    </row>
    <row r="11" spans="2:8" x14ac:dyDescent="0.25">
      <c r="B11" s="1">
        <v>3590347</v>
      </c>
      <c r="C11" s="1" t="s">
        <v>6</v>
      </c>
    </row>
    <row r="12" spans="2:8" x14ac:dyDescent="0.25">
      <c r="B12" s="1">
        <v>1320718</v>
      </c>
      <c r="C12" s="1" t="s">
        <v>11</v>
      </c>
    </row>
    <row r="13" spans="2:8" x14ac:dyDescent="0.25">
      <c r="B13" s="1">
        <v>12763536</v>
      </c>
      <c r="C13" s="1" t="s">
        <v>4</v>
      </c>
    </row>
    <row r="14" spans="2:8" x14ac:dyDescent="0.25">
      <c r="B14" s="2">
        <v>8864590</v>
      </c>
      <c r="C14" s="1" t="s">
        <v>5</v>
      </c>
    </row>
    <row r="15" spans="2:8" x14ac:dyDescent="0.25">
      <c r="B15" s="1">
        <f>SUM(B6:B14)</f>
        <v>44435740</v>
      </c>
      <c r="C15" s="1" t="s">
        <v>14</v>
      </c>
      <c r="H15" s="1" t="s">
        <v>148</v>
      </c>
    </row>
    <row r="16" spans="2:8" x14ac:dyDescent="0.25">
      <c r="H16" s="35" t="s">
        <v>147</v>
      </c>
    </row>
    <row r="17" spans="2:15" x14ac:dyDescent="0.25">
      <c r="B17" s="3">
        <f>B4/B15</f>
        <v>1.9286952349617673E-3</v>
      </c>
      <c r="C17" s="1" t="s">
        <v>152</v>
      </c>
      <c r="H17" s="1" t="s">
        <v>128</v>
      </c>
    </row>
    <row r="18" spans="2:15" x14ac:dyDescent="0.25">
      <c r="B18" s="4">
        <v>5</v>
      </c>
      <c r="C18" s="1" t="s">
        <v>125</v>
      </c>
      <c r="H18" s="1" t="s">
        <v>129</v>
      </c>
    </row>
    <row r="19" spans="2:15" x14ac:dyDescent="0.25">
      <c r="B19" s="3">
        <f>B17/B18</f>
        <v>3.8573904699235344E-4</v>
      </c>
      <c r="C19" s="1" t="s">
        <v>53</v>
      </c>
      <c r="H19" s="1" t="s">
        <v>130</v>
      </c>
    </row>
    <row r="21" spans="2:15" x14ac:dyDescent="0.25">
      <c r="B21" s="1">
        <f>SUM(C21:N21)</f>
        <v>5058746.1818181816</v>
      </c>
      <c r="C21" s="4">
        <v>396336</v>
      </c>
      <c r="D21" s="4">
        <v>494112</v>
      </c>
      <c r="E21" s="4">
        <v>398940</v>
      </c>
      <c r="F21" s="4">
        <v>413208</v>
      </c>
      <c r="G21" s="4">
        <v>425712</v>
      </c>
      <c r="H21" s="4">
        <v>398484</v>
      </c>
      <c r="I21" s="4">
        <v>456804</v>
      </c>
      <c r="J21" s="4">
        <v>445992</v>
      </c>
      <c r="K21" s="4">
        <v>380400</v>
      </c>
      <c r="L21" s="4">
        <v>427104</v>
      </c>
      <c r="M21" s="4">
        <v>400092</v>
      </c>
      <c r="N21" s="4">
        <f>AVERAGE(C21:M21)</f>
        <v>421562.18181818182</v>
      </c>
      <c r="O21" s="1" t="s">
        <v>12</v>
      </c>
    </row>
    <row r="23" spans="2:15" x14ac:dyDescent="0.25">
      <c r="B23" s="1">
        <f>B21*B19</f>
        <v>1951.355931150752</v>
      </c>
      <c r="C23" s="1" t="s">
        <v>43</v>
      </c>
      <c r="I23" s="1">
        <f>B21*B17</f>
        <v>9756.7796557537604</v>
      </c>
      <c r="J23" s="1" t="s">
        <v>153</v>
      </c>
    </row>
    <row r="24" spans="2:15" x14ac:dyDescent="0.25">
      <c r="B24" s="5">
        <v>0.15</v>
      </c>
      <c r="C24" s="1" t="s">
        <v>44</v>
      </c>
    </row>
    <row r="25" spans="2:15" x14ac:dyDescent="0.25">
      <c r="B25" s="5">
        <v>7.4999999999999997E-2</v>
      </c>
      <c r="C25" s="1" t="s">
        <v>45</v>
      </c>
    </row>
    <row r="26" spans="2:15" x14ac:dyDescent="0.25">
      <c r="B26" s="1">
        <f>ROUNDUP($B$23*B24,0)</f>
        <v>293</v>
      </c>
      <c r="C26" s="1" t="s">
        <v>34</v>
      </c>
    </row>
    <row r="27" spans="2:15" x14ac:dyDescent="0.25">
      <c r="B27" s="1">
        <f>ROUNDUP($B$23*B25,0)</f>
        <v>147</v>
      </c>
      <c r="C27" s="1" t="s">
        <v>35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16"/>
  <sheetViews>
    <sheetView zoomScaleNormal="100" workbookViewId="0">
      <selection activeCell="A14" sqref="A14"/>
    </sheetView>
  </sheetViews>
  <sheetFormatPr defaultColWidth="13.28515625" defaultRowHeight="15" x14ac:dyDescent="0.25"/>
  <sheetData>
    <row r="2" spans="1:9" x14ac:dyDescent="0.25">
      <c r="A2" t="s">
        <v>16</v>
      </c>
      <c r="F2" t="s">
        <v>15</v>
      </c>
    </row>
    <row r="3" spans="1:9" x14ac:dyDescent="0.25">
      <c r="A3" s="8">
        <v>2</v>
      </c>
      <c r="B3" t="s">
        <v>60</v>
      </c>
      <c r="F3" s="8">
        <v>3</v>
      </c>
      <c r="G3" t="s">
        <v>60</v>
      </c>
    </row>
    <row r="4" spans="1:9" x14ac:dyDescent="0.25">
      <c r="A4" s="6">
        <v>18</v>
      </c>
      <c r="B4" t="s">
        <v>55</v>
      </c>
      <c r="F4" s="6">
        <v>15</v>
      </c>
      <c r="G4" t="s">
        <v>55</v>
      </c>
    </row>
    <row r="5" spans="1:9" x14ac:dyDescent="0.25">
      <c r="A5" s="4">
        <v>18</v>
      </c>
      <c r="B5" t="s">
        <v>56</v>
      </c>
      <c r="F5" s="4">
        <v>20</v>
      </c>
      <c r="G5" t="s">
        <v>56</v>
      </c>
    </row>
    <row r="6" spans="1:9" x14ac:dyDescent="0.25">
      <c r="A6" s="9">
        <f>A3*A4*A5*Forecast!C16</f>
        <v>90493.2</v>
      </c>
      <c r="B6" t="s">
        <v>57</v>
      </c>
      <c r="F6" s="9">
        <f>F3*F4*F5*Forecast!C8</f>
        <v>184590</v>
      </c>
      <c r="G6" t="s">
        <v>57</v>
      </c>
    </row>
    <row r="7" spans="1:9" x14ac:dyDescent="0.25">
      <c r="A7" s="9">
        <f>A8*A4</f>
        <v>45246.600000000006</v>
      </c>
      <c r="B7" t="s">
        <v>142</v>
      </c>
      <c r="F7" s="9">
        <f>F8*F4</f>
        <v>41020</v>
      </c>
      <c r="G7" t="s">
        <v>142</v>
      </c>
      <c r="I7" s="9"/>
    </row>
    <row r="8" spans="1:9" x14ac:dyDescent="0.25">
      <c r="A8" s="76">
        <f>A9/A3</f>
        <v>2513.7000000000003</v>
      </c>
      <c r="B8" t="s">
        <v>151</v>
      </c>
      <c r="F8" s="76">
        <f>F9/(F3+1.5)</f>
        <v>2734.6666666666665</v>
      </c>
      <c r="G8" t="s">
        <v>151</v>
      </c>
    </row>
    <row r="9" spans="1:9" x14ac:dyDescent="0.25">
      <c r="A9" s="76">
        <f>A5*Forecast!C16*A3</f>
        <v>5027.4000000000005</v>
      </c>
      <c r="B9" t="s">
        <v>149</v>
      </c>
      <c r="F9" s="76">
        <f>F5*Forecast!C8*F3</f>
        <v>12306</v>
      </c>
      <c r="G9" t="s">
        <v>150</v>
      </c>
    </row>
    <row r="11" spans="1:9" x14ac:dyDescent="0.25">
      <c r="A11" t="s">
        <v>58</v>
      </c>
      <c r="F11" t="s">
        <v>64</v>
      </c>
    </row>
    <row r="12" spans="1:9" x14ac:dyDescent="0.25">
      <c r="A12" s="8">
        <v>4</v>
      </c>
      <c r="B12" t="s">
        <v>59</v>
      </c>
      <c r="F12" s="8">
        <v>1</v>
      </c>
      <c r="G12" t="s">
        <v>65</v>
      </c>
    </row>
    <row r="13" spans="1:9" x14ac:dyDescent="0.25">
      <c r="A13" s="6">
        <v>11</v>
      </c>
      <c r="B13" t="s">
        <v>55</v>
      </c>
      <c r="F13" s="6">
        <v>20</v>
      </c>
      <c r="G13" t="s">
        <v>55</v>
      </c>
    </row>
    <row r="14" spans="1:9" x14ac:dyDescent="0.25">
      <c r="A14" s="4">
        <v>2000</v>
      </c>
      <c r="B14" t="s">
        <v>151</v>
      </c>
      <c r="F14" s="4">
        <f>52*40</f>
        <v>2080</v>
      </c>
      <c r="G14" t="s">
        <v>151</v>
      </c>
    </row>
    <row r="15" spans="1:9" x14ac:dyDescent="0.25">
      <c r="A15" s="9">
        <f>A12*A13*A14</f>
        <v>88000</v>
      </c>
      <c r="B15" t="s">
        <v>57</v>
      </c>
      <c r="F15" s="9">
        <f>F12*F13*F14</f>
        <v>41600</v>
      </c>
      <c r="G15" t="s">
        <v>57</v>
      </c>
    </row>
    <row r="16" spans="1:9" x14ac:dyDescent="0.25">
      <c r="A16" s="9">
        <f>A15/A12</f>
        <v>22000</v>
      </c>
      <c r="B16" t="s">
        <v>142</v>
      </c>
      <c r="F16" s="9">
        <f>F15/F12</f>
        <v>41600</v>
      </c>
      <c r="G16" t="s">
        <v>142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27"/>
  <sheetViews>
    <sheetView zoomScaleNormal="100" workbookViewId="0">
      <selection activeCell="A16" sqref="A16"/>
    </sheetView>
  </sheetViews>
  <sheetFormatPr defaultColWidth="11.140625" defaultRowHeight="15" x14ac:dyDescent="0.25"/>
  <cols>
    <col min="1" max="2" width="11.5703125" bestFit="1" customWidth="1"/>
    <col min="8" max="8" width="12.5703125" bestFit="1" customWidth="1"/>
  </cols>
  <sheetData>
    <row r="2" spans="1:9" x14ac:dyDescent="0.25">
      <c r="A2" t="s">
        <v>68</v>
      </c>
      <c r="E2" t="s">
        <v>69</v>
      </c>
      <c r="I2" t="s">
        <v>156</v>
      </c>
    </row>
    <row r="3" spans="1:9" x14ac:dyDescent="0.25">
      <c r="A3" s="11">
        <v>6.4399999999999999E-2</v>
      </c>
      <c r="B3" t="s">
        <v>66</v>
      </c>
      <c r="E3" s="11">
        <v>4.2084000000000003E-2</v>
      </c>
      <c r="F3" t="s">
        <v>70</v>
      </c>
      <c r="I3" s="6">
        <v>1000</v>
      </c>
    </row>
    <row r="4" spans="1:9" x14ac:dyDescent="0.25">
      <c r="A4" s="4">
        <v>35</v>
      </c>
      <c r="B4" t="s">
        <v>67</v>
      </c>
      <c r="E4" s="4">
        <v>25</v>
      </c>
      <c r="F4" t="s">
        <v>72</v>
      </c>
    </row>
    <row r="5" spans="1:9" x14ac:dyDescent="0.25">
      <c r="A5" s="9">
        <f>A3*A4*1000</f>
        <v>2254</v>
      </c>
      <c r="C5" s="77"/>
      <c r="E5" s="9">
        <f>E3*E4*1000</f>
        <v>1052.1000000000001</v>
      </c>
      <c r="G5" s="9"/>
    </row>
    <row r="7" spans="1:9" x14ac:dyDescent="0.25">
      <c r="A7" s="9" t="s">
        <v>74</v>
      </c>
      <c r="E7" t="s">
        <v>73</v>
      </c>
    </row>
    <row r="8" spans="1:9" x14ac:dyDescent="0.25">
      <c r="A8" s="10">
        <v>98</v>
      </c>
      <c r="B8" t="s">
        <v>71</v>
      </c>
      <c r="E8" s="10">
        <v>500</v>
      </c>
      <c r="F8" t="s">
        <v>71</v>
      </c>
    </row>
    <row r="9" spans="1:9" x14ac:dyDescent="0.25">
      <c r="A9" s="7">
        <f>A8*12</f>
        <v>1176</v>
      </c>
      <c r="E9" s="7">
        <f>E8*12</f>
        <v>6000</v>
      </c>
    </row>
    <row r="11" spans="1:9" x14ac:dyDescent="0.25">
      <c r="A11" t="s">
        <v>75</v>
      </c>
      <c r="E11" t="s">
        <v>78</v>
      </c>
    </row>
    <row r="12" spans="1:9" x14ac:dyDescent="0.25">
      <c r="A12" s="5">
        <v>0.03</v>
      </c>
      <c r="B12" t="s">
        <v>76</v>
      </c>
      <c r="E12" s="13">
        <v>3.3333333333333333E-2</v>
      </c>
      <c r="F12" t="s">
        <v>109</v>
      </c>
    </row>
    <row r="13" spans="1:9" x14ac:dyDescent="0.25">
      <c r="A13" s="7">
        <f>A12*(Forecast!C26+Forecast!C27)</f>
        <v>18098.099999999999</v>
      </c>
      <c r="E13" s="14">
        <v>0.2</v>
      </c>
      <c r="F13" t="s">
        <v>110</v>
      </c>
      <c r="I13" s="36"/>
    </row>
    <row r="15" spans="1:9" x14ac:dyDescent="0.25">
      <c r="A15" t="s">
        <v>20</v>
      </c>
      <c r="E15" t="s">
        <v>155</v>
      </c>
    </row>
    <row r="16" spans="1:9" x14ac:dyDescent="0.25">
      <c r="A16" s="12">
        <v>0.35</v>
      </c>
      <c r="B16" t="s">
        <v>91</v>
      </c>
      <c r="C16" s="36"/>
      <c r="E16" s="12">
        <v>0.08</v>
      </c>
      <c r="F16" t="s">
        <v>154</v>
      </c>
    </row>
    <row r="18" spans="1:11" x14ac:dyDescent="0.25">
      <c r="A18" t="s">
        <v>113</v>
      </c>
      <c r="E18" t="s">
        <v>120</v>
      </c>
    </row>
    <row r="19" spans="1:11" x14ac:dyDescent="0.25">
      <c r="A19" s="8">
        <v>9</v>
      </c>
      <c r="B19" t="s">
        <v>115</v>
      </c>
      <c r="E19" s="8">
        <v>2</v>
      </c>
      <c r="F19" t="s">
        <v>118</v>
      </c>
      <c r="H19" s="6">
        <v>15000</v>
      </c>
      <c r="I19" t="s">
        <v>122</v>
      </c>
    </row>
    <row r="20" spans="1:11" x14ac:dyDescent="0.25">
      <c r="A20" s="8">
        <v>60</v>
      </c>
      <c r="B20" t="s">
        <v>114</v>
      </c>
      <c r="E20" s="6">
        <v>60</v>
      </c>
      <c r="F20" t="s">
        <v>121</v>
      </c>
      <c r="H20" s="34">
        <v>0.2</v>
      </c>
      <c r="I20" t="s">
        <v>123</v>
      </c>
      <c r="K20" s="36"/>
    </row>
    <row r="21" spans="1:11" x14ac:dyDescent="0.25">
      <c r="A21" s="6">
        <v>4.22</v>
      </c>
      <c r="B21" t="s">
        <v>116</v>
      </c>
      <c r="D21" s="36"/>
      <c r="E21" s="33">
        <f>E19*E20*12</f>
        <v>1440</v>
      </c>
    </row>
    <row r="22" spans="1:11" x14ac:dyDescent="0.25">
      <c r="A22" s="33">
        <f>A20/9*A21*(Forecast!C8+Forecast!C16)</f>
        <v>9698.9666666666672</v>
      </c>
    </row>
    <row r="25" spans="1:11" x14ac:dyDescent="0.25">
      <c r="A25" t="s">
        <v>126</v>
      </c>
    </row>
    <row r="26" spans="1:11" x14ac:dyDescent="0.25">
      <c r="A26" s="37">
        <v>166700</v>
      </c>
      <c r="B26" t="s">
        <v>127</v>
      </c>
    </row>
    <row r="27" spans="1:11" x14ac:dyDescent="0.25">
      <c r="A27" s="38">
        <v>4405.6899999999996</v>
      </c>
      <c r="B27" t="s">
        <v>135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61"/>
  <sheetViews>
    <sheetView workbookViewId="0">
      <selection activeCell="I7" sqref="I7"/>
    </sheetView>
  </sheetViews>
  <sheetFormatPr defaultColWidth="15.140625" defaultRowHeight="15" x14ac:dyDescent="0.25"/>
  <cols>
    <col min="1" max="16384" width="15.140625" style="18"/>
  </cols>
  <sheetData>
    <row r="1" spans="1:9" ht="15.75" thickBot="1" x14ac:dyDescent="0.3">
      <c r="A1" s="15"/>
      <c r="B1" s="15" t="s">
        <v>86</v>
      </c>
      <c r="C1" s="15" t="s">
        <v>87</v>
      </c>
      <c r="D1" s="15" t="s">
        <v>88</v>
      </c>
      <c r="E1" s="15" t="s">
        <v>89</v>
      </c>
      <c r="F1" s="15" t="s">
        <v>90</v>
      </c>
      <c r="G1" s="15"/>
      <c r="H1" s="16" t="s">
        <v>91</v>
      </c>
      <c r="I1" s="31">
        <v>4.2500000000000003E-2</v>
      </c>
    </row>
    <row r="2" spans="1:9" x14ac:dyDescent="0.25">
      <c r="A2" s="19" t="s">
        <v>108</v>
      </c>
      <c r="B2" s="20">
        <f>+I7</f>
        <v>533360</v>
      </c>
      <c r="C2" s="20">
        <f t="shared" ref="C2:C11" si="0">+E2-D2</f>
        <v>734.82726972820001</v>
      </c>
      <c r="D2" s="20">
        <f t="shared" ref="D2:D11" si="1">B2*$I$2</f>
        <v>1888.9833333333336</v>
      </c>
      <c r="E2" s="20">
        <f t="shared" ref="E2:E11" si="2">-$I$9</f>
        <v>2623.8106030615336</v>
      </c>
      <c r="F2" s="21">
        <f t="shared" ref="F2:F11" si="3">+B2-C2</f>
        <v>532625.17273027182</v>
      </c>
      <c r="G2" s="15"/>
      <c r="H2" s="16" t="s">
        <v>92</v>
      </c>
      <c r="I2" s="17">
        <f>+I1/12</f>
        <v>3.5416666666666669E-3</v>
      </c>
    </row>
    <row r="3" spans="1:9" x14ac:dyDescent="0.25">
      <c r="A3" s="22" t="s">
        <v>93</v>
      </c>
      <c r="B3" s="23">
        <f t="shared" ref="B3:B11" si="4">+F2</f>
        <v>532625.17273027182</v>
      </c>
      <c r="C3" s="23">
        <f t="shared" si="0"/>
        <v>737.42978297515401</v>
      </c>
      <c r="D3" s="23">
        <f t="shared" si="1"/>
        <v>1886.3808200863796</v>
      </c>
      <c r="E3" s="23">
        <f t="shared" si="2"/>
        <v>2623.8106030615336</v>
      </c>
      <c r="F3" s="24">
        <f t="shared" si="3"/>
        <v>531887.74294729671</v>
      </c>
      <c r="G3" s="15"/>
      <c r="H3" s="16" t="s">
        <v>94</v>
      </c>
      <c r="I3" s="25">
        <v>0</v>
      </c>
    </row>
    <row r="4" spans="1:9" x14ac:dyDescent="0.25">
      <c r="A4" s="22" t="s">
        <v>95</v>
      </c>
      <c r="B4" s="23">
        <f t="shared" si="4"/>
        <v>531887.74294729671</v>
      </c>
      <c r="C4" s="23">
        <f t="shared" si="0"/>
        <v>740.04151345652417</v>
      </c>
      <c r="D4" s="23">
        <f t="shared" si="1"/>
        <v>1883.7690896050094</v>
      </c>
      <c r="E4" s="23">
        <f t="shared" si="2"/>
        <v>2623.8106030615336</v>
      </c>
      <c r="F4" s="24">
        <f t="shared" si="3"/>
        <v>531147.70143384021</v>
      </c>
      <c r="G4" s="15"/>
      <c r="H4" s="16" t="s">
        <v>85</v>
      </c>
      <c r="I4" s="32">
        <v>30</v>
      </c>
    </row>
    <row r="5" spans="1:9" x14ac:dyDescent="0.25">
      <c r="A5" s="22" t="s">
        <v>96</v>
      </c>
      <c r="B5" s="23">
        <f t="shared" si="4"/>
        <v>531147.70143384021</v>
      </c>
      <c r="C5" s="23">
        <f t="shared" si="0"/>
        <v>742.66249381668263</v>
      </c>
      <c r="D5" s="23">
        <f t="shared" si="1"/>
        <v>1881.148109244851</v>
      </c>
      <c r="E5" s="23">
        <f t="shared" si="2"/>
        <v>2623.8106030615336</v>
      </c>
      <c r="F5" s="24">
        <f t="shared" si="3"/>
        <v>530405.03894002351</v>
      </c>
      <c r="G5" s="15"/>
      <c r="H5" s="16" t="s">
        <v>97</v>
      </c>
      <c r="I5" s="16">
        <f>I4*12</f>
        <v>360</v>
      </c>
    </row>
    <row r="6" spans="1:9" x14ac:dyDescent="0.25">
      <c r="A6" s="22" t="s">
        <v>98</v>
      </c>
      <c r="B6" s="23">
        <f t="shared" si="4"/>
        <v>530405.03894002351</v>
      </c>
      <c r="C6" s="23">
        <f t="shared" si="0"/>
        <v>745.29275681561694</v>
      </c>
      <c r="D6" s="23">
        <f t="shared" si="1"/>
        <v>1878.5178462459166</v>
      </c>
      <c r="E6" s="23">
        <f t="shared" si="2"/>
        <v>2623.8106030615336</v>
      </c>
      <c r="F6" s="24">
        <f t="shared" si="3"/>
        <v>529659.74618320784</v>
      </c>
      <c r="G6" s="15"/>
      <c r="H6" s="16" t="s">
        <v>99</v>
      </c>
      <c r="I6" s="16">
        <v>0</v>
      </c>
    </row>
    <row r="7" spans="1:9" x14ac:dyDescent="0.25">
      <c r="A7" s="22" t="s">
        <v>100</v>
      </c>
      <c r="B7" s="23">
        <f t="shared" si="4"/>
        <v>529659.74618320784</v>
      </c>
      <c r="C7" s="23">
        <f t="shared" si="0"/>
        <v>747.93233532933891</v>
      </c>
      <c r="D7" s="23">
        <f t="shared" si="1"/>
        <v>1875.8782677321947</v>
      </c>
      <c r="E7" s="23">
        <f t="shared" si="2"/>
        <v>2623.8106030615336</v>
      </c>
      <c r="F7" s="24">
        <f t="shared" si="3"/>
        <v>528911.81384787848</v>
      </c>
      <c r="G7" s="15"/>
      <c r="H7" s="16" t="s">
        <v>101</v>
      </c>
      <c r="I7" s="25">
        <f>80%*(Forecast!C69+Forecast!C71)</f>
        <v>533360</v>
      </c>
    </row>
    <row r="8" spans="1:9" x14ac:dyDescent="0.25">
      <c r="A8" s="22" t="s">
        <v>102</v>
      </c>
      <c r="B8" s="23">
        <f t="shared" si="4"/>
        <v>528911.81384787848</v>
      </c>
      <c r="C8" s="23">
        <f t="shared" si="0"/>
        <v>750.58126235029727</v>
      </c>
      <c r="D8" s="23">
        <f t="shared" si="1"/>
        <v>1873.2293407112363</v>
      </c>
      <c r="E8" s="23">
        <f t="shared" si="2"/>
        <v>2623.8106030615336</v>
      </c>
      <c r="F8" s="24">
        <f t="shared" si="3"/>
        <v>528161.23258552817</v>
      </c>
      <c r="G8" s="15"/>
      <c r="H8" s="16"/>
      <c r="I8" s="16"/>
    </row>
    <row r="9" spans="1:9" x14ac:dyDescent="0.25">
      <c r="A9" s="22" t="s">
        <v>103</v>
      </c>
      <c r="B9" s="23">
        <f t="shared" si="4"/>
        <v>528161.23258552817</v>
      </c>
      <c r="C9" s="23">
        <f t="shared" si="0"/>
        <v>753.23957098778783</v>
      </c>
      <c r="D9" s="23">
        <f t="shared" si="1"/>
        <v>1870.5710320737458</v>
      </c>
      <c r="E9" s="23">
        <f t="shared" si="2"/>
        <v>2623.8106030615336</v>
      </c>
      <c r="F9" s="24">
        <f t="shared" si="3"/>
        <v>527407.99301454041</v>
      </c>
      <c r="G9" s="15"/>
      <c r="H9" s="16" t="s">
        <v>89</v>
      </c>
      <c r="I9" s="26">
        <f>PMT(I2,I5,I7,I3,I6)</f>
        <v>-2623.8106030615336</v>
      </c>
    </row>
    <row r="10" spans="1:9" x14ac:dyDescent="0.25">
      <c r="A10" s="22" t="s">
        <v>104</v>
      </c>
      <c r="B10" s="23">
        <f t="shared" si="4"/>
        <v>527407.99301454041</v>
      </c>
      <c r="C10" s="23">
        <f t="shared" si="0"/>
        <v>755.9072944683694</v>
      </c>
      <c r="D10" s="23">
        <f t="shared" si="1"/>
        <v>1867.9033085931642</v>
      </c>
      <c r="E10" s="23">
        <f t="shared" si="2"/>
        <v>2623.8106030615336</v>
      </c>
      <c r="F10" s="24">
        <f t="shared" si="3"/>
        <v>526652.08572007203</v>
      </c>
      <c r="G10" s="15"/>
      <c r="H10" s="15"/>
      <c r="I10" s="15"/>
    </row>
    <row r="11" spans="1:9" x14ac:dyDescent="0.25">
      <c r="A11" s="22" t="s">
        <v>105</v>
      </c>
      <c r="B11" s="23">
        <f t="shared" si="4"/>
        <v>526652.08572007203</v>
      </c>
      <c r="C11" s="23">
        <f t="shared" si="0"/>
        <v>758.58446613627825</v>
      </c>
      <c r="D11" s="23">
        <f t="shared" si="1"/>
        <v>1865.2261369252553</v>
      </c>
      <c r="E11" s="23">
        <f t="shared" si="2"/>
        <v>2623.8106030615336</v>
      </c>
      <c r="F11" s="24">
        <f t="shared" si="3"/>
        <v>525893.50125393574</v>
      </c>
      <c r="G11" s="15"/>
      <c r="H11" s="15"/>
      <c r="I11" s="15"/>
    </row>
    <row r="12" spans="1:9" x14ac:dyDescent="0.25">
      <c r="A12" s="22" t="s">
        <v>106</v>
      </c>
      <c r="B12" s="23">
        <f>+F11</f>
        <v>525893.50125393574</v>
      </c>
      <c r="C12" s="23">
        <f>+E12-D12</f>
        <v>761.27111945384445</v>
      </c>
      <c r="D12" s="23">
        <f>B12*$I$2</f>
        <v>1862.5394836076891</v>
      </c>
      <c r="E12" s="23">
        <f>-$I$9</f>
        <v>2623.8106030615336</v>
      </c>
      <c r="F12" s="24">
        <f>+B12-C12</f>
        <v>525132.23013448191</v>
      </c>
      <c r="G12" s="15"/>
      <c r="H12" s="15"/>
      <c r="I12" s="15"/>
    </row>
    <row r="13" spans="1:9" ht="15.75" thickBot="1" x14ac:dyDescent="0.3">
      <c r="A13" s="27" t="s">
        <v>107</v>
      </c>
      <c r="B13" s="28">
        <f t="shared" ref="B13:B25" si="5">+F12</f>
        <v>525132.23013448191</v>
      </c>
      <c r="C13" s="28">
        <f t="shared" ref="C13:C25" si="6">+E13-D13</f>
        <v>763.96728800190999</v>
      </c>
      <c r="D13" s="28">
        <f t="shared" ref="D13:D25" si="7">B13*$I$2</f>
        <v>1859.8433150596236</v>
      </c>
      <c r="E13" s="28">
        <f t="shared" ref="E13:E76" si="8">-$I$9</f>
        <v>2623.8106030615336</v>
      </c>
      <c r="F13" s="29">
        <f t="shared" ref="F13:F25" si="9">+B13-C13</f>
        <v>524368.26284648001</v>
      </c>
      <c r="G13" s="30">
        <f>SUM(D2:D13)</f>
        <v>22493.990083218396</v>
      </c>
      <c r="H13" s="15"/>
      <c r="I13" s="15"/>
    </row>
    <row r="14" spans="1:9" x14ac:dyDescent="0.25">
      <c r="A14" s="19" t="s">
        <v>108</v>
      </c>
      <c r="B14" s="20">
        <f t="shared" si="5"/>
        <v>524368.26284648001</v>
      </c>
      <c r="C14" s="20">
        <f t="shared" si="6"/>
        <v>766.67300548025014</v>
      </c>
      <c r="D14" s="20">
        <f t="shared" si="7"/>
        <v>1857.1375975812834</v>
      </c>
      <c r="E14" s="20">
        <f t="shared" si="8"/>
        <v>2623.8106030615336</v>
      </c>
      <c r="F14" s="21">
        <f t="shared" si="9"/>
        <v>523601.58984099975</v>
      </c>
      <c r="G14" s="15"/>
      <c r="H14" s="15"/>
      <c r="I14" s="15"/>
    </row>
    <row r="15" spans="1:9" x14ac:dyDescent="0.25">
      <c r="A15" s="22" t="s">
        <v>93</v>
      </c>
      <c r="B15" s="23">
        <f t="shared" si="5"/>
        <v>523601.58984099975</v>
      </c>
      <c r="C15" s="23">
        <f t="shared" si="6"/>
        <v>769.38830570799269</v>
      </c>
      <c r="D15" s="23">
        <f t="shared" si="7"/>
        <v>1854.4222973535409</v>
      </c>
      <c r="E15" s="23">
        <f t="shared" si="8"/>
        <v>2623.8106030615336</v>
      </c>
      <c r="F15" s="24">
        <f t="shared" si="9"/>
        <v>522832.20153529174</v>
      </c>
      <c r="G15" s="15"/>
      <c r="H15" s="15"/>
      <c r="I15" s="15"/>
    </row>
    <row r="16" spans="1:9" x14ac:dyDescent="0.25">
      <c r="A16" s="22" t="s">
        <v>95</v>
      </c>
      <c r="B16" s="23">
        <f t="shared" si="5"/>
        <v>522832.20153529174</v>
      </c>
      <c r="C16" s="23">
        <f t="shared" si="6"/>
        <v>772.11322262404178</v>
      </c>
      <c r="D16" s="23">
        <f t="shared" si="7"/>
        <v>1851.6973804374918</v>
      </c>
      <c r="E16" s="23">
        <f t="shared" si="8"/>
        <v>2623.8106030615336</v>
      </c>
      <c r="F16" s="24">
        <f t="shared" si="9"/>
        <v>522060.08831266768</v>
      </c>
      <c r="G16" s="15"/>
      <c r="H16" s="15"/>
      <c r="I16" s="15"/>
    </row>
    <row r="17" spans="1:9" x14ac:dyDescent="0.25">
      <c r="A17" s="22" t="s">
        <v>96</v>
      </c>
      <c r="B17" s="23">
        <f t="shared" si="5"/>
        <v>522060.08831266768</v>
      </c>
      <c r="C17" s="23">
        <f t="shared" si="6"/>
        <v>774.84779028750199</v>
      </c>
      <c r="D17" s="23">
        <f t="shared" si="7"/>
        <v>1848.9628127740316</v>
      </c>
      <c r="E17" s="23">
        <f t="shared" si="8"/>
        <v>2623.8106030615336</v>
      </c>
      <c r="F17" s="24">
        <f t="shared" si="9"/>
        <v>521285.24052238016</v>
      </c>
      <c r="G17" s="15"/>
      <c r="H17" s="15"/>
      <c r="I17" s="15"/>
    </row>
    <row r="18" spans="1:9" x14ac:dyDescent="0.25">
      <c r="A18" s="22" t="s">
        <v>98</v>
      </c>
      <c r="B18" s="23">
        <f t="shared" si="5"/>
        <v>521285.24052238016</v>
      </c>
      <c r="C18" s="23">
        <f t="shared" si="6"/>
        <v>777.59204287810371</v>
      </c>
      <c r="D18" s="23">
        <f t="shared" si="7"/>
        <v>1846.2185601834299</v>
      </c>
      <c r="E18" s="23">
        <f t="shared" si="8"/>
        <v>2623.8106030615336</v>
      </c>
      <c r="F18" s="24">
        <f t="shared" si="9"/>
        <v>520507.64847950207</v>
      </c>
      <c r="G18" s="15"/>
      <c r="H18" s="15"/>
      <c r="I18" s="15"/>
    </row>
    <row r="19" spans="1:9" x14ac:dyDescent="0.25">
      <c r="A19" s="22" t="s">
        <v>100</v>
      </c>
      <c r="B19" s="23">
        <f t="shared" si="5"/>
        <v>520507.64847950207</v>
      </c>
      <c r="C19" s="23">
        <f t="shared" si="6"/>
        <v>780.34601469663039</v>
      </c>
      <c r="D19" s="23">
        <f t="shared" si="7"/>
        <v>1843.4645883649032</v>
      </c>
      <c r="E19" s="23">
        <f t="shared" si="8"/>
        <v>2623.8106030615336</v>
      </c>
      <c r="F19" s="24">
        <f t="shared" si="9"/>
        <v>519727.30246480543</v>
      </c>
      <c r="G19" s="15"/>
      <c r="H19" s="15"/>
      <c r="I19" s="15"/>
    </row>
    <row r="20" spans="1:9" x14ac:dyDescent="0.25">
      <c r="A20" s="22" t="s">
        <v>102</v>
      </c>
      <c r="B20" s="23">
        <f t="shared" si="5"/>
        <v>519727.30246480543</v>
      </c>
      <c r="C20" s="23">
        <f t="shared" si="6"/>
        <v>783.1097401653476</v>
      </c>
      <c r="D20" s="23">
        <f t="shared" si="7"/>
        <v>1840.700862896186</v>
      </c>
      <c r="E20" s="23">
        <f t="shared" si="8"/>
        <v>2623.8106030615336</v>
      </c>
      <c r="F20" s="24">
        <f t="shared" si="9"/>
        <v>518944.19272464007</v>
      </c>
      <c r="G20" s="15"/>
      <c r="H20" s="15"/>
      <c r="I20" s="15"/>
    </row>
    <row r="21" spans="1:9" x14ac:dyDescent="0.25">
      <c r="A21" s="22" t="s">
        <v>103</v>
      </c>
      <c r="B21" s="23">
        <f t="shared" si="5"/>
        <v>518944.19272464007</v>
      </c>
      <c r="C21" s="23">
        <f t="shared" si="6"/>
        <v>785.88325382843323</v>
      </c>
      <c r="D21" s="23">
        <f t="shared" si="7"/>
        <v>1837.9273492331004</v>
      </c>
      <c r="E21" s="23">
        <f t="shared" si="8"/>
        <v>2623.8106030615336</v>
      </c>
      <c r="F21" s="24">
        <f t="shared" si="9"/>
        <v>518158.30947081163</v>
      </c>
      <c r="G21" s="15"/>
      <c r="H21" s="15"/>
      <c r="I21" s="15"/>
    </row>
    <row r="22" spans="1:9" x14ac:dyDescent="0.25">
      <c r="A22" s="22" t="s">
        <v>104</v>
      </c>
      <c r="B22" s="23">
        <f t="shared" si="5"/>
        <v>518158.30947081163</v>
      </c>
      <c r="C22" s="23">
        <f t="shared" si="6"/>
        <v>788.666590352409</v>
      </c>
      <c r="D22" s="23">
        <f t="shared" si="7"/>
        <v>1835.1440127091246</v>
      </c>
      <c r="E22" s="23">
        <f t="shared" si="8"/>
        <v>2623.8106030615336</v>
      </c>
      <c r="F22" s="24">
        <f t="shared" si="9"/>
        <v>517369.6428804592</v>
      </c>
      <c r="G22" s="15"/>
      <c r="H22" s="15"/>
      <c r="I22" s="15"/>
    </row>
    <row r="23" spans="1:9" x14ac:dyDescent="0.25">
      <c r="A23" s="22" t="s">
        <v>105</v>
      </c>
      <c r="B23" s="23">
        <f t="shared" si="5"/>
        <v>517369.6428804592</v>
      </c>
      <c r="C23" s="23">
        <f t="shared" si="6"/>
        <v>791.45978452657369</v>
      </c>
      <c r="D23" s="23">
        <f t="shared" si="7"/>
        <v>1832.3508185349599</v>
      </c>
      <c r="E23" s="23">
        <f t="shared" si="8"/>
        <v>2623.8106030615336</v>
      </c>
      <c r="F23" s="24">
        <f t="shared" si="9"/>
        <v>516578.18309593265</v>
      </c>
      <c r="G23" s="15"/>
      <c r="H23" s="15"/>
      <c r="I23" s="15"/>
    </row>
    <row r="24" spans="1:9" x14ac:dyDescent="0.25">
      <c r="A24" s="22" t="s">
        <v>106</v>
      </c>
      <c r="B24" s="23">
        <f t="shared" si="5"/>
        <v>516578.18309593265</v>
      </c>
      <c r="C24" s="23">
        <f t="shared" si="6"/>
        <v>794.26287126343868</v>
      </c>
      <c r="D24" s="23">
        <f t="shared" si="7"/>
        <v>1829.5477317980949</v>
      </c>
      <c r="E24" s="23">
        <f t="shared" si="8"/>
        <v>2623.8106030615336</v>
      </c>
      <c r="F24" s="24">
        <f t="shared" si="9"/>
        <v>515783.92022466921</v>
      </c>
      <c r="G24" s="15"/>
      <c r="H24" s="15"/>
      <c r="I24" s="15"/>
    </row>
    <row r="25" spans="1:9" ht="15.75" thickBot="1" x14ac:dyDescent="0.3">
      <c r="A25" s="27" t="s">
        <v>107</v>
      </c>
      <c r="B25" s="28">
        <f t="shared" si="5"/>
        <v>515783.92022466921</v>
      </c>
      <c r="C25" s="28">
        <f t="shared" si="6"/>
        <v>797.07588559916326</v>
      </c>
      <c r="D25" s="28">
        <f t="shared" si="7"/>
        <v>1826.7347174623703</v>
      </c>
      <c r="E25" s="28">
        <f t="shared" si="8"/>
        <v>2623.8106030615336</v>
      </c>
      <c r="F25" s="29">
        <f t="shared" si="9"/>
        <v>514986.84433907003</v>
      </c>
      <c r="G25" s="30">
        <f>SUM(D14:D25)</f>
        <v>22104.308729328521</v>
      </c>
      <c r="H25" s="15"/>
      <c r="I25" s="15"/>
    </row>
    <row r="26" spans="1:9" x14ac:dyDescent="0.25">
      <c r="A26" s="19" t="s">
        <v>108</v>
      </c>
      <c r="B26" s="20">
        <f t="shared" ref="B26:B49" si="10">+F25</f>
        <v>514986.84433907003</v>
      </c>
      <c r="C26" s="20">
        <f t="shared" ref="C26:C49" si="11">+E26-D26</f>
        <v>799.89886269399381</v>
      </c>
      <c r="D26" s="20">
        <f t="shared" ref="D26:D49" si="12">B26*$I$2</f>
        <v>1823.9117403675398</v>
      </c>
      <c r="E26" s="20">
        <f t="shared" si="8"/>
        <v>2623.8106030615336</v>
      </c>
      <c r="F26" s="21">
        <f t="shared" ref="F26:F49" si="13">+B26-C26</f>
        <v>514186.94547637604</v>
      </c>
      <c r="G26" s="15"/>
      <c r="H26" s="15"/>
      <c r="I26" s="15"/>
    </row>
    <row r="27" spans="1:9" x14ac:dyDescent="0.25">
      <c r="A27" s="22" t="s">
        <v>93</v>
      </c>
      <c r="B27" s="23">
        <f t="shared" si="10"/>
        <v>514186.94547637604</v>
      </c>
      <c r="C27" s="23">
        <f t="shared" si="11"/>
        <v>802.73183783270156</v>
      </c>
      <c r="D27" s="23">
        <f t="shared" si="12"/>
        <v>1821.078765228832</v>
      </c>
      <c r="E27" s="23">
        <f t="shared" si="8"/>
        <v>2623.8106030615336</v>
      </c>
      <c r="F27" s="24">
        <f t="shared" si="13"/>
        <v>513384.21363854333</v>
      </c>
      <c r="G27" s="15"/>
      <c r="H27" s="15"/>
      <c r="I27" s="15"/>
    </row>
    <row r="28" spans="1:9" x14ac:dyDescent="0.25">
      <c r="A28" s="22" t="s">
        <v>95</v>
      </c>
      <c r="B28" s="23">
        <f t="shared" si="10"/>
        <v>513384.21363854333</v>
      </c>
      <c r="C28" s="23">
        <f t="shared" si="11"/>
        <v>805.57484642502595</v>
      </c>
      <c r="D28" s="23">
        <f t="shared" si="12"/>
        <v>1818.2357566365076</v>
      </c>
      <c r="E28" s="23">
        <f t="shared" si="8"/>
        <v>2623.8106030615336</v>
      </c>
      <c r="F28" s="24">
        <f t="shared" si="13"/>
        <v>512578.63879211829</v>
      </c>
      <c r="G28" s="15"/>
      <c r="H28" s="15"/>
      <c r="I28" s="15"/>
    </row>
    <row r="29" spans="1:9" x14ac:dyDescent="0.25">
      <c r="A29" s="22" t="s">
        <v>96</v>
      </c>
      <c r="B29" s="23">
        <f t="shared" si="10"/>
        <v>512578.63879211829</v>
      </c>
      <c r="C29" s="23">
        <f t="shared" si="11"/>
        <v>808.42792400611461</v>
      </c>
      <c r="D29" s="23">
        <f t="shared" si="12"/>
        <v>1815.382679055419</v>
      </c>
      <c r="E29" s="23">
        <f t="shared" si="8"/>
        <v>2623.8106030615336</v>
      </c>
      <c r="F29" s="24">
        <f t="shared" si="13"/>
        <v>511770.21086811216</v>
      </c>
      <c r="G29" s="15"/>
      <c r="H29" s="15"/>
      <c r="I29" s="15"/>
    </row>
    <row r="30" spans="1:9" x14ac:dyDescent="0.25">
      <c r="A30" s="22" t="s">
        <v>98</v>
      </c>
      <c r="B30" s="23">
        <f t="shared" si="10"/>
        <v>511770.21086811216</v>
      </c>
      <c r="C30" s="23">
        <f t="shared" si="11"/>
        <v>811.29110623696965</v>
      </c>
      <c r="D30" s="23">
        <f t="shared" si="12"/>
        <v>1812.5194968245639</v>
      </c>
      <c r="E30" s="23">
        <f t="shared" si="8"/>
        <v>2623.8106030615336</v>
      </c>
      <c r="F30" s="24">
        <f t="shared" si="13"/>
        <v>510958.91976187518</v>
      </c>
      <c r="G30" s="15"/>
      <c r="H30" s="15"/>
      <c r="I30" s="15"/>
    </row>
    <row r="31" spans="1:9" x14ac:dyDescent="0.25">
      <c r="A31" s="22" t="s">
        <v>100</v>
      </c>
      <c r="B31" s="23">
        <f t="shared" si="10"/>
        <v>510958.91976187518</v>
      </c>
      <c r="C31" s="23">
        <f t="shared" si="11"/>
        <v>814.16442890489225</v>
      </c>
      <c r="D31" s="23">
        <f t="shared" si="12"/>
        <v>1809.6461741566413</v>
      </c>
      <c r="E31" s="23">
        <f t="shared" si="8"/>
        <v>2623.8106030615336</v>
      </c>
      <c r="F31" s="24">
        <f t="shared" si="13"/>
        <v>510144.75533297029</v>
      </c>
      <c r="G31" s="15"/>
      <c r="H31" s="15"/>
      <c r="I31" s="15"/>
    </row>
    <row r="32" spans="1:9" x14ac:dyDescent="0.25">
      <c r="A32" s="22" t="s">
        <v>102</v>
      </c>
      <c r="B32" s="23">
        <f t="shared" si="10"/>
        <v>510144.75533297029</v>
      </c>
      <c r="C32" s="23">
        <f t="shared" si="11"/>
        <v>817.04792792393027</v>
      </c>
      <c r="D32" s="23">
        <f t="shared" si="12"/>
        <v>1806.7626751376033</v>
      </c>
      <c r="E32" s="23">
        <f t="shared" si="8"/>
        <v>2623.8106030615336</v>
      </c>
      <c r="F32" s="24">
        <f t="shared" si="13"/>
        <v>509327.70740504639</v>
      </c>
      <c r="G32" s="15"/>
      <c r="H32" s="15"/>
      <c r="I32" s="15"/>
    </row>
    <row r="33" spans="1:9" x14ac:dyDescent="0.25">
      <c r="A33" s="22" t="s">
        <v>103</v>
      </c>
      <c r="B33" s="23">
        <f t="shared" si="10"/>
        <v>509327.70740504639</v>
      </c>
      <c r="C33" s="23">
        <f t="shared" si="11"/>
        <v>819.94163933532741</v>
      </c>
      <c r="D33" s="23">
        <f t="shared" si="12"/>
        <v>1803.8689637262062</v>
      </c>
      <c r="E33" s="23">
        <f t="shared" si="8"/>
        <v>2623.8106030615336</v>
      </c>
      <c r="F33" s="24">
        <f t="shared" si="13"/>
        <v>508507.76576571108</v>
      </c>
      <c r="G33" s="15"/>
      <c r="H33" s="15"/>
      <c r="I33" s="15"/>
    </row>
    <row r="34" spans="1:9" x14ac:dyDescent="0.25">
      <c r="A34" s="22" t="s">
        <v>104</v>
      </c>
      <c r="B34" s="23">
        <f t="shared" si="10"/>
        <v>508507.76576571108</v>
      </c>
      <c r="C34" s="23">
        <f t="shared" si="11"/>
        <v>822.84559930797332</v>
      </c>
      <c r="D34" s="23">
        <f t="shared" si="12"/>
        <v>1800.9650037535603</v>
      </c>
      <c r="E34" s="23">
        <f t="shared" si="8"/>
        <v>2623.8106030615336</v>
      </c>
      <c r="F34" s="24">
        <f t="shared" si="13"/>
        <v>507684.92016640311</v>
      </c>
      <c r="G34" s="15"/>
      <c r="H34" s="15"/>
      <c r="I34" s="15"/>
    </row>
    <row r="35" spans="1:9" x14ac:dyDescent="0.25">
      <c r="A35" s="22" t="s">
        <v>105</v>
      </c>
      <c r="B35" s="23">
        <f t="shared" si="10"/>
        <v>507684.92016640311</v>
      </c>
      <c r="C35" s="23">
        <f t="shared" si="11"/>
        <v>825.75984413885567</v>
      </c>
      <c r="D35" s="23">
        <f t="shared" si="12"/>
        <v>1798.0507589226779</v>
      </c>
      <c r="E35" s="23">
        <f t="shared" si="8"/>
        <v>2623.8106030615336</v>
      </c>
      <c r="F35" s="24">
        <f t="shared" si="13"/>
        <v>506859.16032226424</v>
      </c>
      <c r="G35" s="15"/>
      <c r="H35" s="15"/>
      <c r="I35" s="15"/>
    </row>
    <row r="36" spans="1:9" x14ac:dyDescent="0.25">
      <c r="A36" s="22" t="s">
        <v>106</v>
      </c>
      <c r="B36" s="23">
        <f t="shared" si="10"/>
        <v>506859.16032226424</v>
      </c>
      <c r="C36" s="23">
        <f t="shared" si="11"/>
        <v>828.68441025351422</v>
      </c>
      <c r="D36" s="23">
        <f t="shared" si="12"/>
        <v>1795.1261928080194</v>
      </c>
      <c r="E36" s="23">
        <f t="shared" si="8"/>
        <v>2623.8106030615336</v>
      </c>
      <c r="F36" s="24">
        <f t="shared" si="13"/>
        <v>506030.4759120107</v>
      </c>
      <c r="G36" s="15"/>
      <c r="H36" s="15"/>
      <c r="I36" s="15"/>
    </row>
    <row r="37" spans="1:9" ht="15.75" thickBot="1" x14ac:dyDescent="0.3">
      <c r="A37" s="27" t="s">
        <v>107</v>
      </c>
      <c r="B37" s="28">
        <f t="shared" si="10"/>
        <v>506030.4759120107</v>
      </c>
      <c r="C37" s="28">
        <f t="shared" si="11"/>
        <v>831.61933420649552</v>
      </c>
      <c r="D37" s="28">
        <f t="shared" si="12"/>
        <v>1792.1912688550381</v>
      </c>
      <c r="E37" s="28">
        <f t="shared" si="8"/>
        <v>2623.8106030615336</v>
      </c>
      <c r="F37" s="29">
        <f t="shared" si="13"/>
        <v>505198.8565778042</v>
      </c>
      <c r="G37" s="30">
        <f>SUM(D26:D37)</f>
        <v>21697.739475472608</v>
      </c>
      <c r="H37" s="15"/>
      <c r="I37" s="15"/>
    </row>
    <row r="38" spans="1:9" x14ac:dyDescent="0.25">
      <c r="A38" s="19" t="s">
        <v>108</v>
      </c>
      <c r="B38" s="20">
        <f t="shared" si="10"/>
        <v>505198.8565778042</v>
      </c>
      <c r="C38" s="20">
        <f t="shared" si="11"/>
        <v>834.56465268181023</v>
      </c>
      <c r="D38" s="20">
        <f t="shared" si="12"/>
        <v>1789.2459503797234</v>
      </c>
      <c r="E38" s="20">
        <f t="shared" si="8"/>
        <v>2623.8106030615336</v>
      </c>
      <c r="F38" s="21">
        <f t="shared" si="13"/>
        <v>504364.29192512238</v>
      </c>
      <c r="G38" s="15"/>
      <c r="H38" s="15"/>
      <c r="I38" s="15"/>
    </row>
    <row r="39" spans="1:9" x14ac:dyDescent="0.25">
      <c r="A39" s="22" t="s">
        <v>93</v>
      </c>
      <c r="B39" s="23">
        <f t="shared" si="10"/>
        <v>504364.29192512238</v>
      </c>
      <c r="C39" s="23">
        <f t="shared" si="11"/>
        <v>837.52040249339166</v>
      </c>
      <c r="D39" s="23">
        <f t="shared" si="12"/>
        <v>1786.2902005681419</v>
      </c>
      <c r="E39" s="23">
        <f t="shared" si="8"/>
        <v>2623.8106030615336</v>
      </c>
      <c r="F39" s="24">
        <f t="shared" si="13"/>
        <v>503526.77152262902</v>
      </c>
      <c r="G39" s="15"/>
      <c r="H39" s="15"/>
      <c r="I39" s="15"/>
    </row>
    <row r="40" spans="1:9" x14ac:dyDescent="0.25">
      <c r="A40" s="22" t="s">
        <v>95</v>
      </c>
      <c r="B40" s="23">
        <f t="shared" si="10"/>
        <v>503526.77152262902</v>
      </c>
      <c r="C40" s="23">
        <f t="shared" si="11"/>
        <v>840.48662058555578</v>
      </c>
      <c r="D40" s="23">
        <f t="shared" si="12"/>
        <v>1783.3239824759778</v>
      </c>
      <c r="E40" s="23">
        <f t="shared" si="8"/>
        <v>2623.8106030615336</v>
      </c>
      <c r="F40" s="24">
        <f t="shared" si="13"/>
        <v>502686.28490204347</v>
      </c>
      <c r="G40" s="15"/>
      <c r="H40" s="15"/>
      <c r="I40" s="15"/>
    </row>
    <row r="41" spans="1:9" x14ac:dyDescent="0.25">
      <c r="A41" s="22" t="s">
        <v>96</v>
      </c>
      <c r="B41" s="23">
        <f t="shared" si="10"/>
        <v>502686.28490204347</v>
      </c>
      <c r="C41" s="23">
        <f t="shared" si="11"/>
        <v>843.46334403346282</v>
      </c>
      <c r="D41" s="23">
        <f t="shared" si="12"/>
        <v>1780.3472590280708</v>
      </c>
      <c r="E41" s="23">
        <f t="shared" si="8"/>
        <v>2623.8106030615336</v>
      </c>
      <c r="F41" s="24">
        <f t="shared" si="13"/>
        <v>501842.82155801001</v>
      </c>
      <c r="G41" s="15"/>
      <c r="H41" s="15"/>
      <c r="I41" s="15"/>
    </row>
    <row r="42" spans="1:9" x14ac:dyDescent="0.25">
      <c r="A42" s="22" t="s">
        <v>98</v>
      </c>
      <c r="B42" s="23">
        <f t="shared" si="10"/>
        <v>501842.82155801001</v>
      </c>
      <c r="C42" s="23">
        <f t="shared" si="11"/>
        <v>846.45061004358126</v>
      </c>
      <c r="D42" s="23">
        <f t="shared" si="12"/>
        <v>1777.3599930179523</v>
      </c>
      <c r="E42" s="23">
        <f t="shared" si="8"/>
        <v>2623.8106030615336</v>
      </c>
      <c r="F42" s="24">
        <f t="shared" si="13"/>
        <v>500996.37094796641</v>
      </c>
      <c r="G42" s="15"/>
      <c r="H42" s="15"/>
      <c r="I42" s="15"/>
    </row>
    <row r="43" spans="1:9" x14ac:dyDescent="0.25">
      <c r="A43" s="22" t="s">
        <v>100</v>
      </c>
      <c r="B43" s="23">
        <f t="shared" si="10"/>
        <v>500996.37094796641</v>
      </c>
      <c r="C43" s="23">
        <f t="shared" si="11"/>
        <v>849.44845595415245</v>
      </c>
      <c r="D43" s="23">
        <f t="shared" si="12"/>
        <v>1774.3621471073811</v>
      </c>
      <c r="E43" s="23">
        <f t="shared" si="8"/>
        <v>2623.8106030615336</v>
      </c>
      <c r="F43" s="24">
        <f t="shared" si="13"/>
        <v>500146.92249201227</v>
      </c>
      <c r="G43" s="15"/>
      <c r="H43" s="15"/>
      <c r="I43" s="15"/>
    </row>
    <row r="44" spans="1:9" x14ac:dyDescent="0.25">
      <c r="A44" s="22" t="s">
        <v>102</v>
      </c>
      <c r="B44" s="23">
        <f t="shared" si="10"/>
        <v>500146.92249201227</v>
      </c>
      <c r="C44" s="23">
        <f t="shared" si="11"/>
        <v>852.45691923565664</v>
      </c>
      <c r="D44" s="23">
        <f t="shared" si="12"/>
        <v>1771.3536838258769</v>
      </c>
      <c r="E44" s="23">
        <f t="shared" si="8"/>
        <v>2623.8106030615336</v>
      </c>
      <c r="F44" s="24">
        <f t="shared" si="13"/>
        <v>499294.46557277662</v>
      </c>
      <c r="G44" s="15"/>
      <c r="H44" s="15"/>
      <c r="I44" s="15"/>
    </row>
    <row r="45" spans="1:9" x14ac:dyDescent="0.25">
      <c r="A45" s="22" t="s">
        <v>103</v>
      </c>
      <c r="B45" s="23">
        <f t="shared" si="10"/>
        <v>499294.46557277662</v>
      </c>
      <c r="C45" s="23">
        <f t="shared" si="11"/>
        <v>855.47603749128302</v>
      </c>
      <c r="D45" s="23">
        <f t="shared" si="12"/>
        <v>1768.3345655702506</v>
      </c>
      <c r="E45" s="23">
        <f t="shared" si="8"/>
        <v>2623.8106030615336</v>
      </c>
      <c r="F45" s="24">
        <f t="shared" si="13"/>
        <v>498438.98953528533</v>
      </c>
      <c r="G45" s="15"/>
      <c r="H45" s="15"/>
      <c r="I45" s="15"/>
    </row>
    <row r="46" spans="1:9" x14ac:dyDescent="0.25">
      <c r="A46" s="22" t="s">
        <v>104</v>
      </c>
      <c r="B46" s="23">
        <f t="shared" si="10"/>
        <v>498438.98953528533</v>
      </c>
      <c r="C46" s="23">
        <f t="shared" si="11"/>
        <v>858.50584845739786</v>
      </c>
      <c r="D46" s="23">
        <f t="shared" si="12"/>
        <v>1765.3047546041357</v>
      </c>
      <c r="E46" s="23">
        <f t="shared" si="8"/>
        <v>2623.8106030615336</v>
      </c>
      <c r="F46" s="24">
        <f t="shared" si="13"/>
        <v>497580.48368682794</v>
      </c>
      <c r="G46" s="15"/>
      <c r="H46" s="15"/>
      <c r="I46" s="15"/>
    </row>
    <row r="47" spans="1:9" x14ac:dyDescent="0.25">
      <c r="A47" s="22" t="s">
        <v>105</v>
      </c>
      <c r="B47" s="23">
        <f t="shared" si="10"/>
        <v>497580.48368682794</v>
      </c>
      <c r="C47" s="23">
        <f t="shared" si="11"/>
        <v>861.54639000401789</v>
      </c>
      <c r="D47" s="23">
        <f t="shared" si="12"/>
        <v>1762.2642130575157</v>
      </c>
      <c r="E47" s="23">
        <f t="shared" si="8"/>
        <v>2623.8106030615336</v>
      </c>
      <c r="F47" s="24">
        <f t="shared" si="13"/>
        <v>496718.93729682395</v>
      </c>
      <c r="G47" s="15"/>
      <c r="H47" s="15"/>
      <c r="I47" s="15"/>
    </row>
    <row r="48" spans="1:9" x14ac:dyDescent="0.25">
      <c r="A48" s="22" t="s">
        <v>106</v>
      </c>
      <c r="B48" s="23">
        <f t="shared" si="10"/>
        <v>496718.93729682395</v>
      </c>
      <c r="C48" s="23">
        <f t="shared" si="11"/>
        <v>864.59770013528191</v>
      </c>
      <c r="D48" s="23">
        <f t="shared" si="12"/>
        <v>1759.2129029262517</v>
      </c>
      <c r="E48" s="23">
        <f t="shared" si="8"/>
        <v>2623.8106030615336</v>
      </c>
      <c r="F48" s="24">
        <f t="shared" si="13"/>
        <v>495854.33959668869</v>
      </c>
      <c r="G48" s="15"/>
      <c r="H48" s="15"/>
      <c r="I48" s="15"/>
    </row>
    <row r="49" spans="1:9" ht="15.75" thickBot="1" x14ac:dyDescent="0.3">
      <c r="A49" s="27" t="s">
        <v>107</v>
      </c>
      <c r="B49" s="28">
        <f t="shared" si="10"/>
        <v>495854.33959668869</v>
      </c>
      <c r="C49" s="28">
        <f t="shared" si="11"/>
        <v>867.65981698992778</v>
      </c>
      <c r="D49" s="28">
        <f t="shared" si="12"/>
        <v>1756.1507860716058</v>
      </c>
      <c r="E49" s="28">
        <f t="shared" si="8"/>
        <v>2623.8106030615336</v>
      </c>
      <c r="F49" s="29">
        <f t="shared" si="13"/>
        <v>494986.67977969878</v>
      </c>
      <c r="G49" s="30">
        <f>SUM(D38:D49)</f>
        <v>21273.550438632883</v>
      </c>
      <c r="H49" s="15"/>
      <c r="I49" s="15"/>
    </row>
    <row r="50" spans="1:9" x14ac:dyDescent="0.25">
      <c r="A50" s="19" t="s">
        <v>108</v>
      </c>
      <c r="B50" s="20">
        <f t="shared" ref="B50:B113" si="14">+F49</f>
        <v>494986.67977969878</v>
      </c>
      <c r="C50" s="20">
        <f t="shared" ref="C50:C113" si="15">+E50-D50</f>
        <v>870.73277884176696</v>
      </c>
      <c r="D50" s="20">
        <f t="shared" ref="D50:D113" si="16">B50*$I$2</f>
        <v>1753.0778242197666</v>
      </c>
      <c r="E50" s="20">
        <f t="shared" si="8"/>
        <v>2623.8106030615336</v>
      </c>
      <c r="F50" s="21">
        <f t="shared" ref="F50:F113" si="17">+B50-C50</f>
        <v>494115.94700085704</v>
      </c>
      <c r="G50" s="15"/>
      <c r="H50" s="15"/>
      <c r="I50" s="15"/>
    </row>
    <row r="51" spans="1:9" x14ac:dyDescent="0.25">
      <c r="A51" s="22" t="s">
        <v>93</v>
      </c>
      <c r="B51" s="23">
        <f t="shared" si="14"/>
        <v>494115.94700085704</v>
      </c>
      <c r="C51" s="23">
        <f t="shared" si="15"/>
        <v>873.81662410016474</v>
      </c>
      <c r="D51" s="23">
        <f t="shared" si="16"/>
        <v>1749.9939789613688</v>
      </c>
      <c r="E51" s="23">
        <f t="shared" si="8"/>
        <v>2623.8106030615336</v>
      </c>
      <c r="F51" s="24">
        <f t="shared" si="17"/>
        <v>493242.13037675689</v>
      </c>
      <c r="G51" s="15"/>
      <c r="H51" s="15"/>
      <c r="I51" s="15"/>
    </row>
    <row r="52" spans="1:9" x14ac:dyDescent="0.25">
      <c r="A52" s="22" t="s">
        <v>95</v>
      </c>
      <c r="B52" s="23">
        <f t="shared" si="14"/>
        <v>493242.13037675689</v>
      </c>
      <c r="C52" s="23">
        <f t="shared" si="15"/>
        <v>876.91139131051955</v>
      </c>
      <c r="D52" s="23">
        <f t="shared" si="16"/>
        <v>1746.899211751014</v>
      </c>
      <c r="E52" s="23">
        <f t="shared" si="8"/>
        <v>2623.8106030615336</v>
      </c>
      <c r="F52" s="24">
        <f t="shared" si="17"/>
        <v>492365.21898544638</v>
      </c>
      <c r="G52" s="15"/>
      <c r="H52" s="15"/>
      <c r="I52" s="15"/>
    </row>
    <row r="53" spans="1:9" x14ac:dyDescent="0.25">
      <c r="A53" s="22" t="s">
        <v>96</v>
      </c>
      <c r="B53" s="23">
        <f t="shared" si="14"/>
        <v>492365.21898544638</v>
      </c>
      <c r="C53" s="23">
        <f t="shared" si="15"/>
        <v>880.01711915474425</v>
      </c>
      <c r="D53" s="23">
        <f t="shared" si="16"/>
        <v>1743.7934839067893</v>
      </c>
      <c r="E53" s="23">
        <f t="shared" si="8"/>
        <v>2623.8106030615336</v>
      </c>
      <c r="F53" s="24">
        <f t="shared" si="17"/>
        <v>491485.20186629164</v>
      </c>
      <c r="G53" s="15"/>
      <c r="H53" s="15"/>
      <c r="I53" s="15"/>
    </row>
    <row r="54" spans="1:9" x14ac:dyDescent="0.25">
      <c r="A54" s="22" t="s">
        <v>98</v>
      </c>
      <c r="B54" s="23">
        <f t="shared" si="14"/>
        <v>491485.20186629164</v>
      </c>
      <c r="C54" s="23">
        <f t="shared" si="15"/>
        <v>883.13384645175051</v>
      </c>
      <c r="D54" s="23">
        <f t="shared" si="16"/>
        <v>1740.6767566097831</v>
      </c>
      <c r="E54" s="23">
        <f t="shared" si="8"/>
        <v>2623.8106030615336</v>
      </c>
      <c r="F54" s="24">
        <f t="shared" si="17"/>
        <v>490602.06801983988</v>
      </c>
      <c r="G54" s="15"/>
      <c r="H54" s="15"/>
      <c r="I54" s="15"/>
    </row>
    <row r="55" spans="1:9" x14ac:dyDescent="0.25">
      <c r="A55" s="22" t="s">
        <v>100</v>
      </c>
      <c r="B55" s="23">
        <f t="shared" si="14"/>
        <v>490602.06801983988</v>
      </c>
      <c r="C55" s="23">
        <f t="shared" si="15"/>
        <v>886.261612157934</v>
      </c>
      <c r="D55" s="23">
        <f t="shared" si="16"/>
        <v>1737.5489909035996</v>
      </c>
      <c r="E55" s="23">
        <f t="shared" si="8"/>
        <v>2623.8106030615336</v>
      </c>
      <c r="F55" s="24">
        <f t="shared" si="17"/>
        <v>489715.80640768196</v>
      </c>
      <c r="G55" s="15"/>
      <c r="H55" s="15"/>
      <c r="I55" s="15"/>
    </row>
    <row r="56" spans="1:9" x14ac:dyDescent="0.25">
      <c r="A56" s="22" t="s">
        <v>102</v>
      </c>
      <c r="B56" s="23">
        <f t="shared" si="14"/>
        <v>489715.80640768196</v>
      </c>
      <c r="C56" s="23">
        <f t="shared" si="15"/>
        <v>889.40045536765979</v>
      </c>
      <c r="D56" s="23">
        <f t="shared" si="16"/>
        <v>1734.4101476938738</v>
      </c>
      <c r="E56" s="23">
        <f t="shared" si="8"/>
        <v>2623.8106030615336</v>
      </c>
      <c r="F56" s="24">
        <f t="shared" si="17"/>
        <v>488826.40595231432</v>
      </c>
      <c r="G56" s="15"/>
      <c r="H56" s="15"/>
      <c r="I56" s="15"/>
    </row>
    <row r="57" spans="1:9" x14ac:dyDescent="0.25">
      <c r="A57" s="22" t="s">
        <v>103</v>
      </c>
      <c r="B57" s="23">
        <f t="shared" si="14"/>
        <v>488826.40595231432</v>
      </c>
      <c r="C57" s="23">
        <f t="shared" si="15"/>
        <v>892.55041531375355</v>
      </c>
      <c r="D57" s="23">
        <f t="shared" si="16"/>
        <v>1731.26018774778</v>
      </c>
      <c r="E57" s="23">
        <f t="shared" si="8"/>
        <v>2623.8106030615336</v>
      </c>
      <c r="F57" s="24">
        <f t="shared" si="17"/>
        <v>487933.85553700058</v>
      </c>
      <c r="G57" s="15"/>
      <c r="H57" s="15"/>
      <c r="I57" s="15"/>
    </row>
    <row r="58" spans="1:9" x14ac:dyDescent="0.25">
      <c r="A58" s="22" t="s">
        <v>104</v>
      </c>
      <c r="B58" s="23">
        <f t="shared" si="14"/>
        <v>487933.85553700058</v>
      </c>
      <c r="C58" s="23">
        <f t="shared" si="15"/>
        <v>895.71153136798966</v>
      </c>
      <c r="D58" s="23">
        <f t="shared" si="16"/>
        <v>1728.0990716935439</v>
      </c>
      <c r="E58" s="23">
        <f t="shared" si="8"/>
        <v>2623.8106030615336</v>
      </c>
      <c r="F58" s="24">
        <f t="shared" si="17"/>
        <v>487038.14400563261</v>
      </c>
      <c r="G58" s="15"/>
      <c r="H58" s="15"/>
      <c r="I58" s="15"/>
    </row>
    <row r="59" spans="1:9" x14ac:dyDescent="0.25">
      <c r="A59" s="22" t="s">
        <v>105</v>
      </c>
      <c r="B59" s="23">
        <f t="shared" si="14"/>
        <v>487038.14400563261</v>
      </c>
      <c r="C59" s="23">
        <f t="shared" si="15"/>
        <v>898.88384304158467</v>
      </c>
      <c r="D59" s="23">
        <f t="shared" si="16"/>
        <v>1724.9267600199489</v>
      </c>
      <c r="E59" s="23">
        <f t="shared" si="8"/>
        <v>2623.8106030615336</v>
      </c>
      <c r="F59" s="24">
        <f t="shared" si="17"/>
        <v>486139.260162591</v>
      </c>
      <c r="G59" s="15"/>
      <c r="H59" s="15"/>
      <c r="I59" s="15"/>
    </row>
    <row r="60" spans="1:9" x14ac:dyDescent="0.25">
      <c r="A60" s="22" t="s">
        <v>106</v>
      </c>
      <c r="B60" s="23">
        <f t="shared" si="14"/>
        <v>486139.260162591</v>
      </c>
      <c r="C60" s="23">
        <f t="shared" si="15"/>
        <v>902.0673899856904</v>
      </c>
      <c r="D60" s="23">
        <f t="shared" si="16"/>
        <v>1721.7432130758432</v>
      </c>
      <c r="E60" s="23">
        <f t="shared" si="8"/>
        <v>2623.8106030615336</v>
      </c>
      <c r="F60" s="24">
        <f t="shared" si="17"/>
        <v>485237.19277260534</v>
      </c>
      <c r="G60" s="15"/>
      <c r="H60" s="15"/>
      <c r="I60" s="15"/>
    </row>
    <row r="61" spans="1:9" ht="15.75" thickBot="1" x14ac:dyDescent="0.3">
      <c r="A61" s="27" t="s">
        <v>107</v>
      </c>
      <c r="B61" s="28">
        <f t="shared" si="14"/>
        <v>485237.19277260534</v>
      </c>
      <c r="C61" s="28">
        <f t="shared" si="15"/>
        <v>905.26221199188944</v>
      </c>
      <c r="D61" s="28">
        <f t="shared" si="16"/>
        <v>1718.5483910696441</v>
      </c>
      <c r="E61" s="28">
        <f t="shared" si="8"/>
        <v>2623.8106030615336</v>
      </c>
      <c r="F61" s="29">
        <f t="shared" si="17"/>
        <v>484331.93056061346</v>
      </c>
      <c r="G61" s="30">
        <f>SUM(D50:D61)</f>
        <v>20830.978017652957</v>
      </c>
      <c r="H61" s="15"/>
      <c r="I61" s="15"/>
    </row>
    <row r="62" spans="1:9" x14ac:dyDescent="0.25">
      <c r="A62" s="19" t="s">
        <v>108</v>
      </c>
      <c r="B62" s="20">
        <f t="shared" si="14"/>
        <v>484331.93056061346</v>
      </c>
      <c r="C62" s="20">
        <f t="shared" si="15"/>
        <v>908.46834899269402</v>
      </c>
      <c r="D62" s="20">
        <f t="shared" si="16"/>
        <v>1715.3422540688396</v>
      </c>
      <c r="E62" s="20">
        <f t="shared" si="8"/>
        <v>2623.8106030615336</v>
      </c>
      <c r="F62" s="21">
        <f t="shared" si="17"/>
        <v>483423.46221162076</v>
      </c>
      <c r="G62" s="15"/>
      <c r="H62" s="15"/>
      <c r="I62" s="15"/>
    </row>
    <row r="63" spans="1:9" x14ac:dyDescent="0.25">
      <c r="A63" s="22" t="s">
        <v>93</v>
      </c>
      <c r="B63" s="23">
        <f t="shared" si="14"/>
        <v>483423.46221162076</v>
      </c>
      <c r="C63" s="23">
        <f t="shared" si="15"/>
        <v>911.68584106204321</v>
      </c>
      <c r="D63" s="23">
        <f t="shared" si="16"/>
        <v>1712.1247619994904</v>
      </c>
      <c r="E63" s="23">
        <f t="shared" si="8"/>
        <v>2623.8106030615336</v>
      </c>
      <c r="F63" s="24">
        <f t="shared" si="17"/>
        <v>482511.77637055871</v>
      </c>
      <c r="G63" s="15"/>
      <c r="H63" s="15"/>
      <c r="I63" s="15"/>
    </row>
    <row r="64" spans="1:9" x14ac:dyDescent="0.25">
      <c r="A64" s="22" t="s">
        <v>95</v>
      </c>
      <c r="B64" s="23">
        <f t="shared" si="14"/>
        <v>482511.77637055871</v>
      </c>
      <c r="C64" s="23">
        <f t="shared" si="15"/>
        <v>914.91472841580457</v>
      </c>
      <c r="D64" s="23">
        <f t="shared" si="16"/>
        <v>1708.895874645729</v>
      </c>
      <c r="E64" s="23">
        <f t="shared" si="8"/>
        <v>2623.8106030615336</v>
      </c>
      <c r="F64" s="24">
        <f t="shared" si="17"/>
        <v>481596.86164214293</v>
      </c>
      <c r="G64" s="15"/>
      <c r="H64" s="15"/>
      <c r="I64" s="15"/>
    </row>
    <row r="65" spans="1:9" x14ac:dyDescent="0.25">
      <c r="A65" s="22" t="s">
        <v>96</v>
      </c>
      <c r="B65" s="23">
        <f t="shared" si="14"/>
        <v>481596.86164214293</v>
      </c>
      <c r="C65" s="23">
        <f t="shared" si="15"/>
        <v>918.15505141227732</v>
      </c>
      <c r="D65" s="23">
        <f t="shared" si="16"/>
        <v>1705.6555516492563</v>
      </c>
      <c r="E65" s="23">
        <f t="shared" si="8"/>
        <v>2623.8106030615336</v>
      </c>
      <c r="F65" s="24">
        <f t="shared" si="17"/>
        <v>480678.70659073064</v>
      </c>
      <c r="G65" s="15"/>
      <c r="H65" s="15"/>
      <c r="I65" s="15"/>
    </row>
    <row r="66" spans="1:9" x14ac:dyDescent="0.25">
      <c r="A66" s="22" t="s">
        <v>98</v>
      </c>
      <c r="B66" s="23">
        <f t="shared" si="14"/>
        <v>480678.70659073064</v>
      </c>
      <c r="C66" s="23">
        <f t="shared" si="15"/>
        <v>921.40685055269569</v>
      </c>
      <c r="D66" s="23">
        <f t="shared" si="16"/>
        <v>1702.4037525088379</v>
      </c>
      <c r="E66" s="23">
        <f t="shared" si="8"/>
        <v>2623.8106030615336</v>
      </c>
      <c r="F66" s="24">
        <f t="shared" si="17"/>
        <v>479757.29974017793</v>
      </c>
      <c r="G66" s="15"/>
      <c r="H66" s="15"/>
      <c r="I66" s="15"/>
    </row>
    <row r="67" spans="1:9" x14ac:dyDescent="0.25">
      <c r="A67" s="22" t="s">
        <v>100</v>
      </c>
      <c r="B67" s="23">
        <f t="shared" si="14"/>
        <v>479757.29974017793</v>
      </c>
      <c r="C67" s="23">
        <f t="shared" si="15"/>
        <v>924.67016648173671</v>
      </c>
      <c r="D67" s="23">
        <f t="shared" si="16"/>
        <v>1699.1404365797969</v>
      </c>
      <c r="E67" s="23">
        <f t="shared" si="8"/>
        <v>2623.8106030615336</v>
      </c>
      <c r="F67" s="24">
        <f t="shared" si="17"/>
        <v>478832.62957369618</v>
      </c>
      <c r="G67" s="15"/>
      <c r="H67" s="15"/>
      <c r="I67" s="15"/>
    </row>
    <row r="68" spans="1:9" x14ac:dyDescent="0.25">
      <c r="A68" s="22" t="s">
        <v>102</v>
      </c>
      <c r="B68" s="23">
        <f t="shared" si="14"/>
        <v>478832.62957369618</v>
      </c>
      <c r="C68" s="23">
        <f t="shared" si="15"/>
        <v>927.94503998802611</v>
      </c>
      <c r="D68" s="23">
        <f t="shared" si="16"/>
        <v>1695.8655630735075</v>
      </c>
      <c r="E68" s="23">
        <f t="shared" si="8"/>
        <v>2623.8106030615336</v>
      </c>
      <c r="F68" s="24">
        <f t="shared" si="17"/>
        <v>477904.68453370815</v>
      </c>
      <c r="G68" s="15"/>
      <c r="H68" s="15"/>
      <c r="I68" s="15"/>
    </row>
    <row r="69" spans="1:9" x14ac:dyDescent="0.25">
      <c r="A69" s="22" t="s">
        <v>103</v>
      </c>
      <c r="B69" s="23">
        <f t="shared" si="14"/>
        <v>477904.68453370815</v>
      </c>
      <c r="C69" s="23">
        <f t="shared" si="15"/>
        <v>931.23151200465054</v>
      </c>
      <c r="D69" s="23">
        <f t="shared" si="16"/>
        <v>1692.579091056883</v>
      </c>
      <c r="E69" s="23">
        <f t="shared" si="8"/>
        <v>2623.8106030615336</v>
      </c>
      <c r="F69" s="24">
        <f t="shared" si="17"/>
        <v>476973.45302170352</v>
      </c>
      <c r="G69" s="15"/>
      <c r="H69" s="15"/>
      <c r="I69" s="15"/>
    </row>
    <row r="70" spans="1:9" x14ac:dyDescent="0.25">
      <c r="A70" s="22" t="s">
        <v>104</v>
      </c>
      <c r="B70" s="23">
        <f t="shared" si="14"/>
        <v>476973.45302170352</v>
      </c>
      <c r="C70" s="23">
        <f t="shared" si="15"/>
        <v>934.52962360966671</v>
      </c>
      <c r="D70" s="23">
        <f t="shared" si="16"/>
        <v>1689.2809794518669</v>
      </c>
      <c r="E70" s="23">
        <f t="shared" si="8"/>
        <v>2623.8106030615336</v>
      </c>
      <c r="F70" s="24">
        <f t="shared" si="17"/>
        <v>476038.92339809384</v>
      </c>
      <c r="G70" s="15"/>
      <c r="H70" s="15"/>
      <c r="I70" s="15"/>
    </row>
    <row r="71" spans="1:9" x14ac:dyDescent="0.25">
      <c r="A71" s="22" t="s">
        <v>105</v>
      </c>
      <c r="B71" s="23">
        <f t="shared" si="14"/>
        <v>476038.92339809384</v>
      </c>
      <c r="C71" s="23">
        <f t="shared" si="15"/>
        <v>937.83941602661776</v>
      </c>
      <c r="D71" s="23">
        <f t="shared" si="16"/>
        <v>1685.9711870349158</v>
      </c>
      <c r="E71" s="23">
        <f t="shared" si="8"/>
        <v>2623.8106030615336</v>
      </c>
      <c r="F71" s="24">
        <f t="shared" si="17"/>
        <v>475101.08398206724</v>
      </c>
      <c r="G71" s="15"/>
    </row>
    <row r="72" spans="1:9" x14ac:dyDescent="0.25">
      <c r="A72" s="22" t="s">
        <v>106</v>
      </c>
      <c r="B72" s="23">
        <f t="shared" si="14"/>
        <v>475101.08398206724</v>
      </c>
      <c r="C72" s="23">
        <f t="shared" si="15"/>
        <v>941.16093062504524</v>
      </c>
      <c r="D72" s="23">
        <f t="shared" si="16"/>
        <v>1682.6496724364883</v>
      </c>
      <c r="E72" s="23">
        <f t="shared" si="8"/>
        <v>2623.8106030615336</v>
      </c>
      <c r="F72" s="24">
        <f t="shared" si="17"/>
        <v>474159.92305144219</v>
      </c>
      <c r="G72" s="15"/>
    </row>
    <row r="73" spans="1:9" ht="15.75" thickBot="1" x14ac:dyDescent="0.3">
      <c r="A73" s="27" t="s">
        <v>107</v>
      </c>
      <c r="B73" s="28">
        <f t="shared" si="14"/>
        <v>474159.92305144219</v>
      </c>
      <c r="C73" s="28">
        <f t="shared" si="15"/>
        <v>944.49420892100898</v>
      </c>
      <c r="D73" s="28">
        <f t="shared" si="16"/>
        <v>1679.3163941405246</v>
      </c>
      <c r="E73" s="28">
        <f t="shared" si="8"/>
        <v>2623.8106030615336</v>
      </c>
      <c r="F73" s="29">
        <f t="shared" si="17"/>
        <v>473215.42884252116</v>
      </c>
      <c r="G73" s="30">
        <f>SUM(D62:D73)</f>
        <v>20369.225518646137</v>
      </c>
    </row>
    <row r="74" spans="1:9" x14ac:dyDescent="0.25">
      <c r="A74" s="19" t="s">
        <v>108</v>
      </c>
      <c r="B74" s="20">
        <f t="shared" si="14"/>
        <v>473215.42884252116</v>
      </c>
      <c r="C74" s="20">
        <f t="shared" si="15"/>
        <v>947.83929257760428</v>
      </c>
      <c r="D74" s="20">
        <f t="shared" si="16"/>
        <v>1675.9713104839293</v>
      </c>
      <c r="E74" s="20">
        <f t="shared" si="8"/>
        <v>2623.8106030615336</v>
      </c>
      <c r="F74" s="21">
        <f t="shared" si="17"/>
        <v>472267.58954994357</v>
      </c>
    </row>
    <row r="75" spans="1:9" x14ac:dyDescent="0.25">
      <c r="A75" s="22" t="s">
        <v>93</v>
      </c>
      <c r="B75" s="23">
        <f t="shared" si="14"/>
        <v>472267.58954994357</v>
      </c>
      <c r="C75" s="23">
        <f t="shared" si="15"/>
        <v>951.19622340548335</v>
      </c>
      <c r="D75" s="23">
        <f t="shared" si="16"/>
        <v>1672.6143796560502</v>
      </c>
      <c r="E75" s="23">
        <f t="shared" si="8"/>
        <v>2623.8106030615336</v>
      </c>
      <c r="F75" s="24">
        <f t="shared" si="17"/>
        <v>471316.39332653809</v>
      </c>
    </row>
    <row r="76" spans="1:9" x14ac:dyDescent="0.25">
      <c r="A76" s="22" t="s">
        <v>95</v>
      </c>
      <c r="B76" s="23">
        <f t="shared" si="14"/>
        <v>471316.39332653809</v>
      </c>
      <c r="C76" s="23">
        <f t="shared" si="15"/>
        <v>954.56504336337775</v>
      </c>
      <c r="D76" s="23">
        <f t="shared" si="16"/>
        <v>1669.2455596981558</v>
      </c>
      <c r="E76" s="23">
        <f t="shared" si="8"/>
        <v>2623.8106030615336</v>
      </c>
      <c r="F76" s="24">
        <f t="shared" si="17"/>
        <v>470361.82828317472</v>
      </c>
    </row>
    <row r="77" spans="1:9" x14ac:dyDescent="0.25">
      <c r="A77" s="22" t="s">
        <v>96</v>
      </c>
      <c r="B77" s="23">
        <f t="shared" si="14"/>
        <v>470361.82828317472</v>
      </c>
      <c r="C77" s="23">
        <f t="shared" si="15"/>
        <v>957.94579455862299</v>
      </c>
      <c r="D77" s="23">
        <f t="shared" si="16"/>
        <v>1665.8648085029106</v>
      </c>
      <c r="E77" s="23">
        <f t="shared" ref="E77:E140" si="18">-$I$9</f>
        <v>2623.8106030615336</v>
      </c>
      <c r="F77" s="24">
        <f t="shared" si="17"/>
        <v>469403.8824886161</v>
      </c>
    </row>
    <row r="78" spans="1:9" x14ac:dyDescent="0.25">
      <c r="A78" s="22" t="s">
        <v>98</v>
      </c>
      <c r="B78" s="23">
        <f t="shared" si="14"/>
        <v>469403.8824886161</v>
      </c>
      <c r="C78" s="23">
        <f t="shared" si="15"/>
        <v>961.33851924768487</v>
      </c>
      <c r="D78" s="23">
        <f t="shared" si="16"/>
        <v>1662.4720838138487</v>
      </c>
      <c r="E78" s="23">
        <f t="shared" si="18"/>
        <v>2623.8106030615336</v>
      </c>
      <c r="F78" s="24">
        <f t="shared" si="17"/>
        <v>468442.54396936845</v>
      </c>
    </row>
    <row r="79" spans="1:9" x14ac:dyDescent="0.25">
      <c r="A79" s="22" t="s">
        <v>100</v>
      </c>
      <c r="B79" s="23">
        <f t="shared" si="14"/>
        <v>468442.54396936845</v>
      </c>
      <c r="C79" s="23">
        <f t="shared" si="15"/>
        <v>964.74325983668678</v>
      </c>
      <c r="D79" s="23">
        <f t="shared" si="16"/>
        <v>1659.0673432248468</v>
      </c>
      <c r="E79" s="23">
        <f t="shared" si="18"/>
        <v>2623.8106030615336</v>
      </c>
      <c r="F79" s="24">
        <f t="shared" si="17"/>
        <v>467477.80070953176</v>
      </c>
    </row>
    <row r="80" spans="1:9" x14ac:dyDescent="0.25">
      <c r="A80" s="22" t="s">
        <v>102</v>
      </c>
      <c r="B80" s="23">
        <f t="shared" si="14"/>
        <v>467477.80070953176</v>
      </c>
      <c r="C80" s="23">
        <f t="shared" si="15"/>
        <v>968.16005888194172</v>
      </c>
      <c r="D80" s="23">
        <f t="shared" si="16"/>
        <v>1655.6505441795919</v>
      </c>
      <c r="E80" s="23">
        <f t="shared" si="18"/>
        <v>2623.8106030615336</v>
      </c>
      <c r="F80" s="24">
        <f t="shared" si="17"/>
        <v>466509.64065064985</v>
      </c>
    </row>
    <row r="81" spans="1:7" x14ac:dyDescent="0.25">
      <c r="A81" s="22" t="s">
        <v>103</v>
      </c>
      <c r="B81" s="23">
        <f t="shared" si="14"/>
        <v>466509.64065064985</v>
      </c>
      <c r="C81" s="23">
        <f t="shared" si="15"/>
        <v>971.58895909048192</v>
      </c>
      <c r="D81" s="23">
        <f t="shared" si="16"/>
        <v>1652.2216439710517</v>
      </c>
      <c r="E81" s="23">
        <f t="shared" si="18"/>
        <v>2623.8106030615336</v>
      </c>
      <c r="F81" s="24">
        <f t="shared" si="17"/>
        <v>465538.05169155938</v>
      </c>
    </row>
    <row r="82" spans="1:7" x14ac:dyDescent="0.25">
      <c r="A82" s="22" t="s">
        <v>104</v>
      </c>
      <c r="B82" s="23">
        <f t="shared" si="14"/>
        <v>465538.05169155938</v>
      </c>
      <c r="C82" s="23">
        <f t="shared" si="15"/>
        <v>975.03000332059401</v>
      </c>
      <c r="D82" s="23">
        <f t="shared" si="16"/>
        <v>1648.7805997409396</v>
      </c>
      <c r="E82" s="23">
        <f t="shared" si="18"/>
        <v>2623.8106030615336</v>
      </c>
      <c r="F82" s="24">
        <f t="shared" si="17"/>
        <v>464563.02168823878</v>
      </c>
    </row>
    <row r="83" spans="1:7" x14ac:dyDescent="0.25">
      <c r="A83" s="22" t="s">
        <v>105</v>
      </c>
      <c r="B83" s="23">
        <f t="shared" si="14"/>
        <v>464563.02168823878</v>
      </c>
      <c r="C83" s="23">
        <f t="shared" si="15"/>
        <v>978.4832345823545</v>
      </c>
      <c r="D83" s="23">
        <f t="shared" si="16"/>
        <v>1645.3273684791791</v>
      </c>
      <c r="E83" s="23">
        <f t="shared" si="18"/>
        <v>2623.8106030615336</v>
      </c>
      <c r="F83" s="24">
        <f t="shared" si="17"/>
        <v>463584.53845365642</v>
      </c>
    </row>
    <row r="84" spans="1:7" x14ac:dyDescent="0.25">
      <c r="A84" s="22" t="s">
        <v>106</v>
      </c>
      <c r="B84" s="23">
        <f t="shared" si="14"/>
        <v>463584.53845365642</v>
      </c>
      <c r="C84" s="23">
        <f t="shared" si="15"/>
        <v>981.94869603816687</v>
      </c>
      <c r="D84" s="23">
        <f t="shared" si="16"/>
        <v>1641.8619070233667</v>
      </c>
      <c r="E84" s="23">
        <f t="shared" si="18"/>
        <v>2623.8106030615336</v>
      </c>
      <c r="F84" s="24">
        <f t="shared" si="17"/>
        <v>462602.58975761826</v>
      </c>
    </row>
    <row r="85" spans="1:7" ht="15.75" thickBot="1" x14ac:dyDescent="0.3">
      <c r="A85" s="27" t="s">
        <v>107</v>
      </c>
      <c r="B85" s="28">
        <f t="shared" si="14"/>
        <v>462602.58975761826</v>
      </c>
      <c r="C85" s="28">
        <f t="shared" si="15"/>
        <v>985.42643100330201</v>
      </c>
      <c r="D85" s="28">
        <f t="shared" si="16"/>
        <v>1638.3841720582316</v>
      </c>
      <c r="E85" s="28">
        <f t="shared" si="18"/>
        <v>2623.8106030615336</v>
      </c>
      <c r="F85" s="29">
        <f t="shared" si="17"/>
        <v>461617.16332661494</v>
      </c>
      <c r="G85" s="30">
        <f>SUM(D74:D85)</f>
        <v>19887.4617208321</v>
      </c>
    </row>
    <row r="86" spans="1:7" x14ac:dyDescent="0.25">
      <c r="A86" s="19" t="s">
        <v>108</v>
      </c>
      <c r="B86" s="20">
        <f t="shared" si="14"/>
        <v>461617.16332661494</v>
      </c>
      <c r="C86" s="20">
        <f t="shared" si="15"/>
        <v>988.91648294643892</v>
      </c>
      <c r="D86" s="20">
        <f t="shared" si="16"/>
        <v>1634.8941201150947</v>
      </c>
      <c r="E86" s="20">
        <f t="shared" si="18"/>
        <v>2623.8106030615336</v>
      </c>
      <c r="F86" s="21">
        <f t="shared" si="17"/>
        <v>460628.24684366852</v>
      </c>
      <c r="G86" s="15"/>
    </row>
    <row r="87" spans="1:7" x14ac:dyDescent="0.25">
      <c r="A87" s="22" t="s">
        <v>93</v>
      </c>
      <c r="B87" s="23">
        <f t="shared" si="14"/>
        <v>460628.24684366852</v>
      </c>
      <c r="C87" s="23">
        <f t="shared" si="15"/>
        <v>992.41889549020743</v>
      </c>
      <c r="D87" s="23">
        <f t="shared" si="16"/>
        <v>1631.3917075713262</v>
      </c>
      <c r="E87" s="23">
        <f t="shared" si="18"/>
        <v>2623.8106030615336</v>
      </c>
      <c r="F87" s="24">
        <f t="shared" si="17"/>
        <v>459635.82794817828</v>
      </c>
      <c r="G87" s="15"/>
    </row>
    <row r="88" spans="1:7" x14ac:dyDescent="0.25">
      <c r="A88" s="22" t="s">
        <v>95</v>
      </c>
      <c r="B88" s="23">
        <f t="shared" si="14"/>
        <v>459635.82794817828</v>
      </c>
      <c r="C88" s="23">
        <f t="shared" si="15"/>
        <v>995.93371241173531</v>
      </c>
      <c r="D88" s="23">
        <f t="shared" si="16"/>
        <v>1627.8768906497983</v>
      </c>
      <c r="E88" s="23">
        <f t="shared" si="18"/>
        <v>2623.8106030615336</v>
      </c>
      <c r="F88" s="24">
        <f t="shared" si="17"/>
        <v>458639.89423576655</v>
      </c>
      <c r="G88" s="15"/>
    </row>
    <row r="89" spans="1:7" x14ac:dyDescent="0.25">
      <c r="A89" s="22" t="s">
        <v>96</v>
      </c>
      <c r="B89" s="23">
        <f t="shared" si="14"/>
        <v>458639.89423576655</v>
      </c>
      <c r="C89" s="23">
        <f t="shared" si="15"/>
        <v>999.4609776431937</v>
      </c>
      <c r="D89" s="23">
        <f t="shared" si="16"/>
        <v>1624.3496254183399</v>
      </c>
      <c r="E89" s="23">
        <f t="shared" si="18"/>
        <v>2623.8106030615336</v>
      </c>
      <c r="F89" s="24">
        <f t="shared" si="17"/>
        <v>457640.43325812335</v>
      </c>
      <c r="G89" s="15"/>
    </row>
    <row r="90" spans="1:7" x14ac:dyDescent="0.25">
      <c r="A90" s="22" t="s">
        <v>98</v>
      </c>
      <c r="B90" s="23">
        <f t="shared" si="14"/>
        <v>457640.43325812335</v>
      </c>
      <c r="C90" s="23">
        <f t="shared" si="15"/>
        <v>1003.0007352723467</v>
      </c>
      <c r="D90" s="23">
        <f t="shared" si="16"/>
        <v>1620.8098677891869</v>
      </c>
      <c r="E90" s="23">
        <f t="shared" si="18"/>
        <v>2623.8106030615336</v>
      </c>
      <c r="F90" s="24">
        <f t="shared" si="17"/>
        <v>456637.43252285098</v>
      </c>
      <c r="G90" s="15"/>
    </row>
    <row r="91" spans="1:7" x14ac:dyDescent="0.25">
      <c r="A91" s="22" t="s">
        <v>100</v>
      </c>
      <c r="B91" s="23">
        <f t="shared" si="14"/>
        <v>456637.43252285098</v>
      </c>
      <c r="C91" s="23">
        <f t="shared" si="15"/>
        <v>1006.5530295431029</v>
      </c>
      <c r="D91" s="23">
        <f t="shared" si="16"/>
        <v>1617.2575735184307</v>
      </c>
      <c r="E91" s="23">
        <f t="shared" si="18"/>
        <v>2623.8106030615336</v>
      </c>
      <c r="F91" s="24">
        <f t="shared" si="17"/>
        <v>455630.8794933079</v>
      </c>
      <c r="G91" s="15"/>
    </row>
    <row r="92" spans="1:7" x14ac:dyDescent="0.25">
      <c r="A92" s="22" t="s">
        <v>102</v>
      </c>
      <c r="B92" s="23">
        <f t="shared" si="14"/>
        <v>455630.8794933079</v>
      </c>
      <c r="C92" s="23">
        <f t="shared" si="15"/>
        <v>1010.117904856068</v>
      </c>
      <c r="D92" s="23">
        <f t="shared" si="16"/>
        <v>1613.6926982054656</v>
      </c>
      <c r="E92" s="23">
        <f t="shared" si="18"/>
        <v>2623.8106030615336</v>
      </c>
      <c r="F92" s="24">
        <f t="shared" si="17"/>
        <v>454620.76158845186</v>
      </c>
      <c r="G92" s="15"/>
    </row>
    <row r="93" spans="1:7" x14ac:dyDescent="0.25">
      <c r="A93" s="22" t="s">
        <v>103</v>
      </c>
      <c r="B93" s="23">
        <f t="shared" si="14"/>
        <v>454620.76158845186</v>
      </c>
      <c r="C93" s="23">
        <f t="shared" si="15"/>
        <v>1013.6954057690998</v>
      </c>
      <c r="D93" s="23">
        <f t="shared" si="16"/>
        <v>1610.1151972924338</v>
      </c>
      <c r="E93" s="23">
        <f t="shared" si="18"/>
        <v>2623.8106030615336</v>
      </c>
      <c r="F93" s="24">
        <f t="shared" si="17"/>
        <v>453607.06618268276</v>
      </c>
      <c r="G93" s="15"/>
    </row>
    <row r="94" spans="1:7" x14ac:dyDescent="0.25">
      <c r="A94" s="22" t="s">
        <v>104</v>
      </c>
      <c r="B94" s="23">
        <f t="shared" si="14"/>
        <v>453607.06618268276</v>
      </c>
      <c r="C94" s="23">
        <f t="shared" si="15"/>
        <v>1017.2855769978653</v>
      </c>
      <c r="D94" s="23">
        <f t="shared" si="16"/>
        <v>1606.5250260636683</v>
      </c>
      <c r="E94" s="23">
        <f t="shared" si="18"/>
        <v>2623.8106030615336</v>
      </c>
      <c r="F94" s="24">
        <f t="shared" si="17"/>
        <v>452589.78060568491</v>
      </c>
      <c r="G94" s="15"/>
    </row>
    <row r="95" spans="1:7" x14ac:dyDescent="0.25">
      <c r="A95" s="22" t="s">
        <v>105</v>
      </c>
      <c r="B95" s="23">
        <f t="shared" si="14"/>
        <v>452589.78060568491</v>
      </c>
      <c r="C95" s="23">
        <f t="shared" si="15"/>
        <v>1020.8884634163994</v>
      </c>
      <c r="D95" s="23">
        <f t="shared" si="16"/>
        <v>1602.9221396451342</v>
      </c>
      <c r="E95" s="23">
        <f t="shared" si="18"/>
        <v>2623.8106030615336</v>
      </c>
      <c r="F95" s="24">
        <f t="shared" si="17"/>
        <v>451568.89214226848</v>
      </c>
      <c r="G95" s="15"/>
    </row>
    <row r="96" spans="1:7" x14ac:dyDescent="0.25">
      <c r="A96" s="22" t="s">
        <v>106</v>
      </c>
      <c r="B96" s="23">
        <f t="shared" si="14"/>
        <v>451568.89214226848</v>
      </c>
      <c r="C96" s="23">
        <f t="shared" si="15"/>
        <v>1024.5041100576659</v>
      </c>
      <c r="D96" s="23">
        <f t="shared" si="16"/>
        <v>1599.3064930038677</v>
      </c>
      <c r="E96" s="23">
        <f t="shared" si="18"/>
        <v>2623.8106030615336</v>
      </c>
      <c r="F96" s="24">
        <f t="shared" si="17"/>
        <v>450544.38803221082</v>
      </c>
      <c r="G96" s="15"/>
    </row>
    <row r="97" spans="1:7" ht="15.75" thickBot="1" x14ac:dyDescent="0.3">
      <c r="A97" s="27" t="s">
        <v>107</v>
      </c>
      <c r="B97" s="28">
        <f t="shared" si="14"/>
        <v>450544.38803221082</v>
      </c>
      <c r="C97" s="28">
        <f t="shared" si="15"/>
        <v>1028.1325621141202</v>
      </c>
      <c r="D97" s="28">
        <f t="shared" si="16"/>
        <v>1595.6780409474134</v>
      </c>
      <c r="E97" s="28">
        <f t="shared" si="18"/>
        <v>2623.8106030615336</v>
      </c>
      <c r="F97" s="29">
        <f t="shared" si="17"/>
        <v>449516.25547009672</v>
      </c>
      <c r="G97" s="30">
        <f>SUM(D86:D97)</f>
        <v>19384.81938022016</v>
      </c>
    </row>
    <row r="98" spans="1:7" x14ac:dyDescent="0.25">
      <c r="A98" s="19" t="s">
        <v>108</v>
      </c>
      <c r="B98" s="20">
        <f t="shared" si="14"/>
        <v>449516.25547009672</v>
      </c>
      <c r="C98" s="20">
        <f t="shared" si="15"/>
        <v>1031.7738649382743</v>
      </c>
      <c r="D98" s="20">
        <f t="shared" si="16"/>
        <v>1592.0367381232593</v>
      </c>
      <c r="E98" s="20">
        <f t="shared" si="18"/>
        <v>2623.8106030615336</v>
      </c>
      <c r="F98" s="21">
        <f t="shared" si="17"/>
        <v>448484.48160515842</v>
      </c>
      <c r="G98" s="15"/>
    </row>
    <row r="99" spans="1:7" x14ac:dyDescent="0.25">
      <c r="A99" s="22" t="s">
        <v>93</v>
      </c>
      <c r="B99" s="23">
        <f t="shared" si="14"/>
        <v>448484.48160515842</v>
      </c>
      <c r="C99" s="23">
        <f t="shared" si="15"/>
        <v>1035.4280640432642</v>
      </c>
      <c r="D99" s="23">
        <f t="shared" si="16"/>
        <v>1588.3825390182694</v>
      </c>
      <c r="E99" s="23">
        <f t="shared" si="18"/>
        <v>2623.8106030615336</v>
      </c>
      <c r="F99" s="24">
        <f t="shared" si="17"/>
        <v>447449.05354111514</v>
      </c>
      <c r="G99" s="15"/>
    </row>
    <row r="100" spans="1:7" x14ac:dyDescent="0.25">
      <c r="A100" s="22" t="s">
        <v>95</v>
      </c>
      <c r="B100" s="23">
        <f t="shared" si="14"/>
        <v>447449.05354111514</v>
      </c>
      <c r="C100" s="23">
        <f t="shared" si="15"/>
        <v>1039.0952051034174</v>
      </c>
      <c r="D100" s="23">
        <f t="shared" si="16"/>
        <v>1584.7153979581162</v>
      </c>
      <c r="E100" s="23">
        <f t="shared" si="18"/>
        <v>2623.8106030615336</v>
      </c>
      <c r="F100" s="24">
        <f t="shared" si="17"/>
        <v>446409.95833601174</v>
      </c>
      <c r="G100" s="15"/>
    </row>
    <row r="101" spans="1:7" x14ac:dyDescent="0.25">
      <c r="A101" s="22" t="s">
        <v>96</v>
      </c>
      <c r="B101" s="23">
        <f t="shared" si="14"/>
        <v>446409.95833601174</v>
      </c>
      <c r="C101" s="23">
        <f t="shared" si="15"/>
        <v>1042.7753339548253</v>
      </c>
      <c r="D101" s="23">
        <f t="shared" si="16"/>
        <v>1581.0352691067083</v>
      </c>
      <c r="E101" s="23">
        <f t="shared" si="18"/>
        <v>2623.8106030615336</v>
      </c>
      <c r="F101" s="24">
        <f t="shared" si="17"/>
        <v>445367.1830020569</v>
      </c>
      <c r="G101" s="15"/>
    </row>
    <row r="102" spans="1:7" x14ac:dyDescent="0.25">
      <c r="A102" s="22" t="s">
        <v>98</v>
      </c>
      <c r="B102" s="23">
        <f t="shared" si="14"/>
        <v>445367.1830020569</v>
      </c>
      <c r="C102" s="23">
        <f t="shared" si="15"/>
        <v>1046.4684965959152</v>
      </c>
      <c r="D102" s="23">
        <f t="shared" si="16"/>
        <v>1577.3421064656184</v>
      </c>
      <c r="E102" s="23">
        <f t="shared" si="18"/>
        <v>2623.8106030615336</v>
      </c>
      <c r="F102" s="24">
        <f t="shared" si="17"/>
        <v>444320.71450546099</v>
      </c>
      <c r="G102" s="15"/>
    </row>
    <row r="103" spans="1:7" x14ac:dyDescent="0.25">
      <c r="A103" s="22" t="s">
        <v>100</v>
      </c>
      <c r="B103" s="23">
        <f t="shared" si="14"/>
        <v>444320.71450546099</v>
      </c>
      <c r="C103" s="23">
        <f t="shared" si="15"/>
        <v>1050.1747391880258</v>
      </c>
      <c r="D103" s="23">
        <f t="shared" si="16"/>
        <v>1573.6358638735078</v>
      </c>
      <c r="E103" s="23">
        <f t="shared" si="18"/>
        <v>2623.8106030615336</v>
      </c>
      <c r="F103" s="24">
        <f t="shared" si="17"/>
        <v>443270.53976627294</v>
      </c>
      <c r="G103" s="15"/>
    </row>
    <row r="104" spans="1:7" x14ac:dyDescent="0.25">
      <c r="A104" s="22" t="s">
        <v>102</v>
      </c>
      <c r="B104" s="23">
        <f t="shared" si="14"/>
        <v>443270.53976627294</v>
      </c>
      <c r="C104" s="23">
        <f t="shared" si="15"/>
        <v>1053.8941080559835</v>
      </c>
      <c r="D104" s="23">
        <f t="shared" si="16"/>
        <v>1569.9164950055501</v>
      </c>
      <c r="E104" s="23">
        <f t="shared" si="18"/>
        <v>2623.8106030615336</v>
      </c>
      <c r="F104" s="24">
        <f t="shared" si="17"/>
        <v>442216.64565821696</v>
      </c>
      <c r="G104" s="15"/>
    </row>
    <row r="105" spans="1:7" x14ac:dyDescent="0.25">
      <c r="A105" s="22" t="s">
        <v>103</v>
      </c>
      <c r="B105" s="23">
        <f t="shared" si="14"/>
        <v>442216.64565821696</v>
      </c>
      <c r="C105" s="23">
        <f t="shared" si="15"/>
        <v>1057.6266496886817</v>
      </c>
      <c r="D105" s="23">
        <f t="shared" si="16"/>
        <v>1566.1839533728519</v>
      </c>
      <c r="E105" s="23">
        <f t="shared" si="18"/>
        <v>2623.8106030615336</v>
      </c>
      <c r="F105" s="24">
        <f t="shared" si="17"/>
        <v>441159.01900852827</v>
      </c>
      <c r="G105" s="15"/>
    </row>
    <row r="106" spans="1:7" x14ac:dyDescent="0.25">
      <c r="A106" s="22" t="s">
        <v>104</v>
      </c>
      <c r="B106" s="23">
        <f t="shared" si="14"/>
        <v>441159.01900852827</v>
      </c>
      <c r="C106" s="23">
        <f t="shared" si="15"/>
        <v>1061.3724107396624</v>
      </c>
      <c r="D106" s="23">
        <f t="shared" si="16"/>
        <v>1562.4381923218712</v>
      </c>
      <c r="E106" s="23">
        <f t="shared" si="18"/>
        <v>2623.8106030615336</v>
      </c>
      <c r="F106" s="24">
        <f t="shared" si="17"/>
        <v>440097.64659778861</v>
      </c>
      <c r="G106" s="15"/>
    </row>
    <row r="107" spans="1:7" x14ac:dyDescent="0.25">
      <c r="A107" s="22" t="s">
        <v>105</v>
      </c>
      <c r="B107" s="23">
        <f t="shared" si="14"/>
        <v>440097.64659778861</v>
      </c>
      <c r="C107" s="23">
        <f t="shared" si="15"/>
        <v>1065.1314380276988</v>
      </c>
      <c r="D107" s="23">
        <f t="shared" si="16"/>
        <v>1558.6791650338348</v>
      </c>
      <c r="E107" s="23">
        <f t="shared" si="18"/>
        <v>2623.8106030615336</v>
      </c>
      <c r="F107" s="24">
        <f t="shared" si="17"/>
        <v>439032.51515976089</v>
      </c>
      <c r="G107" s="15"/>
    </row>
    <row r="108" spans="1:7" x14ac:dyDescent="0.25">
      <c r="A108" s="22" t="s">
        <v>106</v>
      </c>
      <c r="B108" s="23">
        <f t="shared" si="14"/>
        <v>439032.51515976089</v>
      </c>
      <c r="C108" s="23">
        <f t="shared" si="15"/>
        <v>1068.9037785373803</v>
      </c>
      <c r="D108" s="23">
        <f t="shared" si="16"/>
        <v>1554.9068245241533</v>
      </c>
      <c r="E108" s="23">
        <f t="shared" si="18"/>
        <v>2623.8106030615336</v>
      </c>
      <c r="F108" s="24">
        <f t="shared" si="17"/>
        <v>437963.61138122354</v>
      </c>
      <c r="G108" s="15"/>
    </row>
    <row r="109" spans="1:7" ht="15.75" thickBot="1" x14ac:dyDescent="0.3">
      <c r="A109" s="27" t="s">
        <v>107</v>
      </c>
      <c r="B109" s="28">
        <f t="shared" si="14"/>
        <v>437963.61138122354</v>
      </c>
      <c r="C109" s="28">
        <f t="shared" si="15"/>
        <v>1072.6894794197001</v>
      </c>
      <c r="D109" s="28">
        <f t="shared" si="16"/>
        <v>1551.1211236418335</v>
      </c>
      <c r="E109" s="28">
        <f t="shared" si="18"/>
        <v>2623.8106030615336</v>
      </c>
      <c r="F109" s="29">
        <f t="shared" si="17"/>
        <v>436890.92190180381</v>
      </c>
      <c r="G109" s="30">
        <f>SUM(D98:D109)</f>
        <v>18860.393668445577</v>
      </c>
    </row>
    <row r="110" spans="1:7" x14ac:dyDescent="0.25">
      <c r="A110" s="19" t="s">
        <v>108</v>
      </c>
      <c r="B110" s="20">
        <f t="shared" si="14"/>
        <v>436890.92190180381</v>
      </c>
      <c r="C110" s="20">
        <f t="shared" si="15"/>
        <v>1076.4885879926451</v>
      </c>
      <c r="D110" s="20">
        <f t="shared" si="16"/>
        <v>1547.3220150688885</v>
      </c>
      <c r="E110" s="20">
        <f t="shared" si="18"/>
        <v>2623.8106030615336</v>
      </c>
      <c r="F110" s="21">
        <f t="shared" si="17"/>
        <v>435814.43331381114</v>
      </c>
    </row>
    <row r="111" spans="1:7" x14ac:dyDescent="0.25">
      <c r="A111" s="22" t="s">
        <v>93</v>
      </c>
      <c r="B111" s="23">
        <f t="shared" si="14"/>
        <v>435814.43331381114</v>
      </c>
      <c r="C111" s="23">
        <f t="shared" si="15"/>
        <v>1080.3011517417856</v>
      </c>
      <c r="D111" s="23">
        <f t="shared" si="16"/>
        <v>1543.509451319748</v>
      </c>
      <c r="E111" s="23">
        <f t="shared" si="18"/>
        <v>2623.8106030615336</v>
      </c>
      <c r="F111" s="24">
        <f t="shared" si="17"/>
        <v>434734.13216206938</v>
      </c>
    </row>
    <row r="112" spans="1:7" x14ac:dyDescent="0.25">
      <c r="A112" s="22" t="s">
        <v>95</v>
      </c>
      <c r="B112" s="23">
        <f t="shared" si="14"/>
        <v>434734.13216206938</v>
      </c>
      <c r="C112" s="23">
        <f t="shared" si="15"/>
        <v>1084.1272183208712</v>
      </c>
      <c r="D112" s="23">
        <f t="shared" si="16"/>
        <v>1539.6833847406624</v>
      </c>
      <c r="E112" s="23">
        <f t="shared" si="18"/>
        <v>2623.8106030615336</v>
      </c>
      <c r="F112" s="24">
        <f t="shared" si="17"/>
        <v>433650.00494374853</v>
      </c>
    </row>
    <row r="113" spans="1:7" x14ac:dyDescent="0.25">
      <c r="A113" s="22" t="s">
        <v>96</v>
      </c>
      <c r="B113" s="23">
        <f t="shared" si="14"/>
        <v>433650.00494374853</v>
      </c>
      <c r="C113" s="23">
        <f t="shared" si="15"/>
        <v>1087.9668355524241</v>
      </c>
      <c r="D113" s="23">
        <f t="shared" si="16"/>
        <v>1535.8437675091095</v>
      </c>
      <c r="E113" s="23">
        <f t="shared" si="18"/>
        <v>2623.8106030615336</v>
      </c>
      <c r="F113" s="24">
        <f t="shared" si="17"/>
        <v>432562.03810819611</v>
      </c>
    </row>
    <row r="114" spans="1:7" x14ac:dyDescent="0.25">
      <c r="A114" s="22" t="s">
        <v>98</v>
      </c>
      <c r="B114" s="23">
        <f t="shared" ref="B114:B177" si="19">+F113</f>
        <v>432562.03810819611</v>
      </c>
      <c r="C114" s="23">
        <f t="shared" ref="C114:C177" si="20">+E114-D114</f>
        <v>1091.820051428339</v>
      </c>
      <c r="D114" s="23">
        <f t="shared" ref="D114:D177" si="21">B114*$I$2</f>
        <v>1531.9905516331946</v>
      </c>
      <c r="E114" s="23">
        <f t="shared" si="18"/>
        <v>2623.8106030615336</v>
      </c>
      <c r="F114" s="24">
        <f t="shared" ref="F114:F177" si="22">+B114-C114</f>
        <v>431470.21805676777</v>
      </c>
    </row>
    <row r="115" spans="1:7" x14ac:dyDescent="0.25">
      <c r="A115" s="22" t="s">
        <v>100</v>
      </c>
      <c r="B115" s="23">
        <f t="shared" si="19"/>
        <v>431470.21805676777</v>
      </c>
      <c r="C115" s="23">
        <f t="shared" si="20"/>
        <v>1095.686914110481</v>
      </c>
      <c r="D115" s="23">
        <f t="shared" si="21"/>
        <v>1528.1236889510526</v>
      </c>
      <c r="E115" s="23">
        <f t="shared" si="18"/>
        <v>2623.8106030615336</v>
      </c>
      <c r="F115" s="24">
        <f t="shared" si="22"/>
        <v>430374.53114265727</v>
      </c>
    </row>
    <row r="116" spans="1:7" x14ac:dyDescent="0.25">
      <c r="A116" s="22" t="s">
        <v>102</v>
      </c>
      <c r="B116" s="23">
        <f t="shared" si="19"/>
        <v>430374.53114265727</v>
      </c>
      <c r="C116" s="23">
        <f t="shared" si="20"/>
        <v>1099.567471931289</v>
      </c>
      <c r="D116" s="23">
        <f t="shared" si="21"/>
        <v>1524.2431311302446</v>
      </c>
      <c r="E116" s="23">
        <f t="shared" si="18"/>
        <v>2623.8106030615336</v>
      </c>
      <c r="F116" s="24">
        <f t="shared" si="22"/>
        <v>429274.96367072599</v>
      </c>
    </row>
    <row r="117" spans="1:7" x14ac:dyDescent="0.25">
      <c r="A117" s="22" t="s">
        <v>103</v>
      </c>
      <c r="B117" s="23">
        <f t="shared" si="19"/>
        <v>429274.96367072599</v>
      </c>
      <c r="C117" s="23">
        <f t="shared" si="20"/>
        <v>1103.461773394379</v>
      </c>
      <c r="D117" s="23">
        <f t="shared" si="21"/>
        <v>1520.3488296671546</v>
      </c>
      <c r="E117" s="23">
        <f t="shared" si="18"/>
        <v>2623.8106030615336</v>
      </c>
      <c r="F117" s="24">
        <f t="shared" si="22"/>
        <v>428171.50189733162</v>
      </c>
    </row>
    <row r="118" spans="1:7" x14ac:dyDescent="0.25">
      <c r="A118" s="22" t="s">
        <v>104</v>
      </c>
      <c r="B118" s="23">
        <f t="shared" si="19"/>
        <v>428171.50189733162</v>
      </c>
      <c r="C118" s="23">
        <f t="shared" si="20"/>
        <v>1107.3698671751506</v>
      </c>
      <c r="D118" s="23">
        <f t="shared" si="21"/>
        <v>1516.440735886383</v>
      </c>
      <c r="E118" s="23">
        <f t="shared" si="18"/>
        <v>2623.8106030615336</v>
      </c>
      <c r="F118" s="24">
        <f t="shared" si="22"/>
        <v>427064.13203015644</v>
      </c>
    </row>
    <row r="119" spans="1:7" x14ac:dyDescent="0.25">
      <c r="A119" s="22" t="s">
        <v>105</v>
      </c>
      <c r="B119" s="23">
        <f t="shared" si="19"/>
        <v>427064.13203015644</v>
      </c>
      <c r="C119" s="23">
        <f t="shared" si="20"/>
        <v>1111.2918021213961</v>
      </c>
      <c r="D119" s="23">
        <f t="shared" si="21"/>
        <v>1512.5188009401375</v>
      </c>
      <c r="E119" s="23">
        <f t="shared" si="18"/>
        <v>2623.8106030615336</v>
      </c>
      <c r="F119" s="24">
        <f t="shared" si="22"/>
        <v>425952.84022803506</v>
      </c>
    </row>
    <row r="120" spans="1:7" x14ac:dyDescent="0.25">
      <c r="A120" s="22" t="s">
        <v>106</v>
      </c>
      <c r="B120" s="23">
        <f t="shared" si="19"/>
        <v>425952.84022803506</v>
      </c>
      <c r="C120" s="23">
        <f t="shared" si="20"/>
        <v>1115.2276272539093</v>
      </c>
      <c r="D120" s="23">
        <f t="shared" si="21"/>
        <v>1508.5829758076243</v>
      </c>
      <c r="E120" s="23">
        <f t="shared" si="18"/>
        <v>2623.8106030615336</v>
      </c>
      <c r="F120" s="24">
        <f t="shared" si="22"/>
        <v>424837.61260078114</v>
      </c>
    </row>
    <row r="121" spans="1:7" ht="15.75" thickBot="1" x14ac:dyDescent="0.3">
      <c r="A121" s="27" t="s">
        <v>107</v>
      </c>
      <c r="B121" s="28">
        <f t="shared" si="19"/>
        <v>424837.61260078114</v>
      </c>
      <c r="C121" s="28">
        <f t="shared" si="20"/>
        <v>1119.1773917671003</v>
      </c>
      <c r="D121" s="28">
        <f t="shared" si="21"/>
        <v>1504.6332112944333</v>
      </c>
      <c r="E121" s="28">
        <f t="shared" si="18"/>
        <v>2623.8106030615336</v>
      </c>
      <c r="F121" s="29">
        <f t="shared" si="22"/>
        <v>423718.43520901405</v>
      </c>
      <c r="G121" s="30">
        <f>SUM(D110:D121)</f>
        <v>18313.240543948632</v>
      </c>
    </row>
    <row r="122" spans="1:7" x14ac:dyDescent="0.25">
      <c r="A122" s="19" t="s">
        <v>108</v>
      </c>
      <c r="B122" s="20">
        <f t="shared" si="19"/>
        <v>423718.43520901405</v>
      </c>
      <c r="C122" s="20">
        <f t="shared" si="20"/>
        <v>1123.1411450296087</v>
      </c>
      <c r="D122" s="20">
        <f t="shared" si="21"/>
        <v>1500.6694580319249</v>
      </c>
      <c r="E122" s="20">
        <f t="shared" si="18"/>
        <v>2623.8106030615336</v>
      </c>
      <c r="F122" s="21">
        <f t="shared" si="22"/>
        <v>422595.29406398442</v>
      </c>
      <c r="G122" s="15"/>
    </row>
    <row r="123" spans="1:7" x14ac:dyDescent="0.25">
      <c r="A123" s="22" t="s">
        <v>93</v>
      </c>
      <c r="B123" s="23">
        <f t="shared" si="19"/>
        <v>422595.29406398442</v>
      </c>
      <c r="C123" s="23">
        <f t="shared" si="20"/>
        <v>1127.118936584922</v>
      </c>
      <c r="D123" s="23">
        <f t="shared" si="21"/>
        <v>1496.6916664766115</v>
      </c>
      <c r="E123" s="23">
        <f t="shared" si="18"/>
        <v>2623.8106030615336</v>
      </c>
      <c r="F123" s="24">
        <f t="shared" si="22"/>
        <v>421468.1751273995</v>
      </c>
      <c r="G123" s="15"/>
    </row>
    <row r="124" spans="1:7" x14ac:dyDescent="0.25">
      <c r="A124" s="22" t="s">
        <v>95</v>
      </c>
      <c r="B124" s="23">
        <f t="shared" si="19"/>
        <v>421468.1751273995</v>
      </c>
      <c r="C124" s="23">
        <f t="shared" si="20"/>
        <v>1131.1108161519935</v>
      </c>
      <c r="D124" s="23">
        <f t="shared" si="21"/>
        <v>1492.6997869095401</v>
      </c>
      <c r="E124" s="23">
        <f t="shared" si="18"/>
        <v>2623.8106030615336</v>
      </c>
      <c r="F124" s="24">
        <f t="shared" si="22"/>
        <v>420337.06431124749</v>
      </c>
      <c r="G124" s="15"/>
    </row>
    <row r="125" spans="1:7" x14ac:dyDescent="0.25">
      <c r="A125" s="22" t="s">
        <v>96</v>
      </c>
      <c r="B125" s="23">
        <f t="shared" si="19"/>
        <v>420337.06431124749</v>
      </c>
      <c r="C125" s="23">
        <f t="shared" si="20"/>
        <v>1135.1168336258652</v>
      </c>
      <c r="D125" s="23">
        <f t="shared" si="21"/>
        <v>1488.6937694356684</v>
      </c>
      <c r="E125" s="23">
        <f t="shared" si="18"/>
        <v>2623.8106030615336</v>
      </c>
      <c r="F125" s="24">
        <f t="shared" si="22"/>
        <v>419201.94747762161</v>
      </c>
      <c r="G125" s="15"/>
    </row>
    <row r="126" spans="1:7" x14ac:dyDescent="0.25">
      <c r="A126" s="22" t="s">
        <v>98</v>
      </c>
      <c r="B126" s="23">
        <f t="shared" si="19"/>
        <v>419201.94747762161</v>
      </c>
      <c r="C126" s="23">
        <f t="shared" si="20"/>
        <v>1139.1370390782902</v>
      </c>
      <c r="D126" s="23">
        <f t="shared" si="21"/>
        <v>1484.6735639832434</v>
      </c>
      <c r="E126" s="23">
        <f t="shared" si="18"/>
        <v>2623.8106030615336</v>
      </c>
      <c r="F126" s="24">
        <f t="shared" si="22"/>
        <v>418062.81043854333</v>
      </c>
      <c r="G126" s="15"/>
    </row>
    <row r="127" spans="1:7" x14ac:dyDescent="0.25">
      <c r="A127" s="22" t="s">
        <v>100</v>
      </c>
      <c r="B127" s="23">
        <f t="shared" si="19"/>
        <v>418062.81043854333</v>
      </c>
      <c r="C127" s="23">
        <f t="shared" si="20"/>
        <v>1143.1714827583592</v>
      </c>
      <c r="D127" s="23">
        <f t="shared" si="21"/>
        <v>1480.6391203031744</v>
      </c>
      <c r="E127" s="23">
        <f t="shared" si="18"/>
        <v>2623.8106030615336</v>
      </c>
      <c r="F127" s="24">
        <f t="shared" si="22"/>
        <v>416919.63895578496</v>
      </c>
      <c r="G127" s="15"/>
    </row>
    <row r="128" spans="1:7" x14ac:dyDescent="0.25">
      <c r="A128" s="22" t="s">
        <v>102</v>
      </c>
      <c r="B128" s="23">
        <f t="shared" si="19"/>
        <v>416919.63895578496</v>
      </c>
      <c r="C128" s="23">
        <f t="shared" si="20"/>
        <v>1147.2202150931284</v>
      </c>
      <c r="D128" s="23">
        <f t="shared" si="21"/>
        <v>1476.5903879684051</v>
      </c>
      <c r="E128" s="23">
        <f t="shared" si="18"/>
        <v>2623.8106030615336</v>
      </c>
      <c r="F128" s="24">
        <f t="shared" si="22"/>
        <v>415772.41874069185</v>
      </c>
      <c r="G128" s="15"/>
    </row>
    <row r="129" spans="1:7" x14ac:dyDescent="0.25">
      <c r="A129" s="22" t="s">
        <v>103</v>
      </c>
      <c r="B129" s="23">
        <f t="shared" si="19"/>
        <v>415772.41874069185</v>
      </c>
      <c r="C129" s="23">
        <f t="shared" si="20"/>
        <v>1151.2832866882497</v>
      </c>
      <c r="D129" s="23">
        <f t="shared" si="21"/>
        <v>1472.5273163732838</v>
      </c>
      <c r="E129" s="23">
        <f t="shared" si="18"/>
        <v>2623.8106030615336</v>
      </c>
      <c r="F129" s="24">
        <f t="shared" si="22"/>
        <v>414621.13545400358</v>
      </c>
      <c r="G129" s="15"/>
    </row>
    <row r="130" spans="1:7" x14ac:dyDescent="0.25">
      <c r="A130" s="22" t="s">
        <v>104</v>
      </c>
      <c r="B130" s="23">
        <f t="shared" si="19"/>
        <v>414621.13545400358</v>
      </c>
      <c r="C130" s="23">
        <f t="shared" si="20"/>
        <v>1155.3607483286041</v>
      </c>
      <c r="D130" s="23">
        <f t="shared" si="21"/>
        <v>1468.4498547329295</v>
      </c>
      <c r="E130" s="23">
        <f t="shared" si="18"/>
        <v>2623.8106030615336</v>
      </c>
      <c r="F130" s="24">
        <f t="shared" si="22"/>
        <v>413465.77470567496</v>
      </c>
      <c r="G130" s="15"/>
    </row>
    <row r="131" spans="1:7" x14ac:dyDescent="0.25">
      <c r="A131" s="22" t="s">
        <v>105</v>
      </c>
      <c r="B131" s="23">
        <f t="shared" si="19"/>
        <v>413465.77470567496</v>
      </c>
      <c r="C131" s="23">
        <f t="shared" si="20"/>
        <v>1159.4526509789346</v>
      </c>
      <c r="D131" s="23">
        <f t="shared" si="21"/>
        <v>1464.357952082599</v>
      </c>
      <c r="E131" s="23">
        <f t="shared" si="18"/>
        <v>2623.8106030615336</v>
      </c>
      <c r="F131" s="24">
        <f t="shared" si="22"/>
        <v>412306.32205469604</v>
      </c>
      <c r="G131" s="15"/>
    </row>
    <row r="132" spans="1:7" x14ac:dyDescent="0.25">
      <c r="A132" s="22" t="s">
        <v>106</v>
      </c>
      <c r="B132" s="23">
        <f t="shared" si="19"/>
        <v>412306.32205469604</v>
      </c>
      <c r="C132" s="23">
        <f t="shared" si="20"/>
        <v>1163.5590457844851</v>
      </c>
      <c r="D132" s="23">
        <f t="shared" si="21"/>
        <v>1460.2515572770485</v>
      </c>
      <c r="E132" s="23">
        <f t="shared" si="18"/>
        <v>2623.8106030615336</v>
      </c>
      <c r="F132" s="24">
        <f t="shared" si="22"/>
        <v>411142.76300891157</v>
      </c>
      <c r="G132" s="15"/>
    </row>
    <row r="133" spans="1:7" ht="15.75" thickBot="1" x14ac:dyDescent="0.3">
      <c r="A133" s="27" t="s">
        <v>107</v>
      </c>
      <c r="B133" s="28">
        <f t="shared" si="19"/>
        <v>411142.76300891157</v>
      </c>
      <c r="C133" s="28">
        <f t="shared" si="20"/>
        <v>1167.6799840716383</v>
      </c>
      <c r="D133" s="28">
        <f t="shared" si="21"/>
        <v>1456.1306189898953</v>
      </c>
      <c r="E133" s="28">
        <f t="shared" si="18"/>
        <v>2623.8106030615336</v>
      </c>
      <c r="F133" s="29">
        <f t="shared" si="22"/>
        <v>409975.08302483993</v>
      </c>
      <c r="G133" s="30">
        <f>SUM(D122:D133)</f>
        <v>17742.375052564323</v>
      </c>
    </row>
    <row r="134" spans="1:7" x14ac:dyDescent="0.25">
      <c r="A134" s="19" t="s">
        <v>108</v>
      </c>
      <c r="B134" s="20">
        <f t="shared" si="19"/>
        <v>409975.08302483993</v>
      </c>
      <c r="C134" s="20">
        <f t="shared" si="20"/>
        <v>1171.8155173485588</v>
      </c>
      <c r="D134" s="20">
        <f t="shared" si="21"/>
        <v>1451.9950857129747</v>
      </c>
      <c r="E134" s="20">
        <f t="shared" si="18"/>
        <v>2623.8106030615336</v>
      </c>
      <c r="F134" s="21">
        <f t="shared" si="22"/>
        <v>408803.26750749134</v>
      </c>
      <c r="G134" s="15"/>
    </row>
    <row r="135" spans="1:7" x14ac:dyDescent="0.25">
      <c r="A135" s="22" t="s">
        <v>93</v>
      </c>
      <c r="B135" s="23">
        <f t="shared" si="19"/>
        <v>408803.26750749134</v>
      </c>
      <c r="C135" s="23">
        <f t="shared" si="20"/>
        <v>1175.965697305835</v>
      </c>
      <c r="D135" s="23">
        <f t="shared" si="21"/>
        <v>1447.8449057556986</v>
      </c>
      <c r="E135" s="23">
        <f t="shared" si="18"/>
        <v>2623.8106030615336</v>
      </c>
      <c r="F135" s="24">
        <f t="shared" si="22"/>
        <v>407627.30181018548</v>
      </c>
      <c r="G135" s="15"/>
    </row>
    <row r="136" spans="1:7" x14ac:dyDescent="0.25">
      <c r="A136" s="22" t="s">
        <v>95</v>
      </c>
      <c r="B136" s="23">
        <f t="shared" si="19"/>
        <v>407627.30181018548</v>
      </c>
      <c r="C136" s="23">
        <f t="shared" si="20"/>
        <v>1180.1305758171266</v>
      </c>
      <c r="D136" s="23">
        <f t="shared" si="21"/>
        <v>1443.680027244407</v>
      </c>
      <c r="E136" s="23">
        <f t="shared" si="18"/>
        <v>2623.8106030615336</v>
      </c>
      <c r="F136" s="24">
        <f t="shared" si="22"/>
        <v>406447.17123436835</v>
      </c>
      <c r="G136" s="15"/>
    </row>
    <row r="137" spans="1:7" x14ac:dyDescent="0.25">
      <c r="A137" s="22" t="s">
        <v>96</v>
      </c>
      <c r="B137" s="23">
        <f t="shared" si="19"/>
        <v>406447.17123436835</v>
      </c>
      <c r="C137" s="23">
        <f t="shared" si="20"/>
        <v>1184.3102049398124</v>
      </c>
      <c r="D137" s="23">
        <f t="shared" si="21"/>
        <v>1439.5003981217212</v>
      </c>
      <c r="E137" s="23">
        <f t="shared" si="18"/>
        <v>2623.8106030615336</v>
      </c>
      <c r="F137" s="24">
        <f t="shared" si="22"/>
        <v>405262.86102942855</v>
      </c>
      <c r="G137" s="15"/>
    </row>
    <row r="138" spans="1:7" x14ac:dyDescent="0.25">
      <c r="A138" s="22" t="s">
        <v>98</v>
      </c>
      <c r="B138" s="23">
        <f t="shared" si="19"/>
        <v>405262.86102942855</v>
      </c>
      <c r="C138" s="23">
        <f t="shared" si="20"/>
        <v>1188.5046369156407</v>
      </c>
      <c r="D138" s="23">
        <f t="shared" si="21"/>
        <v>1435.3059661458929</v>
      </c>
      <c r="E138" s="23">
        <f t="shared" si="18"/>
        <v>2623.8106030615336</v>
      </c>
      <c r="F138" s="24">
        <f t="shared" si="22"/>
        <v>404074.35639251291</v>
      </c>
      <c r="G138" s="15"/>
    </row>
    <row r="139" spans="1:7" x14ac:dyDescent="0.25">
      <c r="A139" s="22" t="s">
        <v>100</v>
      </c>
      <c r="B139" s="23">
        <f t="shared" si="19"/>
        <v>404074.35639251291</v>
      </c>
      <c r="C139" s="23">
        <f t="shared" si="20"/>
        <v>1192.7139241713835</v>
      </c>
      <c r="D139" s="23">
        <f t="shared" si="21"/>
        <v>1431.0966788901501</v>
      </c>
      <c r="E139" s="23">
        <f t="shared" si="18"/>
        <v>2623.8106030615336</v>
      </c>
      <c r="F139" s="24">
        <f t="shared" si="22"/>
        <v>402881.64246834151</v>
      </c>
      <c r="G139" s="15"/>
    </row>
    <row r="140" spans="1:7" x14ac:dyDescent="0.25">
      <c r="A140" s="22" t="s">
        <v>102</v>
      </c>
      <c r="B140" s="23">
        <f t="shared" si="19"/>
        <v>402881.64246834151</v>
      </c>
      <c r="C140" s="23">
        <f t="shared" si="20"/>
        <v>1196.9381193194906</v>
      </c>
      <c r="D140" s="23">
        <f t="shared" si="21"/>
        <v>1426.872483742043</v>
      </c>
      <c r="E140" s="23">
        <f t="shared" si="18"/>
        <v>2623.8106030615336</v>
      </c>
      <c r="F140" s="24">
        <f t="shared" si="22"/>
        <v>401684.70434902201</v>
      </c>
      <c r="G140" s="15"/>
    </row>
    <row r="141" spans="1:7" x14ac:dyDescent="0.25">
      <c r="A141" s="22" t="s">
        <v>103</v>
      </c>
      <c r="B141" s="23">
        <f t="shared" si="19"/>
        <v>401684.70434902201</v>
      </c>
      <c r="C141" s="23">
        <f t="shared" si="20"/>
        <v>1201.1772751587473</v>
      </c>
      <c r="D141" s="23">
        <f t="shared" si="21"/>
        <v>1422.6333279027863</v>
      </c>
      <c r="E141" s="23">
        <f t="shared" ref="E141:E204" si="23">-$I$9</f>
        <v>2623.8106030615336</v>
      </c>
      <c r="F141" s="24">
        <f t="shared" si="22"/>
        <v>400483.52707386325</v>
      </c>
      <c r="G141" s="15"/>
    </row>
    <row r="142" spans="1:7" x14ac:dyDescent="0.25">
      <c r="A142" s="22" t="s">
        <v>104</v>
      </c>
      <c r="B142" s="23">
        <f t="shared" si="19"/>
        <v>400483.52707386325</v>
      </c>
      <c r="C142" s="23">
        <f t="shared" si="20"/>
        <v>1205.4314446749345</v>
      </c>
      <c r="D142" s="23">
        <f t="shared" si="21"/>
        <v>1418.3791583865991</v>
      </c>
      <c r="E142" s="23">
        <f t="shared" si="23"/>
        <v>2623.8106030615336</v>
      </c>
      <c r="F142" s="24">
        <f t="shared" si="22"/>
        <v>399278.09562918829</v>
      </c>
      <c r="G142" s="15"/>
    </row>
    <row r="143" spans="1:7" x14ac:dyDescent="0.25">
      <c r="A143" s="22" t="s">
        <v>105</v>
      </c>
      <c r="B143" s="23">
        <f t="shared" si="19"/>
        <v>399278.09562918829</v>
      </c>
      <c r="C143" s="23">
        <f t="shared" si="20"/>
        <v>1209.7006810414916</v>
      </c>
      <c r="D143" s="23">
        <f t="shared" si="21"/>
        <v>1414.1099220200419</v>
      </c>
      <c r="E143" s="23">
        <f t="shared" si="23"/>
        <v>2623.8106030615336</v>
      </c>
      <c r="F143" s="24">
        <f t="shared" si="22"/>
        <v>398068.39494814677</v>
      </c>
      <c r="G143" s="15"/>
    </row>
    <row r="144" spans="1:7" x14ac:dyDescent="0.25">
      <c r="A144" s="22" t="s">
        <v>106</v>
      </c>
      <c r="B144" s="23">
        <f t="shared" si="19"/>
        <v>398068.39494814677</v>
      </c>
      <c r="C144" s="23">
        <f t="shared" si="20"/>
        <v>1213.9850376201803</v>
      </c>
      <c r="D144" s="23">
        <f t="shared" si="21"/>
        <v>1409.8255654413533</v>
      </c>
      <c r="E144" s="23">
        <f t="shared" si="23"/>
        <v>2623.8106030615336</v>
      </c>
      <c r="F144" s="24">
        <f t="shared" si="22"/>
        <v>396854.40991052659</v>
      </c>
      <c r="G144" s="15"/>
    </row>
    <row r="145" spans="1:7" ht="15.75" thickBot="1" x14ac:dyDescent="0.3">
      <c r="A145" s="27" t="s">
        <v>107</v>
      </c>
      <c r="B145" s="28">
        <f t="shared" si="19"/>
        <v>396854.40991052659</v>
      </c>
      <c r="C145" s="28">
        <f t="shared" si="20"/>
        <v>1218.2845679617517</v>
      </c>
      <c r="D145" s="28">
        <f t="shared" si="21"/>
        <v>1405.5260350997819</v>
      </c>
      <c r="E145" s="28">
        <f t="shared" si="23"/>
        <v>2623.8106030615336</v>
      </c>
      <c r="F145" s="29">
        <f t="shared" si="22"/>
        <v>395636.12534256483</v>
      </c>
      <c r="G145" s="30">
        <f>SUM(D134:D145)</f>
        <v>17146.769554463448</v>
      </c>
    </row>
    <row r="146" spans="1:7" x14ac:dyDescent="0.25">
      <c r="A146" s="19" t="s">
        <v>108</v>
      </c>
      <c r="B146" s="20">
        <f t="shared" si="19"/>
        <v>395636.12534256483</v>
      </c>
      <c r="C146" s="20">
        <f t="shared" si="20"/>
        <v>1222.5993258066164</v>
      </c>
      <c r="D146" s="20">
        <f t="shared" si="21"/>
        <v>1401.2112772549171</v>
      </c>
      <c r="E146" s="20">
        <f t="shared" si="23"/>
        <v>2623.8106030615336</v>
      </c>
      <c r="F146" s="21">
        <f t="shared" si="22"/>
        <v>394413.52601675823</v>
      </c>
    </row>
    <row r="147" spans="1:7" x14ac:dyDescent="0.25">
      <c r="A147" s="22" t="s">
        <v>93</v>
      </c>
      <c r="B147" s="23">
        <f t="shared" si="19"/>
        <v>394413.52601675823</v>
      </c>
      <c r="C147" s="23">
        <f t="shared" si="20"/>
        <v>1226.9293650855147</v>
      </c>
      <c r="D147" s="23">
        <f t="shared" si="21"/>
        <v>1396.8812379760188</v>
      </c>
      <c r="E147" s="23">
        <f t="shared" si="23"/>
        <v>2623.8106030615336</v>
      </c>
      <c r="F147" s="24">
        <f t="shared" si="22"/>
        <v>393186.59665167273</v>
      </c>
    </row>
    <row r="148" spans="1:7" x14ac:dyDescent="0.25">
      <c r="A148" s="22" t="s">
        <v>95</v>
      </c>
      <c r="B148" s="23">
        <f t="shared" si="19"/>
        <v>393186.59665167273</v>
      </c>
      <c r="C148" s="23">
        <f t="shared" si="20"/>
        <v>1231.2747399201926</v>
      </c>
      <c r="D148" s="23">
        <f t="shared" si="21"/>
        <v>1392.535863141341</v>
      </c>
      <c r="E148" s="23">
        <f t="shared" si="23"/>
        <v>2623.8106030615336</v>
      </c>
      <c r="F148" s="24">
        <f t="shared" si="22"/>
        <v>391955.32191175252</v>
      </c>
    </row>
    <row r="149" spans="1:7" x14ac:dyDescent="0.25">
      <c r="A149" s="22" t="s">
        <v>96</v>
      </c>
      <c r="B149" s="23">
        <f t="shared" si="19"/>
        <v>391955.32191175252</v>
      </c>
      <c r="C149" s="23">
        <f t="shared" si="20"/>
        <v>1235.6355046240767</v>
      </c>
      <c r="D149" s="23">
        <f t="shared" si="21"/>
        <v>1388.1750984374569</v>
      </c>
      <c r="E149" s="23">
        <f t="shared" si="23"/>
        <v>2623.8106030615336</v>
      </c>
      <c r="F149" s="24">
        <f t="shared" si="22"/>
        <v>390719.68640712847</v>
      </c>
    </row>
    <row r="150" spans="1:7" x14ac:dyDescent="0.25">
      <c r="A150" s="22" t="s">
        <v>98</v>
      </c>
      <c r="B150" s="23">
        <f t="shared" si="19"/>
        <v>390719.68640712847</v>
      </c>
      <c r="C150" s="23">
        <f t="shared" si="20"/>
        <v>1240.0117137029536</v>
      </c>
      <c r="D150" s="23">
        <f t="shared" si="21"/>
        <v>1383.79888935858</v>
      </c>
      <c r="E150" s="23">
        <f t="shared" si="23"/>
        <v>2623.8106030615336</v>
      </c>
      <c r="F150" s="24">
        <f t="shared" si="22"/>
        <v>389479.67469342554</v>
      </c>
    </row>
    <row r="151" spans="1:7" x14ac:dyDescent="0.25">
      <c r="A151" s="22" t="s">
        <v>100</v>
      </c>
      <c r="B151" s="23">
        <f t="shared" si="19"/>
        <v>389479.67469342554</v>
      </c>
      <c r="C151" s="23">
        <f t="shared" si="20"/>
        <v>1244.4034218556515</v>
      </c>
      <c r="D151" s="23">
        <f t="shared" si="21"/>
        <v>1379.4071812058821</v>
      </c>
      <c r="E151" s="23">
        <f t="shared" si="23"/>
        <v>2623.8106030615336</v>
      </c>
      <c r="F151" s="24">
        <f t="shared" si="22"/>
        <v>388235.27127156989</v>
      </c>
    </row>
    <row r="152" spans="1:7" x14ac:dyDescent="0.25">
      <c r="A152" s="22" t="s">
        <v>102</v>
      </c>
      <c r="B152" s="23">
        <f t="shared" si="19"/>
        <v>388235.27127156989</v>
      </c>
      <c r="C152" s="23">
        <f t="shared" si="20"/>
        <v>1248.8106839747234</v>
      </c>
      <c r="D152" s="23">
        <f t="shared" si="21"/>
        <v>1374.9999190868102</v>
      </c>
      <c r="E152" s="23">
        <f t="shared" si="23"/>
        <v>2623.8106030615336</v>
      </c>
      <c r="F152" s="24">
        <f t="shared" si="22"/>
        <v>386986.46058759518</v>
      </c>
    </row>
    <row r="153" spans="1:7" x14ac:dyDescent="0.25">
      <c r="A153" s="22" t="s">
        <v>103</v>
      </c>
      <c r="B153" s="23">
        <f t="shared" si="19"/>
        <v>386986.46058759518</v>
      </c>
      <c r="C153" s="23">
        <f t="shared" si="20"/>
        <v>1253.233555147134</v>
      </c>
      <c r="D153" s="23">
        <f t="shared" si="21"/>
        <v>1370.5770479143996</v>
      </c>
      <c r="E153" s="23">
        <f t="shared" si="23"/>
        <v>2623.8106030615336</v>
      </c>
      <c r="F153" s="24">
        <f t="shared" si="22"/>
        <v>385733.22703244805</v>
      </c>
    </row>
    <row r="154" spans="1:7" x14ac:dyDescent="0.25">
      <c r="A154" s="22" t="s">
        <v>104</v>
      </c>
      <c r="B154" s="23">
        <f t="shared" si="19"/>
        <v>385733.22703244805</v>
      </c>
      <c r="C154" s="23">
        <f t="shared" si="20"/>
        <v>1257.6720906549467</v>
      </c>
      <c r="D154" s="23">
        <f t="shared" si="21"/>
        <v>1366.1385124065869</v>
      </c>
      <c r="E154" s="23">
        <f t="shared" si="23"/>
        <v>2623.8106030615336</v>
      </c>
      <c r="F154" s="24">
        <f t="shared" si="22"/>
        <v>384475.55494179309</v>
      </c>
    </row>
    <row r="155" spans="1:7" x14ac:dyDescent="0.25">
      <c r="A155" s="22" t="s">
        <v>105</v>
      </c>
      <c r="B155" s="23">
        <f t="shared" si="19"/>
        <v>384475.55494179309</v>
      </c>
      <c r="C155" s="23">
        <f t="shared" si="20"/>
        <v>1262.1263459760164</v>
      </c>
      <c r="D155" s="23">
        <f t="shared" si="21"/>
        <v>1361.6842570855172</v>
      </c>
      <c r="E155" s="23">
        <f t="shared" si="23"/>
        <v>2623.8106030615336</v>
      </c>
      <c r="F155" s="24">
        <f t="shared" si="22"/>
        <v>383213.42859581707</v>
      </c>
    </row>
    <row r="156" spans="1:7" x14ac:dyDescent="0.25">
      <c r="A156" s="22" t="s">
        <v>106</v>
      </c>
      <c r="B156" s="23">
        <f t="shared" si="19"/>
        <v>383213.42859581707</v>
      </c>
      <c r="C156" s="23">
        <f t="shared" si="20"/>
        <v>1266.5963767846813</v>
      </c>
      <c r="D156" s="23">
        <f t="shared" si="21"/>
        <v>1357.2142262768523</v>
      </c>
      <c r="E156" s="23">
        <f t="shared" si="23"/>
        <v>2623.8106030615336</v>
      </c>
      <c r="F156" s="24">
        <f t="shared" si="22"/>
        <v>381946.8322190324</v>
      </c>
    </row>
    <row r="157" spans="1:7" ht="15.75" thickBot="1" x14ac:dyDescent="0.3">
      <c r="A157" s="27" t="s">
        <v>107</v>
      </c>
      <c r="B157" s="28">
        <f t="shared" si="19"/>
        <v>381946.8322190324</v>
      </c>
      <c r="C157" s="28">
        <f t="shared" si="20"/>
        <v>1271.0822389524603</v>
      </c>
      <c r="D157" s="28">
        <f t="shared" si="21"/>
        <v>1352.7283641090733</v>
      </c>
      <c r="E157" s="28">
        <f t="shared" si="23"/>
        <v>2623.8106030615336</v>
      </c>
      <c r="F157" s="29">
        <f t="shared" si="22"/>
        <v>380675.74998007994</v>
      </c>
      <c r="G157" s="30">
        <f>SUM(D146:D157)</f>
        <v>16525.351874253436</v>
      </c>
    </row>
    <row r="158" spans="1:7" x14ac:dyDescent="0.25">
      <c r="A158" s="19" t="s">
        <v>108</v>
      </c>
      <c r="B158" s="20">
        <f t="shared" si="19"/>
        <v>380675.74998007994</v>
      </c>
      <c r="C158" s="20">
        <f t="shared" si="20"/>
        <v>1275.5839885487503</v>
      </c>
      <c r="D158" s="20">
        <f t="shared" si="21"/>
        <v>1348.2266145127833</v>
      </c>
      <c r="E158" s="20">
        <f t="shared" si="23"/>
        <v>2623.8106030615336</v>
      </c>
      <c r="F158" s="21">
        <f t="shared" si="22"/>
        <v>379400.16599153122</v>
      </c>
      <c r="G158" s="15"/>
    </row>
    <row r="159" spans="1:7" x14ac:dyDescent="0.25">
      <c r="A159" s="22" t="s">
        <v>93</v>
      </c>
      <c r="B159" s="23">
        <f t="shared" si="19"/>
        <v>379400.16599153122</v>
      </c>
      <c r="C159" s="23">
        <f t="shared" si="20"/>
        <v>1280.1016818415271</v>
      </c>
      <c r="D159" s="23">
        <f t="shared" si="21"/>
        <v>1343.7089212200065</v>
      </c>
      <c r="E159" s="23">
        <f t="shared" si="23"/>
        <v>2623.8106030615336</v>
      </c>
      <c r="F159" s="24">
        <f t="shared" si="22"/>
        <v>378120.06430968968</v>
      </c>
      <c r="G159" s="15"/>
    </row>
    <row r="160" spans="1:7" x14ac:dyDescent="0.25">
      <c r="A160" s="22" t="s">
        <v>95</v>
      </c>
      <c r="B160" s="23">
        <f t="shared" si="19"/>
        <v>378120.06430968968</v>
      </c>
      <c r="C160" s="23">
        <f t="shared" si="20"/>
        <v>1284.6353752980492</v>
      </c>
      <c r="D160" s="23">
        <f t="shared" si="21"/>
        <v>1339.1752277634844</v>
      </c>
      <c r="E160" s="23">
        <f t="shared" si="23"/>
        <v>2623.8106030615336</v>
      </c>
      <c r="F160" s="24">
        <f t="shared" si="22"/>
        <v>376835.42893439165</v>
      </c>
      <c r="G160" s="15"/>
    </row>
    <row r="161" spans="1:7" x14ac:dyDescent="0.25">
      <c r="A161" s="22" t="s">
        <v>96</v>
      </c>
      <c r="B161" s="23">
        <f t="shared" si="19"/>
        <v>376835.42893439165</v>
      </c>
      <c r="C161" s="23">
        <f t="shared" si="20"/>
        <v>1289.1851255855631</v>
      </c>
      <c r="D161" s="23">
        <f t="shared" si="21"/>
        <v>1334.6254774759705</v>
      </c>
      <c r="E161" s="23">
        <f t="shared" si="23"/>
        <v>2623.8106030615336</v>
      </c>
      <c r="F161" s="24">
        <f t="shared" si="22"/>
        <v>375546.24380880606</v>
      </c>
      <c r="G161" s="15"/>
    </row>
    <row r="162" spans="1:7" x14ac:dyDescent="0.25">
      <c r="A162" s="22" t="s">
        <v>98</v>
      </c>
      <c r="B162" s="23">
        <f t="shared" si="19"/>
        <v>375546.24380880606</v>
      </c>
      <c r="C162" s="23">
        <f t="shared" si="20"/>
        <v>1293.750989572012</v>
      </c>
      <c r="D162" s="23">
        <f t="shared" si="21"/>
        <v>1330.0596134895216</v>
      </c>
      <c r="E162" s="23">
        <f t="shared" si="23"/>
        <v>2623.8106030615336</v>
      </c>
      <c r="F162" s="24">
        <f t="shared" si="22"/>
        <v>374252.49281923403</v>
      </c>
      <c r="G162" s="15"/>
    </row>
    <row r="163" spans="1:7" x14ac:dyDescent="0.25">
      <c r="A163" s="22" t="s">
        <v>100</v>
      </c>
      <c r="B163" s="23">
        <f t="shared" si="19"/>
        <v>374252.49281923403</v>
      </c>
      <c r="C163" s="23">
        <f t="shared" si="20"/>
        <v>1298.3330243267462</v>
      </c>
      <c r="D163" s="23">
        <f t="shared" si="21"/>
        <v>1325.4775787347874</v>
      </c>
      <c r="E163" s="23">
        <f t="shared" si="23"/>
        <v>2623.8106030615336</v>
      </c>
      <c r="F163" s="24">
        <f t="shared" si="22"/>
        <v>372954.15979490726</v>
      </c>
      <c r="G163" s="15"/>
    </row>
    <row r="164" spans="1:7" x14ac:dyDescent="0.25">
      <c r="A164" s="22" t="s">
        <v>102</v>
      </c>
      <c r="B164" s="23">
        <f t="shared" si="19"/>
        <v>372954.15979490726</v>
      </c>
      <c r="C164" s="23">
        <f t="shared" si="20"/>
        <v>1302.9312871212369</v>
      </c>
      <c r="D164" s="23">
        <f t="shared" si="21"/>
        <v>1320.8793159402967</v>
      </c>
      <c r="E164" s="23">
        <f t="shared" si="23"/>
        <v>2623.8106030615336</v>
      </c>
      <c r="F164" s="24">
        <f t="shared" si="22"/>
        <v>371651.228507786</v>
      </c>
      <c r="G164" s="15"/>
    </row>
    <row r="165" spans="1:7" x14ac:dyDescent="0.25">
      <c r="A165" s="22" t="s">
        <v>103</v>
      </c>
      <c r="B165" s="23">
        <f t="shared" si="19"/>
        <v>371651.228507786</v>
      </c>
      <c r="C165" s="23">
        <f t="shared" si="20"/>
        <v>1307.5458354297914</v>
      </c>
      <c r="D165" s="23">
        <f t="shared" si="21"/>
        <v>1316.2647676317422</v>
      </c>
      <c r="E165" s="23">
        <f t="shared" si="23"/>
        <v>2623.8106030615336</v>
      </c>
      <c r="F165" s="24">
        <f t="shared" si="22"/>
        <v>370343.6826723562</v>
      </c>
      <c r="G165" s="15"/>
    </row>
    <row r="166" spans="1:7" x14ac:dyDescent="0.25">
      <c r="A166" s="22" t="s">
        <v>104</v>
      </c>
      <c r="B166" s="23">
        <f t="shared" si="19"/>
        <v>370343.6826723562</v>
      </c>
      <c r="C166" s="23">
        <f t="shared" si="20"/>
        <v>1312.176726930272</v>
      </c>
      <c r="D166" s="23">
        <f t="shared" si="21"/>
        <v>1311.6338761312616</v>
      </c>
      <c r="E166" s="23">
        <f t="shared" si="23"/>
        <v>2623.8106030615336</v>
      </c>
      <c r="F166" s="24">
        <f t="shared" si="22"/>
        <v>369031.50594542595</v>
      </c>
      <c r="G166" s="15"/>
    </row>
    <row r="167" spans="1:7" x14ac:dyDescent="0.25">
      <c r="A167" s="22" t="s">
        <v>105</v>
      </c>
      <c r="B167" s="23">
        <f t="shared" si="19"/>
        <v>369031.50594542595</v>
      </c>
      <c r="C167" s="23">
        <f t="shared" si="20"/>
        <v>1316.8240195048165</v>
      </c>
      <c r="D167" s="23">
        <f t="shared" si="21"/>
        <v>1306.9865835567171</v>
      </c>
      <c r="E167" s="23">
        <f t="shared" si="23"/>
        <v>2623.8106030615336</v>
      </c>
      <c r="F167" s="24">
        <f t="shared" si="22"/>
        <v>367714.68192592112</v>
      </c>
      <c r="G167" s="15"/>
    </row>
    <row r="168" spans="1:7" x14ac:dyDescent="0.25">
      <c r="A168" s="22" t="s">
        <v>106</v>
      </c>
      <c r="B168" s="23">
        <f t="shared" si="19"/>
        <v>367714.68192592112</v>
      </c>
      <c r="C168" s="23">
        <f t="shared" si="20"/>
        <v>1321.4877712405628</v>
      </c>
      <c r="D168" s="23">
        <f t="shared" si="21"/>
        <v>1302.3228318209708</v>
      </c>
      <c r="E168" s="23">
        <f t="shared" si="23"/>
        <v>2623.8106030615336</v>
      </c>
      <c r="F168" s="24">
        <f t="shared" si="22"/>
        <v>366393.19415468053</v>
      </c>
      <c r="G168" s="15"/>
    </row>
    <row r="169" spans="1:7" ht="15.75" thickBot="1" x14ac:dyDescent="0.3">
      <c r="A169" s="27" t="s">
        <v>107</v>
      </c>
      <c r="B169" s="28">
        <f t="shared" si="19"/>
        <v>366393.19415468053</v>
      </c>
      <c r="C169" s="28">
        <f t="shared" si="20"/>
        <v>1326.1680404303734</v>
      </c>
      <c r="D169" s="28">
        <f t="shared" si="21"/>
        <v>1297.6425626311602</v>
      </c>
      <c r="E169" s="28">
        <f t="shared" si="23"/>
        <v>2623.8106030615336</v>
      </c>
      <c r="F169" s="29">
        <f t="shared" si="22"/>
        <v>365067.02611425018</v>
      </c>
      <c r="G169" s="30">
        <f>SUM(D158:D169)</f>
        <v>15877.003370908704</v>
      </c>
    </row>
    <row r="170" spans="1:7" x14ac:dyDescent="0.25">
      <c r="A170" s="19" t="s">
        <v>108</v>
      </c>
      <c r="B170" s="20">
        <f t="shared" si="19"/>
        <v>365067.02611425018</v>
      </c>
      <c r="C170" s="20">
        <f t="shared" si="20"/>
        <v>1330.8648855735642</v>
      </c>
      <c r="D170" s="20">
        <f t="shared" si="21"/>
        <v>1292.9457174879694</v>
      </c>
      <c r="E170" s="20">
        <f t="shared" si="23"/>
        <v>2623.8106030615336</v>
      </c>
      <c r="F170" s="21">
        <f t="shared" si="22"/>
        <v>363736.16122867662</v>
      </c>
      <c r="G170" s="15"/>
    </row>
    <row r="171" spans="1:7" x14ac:dyDescent="0.25">
      <c r="A171" s="22" t="s">
        <v>93</v>
      </c>
      <c r="B171" s="23">
        <f t="shared" si="19"/>
        <v>363736.16122867662</v>
      </c>
      <c r="C171" s="23">
        <f t="shared" si="20"/>
        <v>1335.5783653766371</v>
      </c>
      <c r="D171" s="23">
        <f t="shared" si="21"/>
        <v>1288.2322376848965</v>
      </c>
      <c r="E171" s="23">
        <f t="shared" si="23"/>
        <v>2623.8106030615336</v>
      </c>
      <c r="F171" s="24">
        <f t="shared" si="22"/>
        <v>362400.58286329999</v>
      </c>
      <c r="G171" s="15"/>
    </row>
    <row r="172" spans="1:7" x14ac:dyDescent="0.25">
      <c r="A172" s="22" t="s">
        <v>95</v>
      </c>
      <c r="B172" s="23">
        <f t="shared" si="19"/>
        <v>362400.58286329999</v>
      </c>
      <c r="C172" s="23">
        <f t="shared" si="20"/>
        <v>1340.3085387540127</v>
      </c>
      <c r="D172" s="23">
        <f t="shared" si="21"/>
        <v>1283.5020643075209</v>
      </c>
      <c r="E172" s="23">
        <f t="shared" si="23"/>
        <v>2623.8106030615336</v>
      </c>
      <c r="F172" s="24">
        <f t="shared" si="22"/>
        <v>361060.27432454599</v>
      </c>
      <c r="G172" s="15"/>
    </row>
    <row r="173" spans="1:7" x14ac:dyDescent="0.25">
      <c r="A173" s="22" t="s">
        <v>96</v>
      </c>
      <c r="B173" s="23">
        <f t="shared" si="19"/>
        <v>361060.27432454599</v>
      </c>
      <c r="C173" s="23">
        <f t="shared" si="20"/>
        <v>1345.0554648287664</v>
      </c>
      <c r="D173" s="23">
        <f t="shared" si="21"/>
        <v>1278.7551382327672</v>
      </c>
      <c r="E173" s="23">
        <f t="shared" si="23"/>
        <v>2623.8106030615336</v>
      </c>
      <c r="F173" s="24">
        <f t="shared" si="22"/>
        <v>359715.21885971719</v>
      </c>
      <c r="G173" s="15"/>
    </row>
    <row r="174" spans="1:7" x14ac:dyDescent="0.25">
      <c r="A174" s="22" t="s">
        <v>98</v>
      </c>
      <c r="B174" s="23">
        <f t="shared" si="19"/>
        <v>359715.21885971719</v>
      </c>
      <c r="C174" s="23">
        <f t="shared" si="20"/>
        <v>1349.8192029333684</v>
      </c>
      <c r="D174" s="23">
        <f t="shared" si="21"/>
        <v>1273.9914001281652</v>
      </c>
      <c r="E174" s="23">
        <f t="shared" si="23"/>
        <v>2623.8106030615336</v>
      </c>
      <c r="F174" s="24">
        <f t="shared" si="22"/>
        <v>358365.39965678385</v>
      </c>
      <c r="G174" s="15"/>
    </row>
    <row r="175" spans="1:7" x14ac:dyDescent="0.25">
      <c r="A175" s="22" t="s">
        <v>100</v>
      </c>
      <c r="B175" s="23">
        <f t="shared" si="19"/>
        <v>358365.39965678385</v>
      </c>
      <c r="C175" s="23">
        <f t="shared" si="20"/>
        <v>1354.5998126104241</v>
      </c>
      <c r="D175" s="23">
        <f t="shared" si="21"/>
        <v>1269.2107904511095</v>
      </c>
      <c r="E175" s="23">
        <f t="shared" si="23"/>
        <v>2623.8106030615336</v>
      </c>
      <c r="F175" s="24">
        <f t="shared" si="22"/>
        <v>357010.79984417342</v>
      </c>
      <c r="G175" s="15"/>
    </row>
    <row r="176" spans="1:7" x14ac:dyDescent="0.25">
      <c r="A176" s="22" t="s">
        <v>102</v>
      </c>
      <c r="B176" s="23">
        <f t="shared" si="19"/>
        <v>357010.79984417342</v>
      </c>
      <c r="C176" s="23">
        <f t="shared" si="20"/>
        <v>1359.3973536134192</v>
      </c>
      <c r="D176" s="23">
        <f t="shared" si="21"/>
        <v>1264.4132494481144</v>
      </c>
      <c r="E176" s="23">
        <f t="shared" si="23"/>
        <v>2623.8106030615336</v>
      </c>
      <c r="F176" s="24">
        <f t="shared" si="22"/>
        <v>355651.40249056002</v>
      </c>
      <c r="G176" s="15"/>
    </row>
    <row r="177" spans="1:7" x14ac:dyDescent="0.25">
      <c r="A177" s="22" t="s">
        <v>103</v>
      </c>
      <c r="B177" s="23">
        <f t="shared" si="19"/>
        <v>355651.40249056002</v>
      </c>
      <c r="C177" s="23">
        <f t="shared" si="20"/>
        <v>1364.2118859074667</v>
      </c>
      <c r="D177" s="23">
        <f t="shared" si="21"/>
        <v>1259.5987171540669</v>
      </c>
      <c r="E177" s="23">
        <f t="shared" si="23"/>
        <v>2623.8106030615336</v>
      </c>
      <c r="F177" s="24">
        <f t="shared" si="22"/>
        <v>354287.19060465257</v>
      </c>
      <c r="G177" s="15"/>
    </row>
    <row r="178" spans="1:7" x14ac:dyDescent="0.25">
      <c r="A178" s="22" t="s">
        <v>104</v>
      </c>
      <c r="B178" s="23">
        <f t="shared" ref="B178:B241" si="24">+F177</f>
        <v>354287.19060465257</v>
      </c>
      <c r="C178" s="23">
        <f t="shared" ref="C178:C241" si="25">+E178-D178</f>
        <v>1369.0434696700556</v>
      </c>
      <c r="D178" s="23">
        <f t="shared" ref="D178:D241" si="26">B178*$I$2</f>
        <v>1254.767133391478</v>
      </c>
      <c r="E178" s="23">
        <f t="shared" si="23"/>
        <v>2623.8106030615336</v>
      </c>
      <c r="F178" s="24">
        <f t="shared" ref="F178:F241" si="27">+B178-C178</f>
        <v>352918.14713498252</v>
      </c>
      <c r="G178" s="15"/>
    </row>
    <row r="179" spans="1:7" x14ac:dyDescent="0.25">
      <c r="A179" s="22" t="s">
        <v>105</v>
      </c>
      <c r="B179" s="23">
        <f t="shared" si="24"/>
        <v>352918.14713498252</v>
      </c>
      <c r="C179" s="23">
        <f t="shared" si="25"/>
        <v>1373.8921652918038</v>
      </c>
      <c r="D179" s="23">
        <f t="shared" si="26"/>
        <v>1249.9184377697297</v>
      </c>
      <c r="E179" s="23">
        <f t="shared" si="23"/>
        <v>2623.8106030615336</v>
      </c>
      <c r="F179" s="24">
        <f t="shared" si="27"/>
        <v>351544.25496969069</v>
      </c>
      <c r="G179" s="15"/>
    </row>
    <row r="180" spans="1:7" x14ac:dyDescent="0.25">
      <c r="A180" s="22" t="s">
        <v>106</v>
      </c>
      <c r="B180" s="23">
        <f t="shared" si="24"/>
        <v>351544.25496969069</v>
      </c>
      <c r="C180" s="23">
        <f t="shared" si="25"/>
        <v>1378.7580333772123</v>
      </c>
      <c r="D180" s="23">
        <f t="shared" si="26"/>
        <v>1245.0525696843213</v>
      </c>
      <c r="E180" s="23">
        <f t="shared" si="23"/>
        <v>2623.8106030615336</v>
      </c>
      <c r="F180" s="24">
        <f t="shared" si="27"/>
        <v>350165.49693631346</v>
      </c>
      <c r="G180" s="15"/>
    </row>
    <row r="181" spans="1:7" ht="15.75" thickBot="1" x14ac:dyDescent="0.3">
      <c r="A181" s="27" t="s">
        <v>107</v>
      </c>
      <c r="B181" s="28">
        <f t="shared" si="24"/>
        <v>350165.49693631346</v>
      </c>
      <c r="C181" s="28">
        <f t="shared" si="25"/>
        <v>1383.6411347454234</v>
      </c>
      <c r="D181" s="28">
        <f t="shared" si="26"/>
        <v>1240.1694683161102</v>
      </c>
      <c r="E181" s="28">
        <f t="shared" si="23"/>
        <v>2623.8106030615336</v>
      </c>
      <c r="F181" s="29">
        <f t="shared" si="27"/>
        <v>348781.85580156802</v>
      </c>
      <c r="G181" s="30">
        <f>SUM(D170:D181)</f>
        <v>15200.556924056249</v>
      </c>
    </row>
    <row r="182" spans="1:7" x14ac:dyDescent="0.25">
      <c r="A182" s="19" t="s">
        <v>108</v>
      </c>
      <c r="B182" s="20">
        <f t="shared" si="24"/>
        <v>348781.85580156802</v>
      </c>
      <c r="C182" s="20">
        <f t="shared" si="25"/>
        <v>1388.5415304309802</v>
      </c>
      <c r="D182" s="20">
        <f t="shared" si="26"/>
        <v>1235.2690726305534</v>
      </c>
      <c r="E182" s="20">
        <f t="shared" si="23"/>
        <v>2623.8106030615336</v>
      </c>
      <c r="F182" s="21">
        <f t="shared" si="27"/>
        <v>347393.31427113706</v>
      </c>
    </row>
    <row r="183" spans="1:7" x14ac:dyDescent="0.25">
      <c r="A183" s="22" t="s">
        <v>93</v>
      </c>
      <c r="B183" s="23">
        <f t="shared" si="24"/>
        <v>347393.31427113706</v>
      </c>
      <c r="C183" s="23">
        <f t="shared" si="25"/>
        <v>1393.4592816845898</v>
      </c>
      <c r="D183" s="23">
        <f t="shared" si="26"/>
        <v>1230.3513213769438</v>
      </c>
      <c r="E183" s="23">
        <f t="shared" si="23"/>
        <v>2623.8106030615336</v>
      </c>
      <c r="F183" s="24">
        <f t="shared" si="27"/>
        <v>345999.85498945246</v>
      </c>
    </row>
    <row r="184" spans="1:7" x14ac:dyDescent="0.25">
      <c r="A184" s="22" t="s">
        <v>95</v>
      </c>
      <c r="B184" s="23">
        <f t="shared" si="24"/>
        <v>345999.85498945246</v>
      </c>
      <c r="C184" s="23">
        <f t="shared" si="25"/>
        <v>1398.3944499738893</v>
      </c>
      <c r="D184" s="23">
        <f t="shared" si="26"/>
        <v>1225.4161530876443</v>
      </c>
      <c r="E184" s="23">
        <f t="shared" si="23"/>
        <v>2623.8106030615336</v>
      </c>
      <c r="F184" s="24">
        <f t="shared" si="27"/>
        <v>344601.46053947858</v>
      </c>
    </row>
    <row r="185" spans="1:7" x14ac:dyDescent="0.25">
      <c r="A185" s="22" t="s">
        <v>96</v>
      </c>
      <c r="B185" s="23">
        <f t="shared" si="24"/>
        <v>344601.46053947858</v>
      </c>
      <c r="C185" s="23">
        <f t="shared" si="25"/>
        <v>1403.3470969842135</v>
      </c>
      <c r="D185" s="23">
        <f t="shared" si="26"/>
        <v>1220.4635060773201</v>
      </c>
      <c r="E185" s="23">
        <f t="shared" si="23"/>
        <v>2623.8106030615336</v>
      </c>
      <c r="F185" s="24">
        <f t="shared" si="27"/>
        <v>343198.11344249436</v>
      </c>
    </row>
    <row r="186" spans="1:7" x14ac:dyDescent="0.25">
      <c r="A186" s="22" t="s">
        <v>98</v>
      </c>
      <c r="B186" s="23">
        <f t="shared" si="24"/>
        <v>343198.11344249436</v>
      </c>
      <c r="C186" s="23">
        <f t="shared" si="25"/>
        <v>1408.3172846193659</v>
      </c>
      <c r="D186" s="23">
        <f t="shared" si="26"/>
        <v>1215.4933184421677</v>
      </c>
      <c r="E186" s="23">
        <f t="shared" si="23"/>
        <v>2623.8106030615336</v>
      </c>
      <c r="F186" s="24">
        <f t="shared" si="27"/>
        <v>341789.79615787498</v>
      </c>
    </row>
    <row r="187" spans="1:7" x14ac:dyDescent="0.25">
      <c r="A187" s="22" t="s">
        <v>100</v>
      </c>
      <c r="B187" s="23">
        <f t="shared" si="24"/>
        <v>341789.79615787498</v>
      </c>
      <c r="C187" s="23">
        <f t="shared" si="25"/>
        <v>1413.3050750023929</v>
      </c>
      <c r="D187" s="23">
        <f t="shared" si="26"/>
        <v>1210.5055280591407</v>
      </c>
      <c r="E187" s="23">
        <f t="shared" si="23"/>
        <v>2623.8106030615336</v>
      </c>
      <c r="F187" s="24">
        <f t="shared" si="27"/>
        <v>340376.49108287261</v>
      </c>
    </row>
    <row r="188" spans="1:7" x14ac:dyDescent="0.25">
      <c r="A188" s="22" t="s">
        <v>102</v>
      </c>
      <c r="B188" s="23">
        <f t="shared" si="24"/>
        <v>340376.49108287261</v>
      </c>
      <c r="C188" s="23">
        <f t="shared" si="25"/>
        <v>1418.3105304763596</v>
      </c>
      <c r="D188" s="23">
        <f t="shared" si="26"/>
        <v>1205.5000725851739</v>
      </c>
      <c r="E188" s="23">
        <f t="shared" si="23"/>
        <v>2623.8106030615336</v>
      </c>
      <c r="F188" s="24">
        <f t="shared" si="27"/>
        <v>338958.18055239622</v>
      </c>
    </row>
    <row r="189" spans="1:7" x14ac:dyDescent="0.25">
      <c r="A189" s="22" t="s">
        <v>103</v>
      </c>
      <c r="B189" s="23">
        <f t="shared" si="24"/>
        <v>338958.18055239622</v>
      </c>
      <c r="C189" s="23">
        <f t="shared" si="25"/>
        <v>1423.3337136051302</v>
      </c>
      <c r="D189" s="23">
        <f t="shared" si="26"/>
        <v>1200.4768894564033</v>
      </c>
      <c r="E189" s="23">
        <f t="shared" si="23"/>
        <v>2623.8106030615336</v>
      </c>
      <c r="F189" s="24">
        <f t="shared" si="27"/>
        <v>337534.8468387911</v>
      </c>
    </row>
    <row r="190" spans="1:7" x14ac:dyDescent="0.25">
      <c r="A190" s="22" t="s">
        <v>104</v>
      </c>
      <c r="B190" s="23">
        <f t="shared" si="24"/>
        <v>337534.8468387911</v>
      </c>
      <c r="C190" s="23">
        <f t="shared" si="25"/>
        <v>1428.3746871741484</v>
      </c>
      <c r="D190" s="23">
        <f t="shared" si="26"/>
        <v>1195.4359158873851</v>
      </c>
      <c r="E190" s="23">
        <f t="shared" si="23"/>
        <v>2623.8106030615336</v>
      </c>
      <c r="F190" s="24">
        <f t="shared" si="27"/>
        <v>336106.47215161694</v>
      </c>
    </row>
    <row r="191" spans="1:7" x14ac:dyDescent="0.25">
      <c r="A191" s="22" t="s">
        <v>105</v>
      </c>
      <c r="B191" s="23">
        <f t="shared" si="24"/>
        <v>336106.47215161694</v>
      </c>
      <c r="C191" s="23">
        <f t="shared" si="25"/>
        <v>1433.4335141912236</v>
      </c>
      <c r="D191" s="23">
        <f t="shared" si="26"/>
        <v>1190.37708887031</v>
      </c>
      <c r="E191" s="23">
        <f t="shared" si="23"/>
        <v>2623.8106030615336</v>
      </c>
      <c r="F191" s="24">
        <f t="shared" si="27"/>
        <v>334673.03863742569</v>
      </c>
    </row>
    <row r="192" spans="1:7" x14ac:dyDescent="0.25">
      <c r="A192" s="22" t="s">
        <v>106</v>
      </c>
      <c r="B192" s="23">
        <f t="shared" si="24"/>
        <v>334673.03863742569</v>
      </c>
      <c r="C192" s="23">
        <f t="shared" si="25"/>
        <v>1438.5102578873175</v>
      </c>
      <c r="D192" s="23">
        <f t="shared" si="26"/>
        <v>1185.3003451742161</v>
      </c>
      <c r="E192" s="23">
        <f t="shared" si="23"/>
        <v>2623.8106030615336</v>
      </c>
      <c r="F192" s="24">
        <f t="shared" si="27"/>
        <v>333234.52837953839</v>
      </c>
    </row>
    <row r="193" spans="1:7" ht="15.75" thickBot="1" x14ac:dyDescent="0.3">
      <c r="A193" s="27" t="s">
        <v>107</v>
      </c>
      <c r="B193" s="28">
        <f t="shared" si="24"/>
        <v>333234.52837953839</v>
      </c>
      <c r="C193" s="28">
        <f t="shared" si="25"/>
        <v>1443.604981717335</v>
      </c>
      <c r="D193" s="28">
        <f t="shared" si="26"/>
        <v>1180.2056213441986</v>
      </c>
      <c r="E193" s="28">
        <f t="shared" si="23"/>
        <v>2623.8106030615336</v>
      </c>
      <c r="F193" s="29">
        <f t="shared" si="27"/>
        <v>331790.92339782102</v>
      </c>
      <c r="G193" s="30">
        <f>SUM(D182:D193)</f>
        <v>14494.794832991456</v>
      </c>
    </row>
    <row r="194" spans="1:7" x14ac:dyDescent="0.25">
      <c r="A194" s="19" t="s">
        <v>108</v>
      </c>
      <c r="B194" s="20">
        <f t="shared" si="24"/>
        <v>331790.92339782102</v>
      </c>
      <c r="C194" s="20">
        <f t="shared" si="25"/>
        <v>1448.7177493609174</v>
      </c>
      <c r="D194" s="20">
        <f t="shared" si="26"/>
        <v>1175.0928537006162</v>
      </c>
      <c r="E194" s="20">
        <f t="shared" si="23"/>
        <v>2623.8106030615336</v>
      </c>
      <c r="F194" s="21">
        <f t="shared" si="27"/>
        <v>330342.20564846013</v>
      </c>
      <c r="G194" s="15"/>
    </row>
    <row r="195" spans="1:7" x14ac:dyDescent="0.25">
      <c r="A195" s="22" t="s">
        <v>93</v>
      </c>
      <c r="B195" s="23">
        <f t="shared" si="24"/>
        <v>330342.20564846013</v>
      </c>
      <c r="C195" s="23">
        <f t="shared" si="25"/>
        <v>1453.8486247232372</v>
      </c>
      <c r="D195" s="23">
        <f t="shared" si="26"/>
        <v>1169.9619783382964</v>
      </c>
      <c r="E195" s="23">
        <f t="shared" si="23"/>
        <v>2623.8106030615336</v>
      </c>
      <c r="F195" s="24">
        <f t="shared" si="27"/>
        <v>328888.35702373687</v>
      </c>
      <c r="G195" s="15"/>
    </row>
    <row r="196" spans="1:7" x14ac:dyDescent="0.25">
      <c r="A196" s="22" t="s">
        <v>95</v>
      </c>
      <c r="B196" s="23">
        <f t="shared" si="24"/>
        <v>328888.35702373687</v>
      </c>
      <c r="C196" s="23">
        <f t="shared" si="25"/>
        <v>1458.9976719357987</v>
      </c>
      <c r="D196" s="23">
        <f t="shared" si="26"/>
        <v>1164.8129311257348</v>
      </c>
      <c r="E196" s="23">
        <f t="shared" si="23"/>
        <v>2623.8106030615336</v>
      </c>
      <c r="F196" s="24">
        <f t="shared" si="27"/>
        <v>327429.35935180105</v>
      </c>
      <c r="G196" s="15"/>
    </row>
    <row r="197" spans="1:7" x14ac:dyDescent="0.25">
      <c r="A197" s="22" t="s">
        <v>96</v>
      </c>
      <c r="B197" s="23">
        <f t="shared" si="24"/>
        <v>327429.35935180105</v>
      </c>
      <c r="C197" s="23">
        <f t="shared" si="25"/>
        <v>1464.1649553572381</v>
      </c>
      <c r="D197" s="23">
        <f t="shared" si="26"/>
        <v>1159.6456477042955</v>
      </c>
      <c r="E197" s="23">
        <f t="shared" si="23"/>
        <v>2623.8106030615336</v>
      </c>
      <c r="F197" s="24">
        <f t="shared" si="27"/>
        <v>325965.19439644378</v>
      </c>
      <c r="G197" s="15"/>
    </row>
    <row r="198" spans="1:7" x14ac:dyDescent="0.25">
      <c r="A198" s="22" t="s">
        <v>98</v>
      </c>
      <c r="B198" s="23">
        <f t="shared" si="24"/>
        <v>325965.19439644378</v>
      </c>
      <c r="C198" s="23">
        <f t="shared" si="25"/>
        <v>1469.3505395741283</v>
      </c>
      <c r="D198" s="23">
        <f t="shared" si="26"/>
        <v>1154.4600634874053</v>
      </c>
      <c r="E198" s="23">
        <f t="shared" si="23"/>
        <v>2623.8106030615336</v>
      </c>
      <c r="F198" s="24">
        <f t="shared" si="27"/>
        <v>324495.84385686967</v>
      </c>
      <c r="G198" s="15"/>
    </row>
    <row r="199" spans="1:7" x14ac:dyDescent="0.25">
      <c r="A199" s="22" t="s">
        <v>100</v>
      </c>
      <c r="B199" s="23">
        <f t="shared" si="24"/>
        <v>324495.84385686967</v>
      </c>
      <c r="C199" s="23">
        <f t="shared" si="25"/>
        <v>1474.5544894017867</v>
      </c>
      <c r="D199" s="23">
        <f t="shared" si="26"/>
        <v>1149.2561136597469</v>
      </c>
      <c r="E199" s="23">
        <f t="shared" si="23"/>
        <v>2623.8106030615336</v>
      </c>
      <c r="F199" s="24">
        <f t="shared" si="27"/>
        <v>323021.28936746786</v>
      </c>
      <c r="G199" s="15"/>
    </row>
    <row r="200" spans="1:7" x14ac:dyDescent="0.25">
      <c r="A200" s="22" t="s">
        <v>102</v>
      </c>
      <c r="B200" s="23">
        <f t="shared" si="24"/>
        <v>323021.28936746786</v>
      </c>
      <c r="C200" s="23">
        <f t="shared" si="25"/>
        <v>1479.7768698850848</v>
      </c>
      <c r="D200" s="23">
        <f t="shared" si="26"/>
        <v>1144.0337331764488</v>
      </c>
      <c r="E200" s="23">
        <f t="shared" si="23"/>
        <v>2623.8106030615336</v>
      </c>
      <c r="F200" s="24">
        <f t="shared" si="27"/>
        <v>321541.51249758276</v>
      </c>
      <c r="G200" s="15"/>
    </row>
    <row r="201" spans="1:7" x14ac:dyDescent="0.25">
      <c r="A201" s="22" t="s">
        <v>103</v>
      </c>
      <c r="B201" s="23">
        <f t="shared" si="24"/>
        <v>321541.51249758276</v>
      </c>
      <c r="C201" s="23">
        <f t="shared" si="25"/>
        <v>1485.0177462992613</v>
      </c>
      <c r="D201" s="23">
        <f t="shared" si="26"/>
        <v>1138.7928567622723</v>
      </c>
      <c r="E201" s="23">
        <f t="shared" si="23"/>
        <v>2623.8106030615336</v>
      </c>
      <c r="F201" s="24">
        <f t="shared" si="27"/>
        <v>320056.49475128349</v>
      </c>
      <c r="G201" s="15"/>
    </row>
    <row r="202" spans="1:7" x14ac:dyDescent="0.25">
      <c r="A202" s="22" t="s">
        <v>104</v>
      </c>
      <c r="B202" s="23">
        <f t="shared" si="24"/>
        <v>320056.49475128349</v>
      </c>
      <c r="C202" s="23">
        <f t="shared" si="25"/>
        <v>1490.2771841507379</v>
      </c>
      <c r="D202" s="23">
        <f t="shared" si="26"/>
        <v>1133.5334189107957</v>
      </c>
      <c r="E202" s="23">
        <f t="shared" si="23"/>
        <v>2623.8106030615336</v>
      </c>
      <c r="F202" s="24">
        <f t="shared" si="27"/>
        <v>318566.21756713273</v>
      </c>
      <c r="G202" s="15"/>
    </row>
    <row r="203" spans="1:7" x14ac:dyDescent="0.25">
      <c r="A203" s="22" t="s">
        <v>105</v>
      </c>
      <c r="B203" s="23">
        <f t="shared" si="24"/>
        <v>318566.21756713273</v>
      </c>
      <c r="C203" s="23">
        <f t="shared" si="25"/>
        <v>1495.5552491779383</v>
      </c>
      <c r="D203" s="23">
        <f t="shared" si="26"/>
        <v>1128.2553538835953</v>
      </c>
      <c r="E203" s="23">
        <f t="shared" si="23"/>
        <v>2623.8106030615336</v>
      </c>
      <c r="F203" s="24">
        <f t="shared" si="27"/>
        <v>317070.66231795476</v>
      </c>
      <c r="G203" s="15"/>
    </row>
    <row r="204" spans="1:7" x14ac:dyDescent="0.25">
      <c r="A204" s="22" t="s">
        <v>106</v>
      </c>
      <c r="B204" s="23">
        <f t="shared" si="24"/>
        <v>317070.66231795476</v>
      </c>
      <c r="C204" s="23">
        <f t="shared" si="25"/>
        <v>1500.8520073521104</v>
      </c>
      <c r="D204" s="23">
        <f t="shared" si="26"/>
        <v>1122.9585957094232</v>
      </c>
      <c r="E204" s="23">
        <f t="shared" si="23"/>
        <v>2623.8106030615336</v>
      </c>
      <c r="F204" s="24">
        <f t="shared" si="27"/>
        <v>315569.81031060265</v>
      </c>
      <c r="G204" s="15"/>
    </row>
    <row r="205" spans="1:7" ht="15.75" thickBot="1" x14ac:dyDescent="0.3">
      <c r="A205" s="27" t="s">
        <v>107</v>
      </c>
      <c r="B205" s="28">
        <f t="shared" si="24"/>
        <v>315569.81031060265</v>
      </c>
      <c r="C205" s="28">
        <f t="shared" si="25"/>
        <v>1506.1675248781492</v>
      </c>
      <c r="D205" s="28">
        <f t="shared" si="26"/>
        <v>1117.6430781833844</v>
      </c>
      <c r="E205" s="28">
        <f t="shared" ref="E205:E268" si="28">-$I$9</f>
        <v>2623.8106030615336</v>
      </c>
      <c r="F205" s="29">
        <f t="shared" si="27"/>
        <v>314063.64278572449</v>
      </c>
      <c r="G205" s="30">
        <f>SUM(D194:D205)</f>
        <v>13758.446624642012</v>
      </c>
    </row>
    <row r="206" spans="1:7" x14ac:dyDescent="0.25">
      <c r="A206" s="19" t="s">
        <v>108</v>
      </c>
      <c r="B206" s="20">
        <f t="shared" si="24"/>
        <v>314063.64278572449</v>
      </c>
      <c r="C206" s="20">
        <f t="shared" si="25"/>
        <v>1511.5018681954259</v>
      </c>
      <c r="D206" s="20">
        <f t="shared" si="26"/>
        <v>1112.3087348661077</v>
      </c>
      <c r="E206" s="20">
        <f t="shared" si="28"/>
        <v>2623.8106030615336</v>
      </c>
      <c r="F206" s="21">
        <f t="shared" si="27"/>
        <v>312552.14091752906</v>
      </c>
      <c r="G206" s="15"/>
    </row>
    <row r="207" spans="1:7" x14ac:dyDescent="0.25">
      <c r="A207" s="22" t="s">
        <v>93</v>
      </c>
      <c r="B207" s="23">
        <f t="shared" si="24"/>
        <v>312552.14091752906</v>
      </c>
      <c r="C207" s="23">
        <f t="shared" si="25"/>
        <v>1516.855103978618</v>
      </c>
      <c r="D207" s="23">
        <f t="shared" si="26"/>
        <v>1106.9554990829156</v>
      </c>
      <c r="E207" s="23">
        <f t="shared" si="28"/>
        <v>2623.8106030615336</v>
      </c>
      <c r="F207" s="24">
        <f t="shared" si="27"/>
        <v>311035.28581355046</v>
      </c>
      <c r="G207" s="15"/>
    </row>
    <row r="208" spans="1:7" x14ac:dyDescent="0.25">
      <c r="A208" s="22" t="s">
        <v>95</v>
      </c>
      <c r="B208" s="23">
        <f t="shared" si="24"/>
        <v>311035.28581355046</v>
      </c>
      <c r="C208" s="23">
        <f t="shared" si="25"/>
        <v>1522.2272991385423</v>
      </c>
      <c r="D208" s="23">
        <f t="shared" si="26"/>
        <v>1101.5833039229913</v>
      </c>
      <c r="E208" s="23">
        <f t="shared" si="28"/>
        <v>2623.8106030615336</v>
      </c>
      <c r="F208" s="24">
        <f t="shared" si="27"/>
        <v>309513.05851441191</v>
      </c>
      <c r="G208" s="15"/>
    </row>
    <row r="209" spans="1:7" x14ac:dyDescent="0.25">
      <c r="A209" s="22" t="s">
        <v>96</v>
      </c>
      <c r="B209" s="23">
        <f t="shared" si="24"/>
        <v>309513.05851441191</v>
      </c>
      <c r="C209" s="23">
        <f t="shared" si="25"/>
        <v>1527.6185208229913</v>
      </c>
      <c r="D209" s="23">
        <f t="shared" si="26"/>
        <v>1096.1920822385423</v>
      </c>
      <c r="E209" s="23">
        <f t="shared" si="28"/>
        <v>2623.8106030615336</v>
      </c>
      <c r="F209" s="24">
        <f t="shared" si="27"/>
        <v>307985.43999358889</v>
      </c>
      <c r="G209" s="15"/>
    </row>
    <row r="210" spans="1:7" x14ac:dyDescent="0.25">
      <c r="A210" s="22" t="s">
        <v>98</v>
      </c>
      <c r="B210" s="23">
        <f t="shared" si="24"/>
        <v>307985.43999358889</v>
      </c>
      <c r="C210" s="23">
        <f t="shared" si="25"/>
        <v>1533.0288364175728</v>
      </c>
      <c r="D210" s="23">
        <f t="shared" si="26"/>
        <v>1090.7817666439607</v>
      </c>
      <c r="E210" s="23">
        <f t="shared" si="28"/>
        <v>2623.8106030615336</v>
      </c>
      <c r="F210" s="24">
        <f t="shared" si="27"/>
        <v>306452.4111571713</v>
      </c>
      <c r="G210" s="15"/>
    </row>
    <row r="211" spans="1:7" x14ac:dyDescent="0.25">
      <c r="A211" s="22" t="s">
        <v>100</v>
      </c>
      <c r="B211" s="23">
        <f t="shared" si="24"/>
        <v>306452.4111571713</v>
      </c>
      <c r="C211" s="23">
        <f t="shared" si="25"/>
        <v>1538.4583135465518</v>
      </c>
      <c r="D211" s="23">
        <f t="shared" si="26"/>
        <v>1085.3522895149817</v>
      </c>
      <c r="E211" s="23">
        <f t="shared" si="28"/>
        <v>2623.8106030615336</v>
      </c>
      <c r="F211" s="24">
        <f t="shared" si="27"/>
        <v>304913.95284362475</v>
      </c>
      <c r="G211" s="15"/>
    </row>
    <row r="212" spans="1:7" x14ac:dyDescent="0.25">
      <c r="A212" s="22" t="s">
        <v>102</v>
      </c>
      <c r="B212" s="23">
        <f t="shared" si="24"/>
        <v>304913.95284362475</v>
      </c>
      <c r="C212" s="23">
        <f t="shared" si="25"/>
        <v>1543.9070200736958</v>
      </c>
      <c r="D212" s="23">
        <f t="shared" si="26"/>
        <v>1079.9035829878378</v>
      </c>
      <c r="E212" s="23">
        <f t="shared" si="28"/>
        <v>2623.8106030615336</v>
      </c>
      <c r="F212" s="24">
        <f t="shared" si="27"/>
        <v>303370.04582355107</v>
      </c>
      <c r="G212" s="15"/>
    </row>
    <row r="213" spans="1:7" x14ac:dyDescent="0.25">
      <c r="A213" s="22" t="s">
        <v>103</v>
      </c>
      <c r="B213" s="23">
        <f t="shared" si="24"/>
        <v>303370.04582355107</v>
      </c>
      <c r="C213" s="23">
        <f t="shared" si="25"/>
        <v>1549.3750241031235</v>
      </c>
      <c r="D213" s="23">
        <f t="shared" si="26"/>
        <v>1074.4355789584101</v>
      </c>
      <c r="E213" s="23">
        <f t="shared" si="28"/>
        <v>2623.8106030615336</v>
      </c>
      <c r="F213" s="24">
        <f t="shared" si="27"/>
        <v>301820.67079944792</v>
      </c>
      <c r="G213" s="15"/>
    </row>
    <row r="214" spans="1:7" x14ac:dyDescent="0.25">
      <c r="A214" s="22" t="s">
        <v>104</v>
      </c>
      <c r="B214" s="23">
        <f t="shared" si="24"/>
        <v>301820.67079944792</v>
      </c>
      <c r="C214" s="23">
        <f t="shared" si="25"/>
        <v>1554.8623939801555</v>
      </c>
      <c r="D214" s="23">
        <f t="shared" si="26"/>
        <v>1068.9482090813781</v>
      </c>
      <c r="E214" s="23">
        <f t="shared" si="28"/>
        <v>2623.8106030615336</v>
      </c>
      <c r="F214" s="24">
        <f t="shared" si="27"/>
        <v>300265.80840546777</v>
      </c>
      <c r="G214" s="15"/>
    </row>
    <row r="215" spans="1:7" x14ac:dyDescent="0.25">
      <c r="A215" s="22" t="s">
        <v>105</v>
      </c>
      <c r="B215" s="23">
        <f t="shared" si="24"/>
        <v>300265.80840546777</v>
      </c>
      <c r="C215" s="23">
        <f t="shared" si="25"/>
        <v>1560.3691982921684</v>
      </c>
      <c r="D215" s="23">
        <f t="shared" si="26"/>
        <v>1063.4414047693651</v>
      </c>
      <c r="E215" s="23">
        <f t="shared" si="28"/>
        <v>2623.8106030615336</v>
      </c>
      <c r="F215" s="24">
        <f t="shared" si="27"/>
        <v>298705.43920717563</v>
      </c>
      <c r="G215" s="15"/>
    </row>
    <row r="216" spans="1:7" x14ac:dyDescent="0.25">
      <c r="A216" s="22" t="s">
        <v>106</v>
      </c>
      <c r="B216" s="23">
        <f t="shared" si="24"/>
        <v>298705.43920717563</v>
      </c>
      <c r="C216" s="23">
        <f t="shared" si="25"/>
        <v>1565.8955058694532</v>
      </c>
      <c r="D216" s="23">
        <f t="shared" si="26"/>
        <v>1057.9150971920803</v>
      </c>
      <c r="E216" s="23">
        <f t="shared" si="28"/>
        <v>2623.8106030615336</v>
      </c>
      <c r="F216" s="24">
        <f t="shared" si="27"/>
        <v>297139.54370130616</v>
      </c>
      <c r="G216" s="15"/>
    </row>
    <row r="217" spans="1:7" ht="15.75" thickBot="1" x14ac:dyDescent="0.3">
      <c r="A217" s="27" t="s">
        <v>107</v>
      </c>
      <c r="B217" s="28">
        <f t="shared" si="24"/>
        <v>297139.54370130616</v>
      </c>
      <c r="C217" s="28">
        <f t="shared" si="25"/>
        <v>1571.4413857860741</v>
      </c>
      <c r="D217" s="28">
        <f t="shared" si="26"/>
        <v>1052.3692172754595</v>
      </c>
      <c r="E217" s="28">
        <f t="shared" si="28"/>
        <v>2623.8106030615336</v>
      </c>
      <c r="F217" s="29">
        <f t="shared" si="27"/>
        <v>295568.10231552011</v>
      </c>
      <c r="G217" s="30">
        <f>SUM(D206:D217)</f>
        <v>12990.186766534029</v>
      </c>
    </row>
    <row r="218" spans="1:7" x14ac:dyDescent="0.25">
      <c r="A218" s="19" t="s">
        <v>108</v>
      </c>
      <c r="B218" s="20">
        <f t="shared" si="24"/>
        <v>295568.10231552011</v>
      </c>
      <c r="C218" s="20">
        <f t="shared" si="25"/>
        <v>1577.0069073607331</v>
      </c>
      <c r="D218" s="20">
        <f t="shared" si="26"/>
        <v>1046.8036957008005</v>
      </c>
      <c r="E218" s="20">
        <f t="shared" si="28"/>
        <v>2623.8106030615336</v>
      </c>
      <c r="F218" s="21">
        <f t="shared" si="27"/>
        <v>293991.09540815937</v>
      </c>
    </row>
    <row r="219" spans="1:7" x14ac:dyDescent="0.25">
      <c r="A219" s="22" t="s">
        <v>93</v>
      </c>
      <c r="B219" s="23">
        <f t="shared" si="24"/>
        <v>293991.09540815937</v>
      </c>
      <c r="C219" s="23">
        <f t="shared" si="25"/>
        <v>1582.5921401576356</v>
      </c>
      <c r="D219" s="23">
        <f t="shared" si="26"/>
        <v>1041.2184629038979</v>
      </c>
      <c r="E219" s="23">
        <f t="shared" si="28"/>
        <v>2623.8106030615336</v>
      </c>
      <c r="F219" s="24">
        <f t="shared" si="27"/>
        <v>292408.50326800172</v>
      </c>
    </row>
    <row r="220" spans="1:7" x14ac:dyDescent="0.25">
      <c r="A220" s="22" t="s">
        <v>95</v>
      </c>
      <c r="B220" s="23">
        <f t="shared" si="24"/>
        <v>292408.50326800172</v>
      </c>
      <c r="C220" s="23">
        <f t="shared" si="25"/>
        <v>1588.1971539873607</v>
      </c>
      <c r="D220" s="23">
        <f t="shared" si="26"/>
        <v>1035.6134490741729</v>
      </c>
      <c r="E220" s="23">
        <f t="shared" si="28"/>
        <v>2623.8106030615336</v>
      </c>
      <c r="F220" s="24">
        <f t="shared" si="27"/>
        <v>290820.30611401435</v>
      </c>
    </row>
    <row r="221" spans="1:7" x14ac:dyDescent="0.25">
      <c r="A221" s="22" t="s">
        <v>96</v>
      </c>
      <c r="B221" s="23">
        <f t="shared" si="24"/>
        <v>290820.30611401435</v>
      </c>
      <c r="C221" s="23">
        <f t="shared" si="25"/>
        <v>1593.8220189077326</v>
      </c>
      <c r="D221" s="23">
        <f t="shared" si="26"/>
        <v>1029.988584153801</v>
      </c>
      <c r="E221" s="23">
        <f t="shared" si="28"/>
        <v>2623.8106030615336</v>
      </c>
      <c r="F221" s="24">
        <f t="shared" si="27"/>
        <v>289226.4840951066</v>
      </c>
    </row>
    <row r="222" spans="1:7" x14ac:dyDescent="0.25">
      <c r="A222" s="22" t="s">
        <v>98</v>
      </c>
      <c r="B222" s="23">
        <f t="shared" si="24"/>
        <v>289226.4840951066</v>
      </c>
      <c r="C222" s="23">
        <f t="shared" si="25"/>
        <v>1599.4668052246977</v>
      </c>
      <c r="D222" s="23">
        <f t="shared" si="26"/>
        <v>1024.3437978368358</v>
      </c>
      <c r="E222" s="23">
        <f t="shared" si="28"/>
        <v>2623.8106030615336</v>
      </c>
      <c r="F222" s="24">
        <f t="shared" si="27"/>
        <v>287627.01728988189</v>
      </c>
    </row>
    <row r="223" spans="1:7" x14ac:dyDescent="0.25">
      <c r="A223" s="22" t="s">
        <v>100</v>
      </c>
      <c r="B223" s="23">
        <f t="shared" si="24"/>
        <v>287627.01728988189</v>
      </c>
      <c r="C223" s="23">
        <f t="shared" si="25"/>
        <v>1605.1315834932018</v>
      </c>
      <c r="D223" s="23">
        <f t="shared" si="26"/>
        <v>1018.6790195683318</v>
      </c>
      <c r="E223" s="23">
        <f t="shared" si="28"/>
        <v>2623.8106030615336</v>
      </c>
      <c r="F223" s="24">
        <f t="shared" si="27"/>
        <v>286021.88570638868</v>
      </c>
    </row>
    <row r="224" spans="1:7" x14ac:dyDescent="0.25">
      <c r="A224" s="22" t="s">
        <v>102</v>
      </c>
      <c r="B224" s="23">
        <f t="shared" si="24"/>
        <v>286021.88570638868</v>
      </c>
      <c r="C224" s="23">
        <f t="shared" si="25"/>
        <v>1610.8164245180737</v>
      </c>
      <c r="D224" s="23">
        <f t="shared" si="26"/>
        <v>1012.99417854346</v>
      </c>
      <c r="E224" s="23">
        <f t="shared" si="28"/>
        <v>2623.8106030615336</v>
      </c>
      <c r="F224" s="24">
        <f t="shared" si="27"/>
        <v>284411.06928187062</v>
      </c>
    </row>
    <row r="225" spans="1:7" x14ac:dyDescent="0.25">
      <c r="A225" s="22" t="s">
        <v>103</v>
      </c>
      <c r="B225" s="23">
        <f t="shared" si="24"/>
        <v>284411.06928187062</v>
      </c>
      <c r="C225" s="23">
        <f t="shared" si="25"/>
        <v>1616.5213993549085</v>
      </c>
      <c r="D225" s="23">
        <f t="shared" si="26"/>
        <v>1007.2892037066251</v>
      </c>
      <c r="E225" s="23">
        <f t="shared" si="28"/>
        <v>2623.8106030615336</v>
      </c>
      <c r="F225" s="24">
        <f t="shared" si="27"/>
        <v>282794.5478825157</v>
      </c>
    </row>
    <row r="226" spans="1:7" x14ac:dyDescent="0.25">
      <c r="A226" s="22" t="s">
        <v>104</v>
      </c>
      <c r="B226" s="23">
        <f t="shared" si="24"/>
        <v>282794.5478825157</v>
      </c>
      <c r="C226" s="23">
        <f t="shared" si="25"/>
        <v>1622.246579310957</v>
      </c>
      <c r="D226" s="23">
        <f t="shared" si="26"/>
        <v>1001.5640237505766</v>
      </c>
      <c r="E226" s="23">
        <f t="shared" si="28"/>
        <v>2623.8106030615336</v>
      </c>
      <c r="F226" s="24">
        <f t="shared" si="27"/>
        <v>281172.30130320473</v>
      </c>
    </row>
    <row r="227" spans="1:7" x14ac:dyDescent="0.25">
      <c r="A227" s="22" t="s">
        <v>105</v>
      </c>
      <c r="B227" s="23">
        <f t="shared" si="24"/>
        <v>281172.30130320473</v>
      </c>
      <c r="C227" s="23">
        <f t="shared" si="25"/>
        <v>1627.9920359460168</v>
      </c>
      <c r="D227" s="23">
        <f t="shared" si="26"/>
        <v>995.81856711551677</v>
      </c>
      <c r="E227" s="23">
        <f t="shared" si="28"/>
        <v>2623.8106030615336</v>
      </c>
      <c r="F227" s="24">
        <f t="shared" si="27"/>
        <v>279544.30926725874</v>
      </c>
    </row>
    <row r="228" spans="1:7" x14ac:dyDescent="0.25">
      <c r="A228" s="22" t="s">
        <v>106</v>
      </c>
      <c r="B228" s="23">
        <f t="shared" si="24"/>
        <v>279544.30926725874</v>
      </c>
      <c r="C228" s="23">
        <f t="shared" si="25"/>
        <v>1633.7578410733254</v>
      </c>
      <c r="D228" s="23">
        <f t="shared" si="26"/>
        <v>990.05276198820809</v>
      </c>
      <c r="E228" s="23">
        <f t="shared" si="28"/>
        <v>2623.8106030615336</v>
      </c>
      <c r="F228" s="24">
        <f t="shared" si="27"/>
        <v>277910.55142618541</v>
      </c>
    </row>
    <row r="229" spans="1:7" ht="15.75" thickBot="1" x14ac:dyDescent="0.3">
      <c r="A229" s="27" t="s">
        <v>107</v>
      </c>
      <c r="B229" s="28">
        <f t="shared" si="24"/>
        <v>277910.55142618541</v>
      </c>
      <c r="C229" s="28">
        <f t="shared" si="25"/>
        <v>1639.5440667604603</v>
      </c>
      <c r="D229" s="28">
        <f t="shared" si="26"/>
        <v>984.26653630107342</v>
      </c>
      <c r="E229" s="28">
        <f t="shared" si="28"/>
        <v>2623.8106030615336</v>
      </c>
      <c r="F229" s="29">
        <f t="shared" si="27"/>
        <v>276271.00735942496</v>
      </c>
      <c r="G229" s="30">
        <f>SUM(D218:D229)</f>
        <v>12188.6322806433</v>
      </c>
    </row>
    <row r="230" spans="1:7" x14ac:dyDescent="0.25">
      <c r="A230" s="19" t="s">
        <v>108</v>
      </c>
      <c r="B230" s="20">
        <f t="shared" si="24"/>
        <v>276271.00735942496</v>
      </c>
      <c r="C230" s="20">
        <f t="shared" si="25"/>
        <v>1645.3507853302367</v>
      </c>
      <c r="D230" s="20">
        <f t="shared" si="26"/>
        <v>978.45981773129677</v>
      </c>
      <c r="E230" s="20">
        <f t="shared" si="28"/>
        <v>2623.8106030615336</v>
      </c>
      <c r="F230" s="21">
        <f t="shared" si="27"/>
        <v>274625.65657409473</v>
      </c>
      <c r="G230" s="15"/>
    </row>
    <row r="231" spans="1:7" x14ac:dyDescent="0.25">
      <c r="A231" s="22" t="s">
        <v>93</v>
      </c>
      <c r="B231" s="23">
        <f t="shared" si="24"/>
        <v>274625.65657409473</v>
      </c>
      <c r="C231" s="23">
        <f t="shared" si="25"/>
        <v>1651.1780693616147</v>
      </c>
      <c r="D231" s="23">
        <f t="shared" si="26"/>
        <v>972.63253369991889</v>
      </c>
      <c r="E231" s="23">
        <f t="shared" si="28"/>
        <v>2623.8106030615336</v>
      </c>
      <c r="F231" s="24">
        <f t="shared" si="27"/>
        <v>272974.47850473312</v>
      </c>
      <c r="G231" s="15"/>
    </row>
    <row r="232" spans="1:7" x14ac:dyDescent="0.25">
      <c r="A232" s="22" t="s">
        <v>95</v>
      </c>
      <c r="B232" s="23">
        <f t="shared" si="24"/>
        <v>272974.47850473312</v>
      </c>
      <c r="C232" s="23">
        <f t="shared" si="25"/>
        <v>1657.0259916906039</v>
      </c>
      <c r="D232" s="23">
        <f t="shared" si="26"/>
        <v>966.78461137092984</v>
      </c>
      <c r="E232" s="23">
        <f t="shared" si="28"/>
        <v>2623.8106030615336</v>
      </c>
      <c r="F232" s="24">
        <f t="shared" si="27"/>
        <v>271317.45251304255</v>
      </c>
      <c r="G232" s="15"/>
    </row>
    <row r="233" spans="1:7" x14ac:dyDescent="0.25">
      <c r="A233" s="22" t="s">
        <v>96</v>
      </c>
      <c r="B233" s="23">
        <f t="shared" si="24"/>
        <v>271317.45251304255</v>
      </c>
      <c r="C233" s="23">
        <f t="shared" si="25"/>
        <v>1662.8946254111745</v>
      </c>
      <c r="D233" s="23">
        <f t="shared" si="26"/>
        <v>960.91597765035908</v>
      </c>
      <c r="E233" s="23">
        <f t="shared" si="28"/>
        <v>2623.8106030615336</v>
      </c>
      <c r="F233" s="24">
        <f t="shared" si="27"/>
        <v>269654.55788763135</v>
      </c>
      <c r="G233" s="15"/>
    </row>
    <row r="234" spans="1:7" x14ac:dyDescent="0.25">
      <c r="A234" s="22" t="s">
        <v>98</v>
      </c>
      <c r="B234" s="23">
        <f t="shared" si="24"/>
        <v>269654.55788763135</v>
      </c>
      <c r="C234" s="23">
        <f t="shared" si="25"/>
        <v>1668.7840438761725</v>
      </c>
      <c r="D234" s="23">
        <f t="shared" si="26"/>
        <v>955.02655918536107</v>
      </c>
      <c r="E234" s="23">
        <f t="shared" si="28"/>
        <v>2623.8106030615336</v>
      </c>
      <c r="F234" s="24">
        <f t="shared" si="27"/>
        <v>267985.77384375519</v>
      </c>
      <c r="G234" s="15"/>
    </row>
    <row r="235" spans="1:7" x14ac:dyDescent="0.25">
      <c r="A235" s="22" t="s">
        <v>100</v>
      </c>
      <c r="B235" s="23">
        <f t="shared" si="24"/>
        <v>267985.77384375519</v>
      </c>
      <c r="C235" s="23">
        <f t="shared" si="25"/>
        <v>1674.6943206982339</v>
      </c>
      <c r="D235" s="23">
        <f t="shared" si="26"/>
        <v>949.11628236329966</v>
      </c>
      <c r="E235" s="23">
        <f t="shared" si="28"/>
        <v>2623.8106030615336</v>
      </c>
      <c r="F235" s="24">
        <f t="shared" si="27"/>
        <v>266311.07952305698</v>
      </c>
      <c r="G235" s="15"/>
    </row>
    <row r="236" spans="1:7" x14ac:dyDescent="0.25">
      <c r="A236" s="22" t="s">
        <v>102</v>
      </c>
      <c r="B236" s="23">
        <f t="shared" si="24"/>
        <v>266311.07952305698</v>
      </c>
      <c r="C236" s="23">
        <f t="shared" si="25"/>
        <v>1680.6255297507068</v>
      </c>
      <c r="D236" s="23">
        <f t="shared" si="26"/>
        <v>943.18507331082685</v>
      </c>
      <c r="E236" s="23">
        <f t="shared" si="28"/>
        <v>2623.8106030615336</v>
      </c>
      <c r="F236" s="24">
        <f t="shared" si="27"/>
        <v>264630.45399330626</v>
      </c>
      <c r="G236" s="15"/>
    </row>
    <row r="237" spans="1:7" x14ac:dyDescent="0.25">
      <c r="A237" s="22" t="s">
        <v>103</v>
      </c>
      <c r="B237" s="23">
        <f t="shared" si="24"/>
        <v>264630.45399330626</v>
      </c>
      <c r="C237" s="23">
        <f t="shared" si="25"/>
        <v>1686.577745168574</v>
      </c>
      <c r="D237" s="23">
        <f t="shared" si="26"/>
        <v>937.23285789295971</v>
      </c>
      <c r="E237" s="23">
        <f t="shared" si="28"/>
        <v>2623.8106030615336</v>
      </c>
      <c r="F237" s="24">
        <f t="shared" si="27"/>
        <v>262943.87624813768</v>
      </c>
      <c r="G237" s="15"/>
    </row>
    <row r="238" spans="1:7" x14ac:dyDescent="0.25">
      <c r="A238" s="22" t="s">
        <v>104</v>
      </c>
      <c r="B238" s="23">
        <f t="shared" si="24"/>
        <v>262943.87624813768</v>
      </c>
      <c r="C238" s="23">
        <f t="shared" si="25"/>
        <v>1692.5510413493794</v>
      </c>
      <c r="D238" s="23">
        <f t="shared" si="26"/>
        <v>931.25956171215432</v>
      </c>
      <c r="E238" s="23">
        <f t="shared" si="28"/>
        <v>2623.8106030615336</v>
      </c>
      <c r="F238" s="24">
        <f t="shared" si="27"/>
        <v>261251.32520678829</v>
      </c>
      <c r="G238" s="15"/>
    </row>
    <row r="239" spans="1:7" x14ac:dyDescent="0.25">
      <c r="A239" s="22" t="s">
        <v>105</v>
      </c>
      <c r="B239" s="23">
        <f t="shared" si="24"/>
        <v>261251.32520678829</v>
      </c>
      <c r="C239" s="23">
        <f t="shared" si="25"/>
        <v>1698.5454929541584</v>
      </c>
      <c r="D239" s="23">
        <f t="shared" si="26"/>
        <v>925.26511010737522</v>
      </c>
      <c r="E239" s="23">
        <f t="shared" si="28"/>
        <v>2623.8106030615336</v>
      </c>
      <c r="F239" s="24">
        <f t="shared" si="27"/>
        <v>259552.77971383414</v>
      </c>
      <c r="G239" s="15"/>
    </row>
    <row r="240" spans="1:7" x14ac:dyDescent="0.25">
      <c r="A240" s="22" t="s">
        <v>106</v>
      </c>
      <c r="B240" s="23">
        <f t="shared" si="24"/>
        <v>259552.77971383414</v>
      </c>
      <c r="C240" s="23">
        <f t="shared" si="25"/>
        <v>1704.561174908371</v>
      </c>
      <c r="D240" s="23">
        <f t="shared" si="26"/>
        <v>919.24942815316263</v>
      </c>
      <c r="E240" s="23">
        <f t="shared" si="28"/>
        <v>2623.8106030615336</v>
      </c>
      <c r="F240" s="24">
        <f t="shared" si="27"/>
        <v>257848.21853892578</v>
      </c>
      <c r="G240" s="15"/>
    </row>
    <row r="241" spans="1:7" ht="15.75" thickBot="1" x14ac:dyDescent="0.3">
      <c r="A241" s="27" t="s">
        <v>107</v>
      </c>
      <c r="B241" s="28">
        <f t="shared" si="24"/>
        <v>257848.21853892578</v>
      </c>
      <c r="C241" s="28">
        <f t="shared" si="25"/>
        <v>1710.5981624028382</v>
      </c>
      <c r="D241" s="28">
        <f t="shared" si="26"/>
        <v>913.21244065869553</v>
      </c>
      <c r="E241" s="28">
        <f t="shared" si="28"/>
        <v>2623.8106030615336</v>
      </c>
      <c r="F241" s="29">
        <f t="shared" si="27"/>
        <v>256137.62037652294</v>
      </c>
      <c r="G241" s="30">
        <f>SUM(D230:D241)</f>
        <v>11352.340253836341</v>
      </c>
    </row>
    <row r="242" spans="1:7" x14ac:dyDescent="0.25">
      <c r="A242" s="19" t="s">
        <v>108</v>
      </c>
      <c r="B242" s="20">
        <f t="shared" ref="B242:B305" si="29">+F241</f>
        <v>256137.62037652294</v>
      </c>
      <c r="C242" s="20">
        <f t="shared" ref="C242:C305" si="30">+E242-D242</f>
        <v>1716.6565308946815</v>
      </c>
      <c r="D242" s="20">
        <f t="shared" ref="D242:D305" si="31">B242*$I$2</f>
        <v>907.15407216685219</v>
      </c>
      <c r="E242" s="20">
        <f t="shared" si="28"/>
        <v>2623.8106030615336</v>
      </c>
      <c r="F242" s="21">
        <f t="shared" ref="F242:F305" si="32">+B242-C242</f>
        <v>254420.96384562826</v>
      </c>
      <c r="G242" s="15"/>
    </row>
    <row r="243" spans="1:7" x14ac:dyDescent="0.25">
      <c r="A243" s="22" t="s">
        <v>93</v>
      </c>
      <c r="B243" s="23">
        <f t="shared" si="29"/>
        <v>254420.96384562826</v>
      </c>
      <c r="C243" s="23">
        <f t="shared" si="30"/>
        <v>1722.7363561082668</v>
      </c>
      <c r="D243" s="23">
        <f t="shared" si="31"/>
        <v>901.07424695326677</v>
      </c>
      <c r="E243" s="23">
        <f t="shared" si="28"/>
        <v>2623.8106030615336</v>
      </c>
      <c r="F243" s="24">
        <f t="shared" si="32"/>
        <v>252698.22748951998</v>
      </c>
      <c r="G243" s="15"/>
    </row>
    <row r="244" spans="1:7" x14ac:dyDescent="0.25">
      <c r="A244" s="22" t="s">
        <v>95</v>
      </c>
      <c r="B244" s="23">
        <f t="shared" si="29"/>
        <v>252698.22748951998</v>
      </c>
      <c r="C244" s="23">
        <f t="shared" si="30"/>
        <v>1728.8377140361504</v>
      </c>
      <c r="D244" s="23">
        <f t="shared" si="31"/>
        <v>894.97288902538332</v>
      </c>
      <c r="E244" s="23">
        <f t="shared" si="28"/>
        <v>2623.8106030615336</v>
      </c>
      <c r="F244" s="24">
        <f t="shared" si="32"/>
        <v>250969.38977548384</v>
      </c>
      <c r="G244" s="15"/>
    </row>
    <row r="245" spans="1:7" x14ac:dyDescent="0.25">
      <c r="A245" s="22" t="s">
        <v>96</v>
      </c>
      <c r="B245" s="23">
        <f t="shared" si="29"/>
        <v>250969.38977548384</v>
      </c>
      <c r="C245" s="23">
        <f t="shared" si="30"/>
        <v>1734.9606809400284</v>
      </c>
      <c r="D245" s="23">
        <f t="shared" si="31"/>
        <v>888.8499221215053</v>
      </c>
      <c r="E245" s="23">
        <f t="shared" si="28"/>
        <v>2623.8106030615336</v>
      </c>
      <c r="F245" s="24">
        <f t="shared" si="32"/>
        <v>249234.4290945438</v>
      </c>
      <c r="G245" s="15"/>
    </row>
    <row r="246" spans="1:7" x14ac:dyDescent="0.25">
      <c r="A246" s="22" t="s">
        <v>98</v>
      </c>
      <c r="B246" s="23">
        <f t="shared" si="29"/>
        <v>249234.4290945438</v>
      </c>
      <c r="C246" s="23">
        <f t="shared" si="30"/>
        <v>1741.1053333516909</v>
      </c>
      <c r="D246" s="23">
        <f t="shared" si="31"/>
        <v>882.7052697098427</v>
      </c>
      <c r="E246" s="23">
        <f t="shared" si="28"/>
        <v>2623.8106030615336</v>
      </c>
      <c r="F246" s="24">
        <f t="shared" si="32"/>
        <v>247493.32376119209</v>
      </c>
      <c r="G246" s="15"/>
    </row>
    <row r="247" spans="1:7" x14ac:dyDescent="0.25">
      <c r="A247" s="22" t="s">
        <v>100</v>
      </c>
      <c r="B247" s="23">
        <f t="shared" si="29"/>
        <v>247493.32376119209</v>
      </c>
      <c r="C247" s="23">
        <f t="shared" si="30"/>
        <v>1747.2717480739782</v>
      </c>
      <c r="D247" s="23">
        <f t="shared" si="31"/>
        <v>876.5388549875554</v>
      </c>
      <c r="E247" s="23">
        <f t="shared" si="28"/>
        <v>2623.8106030615336</v>
      </c>
      <c r="F247" s="24">
        <f t="shared" si="32"/>
        <v>245746.05201311811</v>
      </c>
      <c r="G247" s="15"/>
    </row>
    <row r="248" spans="1:7" x14ac:dyDescent="0.25">
      <c r="A248" s="22" t="s">
        <v>102</v>
      </c>
      <c r="B248" s="23">
        <f t="shared" si="29"/>
        <v>245746.05201311811</v>
      </c>
      <c r="C248" s="23">
        <f t="shared" si="30"/>
        <v>1753.4600021817403</v>
      </c>
      <c r="D248" s="23">
        <f t="shared" si="31"/>
        <v>870.35060087979332</v>
      </c>
      <c r="E248" s="23">
        <f t="shared" si="28"/>
        <v>2623.8106030615336</v>
      </c>
      <c r="F248" s="24">
        <f t="shared" si="32"/>
        <v>243992.59201093638</v>
      </c>
      <c r="G248" s="15"/>
    </row>
    <row r="249" spans="1:7" x14ac:dyDescent="0.25">
      <c r="A249" s="22" t="s">
        <v>103</v>
      </c>
      <c r="B249" s="23">
        <f t="shared" si="29"/>
        <v>243992.59201093638</v>
      </c>
      <c r="C249" s="23">
        <f t="shared" si="30"/>
        <v>1759.6701730228006</v>
      </c>
      <c r="D249" s="23">
        <f t="shared" si="31"/>
        <v>864.14043003873303</v>
      </c>
      <c r="E249" s="23">
        <f t="shared" si="28"/>
        <v>2623.8106030615336</v>
      </c>
      <c r="F249" s="24">
        <f t="shared" si="32"/>
        <v>242232.92183791357</v>
      </c>
      <c r="G249" s="15"/>
    </row>
    <row r="250" spans="1:7" x14ac:dyDescent="0.25">
      <c r="A250" s="22" t="s">
        <v>104</v>
      </c>
      <c r="B250" s="23">
        <f t="shared" si="29"/>
        <v>242232.92183791357</v>
      </c>
      <c r="C250" s="23">
        <f t="shared" si="30"/>
        <v>1765.902338218923</v>
      </c>
      <c r="D250" s="23">
        <f t="shared" si="31"/>
        <v>857.90826484261061</v>
      </c>
      <c r="E250" s="23">
        <f t="shared" si="28"/>
        <v>2623.8106030615336</v>
      </c>
      <c r="F250" s="24">
        <f t="shared" si="32"/>
        <v>240467.01949969464</v>
      </c>
      <c r="G250" s="15"/>
    </row>
    <row r="251" spans="1:7" x14ac:dyDescent="0.25">
      <c r="A251" s="22" t="s">
        <v>105</v>
      </c>
      <c r="B251" s="23">
        <f t="shared" si="29"/>
        <v>240467.01949969464</v>
      </c>
      <c r="C251" s="23">
        <f t="shared" si="30"/>
        <v>1772.1565756667817</v>
      </c>
      <c r="D251" s="23">
        <f t="shared" si="31"/>
        <v>851.65402739475189</v>
      </c>
      <c r="E251" s="23">
        <f t="shared" si="28"/>
        <v>2623.8106030615336</v>
      </c>
      <c r="F251" s="24">
        <f t="shared" si="32"/>
        <v>238694.86292402787</v>
      </c>
      <c r="G251" s="15"/>
    </row>
    <row r="252" spans="1:7" x14ac:dyDescent="0.25">
      <c r="A252" s="22" t="s">
        <v>106</v>
      </c>
      <c r="B252" s="23">
        <f t="shared" si="29"/>
        <v>238694.86292402787</v>
      </c>
      <c r="C252" s="23">
        <f t="shared" si="30"/>
        <v>1778.4329635389349</v>
      </c>
      <c r="D252" s="23">
        <f t="shared" si="31"/>
        <v>845.37763952259877</v>
      </c>
      <c r="E252" s="23">
        <f t="shared" si="28"/>
        <v>2623.8106030615336</v>
      </c>
      <c r="F252" s="24">
        <f t="shared" si="32"/>
        <v>236916.42996048892</v>
      </c>
      <c r="G252" s="15"/>
    </row>
    <row r="253" spans="1:7" ht="15.75" thickBot="1" x14ac:dyDescent="0.3">
      <c r="A253" s="27" t="s">
        <v>107</v>
      </c>
      <c r="B253" s="28">
        <f t="shared" si="29"/>
        <v>236916.42996048892</v>
      </c>
      <c r="C253" s="28">
        <f t="shared" si="30"/>
        <v>1784.731580284802</v>
      </c>
      <c r="D253" s="28">
        <f t="shared" si="31"/>
        <v>839.07902277673168</v>
      </c>
      <c r="E253" s="28">
        <f t="shared" si="28"/>
        <v>2623.8106030615336</v>
      </c>
      <c r="F253" s="29">
        <f t="shared" si="32"/>
        <v>235131.69838020412</v>
      </c>
      <c r="G253" s="30">
        <f>SUM(D242:D253)</f>
        <v>10479.805240419626</v>
      </c>
    </row>
    <row r="254" spans="1:7" x14ac:dyDescent="0.25">
      <c r="A254" s="19" t="s">
        <v>108</v>
      </c>
      <c r="B254" s="20">
        <f t="shared" si="29"/>
        <v>235131.69838020412</v>
      </c>
      <c r="C254" s="20">
        <f t="shared" si="30"/>
        <v>1791.0525046316438</v>
      </c>
      <c r="D254" s="20">
        <f t="shared" si="31"/>
        <v>832.75809842988963</v>
      </c>
      <c r="E254" s="20">
        <f t="shared" si="28"/>
        <v>2623.8106030615336</v>
      </c>
      <c r="F254" s="21">
        <f t="shared" si="32"/>
        <v>233340.64587557249</v>
      </c>
    </row>
    <row r="255" spans="1:7" x14ac:dyDescent="0.25">
      <c r="A255" s="22" t="s">
        <v>93</v>
      </c>
      <c r="B255" s="23">
        <f t="shared" si="29"/>
        <v>233340.64587557249</v>
      </c>
      <c r="C255" s="23">
        <f t="shared" si="30"/>
        <v>1797.3958155855476</v>
      </c>
      <c r="D255" s="23">
        <f t="shared" si="31"/>
        <v>826.41478747598592</v>
      </c>
      <c r="E255" s="23">
        <f t="shared" si="28"/>
        <v>2623.8106030615336</v>
      </c>
      <c r="F255" s="24">
        <f t="shared" si="32"/>
        <v>231543.25005998695</v>
      </c>
    </row>
    <row r="256" spans="1:7" x14ac:dyDescent="0.25">
      <c r="A256" s="22" t="s">
        <v>95</v>
      </c>
      <c r="B256" s="23">
        <f t="shared" si="29"/>
        <v>231543.25005998695</v>
      </c>
      <c r="C256" s="23">
        <f t="shared" si="30"/>
        <v>1803.7615924324132</v>
      </c>
      <c r="D256" s="23">
        <f t="shared" si="31"/>
        <v>820.04901062912052</v>
      </c>
      <c r="E256" s="23">
        <f t="shared" si="28"/>
        <v>2623.8106030615336</v>
      </c>
      <c r="F256" s="24">
        <f t="shared" si="32"/>
        <v>229739.48846755453</v>
      </c>
    </row>
    <row r="257" spans="1:7" x14ac:dyDescent="0.25">
      <c r="A257" s="22" t="s">
        <v>96</v>
      </c>
      <c r="B257" s="23">
        <f t="shared" si="29"/>
        <v>229739.48846755453</v>
      </c>
      <c r="C257" s="23">
        <f t="shared" si="30"/>
        <v>1810.1499147389445</v>
      </c>
      <c r="D257" s="23">
        <f t="shared" si="31"/>
        <v>813.66068832258907</v>
      </c>
      <c r="E257" s="23">
        <f t="shared" si="28"/>
        <v>2623.8106030615336</v>
      </c>
      <c r="F257" s="24">
        <f t="shared" si="32"/>
        <v>227929.33855281558</v>
      </c>
    </row>
    <row r="258" spans="1:7" x14ac:dyDescent="0.25">
      <c r="A258" s="22" t="s">
        <v>98</v>
      </c>
      <c r="B258" s="23">
        <f t="shared" si="29"/>
        <v>227929.33855281558</v>
      </c>
      <c r="C258" s="23">
        <f t="shared" si="30"/>
        <v>1816.560862353645</v>
      </c>
      <c r="D258" s="23">
        <f t="shared" si="31"/>
        <v>807.24974070788858</v>
      </c>
      <c r="E258" s="23">
        <f t="shared" si="28"/>
        <v>2623.8106030615336</v>
      </c>
      <c r="F258" s="24">
        <f t="shared" si="32"/>
        <v>226112.77769046192</v>
      </c>
    </row>
    <row r="259" spans="1:7" x14ac:dyDescent="0.25">
      <c r="A259" s="22" t="s">
        <v>100</v>
      </c>
      <c r="B259" s="23">
        <f t="shared" si="29"/>
        <v>226112.77769046192</v>
      </c>
      <c r="C259" s="23">
        <f t="shared" si="30"/>
        <v>1822.9945154078141</v>
      </c>
      <c r="D259" s="23">
        <f t="shared" si="31"/>
        <v>800.81608765371936</v>
      </c>
      <c r="E259" s="23">
        <f t="shared" si="28"/>
        <v>2623.8106030615336</v>
      </c>
      <c r="F259" s="24">
        <f t="shared" si="32"/>
        <v>224289.78317505412</v>
      </c>
    </row>
    <row r="260" spans="1:7" x14ac:dyDescent="0.25">
      <c r="A260" s="22" t="s">
        <v>102</v>
      </c>
      <c r="B260" s="23">
        <f t="shared" si="29"/>
        <v>224289.78317505412</v>
      </c>
      <c r="C260" s="23">
        <f t="shared" si="30"/>
        <v>1829.4509543165502</v>
      </c>
      <c r="D260" s="23">
        <f t="shared" si="31"/>
        <v>794.35964874498336</v>
      </c>
      <c r="E260" s="23">
        <f t="shared" si="28"/>
        <v>2623.8106030615336</v>
      </c>
      <c r="F260" s="24">
        <f t="shared" si="32"/>
        <v>222460.33222073756</v>
      </c>
    </row>
    <row r="261" spans="1:7" x14ac:dyDescent="0.25">
      <c r="A261" s="22" t="s">
        <v>103</v>
      </c>
      <c r="B261" s="23">
        <f t="shared" si="29"/>
        <v>222460.33222073756</v>
      </c>
      <c r="C261" s="23">
        <f t="shared" si="30"/>
        <v>1835.9302597797546</v>
      </c>
      <c r="D261" s="23">
        <f t="shared" si="31"/>
        <v>787.88034328177889</v>
      </c>
      <c r="E261" s="23">
        <f t="shared" si="28"/>
        <v>2623.8106030615336</v>
      </c>
      <c r="F261" s="24">
        <f t="shared" si="32"/>
        <v>220624.4019609578</v>
      </c>
    </row>
    <row r="262" spans="1:7" x14ac:dyDescent="0.25">
      <c r="A262" s="22" t="s">
        <v>104</v>
      </c>
      <c r="B262" s="23">
        <f t="shared" si="29"/>
        <v>220624.4019609578</v>
      </c>
      <c r="C262" s="23">
        <f t="shared" si="30"/>
        <v>1842.4325127831412</v>
      </c>
      <c r="D262" s="23">
        <f t="shared" si="31"/>
        <v>781.37809027839228</v>
      </c>
      <c r="E262" s="23">
        <f t="shared" si="28"/>
        <v>2623.8106030615336</v>
      </c>
      <c r="F262" s="24">
        <f t="shared" si="32"/>
        <v>218781.96944817464</v>
      </c>
    </row>
    <row r="263" spans="1:7" x14ac:dyDescent="0.25">
      <c r="A263" s="22" t="s">
        <v>105</v>
      </c>
      <c r="B263" s="23">
        <f t="shared" si="29"/>
        <v>218781.96944817464</v>
      </c>
      <c r="C263" s="23">
        <f t="shared" si="30"/>
        <v>1848.9577945992482</v>
      </c>
      <c r="D263" s="23">
        <f t="shared" si="31"/>
        <v>774.85280846228522</v>
      </c>
      <c r="E263" s="23">
        <f t="shared" si="28"/>
        <v>2623.8106030615336</v>
      </c>
      <c r="F263" s="24">
        <f t="shared" si="32"/>
        <v>216933.01165357541</v>
      </c>
    </row>
    <row r="264" spans="1:7" x14ac:dyDescent="0.25">
      <c r="A264" s="22" t="s">
        <v>106</v>
      </c>
      <c r="B264" s="23">
        <f t="shared" si="29"/>
        <v>216933.01165357541</v>
      </c>
      <c r="C264" s="23">
        <f t="shared" si="30"/>
        <v>1855.506186788454</v>
      </c>
      <c r="D264" s="23">
        <f t="shared" si="31"/>
        <v>768.3044162730796</v>
      </c>
      <c r="E264" s="23">
        <f t="shared" si="28"/>
        <v>2623.8106030615336</v>
      </c>
      <c r="F264" s="24">
        <f t="shared" si="32"/>
        <v>215077.50546678694</v>
      </c>
    </row>
    <row r="265" spans="1:7" ht="15.75" thickBot="1" x14ac:dyDescent="0.3">
      <c r="A265" s="27" t="s">
        <v>107</v>
      </c>
      <c r="B265" s="28">
        <f t="shared" si="29"/>
        <v>215077.50546678694</v>
      </c>
      <c r="C265" s="28">
        <f t="shared" si="30"/>
        <v>1862.0777711999963</v>
      </c>
      <c r="D265" s="28">
        <f t="shared" si="31"/>
        <v>761.73283186153719</v>
      </c>
      <c r="E265" s="28">
        <f t="shared" si="28"/>
        <v>2623.8106030615336</v>
      </c>
      <c r="F265" s="29">
        <f t="shared" si="32"/>
        <v>213215.42769558696</v>
      </c>
      <c r="G265" s="30">
        <f>SUM(D254:D265)</f>
        <v>9569.456552121248</v>
      </c>
    </row>
    <row r="266" spans="1:7" x14ac:dyDescent="0.25">
      <c r="A266" s="19" t="s">
        <v>108</v>
      </c>
      <c r="B266" s="20">
        <f t="shared" si="29"/>
        <v>213215.42769558696</v>
      </c>
      <c r="C266" s="20">
        <f t="shared" si="30"/>
        <v>1868.6726299729962</v>
      </c>
      <c r="D266" s="20">
        <f t="shared" si="31"/>
        <v>755.13797308853725</v>
      </c>
      <c r="E266" s="20">
        <f t="shared" si="28"/>
        <v>2623.8106030615336</v>
      </c>
      <c r="F266" s="21">
        <f t="shared" si="32"/>
        <v>211346.75506561395</v>
      </c>
      <c r="G266" s="15"/>
    </row>
    <row r="267" spans="1:7" x14ac:dyDescent="0.25">
      <c r="A267" s="22" t="s">
        <v>93</v>
      </c>
      <c r="B267" s="23">
        <f t="shared" si="29"/>
        <v>211346.75506561395</v>
      </c>
      <c r="C267" s="23">
        <f t="shared" si="30"/>
        <v>1875.2908455374841</v>
      </c>
      <c r="D267" s="23">
        <f t="shared" si="31"/>
        <v>748.51975752404951</v>
      </c>
      <c r="E267" s="23">
        <f t="shared" si="28"/>
        <v>2623.8106030615336</v>
      </c>
      <c r="F267" s="24">
        <f t="shared" si="32"/>
        <v>209471.46422007648</v>
      </c>
      <c r="G267" s="15"/>
    </row>
    <row r="268" spans="1:7" x14ac:dyDescent="0.25">
      <c r="A268" s="22" t="s">
        <v>95</v>
      </c>
      <c r="B268" s="23">
        <f t="shared" si="29"/>
        <v>209471.46422007648</v>
      </c>
      <c r="C268" s="23">
        <f t="shared" si="30"/>
        <v>1881.9325006154295</v>
      </c>
      <c r="D268" s="23">
        <f t="shared" si="31"/>
        <v>741.87810244610421</v>
      </c>
      <c r="E268" s="23">
        <f t="shared" si="28"/>
        <v>2623.8106030615336</v>
      </c>
      <c r="F268" s="24">
        <f t="shared" si="32"/>
        <v>207589.53171946105</v>
      </c>
      <c r="G268" s="15"/>
    </row>
    <row r="269" spans="1:7" x14ac:dyDescent="0.25">
      <c r="A269" s="22" t="s">
        <v>96</v>
      </c>
      <c r="B269" s="23">
        <f t="shared" si="29"/>
        <v>207589.53171946105</v>
      </c>
      <c r="C269" s="23">
        <f t="shared" si="30"/>
        <v>1888.5976782217756</v>
      </c>
      <c r="D269" s="23">
        <f t="shared" si="31"/>
        <v>735.21292483975799</v>
      </c>
      <c r="E269" s="23">
        <f t="shared" ref="E269:E332" si="33">-$I$9</f>
        <v>2623.8106030615336</v>
      </c>
      <c r="F269" s="24">
        <f t="shared" si="32"/>
        <v>205700.93404123929</v>
      </c>
      <c r="G269" s="15"/>
    </row>
    <row r="270" spans="1:7" x14ac:dyDescent="0.25">
      <c r="A270" s="22" t="s">
        <v>98</v>
      </c>
      <c r="B270" s="23">
        <f t="shared" si="29"/>
        <v>205700.93404123929</v>
      </c>
      <c r="C270" s="23">
        <f t="shared" si="30"/>
        <v>1895.2864616654779</v>
      </c>
      <c r="D270" s="23">
        <f t="shared" si="31"/>
        <v>728.52414139605582</v>
      </c>
      <c r="E270" s="23">
        <f t="shared" si="33"/>
        <v>2623.8106030615336</v>
      </c>
      <c r="F270" s="24">
        <f t="shared" si="32"/>
        <v>203805.64757957382</v>
      </c>
      <c r="G270" s="15"/>
    </row>
    <row r="271" spans="1:7" x14ac:dyDescent="0.25">
      <c r="A271" s="22" t="s">
        <v>100</v>
      </c>
      <c r="B271" s="23">
        <f t="shared" si="29"/>
        <v>203805.64757957382</v>
      </c>
      <c r="C271" s="23">
        <f t="shared" si="30"/>
        <v>1901.9989345505428</v>
      </c>
      <c r="D271" s="23">
        <f t="shared" si="31"/>
        <v>721.81166851099067</v>
      </c>
      <c r="E271" s="23">
        <f t="shared" si="33"/>
        <v>2623.8106030615336</v>
      </c>
      <c r="F271" s="24">
        <f t="shared" si="32"/>
        <v>201903.64864502329</v>
      </c>
      <c r="G271" s="15"/>
    </row>
    <row r="272" spans="1:7" x14ac:dyDescent="0.25">
      <c r="A272" s="22" t="s">
        <v>102</v>
      </c>
      <c r="B272" s="23">
        <f t="shared" si="29"/>
        <v>201903.64864502329</v>
      </c>
      <c r="C272" s="23">
        <f t="shared" si="30"/>
        <v>1908.735180777076</v>
      </c>
      <c r="D272" s="23">
        <f t="shared" si="31"/>
        <v>715.07542228445755</v>
      </c>
      <c r="E272" s="23">
        <f t="shared" si="33"/>
        <v>2623.8106030615336</v>
      </c>
      <c r="F272" s="24">
        <f t="shared" si="32"/>
        <v>199994.9134642462</v>
      </c>
      <c r="G272" s="15"/>
    </row>
    <row r="273" spans="1:7" x14ac:dyDescent="0.25">
      <c r="A273" s="22" t="s">
        <v>103</v>
      </c>
      <c r="B273" s="23">
        <f t="shared" si="29"/>
        <v>199994.9134642462</v>
      </c>
      <c r="C273" s="23">
        <f t="shared" si="30"/>
        <v>1915.4952845423281</v>
      </c>
      <c r="D273" s="23">
        <f t="shared" si="31"/>
        <v>708.31531851920533</v>
      </c>
      <c r="E273" s="23">
        <f t="shared" si="33"/>
        <v>2623.8106030615336</v>
      </c>
      <c r="F273" s="24">
        <f t="shared" si="32"/>
        <v>198079.41817970388</v>
      </c>
      <c r="G273" s="15"/>
    </row>
    <row r="274" spans="1:7" x14ac:dyDescent="0.25">
      <c r="A274" s="22" t="s">
        <v>104</v>
      </c>
      <c r="B274" s="23">
        <f t="shared" si="29"/>
        <v>198079.41817970388</v>
      </c>
      <c r="C274" s="23">
        <f t="shared" si="30"/>
        <v>1922.2793303417488</v>
      </c>
      <c r="D274" s="23">
        <f t="shared" si="31"/>
        <v>701.53127271978462</v>
      </c>
      <c r="E274" s="23">
        <f t="shared" si="33"/>
        <v>2623.8106030615336</v>
      </c>
      <c r="F274" s="24">
        <f t="shared" si="32"/>
        <v>196157.13884936212</v>
      </c>
      <c r="G274" s="15"/>
    </row>
    <row r="275" spans="1:7" x14ac:dyDescent="0.25">
      <c r="A275" s="22" t="s">
        <v>105</v>
      </c>
      <c r="B275" s="23">
        <f t="shared" si="29"/>
        <v>196157.13884936212</v>
      </c>
      <c r="C275" s="23">
        <f t="shared" si="30"/>
        <v>1929.0874029700426</v>
      </c>
      <c r="D275" s="23">
        <f t="shared" si="31"/>
        <v>694.72320009149087</v>
      </c>
      <c r="E275" s="23">
        <f t="shared" si="33"/>
        <v>2623.8106030615336</v>
      </c>
      <c r="F275" s="24">
        <f t="shared" si="32"/>
        <v>194228.05144639208</v>
      </c>
      <c r="G275" s="15"/>
    </row>
    <row r="276" spans="1:7" x14ac:dyDescent="0.25">
      <c r="A276" s="22" t="s">
        <v>106</v>
      </c>
      <c r="B276" s="23">
        <f t="shared" si="29"/>
        <v>194228.05144639208</v>
      </c>
      <c r="C276" s="23">
        <f t="shared" si="30"/>
        <v>1935.9195875222281</v>
      </c>
      <c r="D276" s="23">
        <f t="shared" si="31"/>
        <v>687.89101553930539</v>
      </c>
      <c r="E276" s="23">
        <f t="shared" si="33"/>
        <v>2623.8106030615336</v>
      </c>
      <c r="F276" s="24">
        <f t="shared" si="32"/>
        <v>192292.13185886986</v>
      </c>
      <c r="G276" s="15"/>
    </row>
    <row r="277" spans="1:7" ht="15.75" thickBot="1" x14ac:dyDescent="0.3">
      <c r="A277" s="27" t="s">
        <v>107</v>
      </c>
      <c r="B277" s="28">
        <f t="shared" si="29"/>
        <v>192292.13185886986</v>
      </c>
      <c r="C277" s="28">
        <f t="shared" si="30"/>
        <v>1942.7759693947028</v>
      </c>
      <c r="D277" s="28">
        <f t="shared" si="31"/>
        <v>681.03463366683081</v>
      </c>
      <c r="E277" s="28">
        <f t="shared" si="33"/>
        <v>2623.8106030615336</v>
      </c>
      <c r="F277" s="29">
        <f t="shared" si="32"/>
        <v>190349.35588947515</v>
      </c>
      <c r="G277" s="30">
        <f>SUM(D266:D277)</f>
        <v>8619.655430626568</v>
      </c>
    </row>
    <row r="278" spans="1:7" x14ac:dyDescent="0.25">
      <c r="A278" s="19" t="s">
        <v>108</v>
      </c>
      <c r="B278" s="20">
        <f t="shared" si="29"/>
        <v>190349.35588947515</v>
      </c>
      <c r="C278" s="20">
        <f t="shared" si="30"/>
        <v>1949.6566342863091</v>
      </c>
      <c r="D278" s="20">
        <f t="shared" si="31"/>
        <v>674.15396877522448</v>
      </c>
      <c r="E278" s="20">
        <f t="shared" si="33"/>
        <v>2623.8106030615336</v>
      </c>
      <c r="F278" s="21">
        <f t="shared" si="32"/>
        <v>188399.69925518884</v>
      </c>
      <c r="G278" s="15"/>
    </row>
    <row r="279" spans="1:7" x14ac:dyDescent="0.25">
      <c r="A279" s="22" t="s">
        <v>93</v>
      </c>
      <c r="B279" s="23">
        <f t="shared" si="29"/>
        <v>188399.69925518884</v>
      </c>
      <c r="C279" s="23">
        <f t="shared" si="30"/>
        <v>1956.5616681994065</v>
      </c>
      <c r="D279" s="23">
        <f t="shared" si="31"/>
        <v>667.24893486212716</v>
      </c>
      <c r="E279" s="23">
        <f t="shared" si="33"/>
        <v>2623.8106030615336</v>
      </c>
      <c r="F279" s="24">
        <f t="shared" si="32"/>
        <v>186443.13758698944</v>
      </c>
      <c r="G279" s="15"/>
    </row>
    <row r="280" spans="1:7" x14ac:dyDescent="0.25">
      <c r="A280" s="22" t="s">
        <v>95</v>
      </c>
      <c r="B280" s="23">
        <f t="shared" si="29"/>
        <v>186443.13758698944</v>
      </c>
      <c r="C280" s="23">
        <f t="shared" si="30"/>
        <v>1963.4911574409459</v>
      </c>
      <c r="D280" s="23">
        <f t="shared" si="31"/>
        <v>660.31944562058766</v>
      </c>
      <c r="E280" s="23">
        <f t="shared" si="33"/>
        <v>2623.8106030615336</v>
      </c>
      <c r="F280" s="24">
        <f t="shared" si="32"/>
        <v>184479.64642954851</v>
      </c>
      <c r="G280" s="15"/>
    </row>
    <row r="281" spans="1:7" x14ac:dyDescent="0.25">
      <c r="A281" s="22" t="s">
        <v>96</v>
      </c>
      <c r="B281" s="23">
        <f t="shared" si="29"/>
        <v>184479.64642954851</v>
      </c>
      <c r="C281" s="23">
        <f t="shared" si="30"/>
        <v>1970.4451886235493</v>
      </c>
      <c r="D281" s="23">
        <f t="shared" si="31"/>
        <v>653.36541443798433</v>
      </c>
      <c r="E281" s="23">
        <f t="shared" si="33"/>
        <v>2623.8106030615336</v>
      </c>
      <c r="F281" s="24">
        <f t="shared" si="32"/>
        <v>182509.20124092494</v>
      </c>
      <c r="G281" s="15"/>
    </row>
    <row r="282" spans="1:7" x14ac:dyDescent="0.25">
      <c r="A282" s="22" t="s">
        <v>98</v>
      </c>
      <c r="B282" s="23">
        <f t="shared" si="29"/>
        <v>182509.20124092494</v>
      </c>
      <c r="C282" s="23">
        <f t="shared" si="30"/>
        <v>1977.4238486665911</v>
      </c>
      <c r="D282" s="23">
        <f t="shared" si="31"/>
        <v>646.3867543949425</v>
      </c>
      <c r="E282" s="23">
        <f t="shared" si="33"/>
        <v>2623.8106030615336</v>
      </c>
      <c r="F282" s="24">
        <f t="shared" si="32"/>
        <v>180531.77739225834</v>
      </c>
      <c r="G282" s="15"/>
    </row>
    <row r="283" spans="1:7" x14ac:dyDescent="0.25">
      <c r="A283" s="22" t="s">
        <v>100</v>
      </c>
      <c r="B283" s="23">
        <f t="shared" si="29"/>
        <v>180531.77739225834</v>
      </c>
      <c r="C283" s="23">
        <f t="shared" si="30"/>
        <v>1984.4272247972854</v>
      </c>
      <c r="D283" s="23">
        <f t="shared" si="31"/>
        <v>639.38337826424834</v>
      </c>
      <c r="E283" s="23">
        <f t="shared" si="33"/>
        <v>2623.8106030615336</v>
      </c>
      <c r="F283" s="24">
        <f t="shared" si="32"/>
        <v>178547.35016746106</v>
      </c>
      <c r="G283" s="15"/>
    </row>
    <row r="284" spans="1:7" x14ac:dyDescent="0.25">
      <c r="A284" s="22" t="s">
        <v>102</v>
      </c>
      <c r="B284" s="23">
        <f t="shared" si="29"/>
        <v>178547.35016746106</v>
      </c>
      <c r="C284" s="23">
        <f t="shared" si="30"/>
        <v>1991.4554045517757</v>
      </c>
      <c r="D284" s="23">
        <f t="shared" si="31"/>
        <v>632.355198509758</v>
      </c>
      <c r="E284" s="23">
        <f t="shared" si="33"/>
        <v>2623.8106030615336</v>
      </c>
      <c r="F284" s="24">
        <f t="shared" si="32"/>
        <v>176555.89476290927</v>
      </c>
      <c r="G284" s="15"/>
    </row>
    <row r="285" spans="1:7" x14ac:dyDescent="0.25">
      <c r="A285" s="22" t="s">
        <v>103</v>
      </c>
      <c r="B285" s="23">
        <f t="shared" si="29"/>
        <v>176555.89476290927</v>
      </c>
      <c r="C285" s="23">
        <f t="shared" si="30"/>
        <v>1998.5084757762297</v>
      </c>
      <c r="D285" s="23">
        <f t="shared" si="31"/>
        <v>625.30212728530375</v>
      </c>
      <c r="E285" s="23">
        <f t="shared" si="33"/>
        <v>2623.8106030615336</v>
      </c>
      <c r="F285" s="24">
        <f t="shared" si="32"/>
        <v>174557.38628713303</v>
      </c>
      <c r="G285" s="15"/>
    </row>
    <row r="286" spans="1:7" x14ac:dyDescent="0.25">
      <c r="A286" s="22" t="s">
        <v>104</v>
      </c>
      <c r="B286" s="23">
        <f t="shared" si="29"/>
        <v>174557.38628713303</v>
      </c>
      <c r="C286" s="23">
        <f t="shared" si="30"/>
        <v>2005.5865266279375</v>
      </c>
      <c r="D286" s="23">
        <f t="shared" si="31"/>
        <v>618.22407643359622</v>
      </c>
      <c r="E286" s="23">
        <f t="shared" si="33"/>
        <v>2623.8106030615336</v>
      </c>
      <c r="F286" s="24">
        <f t="shared" si="32"/>
        <v>172551.79976050509</v>
      </c>
      <c r="G286" s="15"/>
    </row>
    <row r="287" spans="1:7" x14ac:dyDescent="0.25">
      <c r="A287" s="22" t="s">
        <v>105</v>
      </c>
      <c r="B287" s="23">
        <f t="shared" si="29"/>
        <v>172551.79976050509</v>
      </c>
      <c r="C287" s="23">
        <f t="shared" si="30"/>
        <v>2012.6896455764113</v>
      </c>
      <c r="D287" s="23">
        <f t="shared" si="31"/>
        <v>611.12095748512229</v>
      </c>
      <c r="E287" s="23">
        <f t="shared" si="33"/>
        <v>2623.8106030615336</v>
      </c>
      <c r="F287" s="24">
        <f t="shared" si="32"/>
        <v>170539.11011492868</v>
      </c>
      <c r="G287" s="15"/>
    </row>
    <row r="288" spans="1:7" x14ac:dyDescent="0.25">
      <c r="A288" s="22" t="s">
        <v>106</v>
      </c>
      <c r="B288" s="23">
        <f t="shared" si="29"/>
        <v>170539.11011492868</v>
      </c>
      <c r="C288" s="23">
        <f t="shared" si="30"/>
        <v>2019.8179214044944</v>
      </c>
      <c r="D288" s="23">
        <f t="shared" si="31"/>
        <v>603.99268165703916</v>
      </c>
      <c r="E288" s="23">
        <f t="shared" si="33"/>
        <v>2623.8106030615336</v>
      </c>
      <c r="F288" s="24">
        <f t="shared" si="32"/>
        <v>168519.29219352419</v>
      </c>
      <c r="G288" s="15"/>
    </row>
    <row r="289" spans="1:7" ht="15.75" thickBot="1" x14ac:dyDescent="0.3">
      <c r="A289" s="27" t="s">
        <v>107</v>
      </c>
      <c r="B289" s="28">
        <f t="shared" si="29"/>
        <v>168519.29219352419</v>
      </c>
      <c r="C289" s="28">
        <f t="shared" si="30"/>
        <v>2026.9714432094688</v>
      </c>
      <c r="D289" s="28">
        <f t="shared" si="31"/>
        <v>596.83915985206488</v>
      </c>
      <c r="E289" s="28">
        <f t="shared" si="33"/>
        <v>2623.8106030615336</v>
      </c>
      <c r="F289" s="29">
        <f t="shared" si="32"/>
        <v>166492.32075031471</v>
      </c>
      <c r="G289" s="30">
        <f>SUM(D278:D289)</f>
        <v>7628.6920975779994</v>
      </c>
    </row>
    <row r="290" spans="1:7" x14ac:dyDescent="0.25">
      <c r="A290" s="19" t="s">
        <v>108</v>
      </c>
      <c r="B290" s="20">
        <f t="shared" si="29"/>
        <v>166492.32075031471</v>
      </c>
      <c r="C290" s="20">
        <f t="shared" si="30"/>
        <v>2034.1503004041688</v>
      </c>
      <c r="D290" s="20">
        <f t="shared" si="31"/>
        <v>589.6603026573647</v>
      </c>
      <c r="E290" s="20">
        <f t="shared" si="33"/>
        <v>2623.8106030615336</v>
      </c>
      <c r="F290" s="21">
        <f t="shared" si="32"/>
        <v>164458.17044991054</v>
      </c>
    </row>
    <row r="291" spans="1:7" x14ac:dyDescent="0.25">
      <c r="A291" s="22" t="s">
        <v>93</v>
      </c>
      <c r="B291" s="23">
        <f t="shared" si="29"/>
        <v>164458.17044991054</v>
      </c>
      <c r="C291" s="23">
        <f t="shared" si="30"/>
        <v>2041.3545827181003</v>
      </c>
      <c r="D291" s="23">
        <f t="shared" si="31"/>
        <v>582.45602034343324</v>
      </c>
      <c r="E291" s="23">
        <f t="shared" si="33"/>
        <v>2623.8106030615336</v>
      </c>
      <c r="F291" s="24">
        <f t="shared" si="32"/>
        <v>162416.81586719243</v>
      </c>
    </row>
    <row r="292" spans="1:7" x14ac:dyDescent="0.25">
      <c r="A292" s="22" t="s">
        <v>95</v>
      </c>
      <c r="B292" s="23">
        <f t="shared" si="29"/>
        <v>162416.81586719243</v>
      </c>
      <c r="C292" s="23">
        <f t="shared" si="30"/>
        <v>2048.5843801985602</v>
      </c>
      <c r="D292" s="23">
        <f t="shared" si="31"/>
        <v>575.22622286297326</v>
      </c>
      <c r="E292" s="23">
        <f t="shared" si="33"/>
        <v>2623.8106030615336</v>
      </c>
      <c r="F292" s="24">
        <f t="shared" si="32"/>
        <v>160368.23148699387</v>
      </c>
    </row>
    <row r="293" spans="1:7" x14ac:dyDescent="0.25">
      <c r="A293" s="22" t="s">
        <v>96</v>
      </c>
      <c r="B293" s="23">
        <f t="shared" si="29"/>
        <v>160368.23148699387</v>
      </c>
      <c r="C293" s="23">
        <f t="shared" si="30"/>
        <v>2055.8397832117635</v>
      </c>
      <c r="D293" s="23">
        <f t="shared" si="31"/>
        <v>567.97081984977001</v>
      </c>
      <c r="E293" s="23">
        <f t="shared" si="33"/>
        <v>2623.8106030615336</v>
      </c>
      <c r="F293" s="24">
        <f t="shared" si="32"/>
        <v>158312.39170378211</v>
      </c>
    </row>
    <row r="294" spans="1:7" x14ac:dyDescent="0.25">
      <c r="A294" s="22" t="s">
        <v>98</v>
      </c>
      <c r="B294" s="23">
        <f t="shared" si="29"/>
        <v>158312.39170378211</v>
      </c>
      <c r="C294" s="23">
        <f t="shared" si="30"/>
        <v>2063.1208824439718</v>
      </c>
      <c r="D294" s="23">
        <f t="shared" si="31"/>
        <v>560.68972061756165</v>
      </c>
      <c r="E294" s="23">
        <f t="shared" si="33"/>
        <v>2623.8106030615336</v>
      </c>
      <c r="F294" s="24">
        <f t="shared" si="32"/>
        <v>156249.27082133814</v>
      </c>
    </row>
    <row r="295" spans="1:7" x14ac:dyDescent="0.25">
      <c r="A295" s="22" t="s">
        <v>100</v>
      </c>
      <c r="B295" s="23">
        <f t="shared" si="29"/>
        <v>156249.27082133814</v>
      </c>
      <c r="C295" s="23">
        <f t="shared" si="30"/>
        <v>2070.4277689026276</v>
      </c>
      <c r="D295" s="23">
        <f t="shared" si="31"/>
        <v>553.38283415890601</v>
      </c>
      <c r="E295" s="23">
        <f t="shared" si="33"/>
        <v>2623.8106030615336</v>
      </c>
      <c r="F295" s="24">
        <f t="shared" si="32"/>
        <v>154178.84305243552</v>
      </c>
    </row>
    <row r="296" spans="1:7" x14ac:dyDescent="0.25">
      <c r="A296" s="22" t="s">
        <v>102</v>
      </c>
      <c r="B296" s="23">
        <f t="shared" si="29"/>
        <v>154178.84305243552</v>
      </c>
      <c r="C296" s="23">
        <f t="shared" si="30"/>
        <v>2077.7605339174911</v>
      </c>
      <c r="D296" s="23">
        <f t="shared" si="31"/>
        <v>546.05006914404248</v>
      </c>
      <c r="E296" s="23">
        <f t="shared" si="33"/>
        <v>2623.8106030615336</v>
      </c>
      <c r="F296" s="24">
        <f t="shared" si="32"/>
        <v>152101.08251851803</v>
      </c>
    </row>
    <row r="297" spans="1:7" x14ac:dyDescent="0.25">
      <c r="A297" s="22" t="s">
        <v>103</v>
      </c>
      <c r="B297" s="23">
        <f t="shared" si="29"/>
        <v>152101.08251851803</v>
      </c>
      <c r="C297" s="23">
        <f t="shared" si="30"/>
        <v>2085.1192691417823</v>
      </c>
      <c r="D297" s="23">
        <f t="shared" si="31"/>
        <v>538.6913339197514</v>
      </c>
      <c r="E297" s="23">
        <f t="shared" si="33"/>
        <v>2623.8106030615336</v>
      </c>
      <c r="F297" s="24">
        <f t="shared" si="32"/>
        <v>150015.96324937625</v>
      </c>
    </row>
    <row r="298" spans="1:7" x14ac:dyDescent="0.25">
      <c r="A298" s="22" t="s">
        <v>104</v>
      </c>
      <c r="B298" s="23">
        <f t="shared" si="29"/>
        <v>150015.96324937625</v>
      </c>
      <c r="C298" s="23">
        <f t="shared" si="30"/>
        <v>2092.5040665533261</v>
      </c>
      <c r="D298" s="23">
        <f t="shared" si="31"/>
        <v>531.30653650820761</v>
      </c>
      <c r="E298" s="23">
        <f t="shared" si="33"/>
        <v>2623.8106030615336</v>
      </c>
      <c r="F298" s="24">
        <f t="shared" si="32"/>
        <v>147923.45918282293</v>
      </c>
    </row>
    <row r="299" spans="1:7" x14ac:dyDescent="0.25">
      <c r="A299" s="22" t="s">
        <v>105</v>
      </c>
      <c r="B299" s="23">
        <f t="shared" si="29"/>
        <v>147923.45918282293</v>
      </c>
      <c r="C299" s="23">
        <f t="shared" si="30"/>
        <v>2099.9150184557025</v>
      </c>
      <c r="D299" s="23">
        <f t="shared" si="31"/>
        <v>523.89558460583123</v>
      </c>
      <c r="E299" s="23">
        <f t="shared" si="33"/>
        <v>2623.8106030615336</v>
      </c>
      <c r="F299" s="24">
        <f t="shared" si="32"/>
        <v>145823.54416436722</v>
      </c>
    </row>
    <row r="300" spans="1:7" x14ac:dyDescent="0.25">
      <c r="A300" s="22" t="s">
        <v>106</v>
      </c>
      <c r="B300" s="23">
        <f t="shared" si="29"/>
        <v>145823.54416436722</v>
      </c>
      <c r="C300" s="23">
        <f t="shared" si="30"/>
        <v>2107.3522174793998</v>
      </c>
      <c r="D300" s="23">
        <f t="shared" si="31"/>
        <v>516.45838558213393</v>
      </c>
      <c r="E300" s="23">
        <f t="shared" si="33"/>
        <v>2623.8106030615336</v>
      </c>
      <c r="F300" s="24">
        <f t="shared" si="32"/>
        <v>143716.19194688782</v>
      </c>
    </row>
    <row r="301" spans="1:7" ht="15.75" thickBot="1" x14ac:dyDescent="0.3">
      <c r="A301" s="27" t="s">
        <v>107</v>
      </c>
      <c r="B301" s="28">
        <f t="shared" si="29"/>
        <v>143716.19194688782</v>
      </c>
      <c r="C301" s="28">
        <f t="shared" si="30"/>
        <v>2114.8157565829724</v>
      </c>
      <c r="D301" s="28">
        <f t="shared" si="31"/>
        <v>508.99484647856104</v>
      </c>
      <c r="E301" s="28">
        <f t="shared" si="33"/>
        <v>2623.8106030615336</v>
      </c>
      <c r="F301" s="29">
        <f t="shared" si="32"/>
        <v>141601.37619030484</v>
      </c>
      <c r="G301" s="30">
        <f>SUM(D290:D301)</f>
        <v>6594.7826767285369</v>
      </c>
    </row>
    <row r="302" spans="1:7" x14ac:dyDescent="0.25">
      <c r="A302" s="19" t="s">
        <v>108</v>
      </c>
      <c r="B302" s="20">
        <f t="shared" si="29"/>
        <v>141601.37619030484</v>
      </c>
      <c r="C302" s="20">
        <f t="shared" si="30"/>
        <v>2122.3057290542038</v>
      </c>
      <c r="D302" s="20">
        <f t="shared" si="31"/>
        <v>501.5048740073297</v>
      </c>
      <c r="E302" s="20">
        <f t="shared" si="33"/>
        <v>2623.8106030615336</v>
      </c>
      <c r="F302" s="21">
        <f t="shared" si="32"/>
        <v>139479.07046125064</v>
      </c>
      <c r="G302" s="15"/>
    </row>
    <row r="303" spans="1:7" x14ac:dyDescent="0.25">
      <c r="A303" s="22" t="s">
        <v>93</v>
      </c>
      <c r="B303" s="23">
        <f t="shared" si="29"/>
        <v>139479.07046125064</v>
      </c>
      <c r="C303" s="23">
        <f t="shared" si="30"/>
        <v>2129.8222285112706</v>
      </c>
      <c r="D303" s="23">
        <f t="shared" si="31"/>
        <v>493.98837455026273</v>
      </c>
      <c r="E303" s="23">
        <f t="shared" si="33"/>
        <v>2623.8106030615336</v>
      </c>
      <c r="F303" s="24">
        <f t="shared" si="32"/>
        <v>137349.24823273937</v>
      </c>
      <c r="G303" s="15"/>
    </row>
    <row r="304" spans="1:7" x14ac:dyDescent="0.25">
      <c r="A304" s="22" t="s">
        <v>95</v>
      </c>
      <c r="B304" s="23">
        <f t="shared" si="29"/>
        <v>137349.24823273937</v>
      </c>
      <c r="C304" s="23">
        <f t="shared" si="30"/>
        <v>2137.3653489039148</v>
      </c>
      <c r="D304" s="23">
        <f t="shared" si="31"/>
        <v>486.44525415761865</v>
      </c>
      <c r="E304" s="23">
        <f t="shared" si="33"/>
        <v>2623.8106030615336</v>
      </c>
      <c r="F304" s="24">
        <f t="shared" si="32"/>
        <v>135211.88288383544</v>
      </c>
      <c r="G304" s="15"/>
    </row>
    <row r="305" spans="1:7" x14ac:dyDescent="0.25">
      <c r="A305" s="22" t="s">
        <v>96</v>
      </c>
      <c r="B305" s="23">
        <f t="shared" si="29"/>
        <v>135211.88288383544</v>
      </c>
      <c r="C305" s="23">
        <f t="shared" si="30"/>
        <v>2144.9351845146166</v>
      </c>
      <c r="D305" s="23">
        <f t="shared" si="31"/>
        <v>478.87541854691722</v>
      </c>
      <c r="E305" s="23">
        <f t="shared" si="33"/>
        <v>2623.8106030615336</v>
      </c>
      <c r="F305" s="24">
        <f t="shared" si="32"/>
        <v>133066.94769932082</v>
      </c>
      <c r="G305" s="15"/>
    </row>
    <row r="306" spans="1:7" x14ac:dyDescent="0.25">
      <c r="A306" s="22" t="s">
        <v>98</v>
      </c>
      <c r="B306" s="23">
        <f t="shared" ref="B306:B361" si="34">+F305</f>
        <v>133066.94769932082</v>
      </c>
      <c r="C306" s="23">
        <f t="shared" ref="C306:C361" si="35">+E306-D306</f>
        <v>2152.5318299597725</v>
      </c>
      <c r="D306" s="23">
        <f t="shared" ref="D306:D361" si="36">B306*$I$2</f>
        <v>471.27877310176126</v>
      </c>
      <c r="E306" s="23">
        <f t="shared" si="33"/>
        <v>2623.8106030615336</v>
      </c>
      <c r="F306" s="24">
        <f t="shared" ref="F306:F361" si="37">+B306-C306</f>
        <v>130914.41586936105</v>
      </c>
      <c r="G306" s="15"/>
    </row>
    <row r="307" spans="1:7" x14ac:dyDescent="0.25">
      <c r="A307" s="22" t="s">
        <v>100</v>
      </c>
      <c r="B307" s="23">
        <f t="shared" si="34"/>
        <v>130914.41586936105</v>
      </c>
      <c r="C307" s="23">
        <f t="shared" si="35"/>
        <v>2160.1553801908799</v>
      </c>
      <c r="D307" s="23">
        <f t="shared" si="36"/>
        <v>463.65522287065374</v>
      </c>
      <c r="E307" s="23">
        <f t="shared" si="33"/>
        <v>2623.8106030615336</v>
      </c>
      <c r="F307" s="24">
        <f t="shared" si="37"/>
        <v>128754.26048917018</v>
      </c>
      <c r="G307" s="15"/>
    </row>
    <row r="308" spans="1:7" x14ac:dyDescent="0.25">
      <c r="A308" s="22" t="s">
        <v>102</v>
      </c>
      <c r="B308" s="23">
        <f t="shared" si="34"/>
        <v>128754.26048917018</v>
      </c>
      <c r="C308" s="23">
        <f t="shared" si="35"/>
        <v>2167.8059304957224</v>
      </c>
      <c r="D308" s="23">
        <f t="shared" si="36"/>
        <v>456.00467256581106</v>
      </c>
      <c r="E308" s="23">
        <f t="shared" si="33"/>
        <v>2623.8106030615336</v>
      </c>
      <c r="F308" s="24">
        <f t="shared" si="37"/>
        <v>126586.45455867445</v>
      </c>
      <c r="G308" s="15"/>
    </row>
    <row r="309" spans="1:7" x14ac:dyDescent="0.25">
      <c r="A309" s="22" t="s">
        <v>103</v>
      </c>
      <c r="B309" s="23">
        <f t="shared" si="34"/>
        <v>126586.45455867445</v>
      </c>
      <c r="C309" s="23">
        <f t="shared" si="35"/>
        <v>2175.4835764995614</v>
      </c>
      <c r="D309" s="23">
        <f t="shared" si="36"/>
        <v>448.32702656197205</v>
      </c>
      <c r="E309" s="23">
        <f t="shared" si="33"/>
        <v>2623.8106030615336</v>
      </c>
      <c r="F309" s="24">
        <f t="shared" si="37"/>
        <v>124410.97098217488</v>
      </c>
      <c r="G309" s="15"/>
    </row>
    <row r="310" spans="1:7" x14ac:dyDescent="0.25">
      <c r="A310" s="22" t="s">
        <v>104</v>
      </c>
      <c r="B310" s="23">
        <f t="shared" si="34"/>
        <v>124410.97098217488</v>
      </c>
      <c r="C310" s="23">
        <f t="shared" si="35"/>
        <v>2183.1884141663309</v>
      </c>
      <c r="D310" s="23">
        <f t="shared" si="36"/>
        <v>440.62218889520273</v>
      </c>
      <c r="E310" s="23">
        <f t="shared" si="33"/>
        <v>2623.8106030615336</v>
      </c>
      <c r="F310" s="24">
        <f t="shared" si="37"/>
        <v>122227.78256800855</v>
      </c>
      <c r="G310" s="15"/>
    </row>
    <row r="311" spans="1:7" x14ac:dyDescent="0.25">
      <c r="A311" s="22" t="s">
        <v>105</v>
      </c>
      <c r="B311" s="23">
        <f t="shared" si="34"/>
        <v>122227.78256800855</v>
      </c>
      <c r="C311" s="23">
        <f t="shared" si="35"/>
        <v>2190.9205397998367</v>
      </c>
      <c r="D311" s="23">
        <f t="shared" si="36"/>
        <v>432.89006326169698</v>
      </c>
      <c r="E311" s="23">
        <f t="shared" si="33"/>
        <v>2623.8106030615336</v>
      </c>
      <c r="F311" s="24">
        <f t="shared" si="37"/>
        <v>120036.86202820872</v>
      </c>
      <c r="G311" s="15"/>
    </row>
    <row r="312" spans="1:7" x14ac:dyDescent="0.25">
      <c r="A312" s="22" t="s">
        <v>106</v>
      </c>
      <c r="B312" s="23">
        <f t="shared" si="34"/>
        <v>120036.86202820872</v>
      </c>
      <c r="C312" s="23">
        <f t="shared" si="35"/>
        <v>2198.6800500449608</v>
      </c>
      <c r="D312" s="23">
        <f t="shared" si="36"/>
        <v>425.13055301657261</v>
      </c>
      <c r="E312" s="23">
        <f t="shared" si="33"/>
        <v>2623.8106030615336</v>
      </c>
      <c r="F312" s="24">
        <f t="shared" si="37"/>
        <v>117838.18197816376</v>
      </c>
      <c r="G312" s="15"/>
    </row>
    <row r="313" spans="1:7" ht="15.75" thickBot="1" x14ac:dyDescent="0.3">
      <c r="A313" s="27" t="s">
        <v>107</v>
      </c>
      <c r="B313" s="28">
        <f t="shared" si="34"/>
        <v>117838.18197816376</v>
      </c>
      <c r="C313" s="28">
        <f t="shared" si="35"/>
        <v>2206.4670418888704</v>
      </c>
      <c r="D313" s="28">
        <f t="shared" si="36"/>
        <v>417.34356117266333</v>
      </c>
      <c r="E313" s="28">
        <f t="shared" si="33"/>
        <v>2623.8106030615336</v>
      </c>
      <c r="F313" s="29">
        <f t="shared" si="37"/>
        <v>115631.71493627489</v>
      </c>
      <c r="G313" s="30">
        <f>SUM(D302:D313)</f>
        <v>5516.0659827084628</v>
      </c>
    </row>
    <row r="314" spans="1:7" x14ac:dyDescent="0.25">
      <c r="A314" s="19" t="s">
        <v>108</v>
      </c>
      <c r="B314" s="20">
        <f t="shared" si="34"/>
        <v>115631.71493627489</v>
      </c>
      <c r="C314" s="20">
        <f t="shared" si="35"/>
        <v>2214.2816126622265</v>
      </c>
      <c r="D314" s="20">
        <f t="shared" si="36"/>
        <v>409.52899039930691</v>
      </c>
      <c r="E314" s="20">
        <f t="shared" si="33"/>
        <v>2623.8106030615336</v>
      </c>
      <c r="F314" s="21">
        <f t="shared" si="37"/>
        <v>113417.43332361267</v>
      </c>
      <c r="G314" s="15"/>
    </row>
    <row r="315" spans="1:7" x14ac:dyDescent="0.25">
      <c r="A315" s="22" t="s">
        <v>93</v>
      </c>
      <c r="B315" s="23">
        <f t="shared" si="34"/>
        <v>113417.43332361267</v>
      </c>
      <c r="C315" s="23">
        <f t="shared" si="35"/>
        <v>2222.1238600404054</v>
      </c>
      <c r="D315" s="23">
        <f t="shared" si="36"/>
        <v>401.68674302112822</v>
      </c>
      <c r="E315" s="23">
        <f t="shared" si="33"/>
        <v>2623.8106030615336</v>
      </c>
      <c r="F315" s="24">
        <f t="shared" si="37"/>
        <v>111195.30946357227</v>
      </c>
      <c r="G315" s="15"/>
    </row>
    <row r="316" spans="1:7" x14ac:dyDescent="0.25">
      <c r="A316" s="22" t="s">
        <v>95</v>
      </c>
      <c r="B316" s="23">
        <f t="shared" si="34"/>
        <v>111195.30946357227</v>
      </c>
      <c r="C316" s="23">
        <f t="shared" si="35"/>
        <v>2229.9938820447151</v>
      </c>
      <c r="D316" s="23">
        <f t="shared" si="36"/>
        <v>393.81672101681846</v>
      </c>
      <c r="E316" s="23">
        <f t="shared" si="33"/>
        <v>2623.8106030615336</v>
      </c>
      <c r="F316" s="24">
        <f t="shared" si="37"/>
        <v>108965.31558152755</v>
      </c>
      <c r="G316" s="15"/>
    </row>
    <row r="317" spans="1:7" x14ac:dyDescent="0.25">
      <c r="A317" s="22" t="s">
        <v>96</v>
      </c>
      <c r="B317" s="23">
        <f t="shared" si="34"/>
        <v>108965.31558152755</v>
      </c>
      <c r="C317" s="23">
        <f t="shared" si="35"/>
        <v>2237.8917770436233</v>
      </c>
      <c r="D317" s="23">
        <f t="shared" si="36"/>
        <v>385.91882601791013</v>
      </c>
      <c r="E317" s="23">
        <f t="shared" si="33"/>
        <v>2623.8106030615336</v>
      </c>
      <c r="F317" s="24">
        <f t="shared" si="37"/>
        <v>106727.42380448393</v>
      </c>
      <c r="G317" s="15"/>
    </row>
    <row r="318" spans="1:7" x14ac:dyDescent="0.25">
      <c r="A318" s="22" t="s">
        <v>98</v>
      </c>
      <c r="B318" s="23">
        <f t="shared" si="34"/>
        <v>106727.42380448393</v>
      </c>
      <c r="C318" s="23">
        <f t="shared" si="35"/>
        <v>2245.8176437539864</v>
      </c>
      <c r="D318" s="23">
        <f t="shared" si="36"/>
        <v>377.99295930754727</v>
      </c>
      <c r="E318" s="23">
        <f t="shared" si="33"/>
        <v>2623.8106030615336</v>
      </c>
      <c r="F318" s="24">
        <f t="shared" si="37"/>
        <v>104481.60616072995</v>
      </c>
      <c r="G318" s="15"/>
    </row>
    <row r="319" spans="1:7" x14ac:dyDescent="0.25">
      <c r="A319" s="22" t="s">
        <v>100</v>
      </c>
      <c r="B319" s="23">
        <f t="shared" si="34"/>
        <v>104481.60616072995</v>
      </c>
      <c r="C319" s="23">
        <f t="shared" si="35"/>
        <v>2253.7715812422816</v>
      </c>
      <c r="D319" s="23">
        <f t="shared" si="36"/>
        <v>370.03902181925196</v>
      </c>
      <c r="E319" s="23">
        <f t="shared" si="33"/>
        <v>2623.8106030615336</v>
      </c>
      <c r="F319" s="24">
        <f t="shared" si="37"/>
        <v>102227.83457948767</v>
      </c>
      <c r="G319" s="15"/>
    </row>
    <row r="320" spans="1:7" x14ac:dyDescent="0.25">
      <c r="A320" s="22" t="s">
        <v>102</v>
      </c>
      <c r="B320" s="23">
        <f t="shared" si="34"/>
        <v>102227.83457948767</v>
      </c>
      <c r="C320" s="23">
        <f t="shared" si="35"/>
        <v>2261.7536889258481</v>
      </c>
      <c r="D320" s="23">
        <f t="shared" si="36"/>
        <v>362.05691413568553</v>
      </c>
      <c r="E320" s="23">
        <f t="shared" si="33"/>
        <v>2623.8106030615336</v>
      </c>
      <c r="F320" s="24">
        <f t="shared" si="37"/>
        <v>99966.080890561818</v>
      </c>
      <c r="G320" s="15"/>
    </row>
    <row r="321" spans="1:7" x14ac:dyDescent="0.25">
      <c r="A321" s="22" t="s">
        <v>103</v>
      </c>
      <c r="B321" s="23">
        <f t="shared" si="34"/>
        <v>99966.080890561818</v>
      </c>
      <c r="C321" s="23">
        <f t="shared" si="35"/>
        <v>2269.7640665741274</v>
      </c>
      <c r="D321" s="23">
        <f t="shared" si="36"/>
        <v>354.04653648740646</v>
      </c>
      <c r="E321" s="23">
        <f t="shared" si="33"/>
        <v>2623.8106030615336</v>
      </c>
      <c r="F321" s="24">
        <f t="shared" si="37"/>
        <v>97696.316823987698</v>
      </c>
      <c r="G321" s="15"/>
    </row>
    <row r="322" spans="1:7" x14ac:dyDescent="0.25">
      <c r="A322" s="22" t="s">
        <v>104</v>
      </c>
      <c r="B322" s="23">
        <f t="shared" si="34"/>
        <v>97696.316823987698</v>
      </c>
      <c r="C322" s="23">
        <f t="shared" si="35"/>
        <v>2277.8028143099104</v>
      </c>
      <c r="D322" s="23">
        <f t="shared" si="36"/>
        <v>346.00778875162314</v>
      </c>
      <c r="E322" s="23">
        <f t="shared" si="33"/>
        <v>2623.8106030615336</v>
      </c>
      <c r="F322" s="24">
        <f t="shared" si="37"/>
        <v>95418.51400967779</v>
      </c>
      <c r="G322" s="15"/>
    </row>
    <row r="323" spans="1:7" x14ac:dyDescent="0.25">
      <c r="A323" s="22" t="s">
        <v>105</v>
      </c>
      <c r="B323" s="23">
        <f t="shared" si="34"/>
        <v>95418.51400967779</v>
      </c>
      <c r="C323" s="23">
        <f t="shared" si="35"/>
        <v>2285.8700326105914</v>
      </c>
      <c r="D323" s="23">
        <f t="shared" si="36"/>
        <v>337.94057045094218</v>
      </c>
      <c r="E323" s="23">
        <f t="shared" si="33"/>
        <v>2623.8106030615336</v>
      </c>
      <c r="F323" s="24">
        <f t="shared" si="37"/>
        <v>93132.6439770672</v>
      </c>
      <c r="G323" s="15"/>
    </row>
    <row r="324" spans="1:7" x14ac:dyDescent="0.25">
      <c r="A324" s="22" t="s">
        <v>106</v>
      </c>
      <c r="B324" s="23">
        <f t="shared" si="34"/>
        <v>93132.6439770672</v>
      </c>
      <c r="C324" s="23">
        <f t="shared" si="35"/>
        <v>2293.9658223094207</v>
      </c>
      <c r="D324" s="23">
        <f t="shared" si="36"/>
        <v>329.84478075211302</v>
      </c>
      <c r="E324" s="23">
        <f t="shared" si="33"/>
        <v>2623.8106030615336</v>
      </c>
      <c r="F324" s="24">
        <f t="shared" si="37"/>
        <v>90838.678154757785</v>
      </c>
      <c r="G324" s="15"/>
    </row>
    <row r="325" spans="1:7" ht="15.75" thickBot="1" x14ac:dyDescent="0.3">
      <c r="A325" s="27" t="s">
        <v>107</v>
      </c>
      <c r="B325" s="28">
        <f t="shared" si="34"/>
        <v>90838.678154757785</v>
      </c>
      <c r="C325" s="28">
        <f t="shared" si="35"/>
        <v>2302.0902845967667</v>
      </c>
      <c r="D325" s="28">
        <f t="shared" si="36"/>
        <v>321.72031846476716</v>
      </c>
      <c r="E325" s="28">
        <f t="shared" si="33"/>
        <v>2623.8106030615336</v>
      </c>
      <c r="F325" s="29">
        <f t="shared" si="37"/>
        <v>88536.58787016102</v>
      </c>
      <c r="G325" s="30">
        <f>SUM(D314:D325)</f>
        <v>4390.6001706245006</v>
      </c>
    </row>
    <row r="326" spans="1:7" x14ac:dyDescent="0.25">
      <c r="A326" s="19" t="s">
        <v>108</v>
      </c>
      <c r="B326" s="20">
        <f t="shared" si="34"/>
        <v>88536.58787016102</v>
      </c>
      <c r="C326" s="20">
        <f t="shared" si="35"/>
        <v>2310.2435210213798</v>
      </c>
      <c r="D326" s="20">
        <f t="shared" si="36"/>
        <v>313.56708204015365</v>
      </c>
      <c r="E326" s="20">
        <f t="shared" si="33"/>
        <v>2623.8106030615336</v>
      </c>
      <c r="F326" s="21">
        <f t="shared" si="37"/>
        <v>86226.344349139647</v>
      </c>
    </row>
    <row r="327" spans="1:7" x14ac:dyDescent="0.25">
      <c r="A327" s="22" t="s">
        <v>93</v>
      </c>
      <c r="B327" s="23">
        <f t="shared" si="34"/>
        <v>86226.344349139647</v>
      </c>
      <c r="C327" s="23">
        <f t="shared" si="35"/>
        <v>2318.425633491664</v>
      </c>
      <c r="D327" s="23">
        <f t="shared" si="36"/>
        <v>305.38496956986961</v>
      </c>
      <c r="E327" s="23">
        <f t="shared" si="33"/>
        <v>2623.8106030615336</v>
      </c>
      <c r="F327" s="24">
        <f t="shared" si="37"/>
        <v>83907.918715647989</v>
      </c>
    </row>
    <row r="328" spans="1:7" x14ac:dyDescent="0.25">
      <c r="A328" s="22" t="s">
        <v>95</v>
      </c>
      <c r="B328" s="23">
        <f t="shared" si="34"/>
        <v>83907.918715647989</v>
      </c>
      <c r="C328" s="23">
        <f t="shared" si="35"/>
        <v>2326.636724276947</v>
      </c>
      <c r="D328" s="23">
        <f t="shared" si="36"/>
        <v>297.17387878458663</v>
      </c>
      <c r="E328" s="23">
        <f t="shared" si="33"/>
        <v>2623.8106030615336</v>
      </c>
      <c r="F328" s="24">
        <f t="shared" si="37"/>
        <v>81581.281991371041</v>
      </c>
    </row>
    <row r="329" spans="1:7" x14ac:dyDescent="0.25">
      <c r="A329" s="22" t="s">
        <v>96</v>
      </c>
      <c r="B329" s="23">
        <f t="shared" si="34"/>
        <v>81581.281991371041</v>
      </c>
      <c r="C329" s="23">
        <f t="shared" si="35"/>
        <v>2334.8768960087609</v>
      </c>
      <c r="D329" s="23">
        <f t="shared" si="36"/>
        <v>288.93370705277243</v>
      </c>
      <c r="E329" s="23">
        <f t="shared" si="33"/>
        <v>2623.8106030615336</v>
      </c>
      <c r="F329" s="24">
        <f t="shared" si="37"/>
        <v>79246.405095362279</v>
      </c>
    </row>
    <row r="330" spans="1:7" x14ac:dyDescent="0.25">
      <c r="A330" s="22" t="s">
        <v>98</v>
      </c>
      <c r="B330" s="23">
        <f t="shared" si="34"/>
        <v>79246.405095362279</v>
      </c>
      <c r="C330" s="23">
        <f t="shared" si="35"/>
        <v>2343.1462516821257</v>
      </c>
      <c r="D330" s="23">
        <f t="shared" si="36"/>
        <v>280.66435137940812</v>
      </c>
      <c r="E330" s="23">
        <f t="shared" si="33"/>
        <v>2623.8106030615336</v>
      </c>
      <c r="F330" s="24">
        <f t="shared" si="37"/>
        <v>76903.25884368016</v>
      </c>
    </row>
    <row r="331" spans="1:7" x14ac:dyDescent="0.25">
      <c r="A331" s="22" t="s">
        <v>100</v>
      </c>
      <c r="B331" s="23">
        <f t="shared" si="34"/>
        <v>76903.25884368016</v>
      </c>
      <c r="C331" s="23">
        <f t="shared" si="35"/>
        <v>2351.4448946568332</v>
      </c>
      <c r="D331" s="23">
        <f t="shared" si="36"/>
        <v>272.36570840470057</v>
      </c>
      <c r="E331" s="23">
        <f t="shared" si="33"/>
        <v>2623.8106030615336</v>
      </c>
      <c r="F331" s="24">
        <f t="shared" si="37"/>
        <v>74551.81394902333</v>
      </c>
    </row>
    <row r="332" spans="1:7" x14ac:dyDescent="0.25">
      <c r="A332" s="22" t="s">
        <v>102</v>
      </c>
      <c r="B332" s="23">
        <f t="shared" si="34"/>
        <v>74551.81394902333</v>
      </c>
      <c r="C332" s="23">
        <f t="shared" si="35"/>
        <v>2359.7729286587428</v>
      </c>
      <c r="D332" s="23">
        <f t="shared" si="36"/>
        <v>264.03767440279097</v>
      </c>
      <c r="E332" s="23">
        <f t="shared" si="33"/>
        <v>2623.8106030615336</v>
      </c>
      <c r="F332" s="24">
        <f t="shared" si="37"/>
        <v>72192.041020364588</v>
      </c>
    </row>
    <row r="333" spans="1:7" x14ac:dyDescent="0.25">
      <c r="A333" s="22" t="s">
        <v>103</v>
      </c>
      <c r="B333" s="23">
        <f t="shared" si="34"/>
        <v>72192.041020364588</v>
      </c>
      <c r="C333" s="23">
        <f t="shared" si="35"/>
        <v>2368.1304577810756</v>
      </c>
      <c r="D333" s="23">
        <f t="shared" si="36"/>
        <v>255.68014528045794</v>
      </c>
      <c r="E333" s="23">
        <f t="shared" ref="E333:E361" si="38">-$I$9</f>
        <v>2623.8106030615336</v>
      </c>
      <c r="F333" s="24">
        <f t="shared" si="37"/>
        <v>69823.910562583507</v>
      </c>
    </row>
    <row r="334" spans="1:7" x14ac:dyDescent="0.25">
      <c r="A334" s="22" t="s">
        <v>104</v>
      </c>
      <c r="B334" s="23">
        <f t="shared" si="34"/>
        <v>69823.910562583507</v>
      </c>
      <c r="C334" s="23">
        <f t="shared" si="35"/>
        <v>2376.5175864857169</v>
      </c>
      <c r="D334" s="23">
        <f t="shared" si="36"/>
        <v>247.29301657581661</v>
      </c>
      <c r="E334" s="23">
        <f t="shared" si="38"/>
        <v>2623.8106030615336</v>
      </c>
      <c r="F334" s="24">
        <f t="shared" si="37"/>
        <v>67447.392976097792</v>
      </c>
    </row>
    <row r="335" spans="1:7" x14ac:dyDescent="0.25">
      <c r="A335" s="22" t="s">
        <v>105</v>
      </c>
      <c r="B335" s="23">
        <f t="shared" si="34"/>
        <v>67447.392976097792</v>
      </c>
      <c r="C335" s="23">
        <f t="shared" si="35"/>
        <v>2384.9344196045204</v>
      </c>
      <c r="D335" s="23">
        <f t="shared" si="36"/>
        <v>238.87618345701304</v>
      </c>
      <c r="E335" s="23">
        <f t="shared" si="38"/>
        <v>2623.8106030615336</v>
      </c>
      <c r="F335" s="24">
        <f t="shared" si="37"/>
        <v>65062.458556493271</v>
      </c>
    </row>
    <row r="336" spans="1:7" x14ac:dyDescent="0.25">
      <c r="A336" s="22" t="s">
        <v>106</v>
      </c>
      <c r="B336" s="23">
        <f t="shared" si="34"/>
        <v>65062.458556493271</v>
      </c>
      <c r="C336" s="23">
        <f t="shared" si="35"/>
        <v>2393.3810623406198</v>
      </c>
      <c r="D336" s="23">
        <f t="shared" si="36"/>
        <v>230.42954072091368</v>
      </c>
      <c r="E336" s="23">
        <f t="shared" si="38"/>
        <v>2623.8106030615336</v>
      </c>
      <c r="F336" s="24">
        <f t="shared" si="37"/>
        <v>62669.077494152654</v>
      </c>
    </row>
    <row r="337" spans="1:7" ht="15.75" thickBot="1" x14ac:dyDescent="0.3">
      <c r="A337" s="27" t="s">
        <v>107</v>
      </c>
      <c r="B337" s="28">
        <f t="shared" si="34"/>
        <v>62669.077494152654</v>
      </c>
      <c r="C337" s="28">
        <f t="shared" si="35"/>
        <v>2401.8576202697427</v>
      </c>
      <c r="D337" s="28">
        <f t="shared" si="36"/>
        <v>221.95298279179067</v>
      </c>
      <c r="E337" s="28">
        <f t="shared" si="38"/>
        <v>2623.8106030615336</v>
      </c>
      <c r="F337" s="29">
        <f t="shared" si="37"/>
        <v>60267.21987388291</v>
      </c>
      <c r="G337" s="30">
        <f>SUM(D326:D337)</f>
        <v>3216.3592404602746</v>
      </c>
    </row>
    <row r="338" spans="1:7" x14ac:dyDescent="0.25">
      <c r="A338" s="19" t="s">
        <v>108</v>
      </c>
      <c r="B338" s="20">
        <f t="shared" si="34"/>
        <v>60267.21987388291</v>
      </c>
      <c r="C338" s="20">
        <f t="shared" si="35"/>
        <v>2410.3641993415317</v>
      </c>
      <c r="D338" s="20">
        <f t="shared" si="36"/>
        <v>213.446403720002</v>
      </c>
      <c r="E338" s="20">
        <f t="shared" si="38"/>
        <v>2623.8106030615336</v>
      </c>
      <c r="F338" s="21">
        <f t="shared" si="37"/>
        <v>57856.855674541381</v>
      </c>
      <c r="G338" s="15"/>
    </row>
    <row r="339" spans="1:7" x14ac:dyDescent="0.25">
      <c r="A339" s="22" t="s">
        <v>93</v>
      </c>
      <c r="B339" s="23">
        <f t="shared" si="34"/>
        <v>57856.855674541381</v>
      </c>
      <c r="C339" s="23">
        <f t="shared" si="35"/>
        <v>2418.900905880866</v>
      </c>
      <c r="D339" s="23">
        <f t="shared" si="36"/>
        <v>204.90969718066739</v>
      </c>
      <c r="E339" s="23">
        <f t="shared" si="38"/>
        <v>2623.8106030615336</v>
      </c>
      <c r="F339" s="24">
        <f t="shared" si="37"/>
        <v>55437.954768660515</v>
      </c>
      <c r="G339" s="15"/>
    </row>
    <row r="340" spans="1:7" x14ac:dyDescent="0.25">
      <c r="A340" s="22" t="s">
        <v>95</v>
      </c>
      <c r="B340" s="23">
        <f t="shared" si="34"/>
        <v>55437.954768660515</v>
      </c>
      <c r="C340" s="23">
        <f t="shared" si="35"/>
        <v>2427.4678465891943</v>
      </c>
      <c r="D340" s="23">
        <f t="shared" si="36"/>
        <v>196.34275647233935</v>
      </c>
      <c r="E340" s="23">
        <f t="shared" si="38"/>
        <v>2623.8106030615336</v>
      </c>
      <c r="F340" s="24">
        <f t="shared" si="37"/>
        <v>53010.486922071323</v>
      </c>
      <c r="G340" s="15"/>
    </row>
    <row r="341" spans="1:7" x14ac:dyDescent="0.25">
      <c r="A341" s="22" t="s">
        <v>96</v>
      </c>
      <c r="B341" s="23">
        <f t="shared" si="34"/>
        <v>53010.486922071323</v>
      </c>
      <c r="C341" s="23">
        <f t="shared" si="35"/>
        <v>2436.0651285458644</v>
      </c>
      <c r="D341" s="23">
        <f t="shared" si="36"/>
        <v>187.74547451566929</v>
      </c>
      <c r="E341" s="23">
        <f t="shared" si="38"/>
        <v>2623.8106030615336</v>
      </c>
      <c r="F341" s="24">
        <f t="shared" si="37"/>
        <v>50574.421793525456</v>
      </c>
      <c r="G341" s="15"/>
    </row>
    <row r="342" spans="1:7" x14ac:dyDescent="0.25">
      <c r="A342" s="22" t="s">
        <v>98</v>
      </c>
      <c r="B342" s="23">
        <f t="shared" si="34"/>
        <v>50574.421793525456</v>
      </c>
      <c r="C342" s="23">
        <f t="shared" si="35"/>
        <v>2444.6928592094641</v>
      </c>
      <c r="D342" s="23">
        <f t="shared" si="36"/>
        <v>179.11774385206934</v>
      </c>
      <c r="E342" s="23">
        <f t="shared" si="38"/>
        <v>2623.8106030615336</v>
      </c>
      <c r="F342" s="24">
        <f t="shared" si="37"/>
        <v>48129.728934315994</v>
      </c>
      <c r="G342" s="15"/>
    </row>
    <row r="343" spans="1:7" x14ac:dyDescent="0.25">
      <c r="A343" s="22" t="s">
        <v>100</v>
      </c>
      <c r="B343" s="23">
        <f t="shared" si="34"/>
        <v>48129.728934315994</v>
      </c>
      <c r="C343" s="23">
        <f t="shared" si="35"/>
        <v>2453.3511464191643</v>
      </c>
      <c r="D343" s="23">
        <f t="shared" si="36"/>
        <v>170.45945664236916</v>
      </c>
      <c r="E343" s="23">
        <f t="shared" si="38"/>
        <v>2623.8106030615336</v>
      </c>
      <c r="F343" s="24">
        <f t="shared" si="37"/>
        <v>45676.377787896832</v>
      </c>
      <c r="G343" s="15"/>
    </row>
    <row r="344" spans="1:7" x14ac:dyDescent="0.25">
      <c r="A344" s="22" t="s">
        <v>102</v>
      </c>
      <c r="B344" s="23">
        <f t="shared" si="34"/>
        <v>45676.377787896832</v>
      </c>
      <c r="C344" s="23">
        <f t="shared" si="35"/>
        <v>2462.0400983960658</v>
      </c>
      <c r="D344" s="23">
        <f t="shared" si="36"/>
        <v>161.77050466546797</v>
      </c>
      <c r="E344" s="23">
        <f t="shared" si="38"/>
        <v>2623.8106030615336</v>
      </c>
      <c r="F344" s="24">
        <f t="shared" si="37"/>
        <v>43214.337689500768</v>
      </c>
      <c r="G344" s="15"/>
    </row>
    <row r="345" spans="1:7" x14ac:dyDescent="0.25">
      <c r="A345" s="22" t="s">
        <v>103</v>
      </c>
      <c r="B345" s="23">
        <f t="shared" si="34"/>
        <v>43214.337689500768</v>
      </c>
      <c r="C345" s="23">
        <f t="shared" si="35"/>
        <v>2470.7598237445518</v>
      </c>
      <c r="D345" s="23">
        <f t="shared" si="36"/>
        <v>153.0507793169819</v>
      </c>
      <c r="E345" s="23">
        <f t="shared" si="38"/>
        <v>2623.8106030615336</v>
      </c>
      <c r="F345" s="24">
        <f t="shared" si="37"/>
        <v>40743.577865756219</v>
      </c>
      <c r="G345" s="15"/>
    </row>
    <row r="346" spans="1:7" x14ac:dyDescent="0.25">
      <c r="A346" s="22" t="s">
        <v>104</v>
      </c>
      <c r="B346" s="23">
        <f t="shared" si="34"/>
        <v>40743.577865756219</v>
      </c>
      <c r="C346" s="23">
        <f t="shared" si="35"/>
        <v>2479.510431453647</v>
      </c>
      <c r="D346" s="23">
        <f t="shared" si="36"/>
        <v>144.30017160788663</v>
      </c>
      <c r="E346" s="23">
        <f t="shared" si="38"/>
        <v>2623.8106030615336</v>
      </c>
      <c r="F346" s="24">
        <f t="shared" si="37"/>
        <v>38264.067434302575</v>
      </c>
      <c r="G346" s="15"/>
    </row>
    <row r="347" spans="1:7" x14ac:dyDescent="0.25">
      <c r="A347" s="22" t="s">
        <v>105</v>
      </c>
      <c r="B347" s="23">
        <f t="shared" si="34"/>
        <v>38264.067434302575</v>
      </c>
      <c r="C347" s="23">
        <f t="shared" si="35"/>
        <v>2488.2920308983785</v>
      </c>
      <c r="D347" s="23">
        <f t="shared" si="36"/>
        <v>135.51857216315497</v>
      </c>
      <c r="E347" s="23">
        <f t="shared" si="38"/>
        <v>2623.8106030615336</v>
      </c>
      <c r="F347" s="24">
        <f t="shared" si="37"/>
        <v>35775.775403404194</v>
      </c>
      <c r="G347" s="15"/>
    </row>
    <row r="348" spans="1:7" x14ac:dyDescent="0.25">
      <c r="A348" s="22" t="s">
        <v>106</v>
      </c>
      <c r="B348" s="23">
        <f t="shared" si="34"/>
        <v>35775.775403404194</v>
      </c>
      <c r="C348" s="23">
        <f t="shared" si="35"/>
        <v>2497.1047318411438</v>
      </c>
      <c r="D348" s="23">
        <f t="shared" si="36"/>
        <v>126.70587122038987</v>
      </c>
      <c r="E348" s="23">
        <f t="shared" si="38"/>
        <v>2623.8106030615336</v>
      </c>
      <c r="F348" s="24">
        <f t="shared" si="37"/>
        <v>33278.67067156305</v>
      </c>
      <c r="G348" s="15"/>
    </row>
    <row r="349" spans="1:7" ht="15.75" thickBot="1" x14ac:dyDescent="0.3">
      <c r="A349" s="27" t="s">
        <v>107</v>
      </c>
      <c r="B349" s="28">
        <f t="shared" si="34"/>
        <v>33278.67067156305</v>
      </c>
      <c r="C349" s="28">
        <f t="shared" si="35"/>
        <v>2505.948644433081</v>
      </c>
      <c r="D349" s="28">
        <f t="shared" si="36"/>
        <v>117.86195862845247</v>
      </c>
      <c r="E349" s="28">
        <f t="shared" si="38"/>
        <v>2623.8106030615336</v>
      </c>
      <c r="F349" s="29">
        <f t="shared" si="37"/>
        <v>30772.72202712997</v>
      </c>
      <c r="G349" s="30">
        <f>SUM(D338:D349)</f>
        <v>1991.2293899854503</v>
      </c>
    </row>
    <row r="350" spans="1:7" x14ac:dyDescent="0.25">
      <c r="A350" s="19" t="s">
        <v>108</v>
      </c>
      <c r="B350" s="20">
        <f t="shared" si="34"/>
        <v>30772.72202712997</v>
      </c>
      <c r="C350" s="20">
        <f t="shared" si="35"/>
        <v>2514.8238792154484</v>
      </c>
      <c r="D350" s="20">
        <f t="shared" si="36"/>
        <v>108.98672384608533</v>
      </c>
      <c r="E350" s="20">
        <f t="shared" si="38"/>
        <v>2623.8106030615336</v>
      </c>
      <c r="F350" s="21">
        <f t="shared" si="37"/>
        <v>28257.898147914522</v>
      </c>
      <c r="G350" s="15"/>
    </row>
    <row r="351" spans="1:7" x14ac:dyDescent="0.25">
      <c r="A351" s="22" t="s">
        <v>93</v>
      </c>
      <c r="B351" s="23">
        <f t="shared" si="34"/>
        <v>28257.898147914522</v>
      </c>
      <c r="C351" s="23">
        <f t="shared" si="35"/>
        <v>2523.7305471210029</v>
      </c>
      <c r="D351" s="23">
        <f t="shared" si="36"/>
        <v>100.08005594053061</v>
      </c>
      <c r="E351" s="23">
        <f t="shared" si="38"/>
        <v>2623.8106030615336</v>
      </c>
      <c r="F351" s="24">
        <f t="shared" si="37"/>
        <v>25734.16760079352</v>
      </c>
      <c r="G351" s="15"/>
    </row>
    <row r="352" spans="1:7" x14ac:dyDescent="0.25">
      <c r="A352" s="22" t="s">
        <v>95</v>
      </c>
      <c r="B352" s="23">
        <f t="shared" si="34"/>
        <v>25734.16760079352</v>
      </c>
      <c r="C352" s="23">
        <f t="shared" si="35"/>
        <v>2532.6687594753898</v>
      </c>
      <c r="D352" s="23">
        <f t="shared" si="36"/>
        <v>91.141843586143722</v>
      </c>
      <c r="E352" s="23">
        <f t="shared" si="38"/>
        <v>2623.8106030615336</v>
      </c>
      <c r="F352" s="24">
        <f t="shared" si="37"/>
        <v>23201.498841318131</v>
      </c>
      <c r="G352" s="15"/>
    </row>
    <row r="353" spans="1:7" x14ac:dyDescent="0.25">
      <c r="A353" s="22" t="s">
        <v>96</v>
      </c>
      <c r="B353" s="23">
        <f t="shared" si="34"/>
        <v>23201.498841318131</v>
      </c>
      <c r="C353" s="23">
        <f t="shared" si="35"/>
        <v>2541.6386279985318</v>
      </c>
      <c r="D353" s="23">
        <f t="shared" si="36"/>
        <v>82.171975063001724</v>
      </c>
      <c r="E353" s="23">
        <f t="shared" si="38"/>
        <v>2623.8106030615336</v>
      </c>
      <c r="F353" s="24">
        <f t="shared" si="37"/>
        <v>20659.8602133196</v>
      </c>
      <c r="G353" s="15"/>
    </row>
    <row r="354" spans="1:7" x14ac:dyDescent="0.25">
      <c r="A354" s="22" t="s">
        <v>98</v>
      </c>
      <c r="B354" s="23">
        <f t="shared" si="34"/>
        <v>20659.8602133196</v>
      </c>
      <c r="C354" s="23">
        <f t="shared" si="35"/>
        <v>2550.6402648060266</v>
      </c>
      <c r="D354" s="23">
        <f t="shared" si="36"/>
        <v>73.17033825550692</v>
      </c>
      <c r="E354" s="23">
        <f t="shared" si="38"/>
        <v>2623.8106030615336</v>
      </c>
      <c r="F354" s="24">
        <f t="shared" si="37"/>
        <v>18109.219948513572</v>
      </c>
      <c r="G354" s="15"/>
    </row>
    <row r="355" spans="1:7" x14ac:dyDescent="0.25">
      <c r="A355" s="22" t="s">
        <v>100</v>
      </c>
      <c r="B355" s="23">
        <f t="shared" si="34"/>
        <v>18109.219948513572</v>
      </c>
      <c r="C355" s="23">
        <f t="shared" si="35"/>
        <v>2559.673782410548</v>
      </c>
      <c r="D355" s="23">
        <f t="shared" si="36"/>
        <v>64.13682065098557</v>
      </c>
      <c r="E355" s="23">
        <f t="shared" si="38"/>
        <v>2623.8106030615336</v>
      </c>
      <c r="F355" s="24">
        <f t="shared" si="37"/>
        <v>15549.546166103024</v>
      </c>
      <c r="G355" s="15"/>
    </row>
    <row r="356" spans="1:7" x14ac:dyDescent="0.25">
      <c r="A356" s="22" t="s">
        <v>102</v>
      </c>
      <c r="B356" s="23">
        <f t="shared" si="34"/>
        <v>15549.546166103024</v>
      </c>
      <c r="C356" s="23">
        <f t="shared" si="35"/>
        <v>2568.7392937232521</v>
      </c>
      <c r="D356" s="23">
        <f t="shared" si="36"/>
        <v>55.071309338281544</v>
      </c>
      <c r="E356" s="23">
        <f t="shared" si="38"/>
        <v>2623.8106030615336</v>
      </c>
      <c r="F356" s="24">
        <f t="shared" si="37"/>
        <v>12980.806872379771</v>
      </c>
      <c r="G356" s="15"/>
    </row>
    <row r="357" spans="1:7" x14ac:dyDescent="0.25">
      <c r="A357" s="22" t="s">
        <v>103</v>
      </c>
      <c r="B357" s="23">
        <f t="shared" si="34"/>
        <v>12980.806872379771</v>
      </c>
      <c r="C357" s="23">
        <f t="shared" si="35"/>
        <v>2577.8369120551883</v>
      </c>
      <c r="D357" s="23">
        <f t="shared" si="36"/>
        <v>45.973691006345028</v>
      </c>
      <c r="E357" s="23">
        <f t="shared" si="38"/>
        <v>2623.8106030615336</v>
      </c>
      <c r="F357" s="24">
        <f t="shared" si="37"/>
        <v>10402.969960324583</v>
      </c>
      <c r="G357" s="15"/>
    </row>
    <row r="358" spans="1:7" x14ac:dyDescent="0.25">
      <c r="A358" s="22" t="s">
        <v>104</v>
      </c>
      <c r="B358" s="23">
        <f t="shared" si="34"/>
        <v>10402.969960324583</v>
      </c>
      <c r="C358" s="23">
        <f t="shared" si="35"/>
        <v>2586.9667511187172</v>
      </c>
      <c r="D358" s="23">
        <f t="shared" si="36"/>
        <v>36.843851942816229</v>
      </c>
      <c r="E358" s="23">
        <f t="shared" si="38"/>
        <v>2623.8106030615336</v>
      </c>
      <c r="F358" s="24">
        <f t="shared" si="37"/>
        <v>7816.0032092058655</v>
      </c>
      <c r="G358" s="15"/>
    </row>
    <row r="359" spans="1:7" x14ac:dyDescent="0.25">
      <c r="A359" s="22" t="s">
        <v>105</v>
      </c>
      <c r="B359" s="23">
        <f t="shared" si="34"/>
        <v>7816.0032092058655</v>
      </c>
      <c r="C359" s="23">
        <f t="shared" si="35"/>
        <v>2596.1289250289296</v>
      </c>
      <c r="D359" s="23">
        <f t="shared" si="36"/>
        <v>27.681678032604108</v>
      </c>
      <c r="E359" s="23">
        <f t="shared" si="38"/>
        <v>2623.8106030615336</v>
      </c>
      <c r="F359" s="24">
        <f t="shared" si="37"/>
        <v>5219.8742841769363</v>
      </c>
      <c r="G359" s="15"/>
    </row>
    <row r="360" spans="1:7" x14ac:dyDescent="0.25">
      <c r="A360" s="22" t="s">
        <v>106</v>
      </c>
      <c r="B360" s="23">
        <f t="shared" si="34"/>
        <v>5219.8742841769363</v>
      </c>
      <c r="C360" s="23">
        <f t="shared" si="35"/>
        <v>2605.3235483050735</v>
      </c>
      <c r="D360" s="23">
        <f t="shared" si="36"/>
        <v>18.487054756459983</v>
      </c>
      <c r="E360" s="23">
        <f t="shared" si="38"/>
        <v>2623.8106030615336</v>
      </c>
      <c r="F360" s="24">
        <f t="shared" si="37"/>
        <v>2614.5507358718628</v>
      </c>
      <c r="G360" s="15"/>
    </row>
    <row r="361" spans="1:7" ht="15.75" thickBot="1" x14ac:dyDescent="0.3">
      <c r="A361" s="27" t="s">
        <v>107</v>
      </c>
      <c r="B361" s="28">
        <f t="shared" si="34"/>
        <v>2614.5507358718628</v>
      </c>
      <c r="C361" s="28">
        <f t="shared" si="35"/>
        <v>2614.5507358719874</v>
      </c>
      <c r="D361" s="28">
        <f t="shared" si="36"/>
        <v>9.2598671895461813</v>
      </c>
      <c r="E361" s="28">
        <f t="shared" si="38"/>
        <v>2623.8106030615336</v>
      </c>
      <c r="F361" s="29">
        <f t="shared" si="37"/>
        <v>-1.2460077414289117E-10</v>
      </c>
      <c r="G361" s="30">
        <f>SUM(D350:D361)</f>
        <v>713.00520960830704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workbookViewId="0">
      <selection activeCell="C53" sqref="C53"/>
    </sheetView>
  </sheetViews>
  <sheetFormatPr defaultRowHeight="15" x14ac:dyDescent="0.25"/>
  <cols>
    <col min="1" max="1" width="9.140625" style="1"/>
    <col min="2" max="2" width="9.28515625" style="1" bestFit="1" customWidth="1"/>
    <col min="3" max="3" width="12.28515625" style="1" bestFit="1" customWidth="1"/>
    <col min="4" max="4" width="9.140625" style="1"/>
    <col min="5" max="5" width="10.5703125" style="1" bestFit="1" customWidth="1"/>
    <col min="6" max="6" width="9.7109375" style="1" bestFit="1" customWidth="1"/>
    <col min="7" max="7" width="9.140625" style="1"/>
    <col min="8" max="8" width="9.7109375" style="1" bestFit="1" customWidth="1"/>
    <col min="9" max="9" width="9.140625" style="1"/>
    <col min="10" max="10" width="10.5703125" style="1" bestFit="1" customWidth="1"/>
    <col min="11" max="11" width="9.7109375" style="1" bestFit="1" customWidth="1"/>
    <col min="12" max="16384" width="9.140625" style="1"/>
  </cols>
  <sheetData>
    <row r="2" spans="1:14" x14ac:dyDescent="0.25">
      <c r="A2" s="1" t="s">
        <v>25</v>
      </c>
    </row>
    <row r="3" spans="1:14" x14ac:dyDescent="0.25">
      <c r="C3" s="197" t="s">
        <v>196</v>
      </c>
      <c r="D3" s="197" t="s">
        <v>197</v>
      </c>
      <c r="E3" s="197" t="s">
        <v>198</v>
      </c>
      <c r="F3" s="197" t="s">
        <v>195</v>
      </c>
      <c r="G3" s="125"/>
      <c r="H3" s="197" t="s">
        <v>199</v>
      </c>
      <c r="I3" s="197" t="s">
        <v>197</v>
      </c>
      <c r="J3" s="197" t="s">
        <v>198</v>
      </c>
      <c r="K3" s="197" t="s">
        <v>200</v>
      </c>
      <c r="M3" s="197" t="s">
        <v>201</v>
      </c>
      <c r="N3" s="197" t="s">
        <v>25</v>
      </c>
    </row>
    <row r="4" spans="1:14" x14ac:dyDescent="0.25">
      <c r="C4" s="197"/>
      <c r="D4" s="197"/>
      <c r="E4" s="197"/>
      <c r="F4" s="197"/>
      <c r="G4" s="125"/>
      <c r="H4" s="197"/>
      <c r="I4" s="197"/>
      <c r="J4" s="197"/>
      <c r="K4" s="197"/>
      <c r="M4" s="197"/>
      <c r="N4" s="197"/>
    </row>
    <row r="5" spans="1:14" x14ac:dyDescent="0.25">
      <c r="B5" s="126">
        <v>0</v>
      </c>
      <c r="C5" s="1">
        <f>-Forecast!C69</f>
        <v>-500000</v>
      </c>
    </row>
    <row r="6" spans="1:14" x14ac:dyDescent="0.25">
      <c r="B6" s="126">
        <v>1</v>
      </c>
      <c r="D6" s="1">
        <f>-$C$5*'Other Expenses'!$E$12</f>
        <v>16666.666666666668</v>
      </c>
      <c r="E6" s="1">
        <f>D6+E5</f>
        <v>16666.666666666668</v>
      </c>
      <c r="F6" s="1">
        <f>-$C$5-E6</f>
        <v>483333.33333333331</v>
      </c>
      <c r="K6" s="1">
        <f>-$C$5-E6-J6</f>
        <v>483333.33333333331</v>
      </c>
      <c r="M6" s="1">
        <f>D6+I6</f>
        <v>16666.666666666668</v>
      </c>
      <c r="N6" s="1">
        <f>-$C$5</f>
        <v>500000</v>
      </c>
    </row>
    <row r="7" spans="1:14" x14ac:dyDescent="0.25">
      <c r="B7" s="126">
        <v>2</v>
      </c>
      <c r="D7" s="1">
        <f>-$C$5*'Other Expenses'!$E$12</f>
        <v>16666.666666666668</v>
      </c>
      <c r="E7" s="1">
        <f t="shared" ref="E7:E35" si="0">D7+E6</f>
        <v>33333.333333333336</v>
      </c>
      <c r="F7" s="1">
        <f t="shared" ref="F7:F35" si="1">-$C$5-E7</f>
        <v>466666.66666666669</v>
      </c>
      <c r="K7" s="1">
        <f t="shared" ref="K7:K10" si="2">-$C$5-E7-J7</f>
        <v>466666.66666666669</v>
      </c>
      <c r="M7" s="1">
        <f t="shared" ref="M7:M35" si="3">D7+I7</f>
        <v>16666.666666666668</v>
      </c>
      <c r="N7" s="1">
        <f t="shared" ref="N7:N9" si="4">-$C$5</f>
        <v>500000</v>
      </c>
    </row>
    <row r="8" spans="1:14" x14ac:dyDescent="0.25">
      <c r="B8" s="126">
        <v>3</v>
      </c>
      <c r="D8" s="1">
        <f>-$C$5*'Other Expenses'!$E$12</f>
        <v>16666.666666666668</v>
      </c>
      <c r="E8" s="1">
        <f t="shared" si="0"/>
        <v>50000</v>
      </c>
      <c r="F8" s="1">
        <f t="shared" si="1"/>
        <v>450000</v>
      </c>
      <c r="K8" s="1">
        <f t="shared" si="2"/>
        <v>450000</v>
      </c>
      <c r="M8" s="1">
        <f t="shared" si="3"/>
        <v>16666.666666666668</v>
      </c>
      <c r="N8" s="1">
        <f t="shared" si="4"/>
        <v>500000</v>
      </c>
    </row>
    <row r="9" spans="1:14" x14ac:dyDescent="0.25">
      <c r="B9" s="126">
        <v>4</v>
      </c>
      <c r="D9" s="1">
        <f>-$C$5*'Other Expenses'!$E$12</f>
        <v>16666.666666666668</v>
      </c>
      <c r="E9" s="1">
        <f t="shared" si="0"/>
        <v>66666.666666666672</v>
      </c>
      <c r="F9" s="1">
        <f t="shared" si="1"/>
        <v>433333.33333333331</v>
      </c>
      <c r="K9" s="1">
        <f t="shared" si="2"/>
        <v>433333.33333333331</v>
      </c>
      <c r="M9" s="1">
        <f t="shared" si="3"/>
        <v>16666.666666666668</v>
      </c>
      <c r="N9" s="1">
        <f t="shared" si="4"/>
        <v>500000</v>
      </c>
    </row>
    <row r="10" spans="1:14" x14ac:dyDescent="0.25">
      <c r="B10" s="126">
        <v>5</v>
      </c>
      <c r="D10" s="1">
        <f>-$C$5*'Other Expenses'!$E$12</f>
        <v>16666.666666666668</v>
      </c>
      <c r="E10" s="1">
        <f t="shared" si="0"/>
        <v>83333.333333333343</v>
      </c>
      <c r="F10" s="1">
        <f t="shared" si="1"/>
        <v>416666.66666666663</v>
      </c>
      <c r="H10" s="1">
        <v>-50000</v>
      </c>
      <c r="K10" s="1">
        <f t="shared" si="2"/>
        <v>416666.66666666663</v>
      </c>
      <c r="M10" s="1">
        <f t="shared" si="3"/>
        <v>16666.666666666668</v>
      </c>
      <c r="N10" s="1">
        <f>-$C$5-$H$10</f>
        <v>550000</v>
      </c>
    </row>
    <row r="11" spans="1:14" x14ac:dyDescent="0.25">
      <c r="B11" s="126">
        <v>6</v>
      </c>
      <c r="D11" s="1">
        <f>-$C$5*'Other Expenses'!$E$12</f>
        <v>16666.666666666668</v>
      </c>
      <c r="E11" s="1">
        <f t="shared" si="0"/>
        <v>100000.00000000001</v>
      </c>
      <c r="F11" s="1">
        <f t="shared" si="1"/>
        <v>400000</v>
      </c>
      <c r="I11" s="1">
        <f>$H$10/-25</f>
        <v>2000</v>
      </c>
      <c r="J11" s="1">
        <f>I11+J10</f>
        <v>2000</v>
      </c>
      <c r="K11" s="1">
        <f>-$C$5-$H$10-E11-J11</f>
        <v>448000</v>
      </c>
      <c r="M11" s="1">
        <f t="shared" si="3"/>
        <v>18666.666666666668</v>
      </c>
      <c r="N11" s="1">
        <f t="shared" ref="N11:N12" si="5">-$C$5-$H$10</f>
        <v>550000</v>
      </c>
    </row>
    <row r="12" spans="1:14" x14ac:dyDescent="0.25">
      <c r="B12" s="126">
        <v>7</v>
      </c>
      <c r="D12" s="1">
        <f>-$C$5*'Other Expenses'!$E$12</f>
        <v>16666.666666666668</v>
      </c>
      <c r="E12" s="1">
        <f t="shared" si="0"/>
        <v>116666.66666666669</v>
      </c>
      <c r="F12" s="1">
        <f t="shared" si="1"/>
        <v>383333.33333333331</v>
      </c>
      <c r="I12" s="1">
        <f>$H$10/-25</f>
        <v>2000</v>
      </c>
      <c r="J12" s="1">
        <f t="shared" ref="J12:J35" si="6">I12+J11</f>
        <v>4000</v>
      </c>
      <c r="K12" s="1">
        <f t="shared" ref="K12:K13" si="7">-$C$5-$H$10-E12-J12</f>
        <v>429333.33333333331</v>
      </c>
      <c r="M12" s="1">
        <f t="shared" si="3"/>
        <v>18666.666666666668</v>
      </c>
      <c r="N12" s="1">
        <f t="shared" si="5"/>
        <v>550000</v>
      </c>
    </row>
    <row r="13" spans="1:14" x14ac:dyDescent="0.25">
      <c r="B13" s="126">
        <v>8</v>
      </c>
      <c r="D13" s="1">
        <f>-$C$5*'Other Expenses'!$E$12</f>
        <v>16666.666666666668</v>
      </c>
      <c r="E13" s="1">
        <f t="shared" si="0"/>
        <v>133333.33333333334</v>
      </c>
      <c r="F13" s="1">
        <f t="shared" si="1"/>
        <v>366666.66666666663</v>
      </c>
      <c r="H13" s="1">
        <v>-50000</v>
      </c>
      <c r="I13" s="1">
        <f>$H$10/-25</f>
        <v>2000</v>
      </c>
      <c r="J13" s="1">
        <f t="shared" si="6"/>
        <v>6000</v>
      </c>
      <c r="K13" s="1">
        <f t="shared" si="7"/>
        <v>410666.66666666663</v>
      </c>
      <c r="M13" s="1">
        <f t="shared" si="3"/>
        <v>18666.666666666668</v>
      </c>
      <c r="N13" s="1">
        <f>-$C$5-$H$10-$H$13</f>
        <v>600000</v>
      </c>
    </row>
    <row r="14" spans="1:14" x14ac:dyDescent="0.25">
      <c r="B14" s="126">
        <v>9</v>
      </c>
      <c r="D14" s="1">
        <f>-$C$5*'Other Expenses'!$E$12</f>
        <v>16666.666666666668</v>
      </c>
      <c r="E14" s="1">
        <f t="shared" si="0"/>
        <v>150000</v>
      </c>
      <c r="F14" s="1">
        <f t="shared" si="1"/>
        <v>350000</v>
      </c>
      <c r="I14" s="1">
        <f t="shared" ref="I14:I35" si="8">($H$10/-25)+$H$13/-22</f>
        <v>4272.7272727272721</v>
      </c>
      <c r="J14" s="1">
        <f t="shared" si="6"/>
        <v>10272.727272727272</v>
      </c>
      <c r="K14" s="1">
        <f>-$C$5-$H$13-$H$10-E14-J14</f>
        <v>439727.27272727271</v>
      </c>
      <c r="M14" s="1">
        <f t="shared" si="3"/>
        <v>20939.39393939394</v>
      </c>
      <c r="N14" s="1">
        <f t="shared" ref="N14:N35" si="9">-$C$5-$H$10-$H$13</f>
        <v>600000</v>
      </c>
    </row>
    <row r="15" spans="1:14" x14ac:dyDescent="0.25">
      <c r="B15" s="126">
        <v>10</v>
      </c>
      <c r="D15" s="1">
        <f>-$C$5*'Other Expenses'!$E$12</f>
        <v>16666.666666666668</v>
      </c>
      <c r="E15" s="1">
        <f t="shared" si="0"/>
        <v>166666.66666666666</v>
      </c>
      <c r="F15" s="1">
        <f t="shared" si="1"/>
        <v>333333.33333333337</v>
      </c>
      <c r="I15" s="1">
        <f t="shared" si="8"/>
        <v>4272.7272727272721</v>
      </c>
      <c r="J15" s="1">
        <f t="shared" si="6"/>
        <v>14545.454545454544</v>
      </c>
      <c r="K15" s="1">
        <f t="shared" ref="K15:K35" si="10">-$C$5-$H$13-$H$10-E15-J15</f>
        <v>418787.87878787884</v>
      </c>
      <c r="M15" s="1">
        <f t="shared" si="3"/>
        <v>20939.39393939394</v>
      </c>
      <c r="N15" s="1">
        <f t="shared" si="9"/>
        <v>600000</v>
      </c>
    </row>
    <row r="16" spans="1:14" x14ac:dyDescent="0.25">
      <c r="B16" s="126">
        <v>11</v>
      </c>
      <c r="D16" s="1">
        <f>-$C$5*'Other Expenses'!$E$12</f>
        <v>16666.666666666668</v>
      </c>
      <c r="E16" s="1">
        <f t="shared" si="0"/>
        <v>183333.33333333331</v>
      </c>
      <c r="F16" s="1">
        <f t="shared" si="1"/>
        <v>316666.66666666669</v>
      </c>
      <c r="I16" s="1">
        <f t="shared" si="8"/>
        <v>4272.7272727272721</v>
      </c>
      <c r="J16" s="1">
        <f t="shared" si="6"/>
        <v>18818.181818181816</v>
      </c>
      <c r="K16" s="1">
        <f t="shared" si="10"/>
        <v>397848.48484848486</v>
      </c>
      <c r="M16" s="1">
        <f t="shared" si="3"/>
        <v>20939.39393939394</v>
      </c>
      <c r="N16" s="1">
        <f t="shared" si="9"/>
        <v>600000</v>
      </c>
    </row>
    <row r="17" spans="2:14" x14ac:dyDescent="0.25">
      <c r="B17" s="126">
        <v>12</v>
      </c>
      <c r="D17" s="1">
        <f>-$C$5*'Other Expenses'!$E$12</f>
        <v>16666.666666666668</v>
      </c>
      <c r="E17" s="1">
        <f t="shared" si="0"/>
        <v>199999.99999999997</v>
      </c>
      <c r="F17" s="1">
        <f t="shared" si="1"/>
        <v>300000</v>
      </c>
      <c r="I17" s="1">
        <f t="shared" si="8"/>
        <v>4272.7272727272721</v>
      </c>
      <c r="J17" s="1">
        <f t="shared" si="6"/>
        <v>23090.909090909088</v>
      </c>
      <c r="K17" s="1">
        <f t="shared" si="10"/>
        <v>376909.09090909094</v>
      </c>
      <c r="M17" s="1">
        <f t="shared" si="3"/>
        <v>20939.39393939394</v>
      </c>
      <c r="N17" s="1">
        <f t="shared" si="9"/>
        <v>600000</v>
      </c>
    </row>
    <row r="18" spans="2:14" x14ac:dyDescent="0.25">
      <c r="B18" s="126">
        <v>13</v>
      </c>
      <c r="D18" s="1">
        <f>-$C$5*'Other Expenses'!$E$12</f>
        <v>16666.666666666668</v>
      </c>
      <c r="E18" s="1">
        <f t="shared" si="0"/>
        <v>216666.66666666663</v>
      </c>
      <c r="F18" s="1">
        <f t="shared" si="1"/>
        <v>283333.33333333337</v>
      </c>
      <c r="I18" s="1">
        <f t="shared" si="8"/>
        <v>4272.7272727272721</v>
      </c>
      <c r="J18" s="1">
        <f t="shared" si="6"/>
        <v>27363.63636363636</v>
      </c>
      <c r="K18" s="1">
        <f t="shared" si="10"/>
        <v>355969.69696969702</v>
      </c>
      <c r="M18" s="1">
        <f t="shared" si="3"/>
        <v>20939.39393939394</v>
      </c>
      <c r="N18" s="1">
        <f t="shared" si="9"/>
        <v>600000</v>
      </c>
    </row>
    <row r="19" spans="2:14" x14ac:dyDescent="0.25">
      <c r="B19" s="126">
        <v>14</v>
      </c>
      <c r="D19" s="1">
        <f>-$C$5*'Other Expenses'!$E$12</f>
        <v>16666.666666666668</v>
      </c>
      <c r="E19" s="1">
        <f t="shared" si="0"/>
        <v>233333.33333333328</v>
      </c>
      <c r="F19" s="1">
        <f t="shared" si="1"/>
        <v>266666.66666666674</v>
      </c>
      <c r="I19" s="1">
        <f t="shared" si="8"/>
        <v>4272.7272727272721</v>
      </c>
      <c r="J19" s="1">
        <f t="shared" si="6"/>
        <v>31636.363636363632</v>
      </c>
      <c r="K19" s="1">
        <f t="shared" si="10"/>
        <v>335030.3030303031</v>
      </c>
      <c r="M19" s="1">
        <f t="shared" si="3"/>
        <v>20939.39393939394</v>
      </c>
      <c r="N19" s="1">
        <f t="shared" si="9"/>
        <v>600000</v>
      </c>
    </row>
    <row r="20" spans="2:14" x14ac:dyDescent="0.25">
      <c r="B20" s="126">
        <v>15</v>
      </c>
      <c r="D20" s="1">
        <f>-$C$5*'Other Expenses'!$E$12</f>
        <v>16666.666666666668</v>
      </c>
      <c r="E20" s="1">
        <f t="shared" si="0"/>
        <v>249999.99999999994</v>
      </c>
      <c r="F20" s="1">
        <f t="shared" si="1"/>
        <v>250000.00000000006</v>
      </c>
      <c r="I20" s="1">
        <f t="shared" si="8"/>
        <v>4272.7272727272721</v>
      </c>
      <c r="J20" s="1">
        <f t="shared" si="6"/>
        <v>35909.090909090904</v>
      </c>
      <c r="K20" s="1">
        <f t="shared" si="10"/>
        <v>314090.90909090918</v>
      </c>
      <c r="M20" s="1">
        <f t="shared" si="3"/>
        <v>20939.39393939394</v>
      </c>
      <c r="N20" s="1">
        <f t="shared" si="9"/>
        <v>600000</v>
      </c>
    </row>
    <row r="21" spans="2:14" x14ac:dyDescent="0.25">
      <c r="B21" s="126">
        <v>16</v>
      </c>
      <c r="D21" s="1">
        <f>-$C$5*'Other Expenses'!$E$12</f>
        <v>16666.666666666668</v>
      </c>
      <c r="E21" s="1">
        <f t="shared" si="0"/>
        <v>266666.66666666663</v>
      </c>
      <c r="F21" s="1">
        <f t="shared" si="1"/>
        <v>233333.33333333337</v>
      </c>
      <c r="I21" s="1">
        <f t="shared" si="8"/>
        <v>4272.7272727272721</v>
      </c>
      <c r="J21" s="1">
        <f t="shared" si="6"/>
        <v>40181.818181818177</v>
      </c>
      <c r="K21" s="1">
        <f t="shared" si="10"/>
        <v>293151.5151515152</v>
      </c>
      <c r="M21" s="1">
        <f t="shared" si="3"/>
        <v>20939.39393939394</v>
      </c>
      <c r="N21" s="1">
        <f t="shared" si="9"/>
        <v>600000</v>
      </c>
    </row>
    <row r="22" spans="2:14" x14ac:dyDescent="0.25">
      <c r="B22" s="126">
        <v>17</v>
      </c>
      <c r="D22" s="1">
        <f>-$C$5*'Other Expenses'!$E$12</f>
        <v>16666.666666666668</v>
      </c>
      <c r="E22" s="1">
        <f t="shared" si="0"/>
        <v>283333.33333333331</v>
      </c>
      <c r="F22" s="1">
        <f t="shared" si="1"/>
        <v>216666.66666666669</v>
      </c>
      <c r="I22" s="1">
        <f t="shared" si="8"/>
        <v>4272.7272727272721</v>
      </c>
      <c r="J22" s="1">
        <f t="shared" si="6"/>
        <v>44454.545454545449</v>
      </c>
      <c r="K22" s="1">
        <f t="shared" si="10"/>
        <v>272212.12121212122</v>
      </c>
      <c r="M22" s="1">
        <f t="shared" si="3"/>
        <v>20939.39393939394</v>
      </c>
      <c r="N22" s="1">
        <f t="shared" si="9"/>
        <v>600000</v>
      </c>
    </row>
    <row r="23" spans="2:14" x14ac:dyDescent="0.25">
      <c r="B23" s="126">
        <v>18</v>
      </c>
      <c r="D23" s="1">
        <f>-$C$5*'Other Expenses'!$E$12</f>
        <v>16666.666666666668</v>
      </c>
      <c r="E23" s="1">
        <f t="shared" si="0"/>
        <v>300000</v>
      </c>
      <c r="F23" s="1">
        <f t="shared" si="1"/>
        <v>200000</v>
      </c>
      <c r="I23" s="1">
        <f t="shared" si="8"/>
        <v>4272.7272727272721</v>
      </c>
      <c r="J23" s="1">
        <f t="shared" si="6"/>
        <v>48727.272727272721</v>
      </c>
      <c r="K23" s="1">
        <f t="shared" si="10"/>
        <v>251272.72727272729</v>
      </c>
      <c r="M23" s="1">
        <f t="shared" si="3"/>
        <v>20939.39393939394</v>
      </c>
      <c r="N23" s="1">
        <f t="shared" si="9"/>
        <v>600000</v>
      </c>
    </row>
    <row r="24" spans="2:14" x14ac:dyDescent="0.25">
      <c r="B24" s="126">
        <v>19</v>
      </c>
      <c r="D24" s="1">
        <f>-$C$5*'Other Expenses'!$E$12</f>
        <v>16666.666666666668</v>
      </c>
      <c r="E24" s="1">
        <f t="shared" si="0"/>
        <v>316666.66666666669</v>
      </c>
      <c r="F24" s="1">
        <f t="shared" si="1"/>
        <v>183333.33333333331</v>
      </c>
      <c r="I24" s="1">
        <f t="shared" si="8"/>
        <v>4272.7272727272721</v>
      </c>
      <c r="J24" s="1">
        <f t="shared" si="6"/>
        <v>52999.999999999993</v>
      </c>
      <c r="K24" s="1">
        <f t="shared" si="10"/>
        <v>230333.33333333331</v>
      </c>
      <c r="M24" s="1">
        <f t="shared" si="3"/>
        <v>20939.39393939394</v>
      </c>
      <c r="N24" s="1">
        <f t="shared" si="9"/>
        <v>600000</v>
      </c>
    </row>
    <row r="25" spans="2:14" x14ac:dyDescent="0.25">
      <c r="B25" s="126">
        <v>20</v>
      </c>
      <c r="D25" s="1">
        <f>-$C$5*'Other Expenses'!$E$12</f>
        <v>16666.666666666668</v>
      </c>
      <c r="E25" s="1">
        <f t="shared" si="0"/>
        <v>333333.33333333337</v>
      </c>
      <c r="F25" s="1">
        <f t="shared" si="1"/>
        <v>166666.66666666663</v>
      </c>
      <c r="I25" s="1">
        <f t="shared" si="8"/>
        <v>4272.7272727272721</v>
      </c>
      <c r="J25" s="1">
        <f t="shared" si="6"/>
        <v>57272.727272727265</v>
      </c>
      <c r="K25" s="1">
        <f t="shared" si="10"/>
        <v>209393.93939393936</v>
      </c>
      <c r="M25" s="1">
        <f t="shared" si="3"/>
        <v>20939.39393939394</v>
      </c>
      <c r="N25" s="1">
        <f t="shared" si="9"/>
        <v>600000</v>
      </c>
    </row>
    <row r="26" spans="2:14" x14ac:dyDescent="0.25">
      <c r="B26" s="126">
        <v>21</v>
      </c>
      <c r="D26" s="1">
        <f>-$C$5*'Other Expenses'!$E$12</f>
        <v>16666.666666666668</v>
      </c>
      <c r="E26" s="1">
        <f t="shared" si="0"/>
        <v>350000.00000000006</v>
      </c>
      <c r="F26" s="1">
        <f t="shared" si="1"/>
        <v>149999.99999999994</v>
      </c>
      <c r="I26" s="1">
        <f t="shared" si="8"/>
        <v>4272.7272727272721</v>
      </c>
      <c r="J26" s="1">
        <f t="shared" si="6"/>
        <v>61545.454545454537</v>
      </c>
      <c r="K26" s="1">
        <f t="shared" si="10"/>
        <v>188454.54545454541</v>
      </c>
      <c r="M26" s="1">
        <f t="shared" si="3"/>
        <v>20939.39393939394</v>
      </c>
      <c r="N26" s="1">
        <f t="shared" si="9"/>
        <v>600000</v>
      </c>
    </row>
    <row r="27" spans="2:14" x14ac:dyDescent="0.25">
      <c r="B27" s="126">
        <v>22</v>
      </c>
      <c r="D27" s="1">
        <f>-$C$5*'Other Expenses'!$E$12</f>
        <v>16666.666666666668</v>
      </c>
      <c r="E27" s="1">
        <f t="shared" si="0"/>
        <v>366666.66666666674</v>
      </c>
      <c r="F27" s="1">
        <f t="shared" si="1"/>
        <v>133333.33333333326</v>
      </c>
      <c r="I27" s="1">
        <f t="shared" si="8"/>
        <v>4272.7272727272721</v>
      </c>
      <c r="J27" s="1">
        <f t="shared" si="6"/>
        <v>65818.181818181809</v>
      </c>
      <c r="K27" s="1">
        <f t="shared" si="10"/>
        <v>167515.15151515143</v>
      </c>
      <c r="M27" s="1">
        <f t="shared" si="3"/>
        <v>20939.39393939394</v>
      </c>
      <c r="N27" s="1">
        <f t="shared" si="9"/>
        <v>600000</v>
      </c>
    </row>
    <row r="28" spans="2:14" x14ac:dyDescent="0.25">
      <c r="B28" s="126">
        <v>23</v>
      </c>
      <c r="D28" s="1">
        <f>-$C$5*'Other Expenses'!$E$12</f>
        <v>16666.666666666668</v>
      </c>
      <c r="E28" s="1">
        <f t="shared" si="0"/>
        <v>383333.33333333343</v>
      </c>
      <c r="F28" s="1">
        <f t="shared" si="1"/>
        <v>116666.66666666657</v>
      </c>
      <c r="I28" s="1">
        <f t="shared" si="8"/>
        <v>4272.7272727272721</v>
      </c>
      <c r="J28" s="1">
        <f t="shared" si="6"/>
        <v>70090.909090909088</v>
      </c>
      <c r="K28" s="1">
        <f t="shared" si="10"/>
        <v>146575.75757575748</v>
      </c>
      <c r="M28" s="1">
        <f t="shared" si="3"/>
        <v>20939.39393939394</v>
      </c>
      <c r="N28" s="1">
        <f t="shared" si="9"/>
        <v>600000</v>
      </c>
    </row>
    <row r="29" spans="2:14" x14ac:dyDescent="0.25">
      <c r="B29" s="126">
        <v>24</v>
      </c>
      <c r="D29" s="1">
        <f>-$C$5*'Other Expenses'!$E$12</f>
        <v>16666.666666666668</v>
      </c>
      <c r="E29" s="1">
        <f t="shared" si="0"/>
        <v>400000.00000000012</v>
      </c>
      <c r="F29" s="1">
        <f t="shared" si="1"/>
        <v>99999.999999999884</v>
      </c>
      <c r="I29" s="1">
        <f t="shared" si="8"/>
        <v>4272.7272727272721</v>
      </c>
      <c r="J29" s="1">
        <f t="shared" si="6"/>
        <v>74363.636363636353</v>
      </c>
      <c r="K29" s="1">
        <f t="shared" si="10"/>
        <v>125636.36363636353</v>
      </c>
      <c r="M29" s="1">
        <f t="shared" si="3"/>
        <v>20939.39393939394</v>
      </c>
      <c r="N29" s="1">
        <f t="shared" si="9"/>
        <v>600000</v>
      </c>
    </row>
    <row r="30" spans="2:14" x14ac:dyDescent="0.25">
      <c r="B30" s="126">
        <v>25</v>
      </c>
      <c r="D30" s="1">
        <f>-$C$5*'Other Expenses'!$E$12</f>
        <v>16666.666666666668</v>
      </c>
      <c r="E30" s="1">
        <f t="shared" si="0"/>
        <v>416666.6666666668</v>
      </c>
      <c r="F30" s="1">
        <f t="shared" si="1"/>
        <v>83333.333333333198</v>
      </c>
      <c r="I30" s="1">
        <f t="shared" si="8"/>
        <v>4272.7272727272721</v>
      </c>
      <c r="J30" s="1">
        <f t="shared" si="6"/>
        <v>78636.363636363618</v>
      </c>
      <c r="K30" s="1">
        <f t="shared" si="10"/>
        <v>104696.96969696958</v>
      </c>
      <c r="M30" s="1">
        <f t="shared" si="3"/>
        <v>20939.39393939394</v>
      </c>
      <c r="N30" s="1">
        <f t="shared" si="9"/>
        <v>600000</v>
      </c>
    </row>
    <row r="31" spans="2:14" x14ac:dyDescent="0.25">
      <c r="B31" s="126">
        <v>26</v>
      </c>
      <c r="D31" s="1">
        <f>-$C$5*'Other Expenses'!$E$12</f>
        <v>16666.666666666668</v>
      </c>
      <c r="E31" s="1">
        <f t="shared" si="0"/>
        <v>433333.33333333349</v>
      </c>
      <c r="F31" s="1">
        <f t="shared" si="1"/>
        <v>66666.666666666511</v>
      </c>
      <c r="I31" s="1">
        <f t="shared" si="8"/>
        <v>4272.7272727272721</v>
      </c>
      <c r="J31" s="1">
        <f t="shared" si="6"/>
        <v>82909.090909090883</v>
      </c>
      <c r="K31" s="1">
        <f t="shared" si="10"/>
        <v>83757.575757575629</v>
      </c>
      <c r="M31" s="1">
        <f t="shared" si="3"/>
        <v>20939.39393939394</v>
      </c>
      <c r="N31" s="1">
        <f t="shared" si="9"/>
        <v>600000</v>
      </c>
    </row>
    <row r="32" spans="2:14" x14ac:dyDescent="0.25">
      <c r="B32" s="126">
        <v>27</v>
      </c>
      <c r="D32" s="1">
        <f>-$C$5*'Other Expenses'!$E$12</f>
        <v>16666.666666666668</v>
      </c>
      <c r="E32" s="1">
        <f t="shared" si="0"/>
        <v>450000.00000000017</v>
      </c>
      <c r="F32" s="1">
        <f t="shared" si="1"/>
        <v>49999.999999999825</v>
      </c>
      <c r="I32" s="1">
        <f t="shared" si="8"/>
        <v>4272.7272727272721</v>
      </c>
      <c r="J32" s="1">
        <f t="shared" si="6"/>
        <v>87181.818181818147</v>
      </c>
      <c r="K32" s="1">
        <f t="shared" si="10"/>
        <v>62818.181818181678</v>
      </c>
      <c r="M32" s="1">
        <f t="shared" si="3"/>
        <v>20939.39393939394</v>
      </c>
      <c r="N32" s="1">
        <f t="shared" si="9"/>
        <v>600000</v>
      </c>
    </row>
    <row r="33" spans="1:14" x14ac:dyDescent="0.25">
      <c r="B33" s="126">
        <v>28</v>
      </c>
      <c r="D33" s="1">
        <f>-$C$5*'Other Expenses'!$E$12</f>
        <v>16666.666666666668</v>
      </c>
      <c r="E33" s="1">
        <f t="shared" si="0"/>
        <v>466666.66666666686</v>
      </c>
      <c r="F33" s="1">
        <f t="shared" si="1"/>
        <v>33333.333333333139</v>
      </c>
      <c r="I33" s="1">
        <f t="shared" si="8"/>
        <v>4272.7272727272721</v>
      </c>
      <c r="J33" s="1">
        <f t="shared" si="6"/>
        <v>91454.545454545412</v>
      </c>
      <c r="K33" s="1">
        <f t="shared" si="10"/>
        <v>41878.787878787727</v>
      </c>
      <c r="M33" s="1">
        <f t="shared" si="3"/>
        <v>20939.39393939394</v>
      </c>
      <c r="N33" s="1">
        <f t="shared" si="9"/>
        <v>600000</v>
      </c>
    </row>
    <row r="34" spans="1:14" x14ac:dyDescent="0.25">
      <c r="B34" s="126">
        <v>29</v>
      </c>
      <c r="D34" s="1">
        <f>-$C$5*'Other Expenses'!$E$12</f>
        <v>16666.666666666668</v>
      </c>
      <c r="E34" s="1">
        <f t="shared" si="0"/>
        <v>483333.33333333355</v>
      </c>
      <c r="F34" s="1">
        <f t="shared" si="1"/>
        <v>16666.666666666453</v>
      </c>
      <c r="I34" s="1">
        <f t="shared" si="8"/>
        <v>4272.7272727272721</v>
      </c>
      <c r="J34" s="1">
        <f t="shared" si="6"/>
        <v>95727.272727272677</v>
      </c>
      <c r="K34" s="1">
        <f t="shared" si="10"/>
        <v>20939.393939393776</v>
      </c>
      <c r="M34" s="1">
        <f t="shared" si="3"/>
        <v>20939.39393939394</v>
      </c>
      <c r="N34" s="1">
        <f t="shared" si="9"/>
        <v>600000</v>
      </c>
    </row>
    <row r="35" spans="1:14" x14ac:dyDescent="0.25">
      <c r="B35" s="126">
        <v>30</v>
      </c>
      <c r="D35" s="1">
        <f>-$C$5*'Other Expenses'!$E$12</f>
        <v>16666.666666666668</v>
      </c>
      <c r="E35" s="1">
        <f t="shared" si="0"/>
        <v>500000.00000000023</v>
      </c>
      <c r="F35" s="1">
        <f t="shared" si="1"/>
        <v>0</v>
      </c>
      <c r="I35" s="1">
        <f t="shared" si="8"/>
        <v>4272.7272727272721</v>
      </c>
      <c r="J35" s="1">
        <f t="shared" si="6"/>
        <v>99999.999999999942</v>
      </c>
      <c r="K35" s="1">
        <f t="shared" si="10"/>
        <v>-1.7462298274040222E-10</v>
      </c>
      <c r="M35" s="1">
        <f t="shared" si="3"/>
        <v>20939.39393939394</v>
      </c>
      <c r="N35" s="1">
        <f t="shared" si="9"/>
        <v>600000</v>
      </c>
    </row>
    <row r="37" spans="1:14" x14ac:dyDescent="0.25">
      <c r="A37" s="1" t="s">
        <v>120</v>
      </c>
      <c r="C37" s="197" t="s">
        <v>196</v>
      </c>
      <c r="D37" s="197" t="s">
        <v>197</v>
      </c>
      <c r="E37" s="197" t="s">
        <v>198</v>
      </c>
      <c r="F37" s="197" t="s">
        <v>195</v>
      </c>
      <c r="G37" s="125"/>
      <c r="H37" s="197" t="s">
        <v>202</v>
      </c>
      <c r="I37" s="197" t="s">
        <v>197</v>
      </c>
      <c r="J37" s="197" t="s">
        <v>198</v>
      </c>
      <c r="K37" s="197" t="s">
        <v>200</v>
      </c>
      <c r="M37" s="197" t="s">
        <v>201</v>
      </c>
      <c r="N37" s="197" t="s">
        <v>120</v>
      </c>
    </row>
    <row r="38" spans="1:14" x14ac:dyDescent="0.25">
      <c r="C38" s="197"/>
      <c r="D38" s="197"/>
      <c r="E38" s="197"/>
      <c r="F38" s="197"/>
      <c r="G38" s="125"/>
      <c r="H38" s="197"/>
      <c r="I38" s="197"/>
      <c r="J38" s="197"/>
      <c r="K38" s="197"/>
      <c r="M38" s="197"/>
      <c r="N38" s="197"/>
    </row>
    <row r="39" spans="1:14" x14ac:dyDescent="0.25">
      <c r="B39" s="126">
        <v>0</v>
      </c>
      <c r="C39" s="1">
        <f>-Forecast!C65</f>
        <v>-30000</v>
      </c>
    </row>
    <row r="40" spans="1:14" x14ac:dyDescent="0.25">
      <c r="B40" s="126">
        <v>1</v>
      </c>
      <c r="D40" s="1">
        <f>-$C$39*'Other Expenses'!$H$20</f>
        <v>6000</v>
      </c>
      <c r="E40" s="1">
        <f>D40+E39</f>
        <v>6000</v>
      </c>
      <c r="F40" s="1">
        <f>-$C$39-E40</f>
        <v>24000</v>
      </c>
      <c r="K40" s="1">
        <f>-$C$39-E40-J40</f>
        <v>24000</v>
      </c>
      <c r="M40" s="1">
        <f>D40+I40</f>
        <v>6000</v>
      </c>
      <c r="N40" s="1">
        <f>-$C$39</f>
        <v>30000</v>
      </c>
    </row>
    <row r="41" spans="1:14" x14ac:dyDescent="0.25">
      <c r="B41" s="126">
        <v>2</v>
      </c>
      <c r="D41" s="1">
        <f>-$C$39*'Other Expenses'!$H$20</f>
        <v>6000</v>
      </c>
      <c r="E41" s="1">
        <f t="shared" ref="E41:E44" si="11">D41+E40</f>
        <v>12000</v>
      </c>
      <c r="F41" s="1">
        <f t="shared" ref="F41:F43" si="12">-$C$39-E41</f>
        <v>18000</v>
      </c>
      <c r="G41" s="126"/>
      <c r="H41" s="1">
        <v>-30000</v>
      </c>
      <c r="K41" s="1">
        <f>-$C$39-$H$41-E41-J41</f>
        <v>48000</v>
      </c>
      <c r="M41" s="1">
        <f t="shared" ref="M41:M43" si="13">D41+I41</f>
        <v>6000</v>
      </c>
      <c r="N41" s="1">
        <f>-$C$39-$H$41</f>
        <v>60000</v>
      </c>
    </row>
    <row r="42" spans="1:14" x14ac:dyDescent="0.25">
      <c r="B42" s="126">
        <v>3</v>
      </c>
      <c r="D42" s="1">
        <f>-$C$39*'Other Expenses'!$H$20</f>
        <v>6000</v>
      </c>
      <c r="E42" s="1">
        <f t="shared" si="11"/>
        <v>18000</v>
      </c>
      <c r="F42" s="1">
        <f t="shared" si="12"/>
        <v>12000</v>
      </c>
      <c r="G42" s="126"/>
      <c r="I42" s="1">
        <f>-$H$41*'Other Expenses'!$H$20</f>
        <v>6000</v>
      </c>
      <c r="J42" s="1">
        <f>I42+J41</f>
        <v>6000</v>
      </c>
      <c r="K42" s="1">
        <f t="shared" ref="K42:K44" si="14">-$C$39-$H$41-E42-J42</f>
        <v>36000</v>
      </c>
      <c r="M42" s="1">
        <f t="shared" si="13"/>
        <v>12000</v>
      </c>
      <c r="N42" s="1">
        <f t="shared" ref="N42:N43" si="15">-$C$39-$H$41</f>
        <v>60000</v>
      </c>
    </row>
    <row r="43" spans="1:14" x14ac:dyDescent="0.25">
      <c r="B43" s="126">
        <v>4</v>
      </c>
      <c r="D43" s="1">
        <f>-$C$39*'Other Expenses'!$H$20</f>
        <v>6000</v>
      </c>
      <c r="E43" s="1">
        <f t="shared" si="11"/>
        <v>24000</v>
      </c>
      <c r="F43" s="1">
        <f t="shared" si="12"/>
        <v>6000</v>
      </c>
      <c r="G43" s="126"/>
      <c r="I43" s="1">
        <f>-$H$41*'Other Expenses'!$H$20</f>
        <v>6000</v>
      </c>
      <c r="J43" s="1">
        <f t="shared" ref="J43:J46" si="16">I43+J42</f>
        <v>12000</v>
      </c>
      <c r="K43" s="1">
        <f t="shared" si="14"/>
        <v>24000</v>
      </c>
      <c r="M43" s="1">
        <f t="shared" si="13"/>
        <v>12000</v>
      </c>
      <c r="N43" s="1">
        <f t="shared" si="15"/>
        <v>60000</v>
      </c>
    </row>
    <row r="44" spans="1:14" x14ac:dyDescent="0.25">
      <c r="B44" s="126">
        <v>5</v>
      </c>
      <c r="D44" s="1">
        <f>-$C$39*'Other Expenses'!$H$20</f>
        <v>6000</v>
      </c>
      <c r="E44" s="1">
        <f t="shared" si="11"/>
        <v>30000</v>
      </c>
      <c r="F44" s="1">
        <f>-$C$39-E44</f>
        <v>0</v>
      </c>
      <c r="G44" s="126"/>
      <c r="I44" s="1">
        <f>-$H$41*'Other Expenses'!$H$20</f>
        <v>6000</v>
      </c>
      <c r="J44" s="1">
        <f t="shared" si="16"/>
        <v>18000</v>
      </c>
      <c r="K44" s="1">
        <f t="shared" si="14"/>
        <v>12000</v>
      </c>
      <c r="M44" s="1">
        <f>D44+I44</f>
        <v>12000</v>
      </c>
      <c r="N44" s="1">
        <f>-$C$39-$H$41</f>
        <v>60000</v>
      </c>
    </row>
    <row r="45" spans="1:14" x14ac:dyDescent="0.25">
      <c r="B45" s="126">
        <v>6</v>
      </c>
      <c r="G45" s="126"/>
      <c r="I45" s="1">
        <f>-$H$41*'Other Expenses'!$H$20</f>
        <v>6000</v>
      </c>
      <c r="J45" s="1">
        <f t="shared" si="16"/>
        <v>24000</v>
      </c>
      <c r="K45" s="1">
        <f>-$H$41-E45-J45</f>
        <v>6000</v>
      </c>
      <c r="M45" s="1">
        <f t="shared" ref="M45:M46" si="17">D45+I45</f>
        <v>6000</v>
      </c>
      <c r="N45" s="1">
        <f t="shared" ref="N45:N46" si="18">-$C$39-$H$41</f>
        <v>60000</v>
      </c>
    </row>
    <row r="46" spans="1:14" x14ac:dyDescent="0.25">
      <c r="B46" s="126">
        <v>7</v>
      </c>
      <c r="G46" s="126"/>
      <c r="I46" s="1">
        <f>-$H$41*'Other Expenses'!$H$20</f>
        <v>6000</v>
      </c>
      <c r="J46" s="1">
        <f t="shared" si="16"/>
        <v>30000</v>
      </c>
      <c r="K46" s="1">
        <f>-$H$41-E46-J46</f>
        <v>0</v>
      </c>
      <c r="M46" s="1">
        <f t="shared" si="17"/>
        <v>6000</v>
      </c>
      <c r="N46" s="1">
        <f t="shared" si="18"/>
        <v>60000</v>
      </c>
    </row>
    <row r="47" spans="1:14" x14ac:dyDescent="0.25">
      <c r="B47" s="126">
        <v>8</v>
      </c>
      <c r="G47" s="126"/>
    </row>
    <row r="48" spans="1:14" x14ac:dyDescent="0.25">
      <c r="B48" s="126">
        <v>9</v>
      </c>
      <c r="G48" s="126"/>
    </row>
    <row r="49" spans="1:14" x14ac:dyDescent="0.25">
      <c r="B49" s="126">
        <v>10</v>
      </c>
      <c r="G49" s="126"/>
    </row>
    <row r="51" spans="1:14" x14ac:dyDescent="0.25">
      <c r="A51" s="1" t="s">
        <v>24</v>
      </c>
      <c r="C51" s="197" t="s">
        <v>196</v>
      </c>
      <c r="D51" s="197" t="s">
        <v>197</v>
      </c>
      <c r="E51" s="197" t="s">
        <v>198</v>
      </c>
      <c r="F51" s="197" t="s">
        <v>195</v>
      </c>
      <c r="G51" s="125"/>
      <c r="H51" s="197" t="s">
        <v>203</v>
      </c>
      <c r="I51" s="197" t="s">
        <v>197</v>
      </c>
      <c r="J51" s="197" t="s">
        <v>198</v>
      </c>
      <c r="K51" s="197" t="s">
        <v>200</v>
      </c>
      <c r="M51" s="197" t="s">
        <v>201</v>
      </c>
      <c r="N51" s="197" t="s">
        <v>120</v>
      </c>
    </row>
    <row r="52" spans="1:14" x14ac:dyDescent="0.25">
      <c r="C52" s="197"/>
      <c r="D52" s="197"/>
      <c r="E52" s="197"/>
      <c r="F52" s="197"/>
      <c r="G52" s="125"/>
      <c r="H52" s="197"/>
      <c r="I52" s="197"/>
      <c r="J52" s="197"/>
      <c r="K52" s="197"/>
      <c r="M52" s="197"/>
      <c r="N52" s="197"/>
    </row>
    <row r="53" spans="1:14" x14ac:dyDescent="0.25">
      <c r="B53" s="126">
        <v>0</v>
      </c>
      <c r="C53" s="1">
        <f>-Forecast!C67</f>
        <v>-150000</v>
      </c>
    </row>
    <row r="54" spans="1:14" x14ac:dyDescent="0.25">
      <c r="B54" s="126">
        <v>1</v>
      </c>
      <c r="D54" s="1">
        <f>-$C$53*'Other Expenses'!E13</f>
        <v>30000</v>
      </c>
      <c r="E54" s="1">
        <f>D54+E53</f>
        <v>30000</v>
      </c>
      <c r="F54" s="1">
        <f>-$C$53-E54</f>
        <v>120000</v>
      </c>
      <c r="K54" s="1">
        <f>-$C$53-E54-J54</f>
        <v>120000</v>
      </c>
      <c r="M54" s="1">
        <f>D54+I54</f>
        <v>30000</v>
      </c>
      <c r="N54" s="1">
        <f>-$C$53</f>
        <v>150000</v>
      </c>
    </row>
    <row r="55" spans="1:14" x14ac:dyDescent="0.25">
      <c r="B55" s="126">
        <v>2</v>
      </c>
      <c r="D55" s="1">
        <f>-$C$53*'Other Expenses'!$E$13</f>
        <v>30000</v>
      </c>
      <c r="E55" s="1">
        <f t="shared" ref="E55:E58" si="19">D55+E54</f>
        <v>60000</v>
      </c>
      <c r="F55" s="1">
        <f t="shared" ref="F55:F58" si="20">-$C$53-E55</f>
        <v>90000</v>
      </c>
      <c r="G55" s="126"/>
      <c r="K55" s="1">
        <f t="shared" ref="K55" si="21">-$C$53-E55-J55</f>
        <v>90000</v>
      </c>
      <c r="M55" s="1">
        <f t="shared" ref="M55:M57" si="22">D55+I55</f>
        <v>30000</v>
      </c>
      <c r="N55" s="1">
        <f>-$C$53</f>
        <v>150000</v>
      </c>
    </row>
    <row r="56" spans="1:14" x14ac:dyDescent="0.25">
      <c r="B56" s="126">
        <v>3</v>
      </c>
      <c r="D56" s="1">
        <f>-$C$53*'Other Expenses'!$E$13</f>
        <v>30000</v>
      </c>
      <c r="E56" s="1">
        <f t="shared" si="19"/>
        <v>90000</v>
      </c>
      <c r="F56" s="1">
        <f t="shared" si="20"/>
        <v>60000</v>
      </c>
      <c r="G56" s="126"/>
      <c r="H56" s="1">
        <v>-50000</v>
      </c>
      <c r="K56" s="1">
        <f>-$C$53-$H$56-E56-J56</f>
        <v>110000</v>
      </c>
      <c r="M56" s="1">
        <f t="shared" si="22"/>
        <v>30000</v>
      </c>
      <c r="N56" s="1">
        <f>-$C$53-$H$56</f>
        <v>200000</v>
      </c>
    </row>
    <row r="57" spans="1:14" x14ac:dyDescent="0.25">
      <c r="B57" s="126">
        <v>4</v>
      </c>
      <c r="D57" s="1">
        <f>-$C$53*'Other Expenses'!$E$13</f>
        <v>30000</v>
      </c>
      <c r="E57" s="1">
        <f t="shared" si="19"/>
        <v>120000</v>
      </c>
      <c r="F57" s="1">
        <f t="shared" si="20"/>
        <v>30000</v>
      </c>
      <c r="G57" s="126"/>
      <c r="I57" s="1">
        <f>-$H$56*'Other Expenses'!$E$13</f>
        <v>10000</v>
      </c>
      <c r="J57" s="1">
        <f>I57+J56</f>
        <v>10000</v>
      </c>
      <c r="K57" s="1">
        <f t="shared" ref="K57:K58" si="23">-$C$53-$H$56-E57-J57</f>
        <v>70000</v>
      </c>
      <c r="M57" s="1">
        <f t="shared" si="22"/>
        <v>40000</v>
      </c>
      <c r="N57" s="1">
        <f t="shared" ref="N57:N61" si="24">-$C$53-$H$56</f>
        <v>200000</v>
      </c>
    </row>
    <row r="58" spans="1:14" x14ac:dyDescent="0.25">
      <c r="B58" s="126">
        <v>5</v>
      </c>
      <c r="D58" s="1">
        <f>-$C$53*'Other Expenses'!$E$13</f>
        <v>30000</v>
      </c>
      <c r="E58" s="1">
        <f t="shared" si="19"/>
        <v>150000</v>
      </c>
      <c r="F58" s="1">
        <f t="shared" si="20"/>
        <v>0</v>
      </c>
      <c r="G58" s="126"/>
      <c r="I58" s="1">
        <f>-$H$56*'Other Expenses'!$E$13</f>
        <v>10000</v>
      </c>
      <c r="J58" s="1">
        <f t="shared" ref="J58:J61" si="25">I58+J57</f>
        <v>20000</v>
      </c>
      <c r="K58" s="1">
        <f t="shared" si="23"/>
        <v>30000</v>
      </c>
      <c r="M58" s="1">
        <f>D58+I58</f>
        <v>40000</v>
      </c>
      <c r="N58" s="1">
        <f t="shared" si="24"/>
        <v>200000</v>
      </c>
    </row>
    <row r="59" spans="1:14" x14ac:dyDescent="0.25">
      <c r="B59" s="126">
        <v>6</v>
      </c>
      <c r="G59" s="126"/>
      <c r="I59" s="1">
        <f>-$H$56*'Other Expenses'!$E$13</f>
        <v>10000</v>
      </c>
      <c r="J59" s="1">
        <f t="shared" si="25"/>
        <v>30000</v>
      </c>
      <c r="K59" s="1">
        <f>-$H$56-E59-J59</f>
        <v>20000</v>
      </c>
      <c r="M59" s="1">
        <f t="shared" ref="M59:M61" si="26">D59+I59</f>
        <v>10000</v>
      </c>
      <c r="N59" s="1">
        <f t="shared" si="24"/>
        <v>200000</v>
      </c>
    </row>
    <row r="60" spans="1:14" x14ac:dyDescent="0.25">
      <c r="B60" s="126">
        <v>7</v>
      </c>
      <c r="G60" s="126"/>
      <c r="I60" s="1">
        <f>-$H$56*'Other Expenses'!$E$13</f>
        <v>10000</v>
      </c>
      <c r="J60" s="1">
        <f t="shared" si="25"/>
        <v>40000</v>
      </c>
      <c r="K60" s="1">
        <f t="shared" ref="K60:K61" si="27">-$H$56-E60-J60</f>
        <v>10000</v>
      </c>
      <c r="M60" s="1">
        <f t="shared" si="26"/>
        <v>10000</v>
      </c>
      <c r="N60" s="1">
        <f t="shared" si="24"/>
        <v>200000</v>
      </c>
    </row>
    <row r="61" spans="1:14" x14ac:dyDescent="0.25">
      <c r="B61" s="126">
        <v>8</v>
      </c>
      <c r="G61" s="126"/>
      <c r="I61" s="1">
        <f>-$H$56*'Other Expenses'!$E$13</f>
        <v>10000</v>
      </c>
      <c r="J61" s="1">
        <f t="shared" si="25"/>
        <v>50000</v>
      </c>
      <c r="K61" s="1">
        <f t="shared" si="27"/>
        <v>0</v>
      </c>
      <c r="M61" s="1">
        <f t="shared" si="26"/>
        <v>10000</v>
      </c>
      <c r="N61" s="1">
        <f t="shared" si="24"/>
        <v>200000</v>
      </c>
    </row>
    <row r="62" spans="1:14" x14ac:dyDescent="0.25">
      <c r="B62" s="126">
        <v>9</v>
      </c>
      <c r="G62" s="126"/>
    </row>
    <row r="63" spans="1:14" x14ac:dyDescent="0.25">
      <c r="B63" s="126">
        <v>10</v>
      </c>
      <c r="G63" s="126"/>
    </row>
  </sheetData>
  <mergeCells count="30">
    <mergeCell ref="I3:I4"/>
    <mergeCell ref="J3:J4"/>
    <mergeCell ref="K3:K4"/>
    <mergeCell ref="M3:M4"/>
    <mergeCell ref="N3:N4"/>
    <mergeCell ref="C3:C4"/>
    <mergeCell ref="D3:D4"/>
    <mergeCell ref="E3:E4"/>
    <mergeCell ref="F3:F4"/>
    <mergeCell ref="H3:H4"/>
    <mergeCell ref="C37:C38"/>
    <mergeCell ref="D37:D38"/>
    <mergeCell ref="E37:E38"/>
    <mergeCell ref="F37:F38"/>
    <mergeCell ref="H37:H38"/>
    <mergeCell ref="I37:I38"/>
    <mergeCell ref="J37:J38"/>
    <mergeCell ref="K37:K38"/>
    <mergeCell ref="M37:M38"/>
    <mergeCell ref="N37:N38"/>
    <mergeCell ref="C51:C52"/>
    <mergeCell ref="D51:D52"/>
    <mergeCell ref="E51:E52"/>
    <mergeCell ref="F51:F52"/>
    <mergeCell ref="H51:H52"/>
    <mergeCell ref="I51:I52"/>
    <mergeCell ref="J51:J52"/>
    <mergeCell ref="K51:K52"/>
    <mergeCell ref="M51:M52"/>
    <mergeCell ref="N51:N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Forecast</vt:lpstr>
      <vt:lpstr>Potential Sales</vt:lpstr>
      <vt:lpstr>Labor Expenses</vt:lpstr>
      <vt:lpstr>Other Expenses</vt:lpstr>
      <vt:lpstr>Mortgage</vt:lpstr>
      <vt:lpstr>Depreciation 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2019-07-17T21:52:21Z</dcterms:created>
  <dcterms:modified xsi:type="dcterms:W3CDTF">2019-07-17T21:52:35Z</dcterms:modified>
</cp:coreProperties>
</file>