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109" i="1" l="1"/>
  <c r="E112" i="1"/>
  <c r="E110" i="1"/>
  <c r="E109" i="1"/>
  <c r="E104" i="1"/>
  <c r="E105" i="1"/>
  <c r="D145" i="1" l="1"/>
  <c r="L138" i="1"/>
  <c r="L131" i="1"/>
  <c r="K131" i="1"/>
  <c r="J131" i="1"/>
  <c r="I131" i="1"/>
  <c r="H131" i="1"/>
  <c r="G131" i="1"/>
  <c r="F131" i="1"/>
  <c r="E131" i="1"/>
  <c r="L127" i="1"/>
  <c r="E101" i="1"/>
  <c r="H176" i="1"/>
  <c r="H175" i="1"/>
  <c r="H174" i="1"/>
  <c r="E96" i="1"/>
  <c r="H173" i="1"/>
  <c r="H172" i="1"/>
  <c r="H171" i="1"/>
  <c r="H170" i="1"/>
  <c r="H169" i="1"/>
  <c r="H168" i="1"/>
  <c r="H167" i="1"/>
  <c r="I165" i="1"/>
  <c r="I164" i="1"/>
  <c r="I163" i="1"/>
  <c r="I162" i="1"/>
  <c r="I161" i="1"/>
  <c r="J161" i="1" s="1"/>
  <c r="K161" i="1" s="1"/>
  <c r="L161" i="1" s="1"/>
  <c r="I160" i="1"/>
  <c r="J160" i="1" s="1"/>
  <c r="K160" i="1" s="1"/>
  <c r="L160" i="1" s="1"/>
  <c r="I159" i="1"/>
  <c r="I158" i="1"/>
  <c r="I157" i="1"/>
  <c r="J157" i="1" s="1"/>
  <c r="I156" i="1"/>
  <c r="I155" i="1"/>
  <c r="I154" i="1"/>
  <c r="M75" i="1"/>
  <c r="H187" i="1" s="1"/>
  <c r="L71" i="1"/>
  <c r="K71" i="1"/>
  <c r="J71" i="1"/>
  <c r="I71" i="1"/>
  <c r="H71" i="1"/>
  <c r="G71" i="1"/>
  <c r="F71" i="1"/>
  <c r="E71" i="1"/>
  <c r="L60" i="1"/>
  <c r="K60" i="1"/>
  <c r="J60" i="1"/>
  <c r="I60" i="1"/>
  <c r="H60" i="1"/>
  <c r="G60" i="1"/>
  <c r="F60" i="1"/>
  <c r="E60" i="1"/>
  <c r="L45" i="1"/>
  <c r="L119" i="1" s="1"/>
  <c r="L122" i="1" s="1"/>
  <c r="K45" i="1"/>
  <c r="K119" i="1" s="1"/>
  <c r="K122" i="1" s="1"/>
  <c r="J45" i="1"/>
  <c r="J119" i="1" s="1"/>
  <c r="J122" i="1" s="1"/>
  <c r="I45" i="1"/>
  <c r="I119" i="1" s="1"/>
  <c r="I122" i="1" s="1"/>
  <c r="H45" i="1"/>
  <c r="H119" i="1" s="1"/>
  <c r="H122" i="1" s="1"/>
  <c r="G45" i="1"/>
  <c r="G119" i="1" s="1"/>
  <c r="G122" i="1" s="1"/>
  <c r="F45" i="1"/>
  <c r="F119" i="1" s="1"/>
  <c r="F122" i="1" s="1"/>
  <c r="E45" i="1"/>
  <c r="E119" i="1" s="1"/>
  <c r="E122" i="1" s="1"/>
  <c r="L41" i="1"/>
  <c r="K41" i="1"/>
  <c r="J41" i="1"/>
  <c r="I41" i="1"/>
  <c r="H41" i="1"/>
  <c r="G41" i="1"/>
  <c r="F41" i="1"/>
  <c r="E41" i="1"/>
  <c r="L39" i="1"/>
  <c r="K39" i="1"/>
  <c r="J39" i="1"/>
  <c r="I39" i="1"/>
  <c r="H39" i="1"/>
  <c r="G39" i="1"/>
  <c r="F39" i="1"/>
  <c r="E39" i="1"/>
  <c r="L37" i="1"/>
  <c r="K37" i="1"/>
  <c r="J37" i="1"/>
  <c r="I37" i="1"/>
  <c r="H37" i="1"/>
  <c r="G37" i="1"/>
  <c r="F37" i="1"/>
  <c r="E37" i="1"/>
  <c r="L31" i="1"/>
  <c r="K31" i="1"/>
  <c r="J31" i="1"/>
  <c r="I31" i="1"/>
  <c r="H31" i="1"/>
  <c r="G31" i="1"/>
  <c r="F31" i="1"/>
  <c r="E31" i="1"/>
  <c r="E30" i="1"/>
  <c r="E17" i="1"/>
  <c r="F17" i="1" s="1"/>
  <c r="F8" i="1"/>
  <c r="F30" i="1" s="1"/>
  <c r="G8" i="1" l="1"/>
  <c r="G30" i="1" s="1"/>
  <c r="H190" i="1"/>
  <c r="H182" i="1"/>
  <c r="H183" i="1"/>
  <c r="F38" i="1"/>
  <c r="F32" i="1"/>
  <c r="G17" i="1"/>
  <c r="F33" i="1"/>
  <c r="I174" i="1"/>
  <c r="J163" i="1"/>
  <c r="H8" i="1"/>
  <c r="I167" i="1"/>
  <c r="I179" i="1" s="1"/>
  <c r="J154" i="1"/>
  <c r="I173" i="1"/>
  <c r="I187" i="1" s="1"/>
  <c r="J162" i="1"/>
  <c r="I175" i="1"/>
  <c r="I189" i="1" s="1"/>
  <c r="J164" i="1"/>
  <c r="E32" i="1"/>
  <c r="E33" i="1" s="1"/>
  <c r="E38" i="1"/>
  <c r="I168" i="1"/>
  <c r="I180" i="1" s="1"/>
  <c r="J155" i="1"/>
  <c r="K157" i="1"/>
  <c r="J170" i="1"/>
  <c r="I172" i="1"/>
  <c r="I184" i="1" s="1"/>
  <c r="J159" i="1"/>
  <c r="I176" i="1"/>
  <c r="J165" i="1"/>
  <c r="I170" i="1"/>
  <c r="I182" i="1" s="1"/>
  <c r="I169" i="1"/>
  <c r="I181" i="1" s="1"/>
  <c r="J156" i="1"/>
  <c r="I171" i="1"/>
  <c r="J158" i="1"/>
  <c r="H177" i="1"/>
  <c r="E68" i="1" s="1"/>
  <c r="H179" i="1"/>
  <c r="H181" i="1"/>
  <c r="I183" i="1"/>
  <c r="H188" i="1"/>
  <c r="I190" i="1"/>
  <c r="H180" i="1"/>
  <c r="J182" i="1"/>
  <c r="H184" i="1"/>
  <c r="I188" i="1"/>
  <c r="H189" i="1"/>
  <c r="E65" i="1" l="1"/>
  <c r="E134" i="1" s="1"/>
  <c r="E42" i="1"/>
  <c r="E40" i="1"/>
  <c r="E36" i="1"/>
  <c r="E83" i="1" s="1"/>
  <c r="E82" i="1"/>
  <c r="J171" i="1"/>
  <c r="J183" i="1" s="1"/>
  <c r="K158" i="1"/>
  <c r="G38" i="1"/>
  <c r="G32" i="1"/>
  <c r="G33" i="1" s="1"/>
  <c r="H17" i="1"/>
  <c r="I191" i="1"/>
  <c r="F46" i="1" s="1"/>
  <c r="F80" i="1" s="1"/>
  <c r="K165" i="1"/>
  <c r="J176" i="1"/>
  <c r="J190" i="1" s="1"/>
  <c r="J175" i="1"/>
  <c r="J189" i="1" s="1"/>
  <c r="K164" i="1"/>
  <c r="J167" i="1"/>
  <c r="K154" i="1"/>
  <c r="I8" i="1"/>
  <c r="H30" i="1"/>
  <c r="F82" i="1"/>
  <c r="F42" i="1"/>
  <c r="F40" i="1"/>
  <c r="F36" i="1"/>
  <c r="F48" i="1"/>
  <c r="F65" i="1"/>
  <c r="H191" i="1"/>
  <c r="E46" i="1" s="1"/>
  <c r="E80" i="1" s="1"/>
  <c r="K156" i="1"/>
  <c r="J169" i="1"/>
  <c r="J181" i="1" s="1"/>
  <c r="L157" i="1"/>
  <c r="L170" i="1" s="1"/>
  <c r="L182" i="1" s="1"/>
  <c r="K170" i="1"/>
  <c r="K182" i="1" s="1"/>
  <c r="I177" i="1"/>
  <c r="F68" i="1" s="1"/>
  <c r="J174" i="1"/>
  <c r="J188" i="1" s="1"/>
  <c r="K163" i="1"/>
  <c r="F64" i="1"/>
  <c r="F57" i="1"/>
  <c r="J172" i="1"/>
  <c r="J184" i="1" s="1"/>
  <c r="K159" i="1"/>
  <c r="J168" i="1"/>
  <c r="J180" i="1" s="1"/>
  <c r="K155" i="1"/>
  <c r="E64" i="1"/>
  <c r="E57" i="1"/>
  <c r="K162" i="1"/>
  <c r="J173" i="1"/>
  <c r="J187" i="1" s="1"/>
  <c r="F83" i="1" l="1"/>
  <c r="F84" i="1" s="1"/>
  <c r="F86" i="1" s="1"/>
  <c r="F61" i="1"/>
  <c r="F49" i="1"/>
  <c r="F66" i="1" s="1"/>
  <c r="G64" i="1"/>
  <c r="G57" i="1"/>
  <c r="E133" i="1"/>
  <c r="L164" i="1"/>
  <c r="L175" i="1" s="1"/>
  <c r="L189" i="1" s="1"/>
  <c r="K175" i="1"/>
  <c r="K189" i="1" s="1"/>
  <c r="L162" i="1"/>
  <c r="L173" i="1" s="1"/>
  <c r="L187" i="1" s="1"/>
  <c r="K173" i="1"/>
  <c r="K187" i="1" s="1"/>
  <c r="L155" i="1"/>
  <c r="L168" i="1" s="1"/>
  <c r="L180" i="1" s="1"/>
  <c r="K168" i="1"/>
  <c r="K180" i="1" s="1"/>
  <c r="K174" i="1"/>
  <c r="K188" i="1" s="1"/>
  <c r="L163" i="1"/>
  <c r="L174" i="1" s="1"/>
  <c r="L188" i="1" s="1"/>
  <c r="F134" i="1"/>
  <c r="J8" i="1"/>
  <c r="I30" i="1"/>
  <c r="I17" i="1"/>
  <c r="H38" i="1"/>
  <c r="H32" i="1"/>
  <c r="H33" i="1" s="1"/>
  <c r="E106" i="1"/>
  <c r="G104" i="1"/>
  <c r="F118" i="1"/>
  <c r="F120" i="1" s="1"/>
  <c r="K167" i="1"/>
  <c r="L154" i="1"/>
  <c r="L167" i="1" s="1"/>
  <c r="G82" i="1"/>
  <c r="G36" i="1"/>
  <c r="G65" i="1"/>
  <c r="G134" i="1" s="1"/>
  <c r="G42" i="1"/>
  <c r="G40" i="1"/>
  <c r="E84" i="1"/>
  <c r="E86" i="1" s="1"/>
  <c r="E48" i="1"/>
  <c r="F132" i="1"/>
  <c r="E132" i="1"/>
  <c r="E61" i="1"/>
  <c r="L159" i="1"/>
  <c r="L172" i="1" s="1"/>
  <c r="L184" i="1" s="1"/>
  <c r="K172" i="1"/>
  <c r="K184" i="1" s="1"/>
  <c r="L156" i="1"/>
  <c r="L169" i="1" s="1"/>
  <c r="L181" i="1" s="1"/>
  <c r="K169" i="1"/>
  <c r="K181" i="1" s="1"/>
  <c r="J177" i="1"/>
  <c r="G68" i="1" s="1"/>
  <c r="J179" i="1"/>
  <c r="J191" i="1" s="1"/>
  <c r="G46" i="1" s="1"/>
  <c r="G80" i="1" s="1"/>
  <c r="L165" i="1"/>
  <c r="L176" i="1" s="1"/>
  <c r="L190" i="1" s="1"/>
  <c r="K176" i="1"/>
  <c r="K190" i="1" s="1"/>
  <c r="F133" i="1"/>
  <c r="K171" i="1"/>
  <c r="K183" i="1" s="1"/>
  <c r="L158" i="1"/>
  <c r="L171" i="1" s="1"/>
  <c r="L183" i="1" s="1"/>
  <c r="E118" i="1"/>
  <c r="E120" i="1" s="1"/>
  <c r="G118" i="1" l="1"/>
  <c r="G120" i="1" s="1"/>
  <c r="G48" i="1"/>
  <c r="F50" i="1"/>
  <c r="G49" i="1"/>
  <c r="G66" i="1" s="1"/>
  <c r="G135" i="1" s="1"/>
  <c r="E121" i="1"/>
  <c r="E123" i="1" s="1"/>
  <c r="F121" i="1"/>
  <c r="F123" i="1" s="1"/>
  <c r="H64" i="1"/>
  <c r="H57" i="1"/>
  <c r="H132" i="1" s="1"/>
  <c r="E49" i="1"/>
  <c r="E66" i="1" s="1"/>
  <c r="F135" i="1" s="1"/>
  <c r="J17" i="1"/>
  <c r="I38" i="1"/>
  <c r="I32" i="1"/>
  <c r="I33" i="1" s="1"/>
  <c r="H82" i="1"/>
  <c r="H65" i="1"/>
  <c r="H134" i="1" s="1"/>
  <c r="H42" i="1"/>
  <c r="H40" i="1"/>
  <c r="H36" i="1"/>
  <c r="G61" i="1"/>
  <c r="L177" i="1"/>
  <c r="L179" i="1"/>
  <c r="L191" i="1" s="1"/>
  <c r="I46" i="1" s="1"/>
  <c r="G105" i="1"/>
  <c r="I106" i="1" s="1"/>
  <c r="G133" i="1"/>
  <c r="G132" i="1"/>
  <c r="G83" i="1"/>
  <c r="G84" i="1" s="1"/>
  <c r="G86" i="1" s="1"/>
  <c r="K177" i="1"/>
  <c r="H68" i="1" s="1"/>
  <c r="K179" i="1"/>
  <c r="K191" i="1" s="1"/>
  <c r="H46" i="1" s="1"/>
  <c r="H80" i="1" s="1"/>
  <c r="J30" i="1"/>
  <c r="K8" i="1"/>
  <c r="G121" i="1"/>
  <c r="G123" i="1" s="1"/>
  <c r="E50" i="1" l="1"/>
  <c r="E72" i="1" s="1"/>
  <c r="G145" i="1"/>
  <c r="H48" i="1"/>
  <c r="F145" i="1"/>
  <c r="H49" i="1"/>
  <c r="H66" i="1" s="1"/>
  <c r="H135" i="1" s="1"/>
  <c r="J38" i="1"/>
  <c r="J32" i="1"/>
  <c r="K17" i="1"/>
  <c r="F72" i="1"/>
  <c r="H133" i="1"/>
  <c r="K30" i="1"/>
  <c r="L8" i="1"/>
  <c r="L30" i="1" s="1"/>
  <c r="H118" i="1"/>
  <c r="H120" i="1" s="1"/>
  <c r="I65" i="1"/>
  <c r="I134" i="1" s="1"/>
  <c r="I42" i="1"/>
  <c r="I40" i="1"/>
  <c r="I36" i="1"/>
  <c r="I82" i="1"/>
  <c r="J33" i="1"/>
  <c r="G50" i="1"/>
  <c r="H83" i="1"/>
  <c r="H84" i="1" s="1"/>
  <c r="H86" i="1" s="1"/>
  <c r="I64" i="1"/>
  <c r="I57" i="1"/>
  <c r="I132" i="1" s="1"/>
  <c r="I80" i="1"/>
  <c r="E135" i="1"/>
  <c r="E145" i="1" s="1"/>
  <c r="E74" i="1"/>
  <c r="E76" i="1" s="1"/>
  <c r="H61" i="1"/>
  <c r="I48" i="1" l="1"/>
  <c r="I49" i="1"/>
  <c r="I66" i="1" s="1"/>
  <c r="I135" i="1" s="1"/>
  <c r="I118" i="1"/>
  <c r="I120" i="1" s="1"/>
  <c r="G72" i="1"/>
  <c r="F74" i="1"/>
  <c r="F76" i="1" s="1"/>
  <c r="I133" i="1"/>
  <c r="J82" i="1"/>
  <c r="J42" i="1"/>
  <c r="J40" i="1"/>
  <c r="J36" i="1"/>
  <c r="J65" i="1"/>
  <c r="J134" i="1" s="1"/>
  <c r="H121" i="1"/>
  <c r="H123" i="1" s="1"/>
  <c r="H145" i="1" s="1"/>
  <c r="K32" i="1"/>
  <c r="K33" i="1" s="1"/>
  <c r="L17" i="1"/>
  <c r="K38" i="1"/>
  <c r="H50" i="1"/>
  <c r="I83" i="1"/>
  <c r="I84" i="1" s="1"/>
  <c r="I86" i="1" s="1"/>
  <c r="I107" i="1"/>
  <c r="I108" i="1" s="1"/>
  <c r="I110" i="1" s="1"/>
  <c r="E114" i="1" s="1"/>
  <c r="G106" i="1"/>
  <c r="I61" i="1"/>
  <c r="J64" i="1"/>
  <c r="J57" i="1"/>
  <c r="J132" i="1" s="1"/>
  <c r="J80" i="1"/>
  <c r="J48" i="1" l="1"/>
  <c r="I50" i="1"/>
  <c r="J118" i="1"/>
  <c r="J120" i="1" s="1"/>
  <c r="K82" i="1"/>
  <c r="K42" i="1"/>
  <c r="K40" i="1"/>
  <c r="K36" i="1"/>
  <c r="K65" i="1"/>
  <c r="K134" i="1" s="1"/>
  <c r="J121" i="1"/>
  <c r="E147" i="1"/>
  <c r="H147" i="1"/>
  <c r="D147" i="1"/>
  <c r="G147" i="1"/>
  <c r="F147" i="1"/>
  <c r="J49" i="1"/>
  <c r="J66" i="1" s="1"/>
  <c r="J135" i="1" s="1"/>
  <c r="I121" i="1"/>
  <c r="I123" i="1" s="1"/>
  <c r="I145" i="1" s="1"/>
  <c r="K64" i="1"/>
  <c r="K57" i="1"/>
  <c r="K80" i="1"/>
  <c r="H72" i="1"/>
  <c r="G74" i="1"/>
  <c r="G76" i="1" s="1"/>
  <c r="J133" i="1"/>
  <c r="J61" i="1"/>
  <c r="L38" i="1"/>
  <c r="L32" i="1"/>
  <c r="L33" i="1" s="1"/>
  <c r="J83" i="1"/>
  <c r="J84" i="1" s="1"/>
  <c r="J86" i="1" s="1"/>
  <c r="K48" i="1" l="1"/>
  <c r="K49" i="1" s="1"/>
  <c r="K66" i="1" s="1"/>
  <c r="K135" i="1" s="1"/>
  <c r="J123" i="1"/>
  <c r="J145" i="1" s="1"/>
  <c r="J147" i="1" s="1"/>
  <c r="K118" i="1"/>
  <c r="K120" i="1" s="1"/>
  <c r="K121" i="1" s="1"/>
  <c r="K123" i="1" s="1"/>
  <c r="I147" i="1"/>
  <c r="L82" i="1"/>
  <c r="L65" i="1"/>
  <c r="L42" i="1"/>
  <c r="L40" i="1"/>
  <c r="L36" i="1"/>
  <c r="L64" i="1"/>
  <c r="L57" i="1"/>
  <c r="L80" i="1"/>
  <c r="J50" i="1"/>
  <c r="K61" i="1"/>
  <c r="K132" i="1"/>
  <c r="I72" i="1"/>
  <c r="H74" i="1"/>
  <c r="H76" i="1" s="1"/>
  <c r="K133" i="1"/>
  <c r="K83" i="1"/>
  <c r="K84" i="1" s="1"/>
  <c r="K86" i="1" s="1"/>
  <c r="L118" i="1" l="1"/>
  <c r="L120" i="1" s="1"/>
  <c r="K145" i="1"/>
  <c r="K147" i="1" s="1"/>
  <c r="K50" i="1"/>
  <c r="L121" i="1"/>
  <c r="L123" i="1" s="1"/>
  <c r="L133" i="1"/>
  <c r="L140" i="1"/>
  <c r="L48" i="1"/>
  <c r="L83" i="1"/>
  <c r="L84" i="1" s="1"/>
  <c r="L86" i="1" s="1"/>
  <c r="L141" i="1"/>
  <c r="L134" i="1"/>
  <c r="J72" i="1"/>
  <c r="I74" i="1"/>
  <c r="I76" i="1" s="1"/>
  <c r="L139" i="1"/>
  <c r="L61" i="1"/>
  <c r="L132" i="1"/>
  <c r="K72" i="1" l="1"/>
  <c r="J74" i="1"/>
  <c r="J76" i="1" s="1"/>
  <c r="L49" i="1"/>
  <c r="L66" i="1" s="1"/>
  <c r="K74" i="1" l="1"/>
  <c r="K76" i="1" s="1"/>
  <c r="L50" i="1"/>
  <c r="L72" i="1" s="1"/>
  <c r="L74" i="1" s="1"/>
  <c r="L76" i="1" s="1"/>
  <c r="L135" i="1"/>
  <c r="L142" i="1"/>
  <c r="L145" i="1" l="1"/>
  <c r="M145" i="1" s="1"/>
  <c r="L147" i="1"/>
  <c r="D151" i="1"/>
  <c r="D149" i="1"/>
</calcChain>
</file>

<file path=xl/sharedStrings.xml><?xml version="1.0" encoding="utf-8"?>
<sst xmlns="http://schemas.openxmlformats.org/spreadsheetml/2006/main" count="133" uniqueCount="120">
  <si>
    <t>Rocky Mountain DVD Rental</t>
  </si>
  <si>
    <t>Assumptions</t>
  </si>
  <si>
    <t>Kiosks</t>
  </si>
  <si>
    <t>Movie Rent Price</t>
  </si>
  <si>
    <t>Increase Per Year (Inflation)</t>
  </si>
  <si>
    <t>Average Movie Rentals Per Kiosk Per Month</t>
  </si>
  <si>
    <t>Increase Per Year</t>
  </si>
  <si>
    <t>Average Movie Rentals Per Kiosk Per Year</t>
  </si>
  <si>
    <t>Insurance</t>
  </si>
  <si>
    <t>Average Days Rented</t>
  </si>
  <si>
    <t>Average Video Game Rentals Per Kiosk Per Month</t>
  </si>
  <si>
    <t>Average Video Game Rentals Per Kiosk Per Year</t>
  </si>
  <si>
    <t>Video Game Rent Price</t>
  </si>
  <si>
    <t>DVD's Purchased Per Year Per Kiosk</t>
  </si>
  <si>
    <t>Growth Per Year</t>
  </si>
  <si>
    <t>New Release DVD Price</t>
  </si>
  <si>
    <t>Inventory Days</t>
  </si>
  <si>
    <t>DVD &amp; Video Game Daily Average</t>
  </si>
  <si>
    <t>Avg # of DVD &amp; V.G. / Title</t>
  </si>
  <si>
    <t>Cost of rental space per kiosk</t>
  </si>
  <si>
    <t>Sales Tax Payable</t>
  </si>
  <si>
    <t>Insurance per Unit</t>
  </si>
  <si>
    <t>Accounts Payable Days</t>
  </si>
  <si>
    <t>INCOME STATEMENT</t>
  </si>
  <si>
    <t>Revenue</t>
  </si>
  <si>
    <t>Movie Rent Revenue</t>
  </si>
  <si>
    <t>Video Game Rent Revenue</t>
  </si>
  <si>
    <t>Resale Revenue</t>
  </si>
  <si>
    <t>Total Revenue</t>
  </si>
  <si>
    <t>Operating Expenses:</t>
  </si>
  <si>
    <t>Selling, General and Admin</t>
  </si>
  <si>
    <t>Owner's Salary</t>
  </si>
  <si>
    <t>Inventory Expense</t>
  </si>
  <si>
    <t>Rent</t>
  </si>
  <si>
    <t>Maintenance</t>
  </si>
  <si>
    <t>Card Processing Expense</t>
  </si>
  <si>
    <t>Card Processing Fee</t>
  </si>
  <si>
    <t>Interest Expense</t>
  </si>
  <si>
    <t>Card Processing Rate</t>
  </si>
  <si>
    <t>Depreciation Expense</t>
  </si>
  <si>
    <t>Loan Interest Expense</t>
  </si>
  <si>
    <t>Taxable Income</t>
  </si>
  <si>
    <t>Taxes</t>
  </si>
  <si>
    <t>Net Income</t>
  </si>
  <si>
    <t>Assets</t>
  </si>
  <si>
    <t>Minimum Cash Inventory</t>
  </si>
  <si>
    <t>Cash Above Minimum</t>
  </si>
  <si>
    <t>Accounts Receivable</t>
  </si>
  <si>
    <t>Inventory</t>
  </si>
  <si>
    <t>Equipment</t>
  </si>
  <si>
    <t>Accumulated Depreciation</t>
  </si>
  <si>
    <t>Total Assets</t>
  </si>
  <si>
    <t>Liabilites &amp; Equities</t>
  </si>
  <si>
    <t>Inventory Payable</t>
  </si>
  <si>
    <t>Income Tax Payable</t>
  </si>
  <si>
    <t>Kiosk Loan</t>
  </si>
  <si>
    <t>Extra Bank Loan</t>
  </si>
  <si>
    <t>Common Stock</t>
  </si>
  <si>
    <t>Retained Earnings</t>
  </si>
  <si>
    <t>Total Liabilites &amp; Equities</t>
  </si>
  <si>
    <t>DFN</t>
  </si>
  <si>
    <t>Breakeven Analysis</t>
  </si>
  <si>
    <t>Total Fixed Costs</t>
  </si>
  <si>
    <t>Revenue Per Unit</t>
  </si>
  <si>
    <t>Variable Costs Per Unit</t>
  </si>
  <si>
    <t>Contribution Margin</t>
  </si>
  <si>
    <t>Breakeven Point</t>
  </si>
  <si>
    <t>WACC</t>
  </si>
  <si>
    <t>Principle Payment</t>
  </si>
  <si>
    <t>CAPM for the return equity holders want</t>
  </si>
  <si>
    <t>Beta</t>
  </si>
  <si>
    <t>T-Bill rate</t>
  </si>
  <si>
    <t>S&amp;P 500 rate</t>
  </si>
  <si>
    <t>Return equity holders want</t>
  </si>
  <si>
    <t>Return debt holders want</t>
  </si>
  <si>
    <t>Fixed rate of bank debt</t>
  </si>
  <si>
    <t>Tax Rate of Company</t>
  </si>
  <si>
    <t>Interest Payment</t>
  </si>
  <si>
    <t>Debt Investors</t>
  </si>
  <si>
    <t>Loan on Kiosks</t>
  </si>
  <si>
    <t>of debt</t>
  </si>
  <si>
    <t>Loan Interest Rate</t>
  </si>
  <si>
    <t>Bank Loans</t>
  </si>
  <si>
    <t>Total Debt</t>
  </si>
  <si>
    <t>total that is debt</t>
  </si>
  <si>
    <t>Blended Rate</t>
  </si>
  <si>
    <t>Equity Investors (Including Retained Earnings)</t>
  </si>
  <si>
    <t>Shareholder Contributions</t>
  </si>
  <si>
    <t>Total Debt and Equity Investors</t>
  </si>
  <si>
    <t>Cash From Operations</t>
  </si>
  <si>
    <t>Operating Profit</t>
  </si>
  <si>
    <t>Less: Depreciation Tax Deduction</t>
  </si>
  <si>
    <t>Taxable Operating Income</t>
  </si>
  <si>
    <t>Taxes on Operations Only</t>
  </si>
  <si>
    <t>Add Back Depreciation</t>
  </si>
  <si>
    <t>Cash in/out from Capital Expenditures</t>
  </si>
  <si>
    <t>Buy Equipment</t>
  </si>
  <si>
    <t>Sell Equipment</t>
  </si>
  <si>
    <t>Sell @ Book Value</t>
  </si>
  <si>
    <t>Taxes on Sale of Equipment</t>
  </si>
  <si>
    <t>Cash Flow from Changes in Working Capital (based on changes in accounts from year to year)</t>
  </si>
  <si>
    <t>Cash Flows from Liquidating Working Capital Accounts in Last Year</t>
  </si>
  <si>
    <t>Inventory Payable</t>
  </si>
  <si>
    <t>Income Tax Payable</t>
  </si>
  <si>
    <t>Total FCF's</t>
  </si>
  <si>
    <t>PV of FCF's</t>
  </si>
  <si>
    <t>NPV</t>
  </si>
  <si>
    <t>IRR</t>
  </si>
  <si>
    <t xml:space="preserve"> </t>
  </si>
  <si>
    <t>Perpetuity Growth</t>
  </si>
  <si>
    <t>BALANCE SHEET</t>
  </si>
  <si>
    <t>LOAN CALCULATIONS</t>
  </si>
  <si>
    <t>FREE CASH FLOWS</t>
  </si>
  <si>
    <t>Of Sales</t>
  </si>
  <si>
    <t>Per Month</t>
  </si>
  <si>
    <t>Per Kiosk</t>
  </si>
  <si>
    <t>Year Depreciation</t>
  </si>
  <si>
    <t>5-Year 6% Loan</t>
  </si>
  <si>
    <t>WACC projected for 2015</t>
  </si>
  <si>
    <t>Debt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</si>
</sst>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6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31">
    <xf numFmtId="0" fontId="0" fillId="0" borderId="0" xfId="0" applyAlignment="1">
      <alignment wrapText="1"/>
    </xf>
    <xf numFmtId="10" fontId="0" fillId="0" borderId="0" xfId="0" applyNumberFormat="1" applyAlignment="1">
      <alignment wrapText="1"/>
    </xf>
    <xf numFmtId="9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9" fontId="0" fillId="0" borderId="0" xfId="2" applyFont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1" xfId="0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8" xfId="0" applyFill="1" applyBorder="1" applyAlignment="1">
      <alignment wrapText="1"/>
    </xf>
    <xf numFmtId="44" fontId="0" fillId="2" borderId="0" xfId="1" applyFont="1" applyFill="1" applyBorder="1" applyAlignment="1">
      <alignment wrapText="1"/>
    </xf>
    <xf numFmtId="164" fontId="0" fillId="0" borderId="0" xfId="0" applyNumberFormat="1" applyBorder="1" applyAlignment="1">
      <alignment wrapText="1"/>
    </xf>
    <xf numFmtId="0" fontId="0" fillId="0" borderId="0" xfId="0" applyAlignment="1"/>
    <xf numFmtId="9" fontId="0" fillId="0" borderId="0" xfId="0" applyNumberFormat="1" applyAlignment="1"/>
    <xf numFmtId="10" fontId="0" fillId="0" borderId="20" xfId="0" applyNumberFormat="1" applyBorder="1" applyAlignment="1">
      <alignment wrapText="1"/>
    </xf>
    <xf numFmtId="0" fontId="0" fillId="0" borderId="21" xfId="0" applyBorder="1" applyAlignment="1">
      <alignment wrapText="1"/>
    </xf>
    <xf numFmtId="0" fontId="1" fillId="0" borderId="0" xfId="0" applyFont="1" applyAlignment="1"/>
    <xf numFmtId="0" fontId="1" fillId="0" borderId="4" xfId="0" applyFont="1" applyBorder="1" applyAlignment="1"/>
    <xf numFmtId="0" fontId="0" fillId="2" borderId="8" xfId="0" applyFill="1" applyBorder="1" applyAlignment="1"/>
    <xf numFmtId="0" fontId="0" fillId="0" borderId="8" xfId="0" applyBorder="1" applyAlignment="1"/>
    <xf numFmtId="0" fontId="0" fillId="0" borderId="10" xfId="0" applyBorder="1" applyAlignment="1"/>
    <xf numFmtId="0" fontId="0" fillId="0" borderId="5" xfId="0" applyBorder="1" applyAlignment="1"/>
    <xf numFmtId="0" fontId="0" fillId="0" borderId="0" xfId="0" applyBorder="1" applyAlignment="1"/>
    <xf numFmtId="0" fontId="0" fillId="0" borderId="11" xfId="0" applyBorder="1" applyAlignment="1"/>
    <xf numFmtId="0" fontId="0" fillId="0" borderId="19" xfId="0" applyBorder="1" applyAlignment="1"/>
    <xf numFmtId="0" fontId="0" fillId="0" borderId="21" xfId="0" applyBorder="1" applyAlignment="1"/>
    <xf numFmtId="0" fontId="1" fillId="0" borderId="8" xfId="0" applyFont="1" applyBorder="1" applyAlignment="1"/>
    <xf numFmtId="164" fontId="0" fillId="0" borderId="20" xfId="0" applyNumberFormat="1" applyBorder="1" applyAlignment="1">
      <alignment wrapText="1"/>
    </xf>
    <xf numFmtId="0" fontId="2" fillId="0" borderId="8" xfId="0" applyFont="1" applyBorder="1" applyAlignment="1"/>
    <xf numFmtId="9" fontId="0" fillId="0" borderId="0" xfId="0" applyNumberFormat="1" applyBorder="1" applyAlignment="1"/>
    <xf numFmtId="0" fontId="0" fillId="0" borderId="0" xfId="0" applyFill="1" applyBorder="1" applyAlignment="1"/>
    <xf numFmtId="0" fontId="0" fillId="0" borderId="11" xfId="0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164" fontId="0" fillId="2" borderId="0" xfId="0" applyNumberFormat="1" applyFill="1" applyBorder="1" applyAlignment="1">
      <alignment wrapText="1"/>
    </xf>
    <xf numFmtId="0" fontId="1" fillId="2" borderId="4" xfId="0" applyFont="1" applyFill="1" applyBorder="1" applyAlignment="1"/>
    <xf numFmtId="164" fontId="0" fillId="2" borderId="8" xfId="0" applyNumberFormat="1" applyFill="1" applyBorder="1" applyAlignment="1">
      <alignment wrapText="1"/>
    </xf>
    <xf numFmtId="44" fontId="0" fillId="2" borderId="8" xfId="1" applyFont="1" applyFill="1" applyBorder="1" applyAlignment="1">
      <alignment wrapText="1"/>
    </xf>
    <xf numFmtId="44" fontId="0" fillId="2" borderId="10" xfId="1" applyFont="1" applyFill="1" applyBorder="1" applyAlignment="1">
      <alignment wrapText="1"/>
    </xf>
    <xf numFmtId="44" fontId="0" fillId="2" borderId="11" xfId="1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" fillId="0" borderId="4" xfId="0" applyFont="1" applyFill="1" applyBorder="1" applyAlignment="1"/>
    <xf numFmtId="0" fontId="0" fillId="0" borderId="5" xfId="0" applyFill="1" applyBorder="1" applyAlignment="1">
      <alignment wrapText="1"/>
    </xf>
    <xf numFmtId="0" fontId="0" fillId="0" borderId="8" xfId="0" applyFill="1" applyBorder="1" applyAlignment="1">
      <alignment horizontal="left"/>
    </xf>
    <xf numFmtId="0" fontId="0" fillId="0" borderId="10" xfId="0" applyFill="1" applyBorder="1" applyAlignment="1"/>
    <xf numFmtId="0" fontId="0" fillId="0" borderId="11" xfId="0" applyFill="1" applyBorder="1" applyAlignment="1">
      <alignment wrapText="1"/>
    </xf>
    <xf numFmtId="0" fontId="0" fillId="0" borderId="8" xfId="0" applyFill="1" applyBorder="1" applyAlignment="1">
      <alignment horizontal="left" indent="1"/>
    </xf>
    <xf numFmtId="0" fontId="5" fillId="0" borderId="8" xfId="0" applyFont="1" applyFill="1" applyBorder="1" applyAlignment="1"/>
    <xf numFmtId="164" fontId="0" fillId="0" borderId="0" xfId="0" applyNumberFormat="1" applyFill="1" applyBorder="1" applyAlignment="1">
      <alignment horizontal="right" wrapText="1"/>
    </xf>
    <xf numFmtId="164" fontId="0" fillId="0" borderId="9" xfId="0" applyNumberFormat="1" applyFill="1" applyBorder="1" applyAlignment="1">
      <alignment horizontal="right" wrapText="1"/>
    </xf>
    <xf numFmtId="43" fontId="0" fillId="0" borderId="0" xfId="3" applyFont="1" applyFill="1" applyBorder="1" applyAlignment="1">
      <alignment horizontal="right" wrapText="1" indent="1"/>
    </xf>
    <xf numFmtId="43" fontId="0" fillId="0" borderId="0" xfId="3" applyFont="1" applyFill="1" applyBorder="1" applyAlignment="1">
      <alignment horizontal="right" wrapText="1"/>
    </xf>
    <xf numFmtId="43" fontId="0" fillId="0" borderId="9" xfId="3" applyFont="1" applyFill="1" applyBorder="1" applyAlignment="1">
      <alignment horizontal="right" wrapText="1"/>
    </xf>
    <xf numFmtId="43" fontId="0" fillId="0" borderId="1" xfId="3" applyFont="1" applyFill="1" applyBorder="1" applyAlignment="1">
      <alignment horizontal="right" wrapText="1"/>
    </xf>
    <xf numFmtId="43" fontId="0" fillId="0" borderId="14" xfId="3" applyFont="1" applyFill="1" applyBorder="1" applyAlignment="1">
      <alignment horizontal="right" wrapText="1"/>
    </xf>
    <xf numFmtId="44" fontId="0" fillId="0" borderId="3" xfId="1" applyFont="1" applyFill="1" applyBorder="1" applyAlignment="1">
      <alignment horizontal="right" wrapText="1"/>
    </xf>
    <xf numFmtId="44" fontId="0" fillId="0" borderId="16" xfId="1" applyFont="1" applyFill="1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6" xfId="0" applyFill="1" applyBorder="1" applyAlignment="1">
      <alignment horizontal="right"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 applyAlignment="1">
      <alignment horizontal="right" wrapText="1"/>
    </xf>
    <xf numFmtId="0" fontId="0" fillId="0" borderId="9" xfId="0" applyFill="1" applyBorder="1" applyAlignment="1">
      <alignment horizontal="right" wrapText="1"/>
    </xf>
    <xf numFmtId="44" fontId="0" fillId="0" borderId="0" xfId="1" applyFont="1" applyFill="1" applyBorder="1" applyAlignment="1">
      <alignment horizontal="right" wrapText="1"/>
    </xf>
    <xf numFmtId="44" fontId="0" fillId="0" borderId="9" xfId="1" applyFont="1" applyFill="1" applyBorder="1" applyAlignment="1">
      <alignment horizontal="right" wrapText="1"/>
    </xf>
    <xf numFmtId="1" fontId="0" fillId="0" borderId="0" xfId="0" applyNumberFormat="1" applyFill="1" applyBorder="1" applyAlignment="1">
      <alignment horizontal="right" wrapText="1"/>
    </xf>
    <xf numFmtId="1" fontId="0" fillId="0" borderId="9" xfId="0" applyNumberFormat="1" applyFill="1" applyBorder="1" applyAlignment="1">
      <alignment horizontal="right" wrapText="1"/>
    </xf>
    <xf numFmtId="0" fontId="0" fillId="0" borderId="11" xfId="0" applyFill="1" applyBorder="1" applyAlignment="1">
      <alignment horizontal="right" wrapText="1"/>
    </xf>
    <xf numFmtId="0" fontId="0" fillId="0" borderId="12" xfId="0" applyFill="1" applyBorder="1" applyAlignment="1">
      <alignment horizontal="right" wrapText="1"/>
    </xf>
    <xf numFmtId="0" fontId="0" fillId="0" borderId="5" xfId="0" applyFill="1" applyBorder="1" applyAlignment="1">
      <alignment horizontal="right" wrapText="1"/>
    </xf>
    <xf numFmtId="0" fontId="0" fillId="0" borderId="13" xfId="0" applyFill="1" applyBorder="1" applyAlignment="1">
      <alignment horizontal="right" wrapText="1"/>
    </xf>
    <xf numFmtId="164" fontId="0" fillId="0" borderId="17" xfId="0" applyNumberFormat="1" applyFill="1" applyBorder="1" applyAlignment="1">
      <alignment horizontal="right" wrapText="1"/>
    </xf>
    <xf numFmtId="164" fontId="0" fillId="0" borderId="18" xfId="0" applyNumberFormat="1" applyFill="1" applyBorder="1" applyAlignment="1">
      <alignment horizontal="right" wrapText="1"/>
    </xf>
    <xf numFmtId="164" fontId="0" fillId="0" borderId="0" xfId="0" applyNumberFormat="1" applyBorder="1" applyAlignment="1">
      <alignment horizontal="right" wrapText="1"/>
    </xf>
    <xf numFmtId="164" fontId="0" fillId="0" borderId="5" xfId="0" applyNumberFormat="1" applyFill="1" applyBorder="1" applyAlignment="1">
      <alignment horizontal="right" wrapText="1"/>
    </xf>
    <xf numFmtId="164" fontId="0" fillId="0" borderId="13" xfId="0" applyNumberFormat="1" applyFill="1" applyBorder="1" applyAlignment="1">
      <alignment horizontal="right" wrapText="1"/>
    </xf>
    <xf numFmtId="164" fontId="0" fillId="0" borderId="1" xfId="0" applyNumberFormat="1" applyFill="1" applyBorder="1" applyAlignment="1">
      <alignment horizontal="right" wrapText="1"/>
    </xf>
    <xf numFmtId="164" fontId="0" fillId="0" borderId="14" xfId="0" applyNumberFormat="1" applyFill="1" applyBorder="1" applyAlignment="1">
      <alignment horizontal="right" wrapText="1"/>
    </xf>
    <xf numFmtId="164" fontId="0" fillId="0" borderId="2" xfId="0" applyNumberFormat="1" applyFill="1" applyBorder="1" applyAlignment="1">
      <alignment horizontal="right" wrapText="1"/>
    </xf>
    <xf numFmtId="164" fontId="0" fillId="0" borderId="15" xfId="0" applyNumberFormat="1" applyFill="1" applyBorder="1" applyAlignment="1">
      <alignment horizontal="right" wrapText="1"/>
    </xf>
    <xf numFmtId="164" fontId="0" fillId="0" borderId="3" xfId="0" applyNumberFormat="1" applyFill="1" applyBorder="1" applyAlignment="1">
      <alignment horizontal="right" wrapText="1"/>
    </xf>
    <xf numFmtId="164" fontId="0" fillId="0" borderId="16" xfId="0" applyNumberFormat="1" applyFill="1" applyBorder="1" applyAlignment="1">
      <alignment horizontal="right" wrapText="1"/>
    </xf>
    <xf numFmtId="164" fontId="0" fillId="0" borderId="11" xfId="0" applyNumberFormat="1" applyFill="1" applyBorder="1" applyAlignment="1">
      <alignment horizontal="right" wrapText="1"/>
    </xf>
    <xf numFmtId="164" fontId="0" fillId="0" borderId="12" xfId="0" applyNumberFormat="1" applyFill="1" applyBorder="1" applyAlignment="1">
      <alignment horizontal="right" wrapText="1"/>
    </xf>
    <xf numFmtId="164" fontId="0" fillId="0" borderId="0" xfId="0" applyNumberFormat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13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9" xfId="0" applyBorder="1" applyAlignment="1">
      <alignment horizontal="right" wrapText="1"/>
    </xf>
    <xf numFmtId="164" fontId="0" fillId="0" borderId="9" xfId="0" applyNumberFormat="1" applyBorder="1" applyAlignment="1">
      <alignment horizontal="right" wrapText="1"/>
    </xf>
    <xf numFmtId="164" fontId="0" fillId="0" borderId="3" xfId="0" applyNumberFormat="1" applyBorder="1" applyAlignment="1">
      <alignment horizontal="right" wrapText="1"/>
    </xf>
    <xf numFmtId="164" fontId="0" fillId="0" borderId="16" xfId="0" applyNumberForma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0" borderId="14" xfId="0" applyBorder="1" applyAlignment="1">
      <alignment horizontal="right" wrapText="1"/>
    </xf>
    <xf numFmtId="4" fontId="0" fillId="0" borderId="2" xfId="0" applyNumberFormat="1" applyBorder="1" applyAlignment="1">
      <alignment horizontal="right" wrapText="1"/>
    </xf>
    <xf numFmtId="4" fontId="0" fillId="0" borderId="15" xfId="0" applyNumberFormat="1" applyBorder="1" applyAlignment="1">
      <alignment horizontal="right" wrapText="1"/>
    </xf>
    <xf numFmtId="0" fontId="0" fillId="0" borderId="17" xfId="0" applyBorder="1" applyAlignment="1">
      <alignment horizontal="right" wrapText="1"/>
    </xf>
    <xf numFmtId="0" fontId="0" fillId="0" borderId="18" xfId="0" applyBorder="1" applyAlignment="1">
      <alignment horizontal="right" wrapText="1"/>
    </xf>
    <xf numFmtId="10" fontId="0" fillId="0" borderId="0" xfId="0" applyNumberFormat="1" applyBorder="1" applyAlignment="1">
      <alignment horizontal="right" wrapText="1"/>
    </xf>
    <xf numFmtId="9" fontId="0" fillId="0" borderId="0" xfId="0" applyNumberFormat="1" applyBorder="1" applyAlignment="1">
      <alignment horizontal="right" wrapText="1"/>
    </xf>
    <xf numFmtId="9" fontId="0" fillId="0" borderId="0" xfId="2" applyFont="1" applyBorder="1" applyAlignment="1">
      <alignment horizontal="right" wrapText="1"/>
    </xf>
    <xf numFmtId="164" fontId="2" fillId="0" borderId="0" xfId="0" applyNumberFormat="1" applyFont="1" applyBorder="1" applyAlignment="1">
      <alignment horizontal="right" wrapText="1"/>
    </xf>
    <xf numFmtId="44" fontId="0" fillId="0" borderId="0" xfId="1" applyFont="1" applyBorder="1" applyAlignment="1">
      <alignment horizontal="right" wrapText="1"/>
    </xf>
    <xf numFmtId="10" fontId="0" fillId="0" borderId="20" xfId="0" applyNumberFormat="1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0" fillId="0" borderId="12" xfId="0" applyBorder="1" applyAlignment="1">
      <alignment horizontal="right" wrapText="1"/>
    </xf>
    <xf numFmtId="0" fontId="0" fillId="2" borderId="5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0" fillId="2" borderId="0" xfId="0" applyFill="1" applyBorder="1" applyAlignment="1">
      <alignment horizontal="right" wrapText="1"/>
    </xf>
    <xf numFmtId="0" fontId="0" fillId="2" borderId="9" xfId="0" applyFill="1" applyBorder="1" applyAlignment="1">
      <alignment horizontal="right" wrapText="1"/>
    </xf>
    <xf numFmtId="164" fontId="0" fillId="2" borderId="0" xfId="0" applyNumberFormat="1" applyFill="1" applyBorder="1" applyAlignment="1">
      <alignment horizontal="right" wrapText="1"/>
    </xf>
    <xf numFmtId="164" fontId="0" fillId="2" borderId="9" xfId="0" applyNumberFormat="1" applyFill="1" applyBorder="1" applyAlignment="1">
      <alignment horizontal="right" wrapText="1"/>
    </xf>
    <xf numFmtId="44" fontId="0" fillId="2" borderId="0" xfId="1" applyFont="1" applyFill="1" applyBorder="1" applyAlignment="1">
      <alignment horizontal="right" wrapText="1"/>
    </xf>
    <xf numFmtId="44" fontId="0" fillId="2" borderId="9" xfId="1" applyFont="1" applyFill="1" applyBorder="1" applyAlignment="1">
      <alignment horizontal="right" wrapText="1"/>
    </xf>
    <xf numFmtId="44" fontId="0" fillId="2" borderId="11" xfId="1" applyFont="1" applyFill="1" applyBorder="1" applyAlignment="1">
      <alignment horizontal="right" wrapText="1"/>
    </xf>
    <xf numFmtId="44" fontId="0" fillId="2" borderId="12" xfId="1" applyFont="1" applyFill="1" applyBorder="1" applyAlignment="1">
      <alignment horizontal="right" wrapText="1"/>
    </xf>
    <xf numFmtId="43" fontId="0" fillId="0" borderId="0" xfId="3" applyFont="1" applyBorder="1" applyAlignment="1">
      <alignment horizontal="right" wrapText="1"/>
    </xf>
    <xf numFmtId="43" fontId="0" fillId="0" borderId="9" xfId="3" applyFont="1" applyBorder="1" applyAlignment="1">
      <alignment horizontal="right" wrapText="1"/>
    </xf>
    <xf numFmtId="43" fontId="0" fillId="0" borderId="1" xfId="3" applyFont="1" applyBorder="1" applyAlignment="1">
      <alignment horizontal="right" wrapText="1"/>
    </xf>
    <xf numFmtId="43" fontId="0" fillId="0" borderId="14" xfId="3" applyFont="1" applyBorder="1" applyAlignment="1">
      <alignment horizontal="right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43" fontId="0" fillId="0" borderId="0" xfId="3" applyFont="1" applyBorder="1" applyAlignment="1">
      <alignment wrapText="1"/>
    </xf>
    <xf numFmtId="10" fontId="0" fillId="0" borderId="0" xfId="2" applyNumberFormat="1" applyFont="1" applyBorder="1" applyAlignment="1">
      <alignment horizontal="right" wrapText="1"/>
    </xf>
    <xf numFmtId="6" fontId="0" fillId="0" borderId="0" xfId="0" applyNumberFormat="1" applyAlignment="1"/>
    <xf numFmtId="9" fontId="0" fillId="0" borderId="0" xfId="2" applyFont="1" applyAlignment="1"/>
    <xf numFmtId="164" fontId="6" fillId="0" borderId="0" xfId="0" applyNumberFormat="1" applyFont="1" applyAlignment="1">
      <alignment wrapText="1"/>
    </xf>
    <xf numFmtId="164" fontId="7" fillId="0" borderId="0" xfId="0" applyNumberFormat="1" applyFont="1" applyAlignment="1"/>
    <xf numFmtId="0" fontId="2" fillId="0" borderId="19" xfId="0" applyFont="1" applyBorder="1" applyAlignment="1"/>
    <xf numFmtId="0" fontId="2" fillId="0" borderId="0" xfId="0" applyFont="1" applyBorder="1" applyAlignment="1">
      <alignment horizontal="left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91"/>
  <sheetViews>
    <sheetView tabSelected="1" topLeftCell="A89" zoomScale="90" zoomScaleNormal="90" workbookViewId="0">
      <selection activeCell="I110" sqref="I110"/>
    </sheetView>
  </sheetViews>
  <sheetFormatPr defaultColWidth="17.140625" defaultRowHeight="12.75" customHeight="1" x14ac:dyDescent="0.2"/>
  <cols>
    <col min="1" max="1" width="4.85546875" customWidth="1"/>
    <col min="2" max="2" width="14.5703125" style="14" customWidth="1"/>
    <col min="3" max="3" width="30.5703125" style="14" customWidth="1"/>
    <col min="4" max="4" width="12" bestFit="1" customWidth="1"/>
    <col min="5" max="12" width="12.7109375" style="59" customWidth="1"/>
    <col min="13" max="13" width="10" customWidth="1"/>
    <col min="14" max="14" width="24.7109375" customWidth="1"/>
    <col min="15" max="15" width="18.140625" customWidth="1"/>
  </cols>
  <sheetData>
    <row r="2" spans="2:14" ht="12.75" customHeight="1" x14ac:dyDescent="0.2">
      <c r="B2" s="18" t="s">
        <v>0</v>
      </c>
    </row>
    <row r="3" spans="2:14" ht="12.75" customHeight="1" thickBot="1" x14ac:dyDescent="0.25"/>
    <row r="4" spans="2:14" ht="12.75" customHeight="1" x14ac:dyDescent="0.2">
      <c r="B4" s="43" t="s">
        <v>1</v>
      </c>
      <c r="C4" s="34"/>
      <c r="D4" s="44"/>
      <c r="E4" s="60">
        <v>2013</v>
      </c>
      <c r="F4" s="60">
        <v>2014</v>
      </c>
      <c r="G4" s="60">
        <v>2015</v>
      </c>
      <c r="H4" s="60">
        <v>2016</v>
      </c>
      <c r="I4" s="60">
        <v>2017</v>
      </c>
      <c r="J4" s="60">
        <v>2018</v>
      </c>
      <c r="K4" s="60">
        <v>2019</v>
      </c>
      <c r="L4" s="61">
        <v>2020</v>
      </c>
    </row>
    <row r="5" spans="2:14" ht="12.75" customHeight="1" x14ac:dyDescent="0.2">
      <c r="B5" s="35"/>
      <c r="C5" s="32"/>
      <c r="D5" s="42"/>
      <c r="E5" s="62"/>
      <c r="F5" s="62"/>
      <c r="G5" s="62"/>
      <c r="H5" s="62"/>
      <c r="I5" s="62"/>
      <c r="J5" s="62"/>
      <c r="K5" s="62"/>
      <c r="L5" s="63"/>
    </row>
    <row r="6" spans="2:14" ht="12.75" customHeight="1" x14ac:dyDescent="0.2">
      <c r="B6" s="35" t="s">
        <v>2</v>
      </c>
      <c r="C6" s="32"/>
      <c r="D6" s="42"/>
      <c r="E6" s="62">
        <v>5</v>
      </c>
      <c r="F6" s="62">
        <v>5</v>
      </c>
      <c r="G6" s="62">
        <v>5</v>
      </c>
      <c r="H6" s="62">
        <v>5</v>
      </c>
      <c r="I6" s="62">
        <v>5</v>
      </c>
      <c r="J6" s="62">
        <v>5</v>
      </c>
      <c r="K6" s="62">
        <v>5</v>
      </c>
      <c r="L6" s="63">
        <v>5</v>
      </c>
    </row>
    <row r="7" spans="2:14" ht="12.75" customHeight="1" x14ac:dyDescent="0.2">
      <c r="B7" s="35"/>
      <c r="C7" s="32"/>
      <c r="D7" s="42"/>
      <c r="E7" s="62"/>
      <c r="F7" s="62"/>
      <c r="G7" s="62"/>
      <c r="H7" s="62"/>
      <c r="I7" s="62"/>
      <c r="J7" s="62"/>
      <c r="K7" s="62"/>
      <c r="L7" s="63"/>
    </row>
    <row r="8" spans="2:14" ht="12.75" customHeight="1" x14ac:dyDescent="0.2">
      <c r="B8" s="35" t="s">
        <v>3</v>
      </c>
      <c r="C8" s="32"/>
      <c r="D8" s="42"/>
      <c r="E8" s="64">
        <v>1.2</v>
      </c>
      <c r="F8" s="64">
        <f t="shared" ref="F8:L8" si="0">E8*(1+$M$8)</f>
        <v>1.236</v>
      </c>
      <c r="G8" s="64">
        <f t="shared" si="0"/>
        <v>1.27308</v>
      </c>
      <c r="H8" s="64">
        <f t="shared" si="0"/>
        <v>1.3112724</v>
      </c>
      <c r="I8" s="64">
        <f t="shared" si="0"/>
        <v>1.3506105720000001</v>
      </c>
      <c r="J8" s="64">
        <f t="shared" si="0"/>
        <v>1.3911288891600002</v>
      </c>
      <c r="K8" s="64">
        <f t="shared" si="0"/>
        <v>1.4328627558348002</v>
      </c>
      <c r="L8" s="65">
        <f t="shared" si="0"/>
        <v>1.4758486385098442</v>
      </c>
      <c r="M8" s="5">
        <v>0.03</v>
      </c>
      <c r="N8" t="s">
        <v>4</v>
      </c>
    </row>
    <row r="9" spans="2:14" ht="12.75" customHeight="1" x14ac:dyDescent="0.2">
      <c r="B9" s="35" t="s">
        <v>5</v>
      </c>
      <c r="C9" s="32"/>
      <c r="D9" s="42"/>
      <c r="E9" s="62">
        <v>800</v>
      </c>
      <c r="F9" s="62">
        <v>896</v>
      </c>
      <c r="G9" s="62">
        <v>1004</v>
      </c>
      <c r="H9" s="62">
        <v>1124</v>
      </c>
      <c r="I9" s="62">
        <v>1259</v>
      </c>
      <c r="J9" s="62">
        <v>1410</v>
      </c>
      <c r="K9" s="62">
        <v>1579</v>
      </c>
      <c r="L9" s="63">
        <v>1769</v>
      </c>
      <c r="M9" s="5">
        <v>0.12</v>
      </c>
      <c r="N9" t="s">
        <v>6</v>
      </c>
    </row>
    <row r="10" spans="2:14" ht="12.75" customHeight="1" x14ac:dyDescent="0.2">
      <c r="B10" s="35" t="s">
        <v>7</v>
      </c>
      <c r="C10" s="32"/>
      <c r="D10" s="42"/>
      <c r="E10" s="62">
        <v>9600</v>
      </c>
      <c r="F10" s="62">
        <v>10752</v>
      </c>
      <c r="G10" s="62">
        <v>12042</v>
      </c>
      <c r="H10" s="62">
        <v>13487</v>
      </c>
      <c r="I10" s="62">
        <v>15106</v>
      </c>
      <c r="J10" s="62">
        <v>16918</v>
      </c>
      <c r="K10" s="62">
        <v>18949</v>
      </c>
      <c r="L10" s="63">
        <v>21223</v>
      </c>
      <c r="M10" s="5"/>
    </row>
    <row r="11" spans="2:14" ht="12.75" customHeight="1" x14ac:dyDescent="0.2">
      <c r="B11" s="35" t="s">
        <v>9</v>
      </c>
      <c r="C11" s="32"/>
      <c r="D11" s="42"/>
      <c r="E11" s="62">
        <v>2</v>
      </c>
      <c r="F11" s="62">
        <v>2</v>
      </c>
      <c r="G11" s="62">
        <v>2</v>
      </c>
      <c r="H11" s="62">
        <v>2</v>
      </c>
      <c r="I11" s="62">
        <v>2</v>
      </c>
      <c r="J11" s="62">
        <v>2</v>
      </c>
      <c r="K11" s="62">
        <v>2</v>
      </c>
      <c r="L11" s="63">
        <v>2</v>
      </c>
      <c r="M11" s="5"/>
    </row>
    <row r="12" spans="2:14" ht="12.75" customHeight="1" x14ac:dyDescent="0.2">
      <c r="B12" s="35"/>
      <c r="C12" s="32"/>
      <c r="D12" s="42"/>
      <c r="E12" s="62"/>
      <c r="F12" s="62"/>
      <c r="G12" s="62"/>
      <c r="H12" s="62"/>
      <c r="I12" s="62"/>
      <c r="J12" s="62"/>
      <c r="K12" s="62"/>
      <c r="L12" s="63"/>
      <c r="M12" s="5"/>
    </row>
    <row r="13" spans="2:14" ht="12.75" customHeight="1" x14ac:dyDescent="0.2">
      <c r="B13" s="35" t="s">
        <v>12</v>
      </c>
      <c r="C13" s="32"/>
      <c r="D13" s="42"/>
      <c r="E13" s="64">
        <v>2</v>
      </c>
      <c r="F13" s="64">
        <v>2</v>
      </c>
      <c r="G13" s="64">
        <v>2</v>
      </c>
      <c r="H13" s="64">
        <v>2</v>
      </c>
      <c r="I13" s="64">
        <v>2</v>
      </c>
      <c r="J13" s="64">
        <v>2</v>
      </c>
      <c r="K13" s="64">
        <v>2</v>
      </c>
      <c r="L13" s="65">
        <v>2</v>
      </c>
      <c r="M13" s="5"/>
    </row>
    <row r="14" spans="2:14" ht="12.75" customHeight="1" x14ac:dyDescent="0.2">
      <c r="B14" s="49" t="s">
        <v>10</v>
      </c>
      <c r="C14" s="32"/>
      <c r="D14" s="42"/>
      <c r="E14" s="62">
        <v>20</v>
      </c>
      <c r="F14" s="62">
        <v>20</v>
      </c>
      <c r="G14" s="62">
        <v>20</v>
      </c>
      <c r="H14" s="62">
        <v>20</v>
      </c>
      <c r="I14" s="62">
        <v>20</v>
      </c>
      <c r="J14" s="62">
        <v>20</v>
      </c>
      <c r="K14" s="62">
        <v>20</v>
      </c>
      <c r="L14" s="63">
        <v>20</v>
      </c>
      <c r="M14" s="5"/>
    </row>
    <row r="15" spans="2:14" ht="12.75" customHeight="1" x14ac:dyDescent="0.2">
      <c r="B15" s="49" t="s">
        <v>11</v>
      </c>
      <c r="C15" s="32"/>
      <c r="D15" s="42"/>
      <c r="E15" s="62">
        <v>240</v>
      </c>
      <c r="F15" s="62">
        <v>240</v>
      </c>
      <c r="G15" s="62">
        <v>240</v>
      </c>
      <c r="H15" s="62">
        <v>240</v>
      </c>
      <c r="I15" s="62">
        <v>240</v>
      </c>
      <c r="J15" s="62">
        <v>240</v>
      </c>
      <c r="K15" s="62">
        <v>240</v>
      </c>
      <c r="L15" s="63">
        <v>240</v>
      </c>
      <c r="M15" s="5"/>
    </row>
    <row r="16" spans="2:14" ht="12.75" customHeight="1" x14ac:dyDescent="0.2">
      <c r="B16" s="35"/>
      <c r="C16" s="32"/>
      <c r="D16" s="42"/>
      <c r="E16" s="62"/>
      <c r="F16" s="62"/>
      <c r="G16" s="62"/>
      <c r="H16" s="62"/>
      <c r="I16" s="62"/>
      <c r="J16" s="62"/>
      <c r="K16" s="62"/>
      <c r="L16" s="63"/>
      <c r="M16" s="5"/>
    </row>
    <row r="17" spans="2:14" ht="12.75" customHeight="1" x14ac:dyDescent="0.2">
      <c r="B17" s="35" t="s">
        <v>13</v>
      </c>
      <c r="C17" s="32"/>
      <c r="D17" s="42"/>
      <c r="E17" s="66">
        <f>(15*12)*5</f>
        <v>900</v>
      </c>
      <c r="F17" s="66">
        <f t="shared" ref="F17:L17" si="1">E17*(1+$M$17)</f>
        <v>945</v>
      </c>
      <c r="G17" s="66">
        <f t="shared" si="1"/>
        <v>992.25</v>
      </c>
      <c r="H17" s="66">
        <f t="shared" si="1"/>
        <v>1041.8625</v>
      </c>
      <c r="I17" s="66">
        <f t="shared" si="1"/>
        <v>1093.9556250000001</v>
      </c>
      <c r="J17" s="66">
        <f t="shared" si="1"/>
        <v>1148.6534062500002</v>
      </c>
      <c r="K17" s="66">
        <f t="shared" si="1"/>
        <v>1206.0860765625002</v>
      </c>
      <c r="L17" s="67">
        <f t="shared" si="1"/>
        <v>1266.3903803906253</v>
      </c>
      <c r="M17" s="5">
        <v>0.05</v>
      </c>
      <c r="N17" t="s">
        <v>14</v>
      </c>
    </row>
    <row r="18" spans="2:14" ht="12.75" customHeight="1" x14ac:dyDescent="0.2">
      <c r="B18" s="35" t="s">
        <v>15</v>
      </c>
      <c r="C18" s="32"/>
      <c r="D18" s="42"/>
      <c r="E18" s="50">
        <v>15</v>
      </c>
      <c r="F18" s="50">
        <v>15</v>
      </c>
      <c r="G18" s="50">
        <v>15</v>
      </c>
      <c r="H18" s="50">
        <v>15</v>
      </c>
      <c r="I18" s="50">
        <v>15</v>
      </c>
      <c r="J18" s="50">
        <v>15</v>
      </c>
      <c r="K18" s="50">
        <v>15</v>
      </c>
      <c r="L18" s="51">
        <v>15</v>
      </c>
    </row>
    <row r="19" spans="2:14" ht="12.75" customHeight="1" x14ac:dyDescent="0.2">
      <c r="B19" s="35" t="s">
        <v>17</v>
      </c>
      <c r="C19" s="32"/>
      <c r="D19" s="42"/>
      <c r="E19" s="62">
        <v>60</v>
      </c>
      <c r="F19" s="62">
        <v>60</v>
      </c>
      <c r="G19" s="62">
        <v>60</v>
      </c>
      <c r="H19" s="62">
        <v>60</v>
      </c>
      <c r="I19" s="62">
        <v>60</v>
      </c>
      <c r="J19" s="62">
        <v>60</v>
      </c>
      <c r="K19" s="62">
        <v>60</v>
      </c>
      <c r="L19" s="63">
        <v>60</v>
      </c>
    </row>
    <row r="20" spans="2:14" ht="12.75" customHeight="1" x14ac:dyDescent="0.2">
      <c r="B20" s="35" t="s">
        <v>18</v>
      </c>
      <c r="C20" s="32"/>
      <c r="D20" s="42"/>
      <c r="E20" s="62">
        <v>5</v>
      </c>
      <c r="F20" s="62">
        <v>5</v>
      </c>
      <c r="G20" s="62">
        <v>5</v>
      </c>
      <c r="H20" s="62">
        <v>5</v>
      </c>
      <c r="I20" s="62">
        <v>5</v>
      </c>
      <c r="J20" s="62">
        <v>5</v>
      </c>
      <c r="K20" s="62">
        <v>5</v>
      </c>
      <c r="L20" s="63">
        <v>5</v>
      </c>
    </row>
    <row r="21" spans="2:14" ht="12.75" customHeight="1" x14ac:dyDescent="0.2">
      <c r="B21" s="35"/>
      <c r="C21" s="32"/>
      <c r="D21" s="42"/>
      <c r="E21" s="62"/>
      <c r="F21" s="62"/>
      <c r="G21" s="62"/>
      <c r="H21" s="62"/>
      <c r="I21" s="62"/>
      <c r="J21" s="62"/>
      <c r="K21" s="62"/>
      <c r="L21" s="63"/>
    </row>
    <row r="22" spans="2:14" ht="12.75" customHeight="1" x14ac:dyDescent="0.2">
      <c r="B22" s="35" t="s">
        <v>19</v>
      </c>
      <c r="C22" s="32"/>
      <c r="D22" s="42"/>
      <c r="E22" s="64">
        <v>700</v>
      </c>
      <c r="F22" s="64">
        <v>700</v>
      </c>
      <c r="G22" s="64">
        <v>700</v>
      </c>
      <c r="H22" s="64">
        <v>700</v>
      </c>
      <c r="I22" s="64">
        <v>700</v>
      </c>
      <c r="J22" s="64">
        <v>700</v>
      </c>
      <c r="K22" s="64">
        <v>700</v>
      </c>
      <c r="L22" s="65">
        <v>700</v>
      </c>
    </row>
    <row r="23" spans="2:14" ht="12.75" customHeight="1" x14ac:dyDescent="0.2">
      <c r="B23" s="35" t="s">
        <v>21</v>
      </c>
      <c r="C23" s="32"/>
      <c r="D23" s="42"/>
      <c r="E23" s="64">
        <v>100</v>
      </c>
      <c r="F23" s="64">
        <v>100</v>
      </c>
      <c r="G23" s="64">
        <v>100</v>
      </c>
      <c r="H23" s="64">
        <v>100</v>
      </c>
      <c r="I23" s="64">
        <v>100</v>
      </c>
      <c r="J23" s="64">
        <v>100</v>
      </c>
      <c r="K23" s="64">
        <v>100</v>
      </c>
      <c r="L23" s="65">
        <v>100</v>
      </c>
    </row>
    <row r="24" spans="2:14" ht="12.75" customHeight="1" x14ac:dyDescent="0.2">
      <c r="B24" s="35"/>
      <c r="C24" s="32"/>
      <c r="D24" s="42"/>
      <c r="E24" s="64"/>
      <c r="F24" s="64"/>
      <c r="G24" s="64"/>
      <c r="H24" s="64"/>
      <c r="I24" s="64"/>
      <c r="J24" s="64"/>
      <c r="K24" s="64"/>
      <c r="L24" s="65"/>
    </row>
    <row r="25" spans="2:14" ht="12.75" customHeight="1" x14ac:dyDescent="0.2">
      <c r="B25" s="35" t="s">
        <v>16</v>
      </c>
      <c r="C25" s="32"/>
      <c r="D25" s="42"/>
      <c r="E25" s="62">
        <v>270</v>
      </c>
      <c r="F25" s="62">
        <v>270</v>
      </c>
      <c r="G25" s="62">
        <v>270</v>
      </c>
      <c r="H25" s="62">
        <v>270</v>
      </c>
      <c r="I25" s="62">
        <v>270</v>
      </c>
      <c r="J25" s="62">
        <v>270</v>
      </c>
      <c r="K25" s="62">
        <v>270</v>
      </c>
      <c r="L25" s="63">
        <v>270</v>
      </c>
    </row>
    <row r="26" spans="2:14" ht="13.5" thickBot="1" x14ac:dyDescent="0.25">
      <c r="B26" s="46" t="s">
        <v>22</v>
      </c>
      <c r="C26" s="33"/>
      <c r="D26" s="47"/>
      <c r="E26" s="68">
        <v>30</v>
      </c>
      <c r="F26" s="68">
        <v>30</v>
      </c>
      <c r="G26" s="68">
        <v>30</v>
      </c>
      <c r="H26" s="68">
        <v>30</v>
      </c>
      <c r="I26" s="68">
        <v>30</v>
      </c>
      <c r="J26" s="68">
        <v>30</v>
      </c>
      <c r="K26" s="68">
        <v>30</v>
      </c>
      <c r="L26" s="69">
        <v>30</v>
      </c>
    </row>
    <row r="27" spans="2:14" ht="13.5" thickBot="1" x14ac:dyDescent="0.25">
      <c r="B27" s="32"/>
      <c r="C27" s="32"/>
      <c r="D27" s="42"/>
      <c r="E27" s="62"/>
      <c r="F27" s="62"/>
      <c r="G27" s="62"/>
      <c r="H27" s="62"/>
      <c r="I27" s="62"/>
      <c r="J27" s="62"/>
      <c r="K27" s="62"/>
      <c r="L27" s="62"/>
    </row>
    <row r="28" spans="2:14" ht="12.75" customHeight="1" x14ac:dyDescent="0.2">
      <c r="B28" s="43" t="s">
        <v>23</v>
      </c>
      <c r="C28" s="34"/>
      <c r="D28" s="44"/>
      <c r="E28" s="70"/>
      <c r="F28" s="70"/>
      <c r="G28" s="70"/>
      <c r="H28" s="70"/>
      <c r="I28" s="70"/>
      <c r="J28" s="70"/>
      <c r="K28" s="70"/>
      <c r="L28" s="71"/>
    </row>
    <row r="29" spans="2:14" ht="12.75" customHeight="1" x14ac:dyDescent="0.2">
      <c r="B29" s="35" t="s">
        <v>24</v>
      </c>
      <c r="C29" s="32"/>
      <c r="D29" s="42"/>
      <c r="E29" s="62"/>
      <c r="F29" s="62"/>
      <c r="G29" s="62"/>
      <c r="H29" s="62"/>
      <c r="I29" s="62"/>
      <c r="J29" s="62"/>
      <c r="K29" s="62"/>
      <c r="L29" s="63"/>
    </row>
    <row r="30" spans="2:14" ht="12.75" customHeight="1" x14ac:dyDescent="0.2">
      <c r="B30" s="48" t="s">
        <v>25</v>
      </c>
      <c r="C30" s="32"/>
      <c r="D30" s="42"/>
      <c r="E30" s="50">
        <f t="shared" ref="E30:L30" si="2">((E6*E8)*E10)*E11</f>
        <v>115200</v>
      </c>
      <c r="F30" s="50">
        <f t="shared" si="2"/>
        <v>132894.72</v>
      </c>
      <c r="G30" s="50">
        <f t="shared" si="2"/>
        <v>153304.2936</v>
      </c>
      <c r="H30" s="50">
        <f t="shared" si="2"/>
        <v>176851.30858800001</v>
      </c>
      <c r="I30" s="50">
        <f t="shared" si="2"/>
        <v>204023.23300632002</v>
      </c>
      <c r="J30" s="50">
        <f t="shared" si="2"/>
        <v>235351.18546808884</v>
      </c>
      <c r="K30" s="50">
        <f t="shared" si="2"/>
        <v>271513.16360313626</v>
      </c>
      <c r="L30" s="51">
        <f t="shared" si="2"/>
        <v>313219.35655094421</v>
      </c>
    </row>
    <row r="31" spans="2:14" ht="12.75" customHeight="1" x14ac:dyDescent="0.2">
      <c r="B31" s="48" t="s">
        <v>26</v>
      </c>
      <c r="C31" s="32"/>
      <c r="D31" s="42"/>
      <c r="E31" s="52">
        <f t="shared" ref="E31:L31" si="3">(E6*E13)*E15</f>
        <v>2400</v>
      </c>
      <c r="F31" s="53">
        <f t="shared" si="3"/>
        <v>2400</v>
      </c>
      <c r="G31" s="53">
        <f t="shared" si="3"/>
        <v>2400</v>
      </c>
      <c r="H31" s="53">
        <f t="shared" si="3"/>
        <v>2400</v>
      </c>
      <c r="I31" s="53">
        <f t="shared" si="3"/>
        <v>2400</v>
      </c>
      <c r="J31" s="53">
        <f t="shared" si="3"/>
        <v>2400</v>
      </c>
      <c r="K31" s="53">
        <f t="shared" si="3"/>
        <v>2400</v>
      </c>
      <c r="L31" s="54">
        <f t="shared" si="3"/>
        <v>2400</v>
      </c>
    </row>
    <row r="32" spans="2:14" ht="12.75" customHeight="1" x14ac:dyDescent="0.2">
      <c r="B32" s="48" t="s">
        <v>27</v>
      </c>
      <c r="C32" s="32"/>
      <c r="D32" s="42"/>
      <c r="E32" s="55">
        <f t="shared" ref="E32:L32" si="4">(E17*5)*5</f>
        <v>22500</v>
      </c>
      <c r="F32" s="55">
        <f t="shared" si="4"/>
        <v>23625</v>
      </c>
      <c r="G32" s="55">
        <f t="shared" si="4"/>
        <v>24806.25</v>
      </c>
      <c r="H32" s="55">
        <f t="shared" si="4"/>
        <v>26046.5625</v>
      </c>
      <c r="I32" s="55">
        <f t="shared" si="4"/>
        <v>27348.890625000004</v>
      </c>
      <c r="J32" s="55">
        <f t="shared" si="4"/>
        <v>28716.335156250007</v>
      </c>
      <c r="K32" s="55">
        <f t="shared" si="4"/>
        <v>30152.151914062506</v>
      </c>
      <c r="L32" s="56">
        <f t="shared" si="4"/>
        <v>31659.75950976563</v>
      </c>
    </row>
    <row r="33" spans="2:14" ht="12.75" customHeight="1" x14ac:dyDescent="0.2">
      <c r="B33" s="45" t="s">
        <v>28</v>
      </c>
      <c r="C33" s="32"/>
      <c r="D33" s="42"/>
      <c r="E33" s="57">
        <f t="shared" ref="E33:L33" si="5">SUM(E30:E32)</f>
        <v>140100</v>
      </c>
      <c r="F33" s="57">
        <f t="shared" si="5"/>
        <v>158919.72</v>
      </c>
      <c r="G33" s="57">
        <f t="shared" si="5"/>
        <v>180510.5436</v>
      </c>
      <c r="H33" s="57">
        <f t="shared" si="5"/>
        <v>205297.87108800001</v>
      </c>
      <c r="I33" s="57">
        <f t="shared" si="5"/>
        <v>233772.12363132002</v>
      </c>
      <c r="J33" s="57">
        <f t="shared" si="5"/>
        <v>266467.52062433882</v>
      </c>
      <c r="K33" s="57">
        <f t="shared" si="5"/>
        <v>304065.31551719876</v>
      </c>
      <c r="L33" s="58">
        <f t="shared" si="5"/>
        <v>347279.11606070981</v>
      </c>
    </row>
    <row r="34" spans="2:14" ht="12.75" customHeight="1" x14ac:dyDescent="0.2">
      <c r="B34" s="35"/>
      <c r="C34" s="32"/>
      <c r="D34" s="42"/>
      <c r="E34" s="53"/>
      <c r="F34" s="53"/>
      <c r="G34" s="53"/>
      <c r="H34" s="53"/>
      <c r="I34" s="53"/>
      <c r="J34" s="53"/>
      <c r="K34" s="53"/>
      <c r="L34" s="54"/>
    </row>
    <row r="35" spans="2:14" ht="12.75" customHeight="1" x14ac:dyDescent="0.2">
      <c r="B35" s="35" t="s">
        <v>29</v>
      </c>
      <c r="C35" s="32"/>
      <c r="D35" s="42"/>
      <c r="E35" s="53"/>
      <c r="F35" s="53"/>
      <c r="G35" s="53"/>
      <c r="H35" s="53"/>
      <c r="I35" s="53"/>
      <c r="J35" s="53"/>
      <c r="K35" s="53"/>
      <c r="L35" s="54"/>
    </row>
    <row r="36" spans="2:14" ht="12.75" customHeight="1" x14ac:dyDescent="0.2">
      <c r="B36" s="48" t="s">
        <v>30</v>
      </c>
      <c r="C36" s="32"/>
      <c r="D36" s="42"/>
      <c r="E36" s="53">
        <f t="shared" ref="E36:L36" si="6">$M$36*E33</f>
        <v>15411</v>
      </c>
      <c r="F36" s="53">
        <f t="shared" si="6"/>
        <v>17481.1692</v>
      </c>
      <c r="G36" s="53">
        <f t="shared" si="6"/>
        <v>19856.159796</v>
      </c>
      <c r="H36" s="53">
        <f t="shared" si="6"/>
        <v>22582.76581968</v>
      </c>
      <c r="I36" s="53">
        <f t="shared" si="6"/>
        <v>25714.933599445201</v>
      </c>
      <c r="J36" s="53">
        <f t="shared" si="6"/>
        <v>29311.427268677271</v>
      </c>
      <c r="K36" s="53">
        <f t="shared" si="6"/>
        <v>33447.184706891865</v>
      </c>
      <c r="L36" s="54">
        <f t="shared" si="6"/>
        <v>38200.702766678078</v>
      </c>
      <c r="M36" s="2">
        <v>0.11</v>
      </c>
      <c r="N36" s="4" t="s">
        <v>113</v>
      </c>
    </row>
    <row r="37" spans="2:14" ht="12.75" customHeight="1" x14ac:dyDescent="0.2">
      <c r="B37" s="48" t="s">
        <v>31</v>
      </c>
      <c r="C37" s="32"/>
      <c r="D37" s="42"/>
      <c r="E37" s="53">
        <f t="shared" ref="E37:L37" si="7">$M$37*12</f>
        <v>36000</v>
      </c>
      <c r="F37" s="53">
        <f t="shared" si="7"/>
        <v>36000</v>
      </c>
      <c r="G37" s="53">
        <f t="shared" si="7"/>
        <v>36000</v>
      </c>
      <c r="H37" s="53">
        <f t="shared" si="7"/>
        <v>36000</v>
      </c>
      <c r="I37" s="53">
        <f t="shared" si="7"/>
        <v>36000</v>
      </c>
      <c r="J37" s="53">
        <f t="shared" si="7"/>
        <v>36000</v>
      </c>
      <c r="K37" s="53">
        <f t="shared" si="7"/>
        <v>36000</v>
      </c>
      <c r="L37" s="54">
        <f t="shared" si="7"/>
        <v>36000</v>
      </c>
      <c r="M37">
        <v>3000</v>
      </c>
      <c r="N37" s="4" t="s">
        <v>114</v>
      </c>
    </row>
    <row r="38" spans="2:14" ht="12.75" customHeight="1" x14ac:dyDescent="0.2">
      <c r="B38" s="48" t="s">
        <v>32</v>
      </c>
      <c r="C38" s="32"/>
      <c r="D38" s="42"/>
      <c r="E38" s="53">
        <f t="shared" ref="E38:L38" si="8">(E6*E17)*E18</f>
        <v>67500</v>
      </c>
      <c r="F38" s="53">
        <f t="shared" si="8"/>
        <v>70875</v>
      </c>
      <c r="G38" s="53">
        <f t="shared" si="8"/>
        <v>74418.75</v>
      </c>
      <c r="H38" s="53">
        <f t="shared" si="8"/>
        <v>78139.6875</v>
      </c>
      <c r="I38" s="53">
        <f t="shared" si="8"/>
        <v>82046.671875000015</v>
      </c>
      <c r="J38" s="53">
        <f t="shared" si="8"/>
        <v>86149.005468750023</v>
      </c>
      <c r="K38" s="53">
        <f t="shared" si="8"/>
        <v>90456.455742187522</v>
      </c>
      <c r="L38" s="54">
        <f t="shared" si="8"/>
        <v>94979.278529296891</v>
      </c>
    </row>
    <row r="39" spans="2:14" ht="12.75" customHeight="1" x14ac:dyDescent="0.2">
      <c r="B39" s="48" t="s">
        <v>33</v>
      </c>
      <c r="C39" s="32"/>
      <c r="D39" s="42"/>
      <c r="E39" s="53">
        <f t="shared" ref="E39:L39" si="9">E22*E6</f>
        <v>3500</v>
      </c>
      <c r="F39" s="53">
        <f t="shared" si="9"/>
        <v>3500</v>
      </c>
      <c r="G39" s="53">
        <f t="shared" si="9"/>
        <v>3500</v>
      </c>
      <c r="H39" s="53">
        <f t="shared" si="9"/>
        <v>3500</v>
      </c>
      <c r="I39" s="53">
        <f t="shared" si="9"/>
        <v>3500</v>
      </c>
      <c r="J39" s="53">
        <f t="shared" si="9"/>
        <v>3500</v>
      </c>
      <c r="K39" s="53">
        <f t="shared" si="9"/>
        <v>3500</v>
      </c>
      <c r="L39" s="54">
        <f t="shared" si="9"/>
        <v>3500</v>
      </c>
    </row>
    <row r="40" spans="2:14" ht="12.75" customHeight="1" x14ac:dyDescent="0.2">
      <c r="B40" s="48" t="s">
        <v>34</v>
      </c>
      <c r="C40" s="32"/>
      <c r="D40" s="42"/>
      <c r="E40" s="53">
        <f t="shared" ref="E40:L40" si="10">$M$40*E33</f>
        <v>9807.0000000000018</v>
      </c>
      <c r="F40" s="53">
        <f t="shared" si="10"/>
        <v>11124.380400000002</v>
      </c>
      <c r="G40" s="53">
        <f t="shared" si="10"/>
        <v>12635.738052000002</v>
      </c>
      <c r="H40" s="53">
        <f t="shared" si="10"/>
        <v>14370.850976160002</v>
      </c>
      <c r="I40" s="53">
        <f t="shared" si="10"/>
        <v>16364.048654192404</v>
      </c>
      <c r="J40" s="53">
        <f t="shared" si="10"/>
        <v>18652.726443703719</v>
      </c>
      <c r="K40" s="53">
        <f t="shared" si="10"/>
        <v>21284.572086203916</v>
      </c>
      <c r="L40" s="54">
        <f t="shared" si="10"/>
        <v>24309.538124249688</v>
      </c>
      <c r="M40" s="2">
        <v>7.0000000000000007E-2</v>
      </c>
      <c r="N40" s="4" t="s">
        <v>113</v>
      </c>
    </row>
    <row r="41" spans="2:14" ht="12.75" customHeight="1" x14ac:dyDescent="0.2">
      <c r="B41" s="48" t="s">
        <v>8</v>
      </c>
      <c r="C41" s="32"/>
      <c r="D41" s="42"/>
      <c r="E41" s="53">
        <f t="shared" ref="E41:L41" si="11">E23*5</f>
        <v>500</v>
      </c>
      <c r="F41" s="53">
        <f t="shared" si="11"/>
        <v>500</v>
      </c>
      <c r="G41" s="53">
        <f t="shared" si="11"/>
        <v>500</v>
      </c>
      <c r="H41" s="53">
        <f t="shared" si="11"/>
        <v>500</v>
      </c>
      <c r="I41" s="53">
        <f t="shared" si="11"/>
        <v>500</v>
      </c>
      <c r="J41" s="53">
        <f t="shared" si="11"/>
        <v>500</v>
      </c>
      <c r="K41" s="53">
        <f t="shared" si="11"/>
        <v>500</v>
      </c>
      <c r="L41" s="54">
        <f t="shared" si="11"/>
        <v>500</v>
      </c>
      <c r="M41" s="2"/>
    </row>
    <row r="42" spans="2:14" x14ac:dyDescent="0.2">
      <c r="B42" s="48" t="s">
        <v>35</v>
      </c>
      <c r="C42" s="32"/>
      <c r="D42" s="42"/>
      <c r="E42" s="53">
        <f t="shared" ref="E42:L42" si="12">((E10*$M$42)+(E14*$M$42))+(E33*$M$44)</f>
        <v>3063.5</v>
      </c>
      <c r="F42" s="53">
        <f t="shared" si="12"/>
        <v>3460.9957999999997</v>
      </c>
      <c r="G42" s="53">
        <f t="shared" si="12"/>
        <v>3913.8581539999996</v>
      </c>
      <c r="H42" s="53">
        <f t="shared" si="12"/>
        <v>4430.1680663200004</v>
      </c>
      <c r="I42" s="53">
        <f t="shared" si="12"/>
        <v>5019.1818544697999</v>
      </c>
      <c r="J42" s="53">
        <f t="shared" si="12"/>
        <v>5690.812809365083</v>
      </c>
      <c r="K42" s="53">
        <f t="shared" si="12"/>
        <v>6457.8797327579814</v>
      </c>
      <c r="L42" s="54">
        <f t="shared" si="12"/>
        <v>7333.4867409106473</v>
      </c>
      <c r="M42" s="3">
        <v>0.1</v>
      </c>
      <c r="N42" t="s">
        <v>36</v>
      </c>
    </row>
    <row r="43" spans="2:14" x14ac:dyDescent="0.2">
      <c r="B43" s="48" t="s">
        <v>37</v>
      </c>
      <c r="C43" s="32"/>
      <c r="D43" s="42"/>
      <c r="E43" s="53">
        <v>3043.4839999999999</v>
      </c>
      <c r="F43" s="53">
        <v>3039.3180000000002</v>
      </c>
      <c r="G43" s="53">
        <v>1041.2570000000001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2:14" x14ac:dyDescent="0.2">
      <c r="B44" s="48"/>
      <c r="C44" s="32"/>
      <c r="D44" s="42"/>
      <c r="E44" s="53"/>
      <c r="F44" s="53"/>
      <c r="G44" s="53"/>
      <c r="H44" s="53"/>
      <c r="I44" s="53"/>
      <c r="J44" s="53"/>
      <c r="K44" s="53"/>
      <c r="L44" s="54"/>
      <c r="M44" s="1">
        <v>1.4999999999999999E-2</v>
      </c>
      <c r="N44" t="s">
        <v>38</v>
      </c>
    </row>
    <row r="45" spans="2:14" x14ac:dyDescent="0.2">
      <c r="B45" s="48" t="s">
        <v>39</v>
      </c>
      <c r="C45" s="32"/>
      <c r="D45" s="42"/>
      <c r="E45" s="53">
        <f t="shared" ref="E45:L45" si="13">E59/10</f>
        <v>7500</v>
      </c>
      <c r="F45" s="53">
        <f t="shared" si="13"/>
        <v>7500</v>
      </c>
      <c r="G45" s="53">
        <f t="shared" si="13"/>
        <v>7500</v>
      </c>
      <c r="H45" s="53">
        <f t="shared" si="13"/>
        <v>7500</v>
      </c>
      <c r="I45" s="53">
        <f t="shared" si="13"/>
        <v>7500</v>
      </c>
      <c r="J45" s="53">
        <f t="shared" si="13"/>
        <v>7500</v>
      </c>
      <c r="K45" s="53">
        <f t="shared" si="13"/>
        <v>7500</v>
      </c>
      <c r="L45" s="54">
        <f t="shared" si="13"/>
        <v>7500</v>
      </c>
    </row>
    <row r="46" spans="2:14" x14ac:dyDescent="0.2">
      <c r="B46" s="48" t="s">
        <v>40</v>
      </c>
      <c r="C46" s="32"/>
      <c r="D46" s="42"/>
      <c r="E46" s="53">
        <f>H191</f>
        <v>5088.0410865149588</v>
      </c>
      <c r="F46" s="53">
        <f>I191</f>
        <v>4543.3288026149185</v>
      </c>
      <c r="G46" s="53">
        <f>J191</f>
        <v>3965.01985694821</v>
      </c>
      <c r="H46" s="53">
        <f>K191</f>
        <v>3351.0420809311136</v>
      </c>
      <c r="I46" s="53">
        <f>L191</f>
        <v>2699.1954991558505</v>
      </c>
      <c r="J46" s="53">
        <v>0</v>
      </c>
      <c r="K46" s="53">
        <v>0</v>
      </c>
      <c r="L46" s="54">
        <v>0</v>
      </c>
    </row>
    <row r="47" spans="2:14" x14ac:dyDescent="0.2">
      <c r="B47" s="35"/>
      <c r="C47" s="32"/>
      <c r="D47" s="42"/>
      <c r="E47" s="53"/>
      <c r="F47" s="53"/>
      <c r="G47" s="53"/>
      <c r="H47" s="53"/>
      <c r="I47" s="53"/>
      <c r="J47" s="53"/>
      <c r="K47" s="53"/>
      <c r="L47" s="54"/>
    </row>
    <row r="48" spans="2:14" x14ac:dyDescent="0.2">
      <c r="B48" s="35" t="s">
        <v>41</v>
      </c>
      <c r="C48" s="32"/>
      <c r="D48" s="42"/>
      <c r="E48" s="64">
        <f t="shared" ref="E48:L48" si="14">E33-(SUM(E35:E46))</f>
        <v>-11313.025086514943</v>
      </c>
      <c r="F48" s="64">
        <f t="shared" si="14"/>
        <v>895.5277973850898</v>
      </c>
      <c r="G48" s="64">
        <f t="shared" si="14"/>
        <v>17179.76074105181</v>
      </c>
      <c r="H48" s="64">
        <f t="shared" si="14"/>
        <v>34923.356644908898</v>
      </c>
      <c r="I48" s="64">
        <f t="shared" si="14"/>
        <v>54428.092149056756</v>
      </c>
      <c r="J48" s="64">
        <f t="shared" si="14"/>
        <v>79163.548633842729</v>
      </c>
      <c r="K48" s="64">
        <f t="shared" si="14"/>
        <v>104919.22324915748</v>
      </c>
      <c r="L48" s="65">
        <f t="shared" si="14"/>
        <v>134956.10989957448</v>
      </c>
    </row>
    <row r="49" spans="2:14" x14ac:dyDescent="0.2">
      <c r="B49" s="48" t="s">
        <v>42</v>
      </c>
      <c r="C49" s="32"/>
      <c r="D49" s="42"/>
      <c r="E49" s="55">
        <f t="shared" ref="E49:L49" si="15">IF((E48&lt;0),0,(E48*$M$49))</f>
        <v>0</v>
      </c>
      <c r="F49" s="55">
        <f t="shared" si="15"/>
        <v>223.88194934627245</v>
      </c>
      <c r="G49" s="55">
        <f t="shared" si="15"/>
        <v>4294.9401852629526</v>
      </c>
      <c r="H49" s="55">
        <f t="shared" si="15"/>
        <v>8730.8391612272244</v>
      </c>
      <c r="I49" s="55">
        <f t="shared" si="15"/>
        <v>13607.023037264189</v>
      </c>
      <c r="J49" s="55">
        <f t="shared" si="15"/>
        <v>19790.887158460682</v>
      </c>
      <c r="K49" s="55">
        <f t="shared" si="15"/>
        <v>26229.805812289371</v>
      </c>
      <c r="L49" s="56">
        <f t="shared" si="15"/>
        <v>33739.027474893621</v>
      </c>
      <c r="M49" s="2">
        <v>0.25</v>
      </c>
    </row>
    <row r="50" spans="2:14" ht="13.5" thickBot="1" x14ac:dyDescent="0.25">
      <c r="B50" s="46" t="s">
        <v>43</v>
      </c>
      <c r="C50" s="33"/>
      <c r="D50" s="47"/>
      <c r="E50" s="72">
        <f t="shared" ref="E50:L50" si="16">E48-E49</f>
        <v>-11313.025086514943</v>
      </c>
      <c r="F50" s="72">
        <f t="shared" si="16"/>
        <v>671.64584803881735</v>
      </c>
      <c r="G50" s="72">
        <f t="shared" si="16"/>
        <v>12884.820555788858</v>
      </c>
      <c r="H50" s="72">
        <f t="shared" si="16"/>
        <v>26192.517483681673</v>
      </c>
      <c r="I50" s="72">
        <f t="shared" si="16"/>
        <v>40821.069111792567</v>
      </c>
      <c r="J50" s="72">
        <f t="shared" si="16"/>
        <v>59372.661475382047</v>
      </c>
      <c r="K50" s="72">
        <f t="shared" si="16"/>
        <v>78689.417436868112</v>
      </c>
      <c r="L50" s="73">
        <f t="shared" si="16"/>
        <v>101217.08242468086</v>
      </c>
    </row>
    <row r="51" spans="2:14" ht="13.5" thickBot="1" x14ac:dyDescent="0.25">
      <c r="E51" s="74"/>
      <c r="F51" s="74"/>
      <c r="G51" s="74"/>
      <c r="H51" s="74"/>
      <c r="I51" s="74"/>
      <c r="J51" s="74"/>
      <c r="K51" s="74"/>
      <c r="L51" s="74"/>
    </row>
    <row r="52" spans="2:14" x14ac:dyDescent="0.2">
      <c r="B52" s="43" t="s">
        <v>110</v>
      </c>
      <c r="C52" s="34"/>
      <c r="D52" s="44"/>
      <c r="E52" s="75"/>
      <c r="F52" s="75"/>
      <c r="G52" s="75"/>
      <c r="H52" s="75"/>
      <c r="I52" s="75"/>
      <c r="J52" s="75"/>
      <c r="K52" s="75"/>
      <c r="L52" s="76"/>
    </row>
    <row r="53" spans="2:14" x14ac:dyDescent="0.2">
      <c r="B53" s="35" t="s">
        <v>44</v>
      </c>
      <c r="C53" s="32"/>
      <c r="D53" s="42"/>
      <c r="E53" s="50"/>
      <c r="F53" s="50"/>
      <c r="G53" s="50"/>
      <c r="H53" s="50"/>
      <c r="I53" s="50"/>
      <c r="J53" s="50"/>
      <c r="K53" s="50"/>
      <c r="L53" s="51"/>
    </row>
    <row r="54" spans="2:14" x14ac:dyDescent="0.2">
      <c r="B54" s="48" t="s">
        <v>45</v>
      </c>
      <c r="C54" s="32"/>
      <c r="D54" s="42"/>
      <c r="E54" s="64">
        <v>1500</v>
      </c>
      <c r="F54" s="64">
        <v>1500</v>
      </c>
      <c r="G54" s="64">
        <v>1500</v>
      </c>
      <c r="H54" s="64">
        <v>1500</v>
      </c>
      <c r="I54" s="64">
        <v>1500</v>
      </c>
      <c r="J54" s="64">
        <v>1500</v>
      </c>
      <c r="K54" s="64">
        <v>1500</v>
      </c>
      <c r="L54" s="64">
        <v>1500</v>
      </c>
    </row>
    <row r="55" spans="2:14" x14ac:dyDescent="0.2">
      <c r="B55" s="48" t="s">
        <v>46</v>
      </c>
      <c r="C55" s="32"/>
      <c r="D55" s="42"/>
      <c r="E55" s="53"/>
      <c r="F55" s="53"/>
      <c r="G55" s="53"/>
      <c r="H55" s="53">
        <v>7141.43</v>
      </c>
      <c r="I55" s="53">
        <v>39172.57</v>
      </c>
      <c r="J55" s="53">
        <v>112504.93</v>
      </c>
      <c r="K55" s="53">
        <v>205618.95</v>
      </c>
      <c r="L55" s="54">
        <v>322579.38</v>
      </c>
    </row>
    <row r="56" spans="2:14" x14ac:dyDescent="0.2">
      <c r="B56" s="48" t="s">
        <v>47</v>
      </c>
      <c r="C56" s="32"/>
      <c r="D56" s="42"/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2:14" x14ac:dyDescent="0.2">
      <c r="B57" s="48" t="s">
        <v>48</v>
      </c>
      <c r="C57" s="32"/>
      <c r="D57" s="42"/>
      <c r="E57" s="53">
        <f>(E38/365)*180</f>
        <v>33287.67123287671</v>
      </c>
      <c r="F57" s="53">
        <f>((F38/365)*180)*(1+$M$57)</f>
        <v>34952.054794520547</v>
      </c>
      <c r="G57" s="53">
        <f t="shared" ref="G57:L57" si="17">(G38/365)*180</f>
        <v>36699.657534246573</v>
      </c>
      <c r="H57" s="53">
        <f t="shared" si="17"/>
        <v>38534.640410958906</v>
      </c>
      <c r="I57" s="53">
        <f t="shared" si="17"/>
        <v>40461.372431506861</v>
      </c>
      <c r="J57" s="53">
        <f t="shared" si="17"/>
        <v>42484.441053082206</v>
      </c>
      <c r="K57" s="53">
        <f t="shared" si="17"/>
        <v>44608.663105736312</v>
      </c>
      <c r="L57" s="54">
        <f t="shared" si="17"/>
        <v>46839.096261023122</v>
      </c>
    </row>
    <row r="58" spans="2:14" x14ac:dyDescent="0.2">
      <c r="B58" s="48"/>
      <c r="C58" s="32"/>
      <c r="D58" s="42"/>
      <c r="E58" s="53"/>
      <c r="F58" s="53"/>
      <c r="G58" s="53"/>
      <c r="H58" s="53"/>
      <c r="I58" s="53"/>
      <c r="J58" s="53"/>
      <c r="K58" s="53"/>
      <c r="L58" s="54"/>
    </row>
    <row r="59" spans="2:14" x14ac:dyDescent="0.2">
      <c r="B59" s="48" t="s">
        <v>49</v>
      </c>
      <c r="C59" s="32"/>
      <c r="D59" s="42"/>
      <c r="E59" s="53">
        <v>75000</v>
      </c>
      <c r="F59" s="53">
        <v>75000</v>
      </c>
      <c r="G59" s="53">
        <v>75000</v>
      </c>
      <c r="H59" s="53">
        <v>75000</v>
      </c>
      <c r="I59" s="53">
        <v>75000</v>
      </c>
      <c r="J59" s="53">
        <v>75000</v>
      </c>
      <c r="K59" s="53">
        <v>75000</v>
      </c>
      <c r="L59" s="54">
        <v>75000</v>
      </c>
      <c r="M59" s="125">
        <v>15000</v>
      </c>
      <c r="N59" s="4" t="s">
        <v>115</v>
      </c>
    </row>
    <row r="60" spans="2:14" x14ac:dyDescent="0.2">
      <c r="B60" s="48" t="s">
        <v>50</v>
      </c>
      <c r="C60" s="32"/>
      <c r="D60" s="42"/>
      <c r="E60" s="55">
        <f>(E59/10)*1</f>
        <v>7500</v>
      </c>
      <c r="F60" s="55">
        <f>(F59/10)*2</f>
        <v>15000</v>
      </c>
      <c r="G60" s="55">
        <f>(G59/10)*3</f>
        <v>22500</v>
      </c>
      <c r="H60" s="55">
        <f>(H59/10)*4</f>
        <v>30000</v>
      </c>
      <c r="I60" s="55">
        <f>(I59/10)*5</f>
        <v>37500</v>
      </c>
      <c r="J60" s="55">
        <f>(J59/10)*6</f>
        <v>45000</v>
      </c>
      <c r="K60" s="55">
        <f>(K59/10)*7</f>
        <v>52500</v>
      </c>
      <c r="L60" s="56">
        <f>(L59/10)*8</f>
        <v>60000</v>
      </c>
      <c r="M60" s="14">
        <v>10</v>
      </c>
      <c r="N60" s="4" t="s">
        <v>116</v>
      </c>
    </row>
    <row r="61" spans="2:14" x14ac:dyDescent="0.2">
      <c r="B61" s="35" t="s">
        <v>51</v>
      </c>
      <c r="C61" s="32"/>
      <c r="D61" s="42"/>
      <c r="E61" s="79">
        <f t="shared" ref="E61:L61" si="18">SUM(E54:E59)-E60</f>
        <v>102287.67123287672</v>
      </c>
      <c r="F61" s="79">
        <f t="shared" si="18"/>
        <v>96452.054794520547</v>
      </c>
      <c r="G61" s="79">
        <f t="shared" si="18"/>
        <v>90699.657534246566</v>
      </c>
      <c r="H61" s="79">
        <f t="shared" si="18"/>
        <v>92176.070410958899</v>
      </c>
      <c r="I61" s="79">
        <f t="shared" si="18"/>
        <v>118633.94243150688</v>
      </c>
      <c r="J61" s="79">
        <f t="shared" si="18"/>
        <v>186489.3710530822</v>
      </c>
      <c r="K61" s="79">
        <f t="shared" si="18"/>
        <v>274227.61310573632</v>
      </c>
      <c r="L61" s="80">
        <f t="shared" si="18"/>
        <v>385918.47626102314</v>
      </c>
      <c r="M61" s="14"/>
    </row>
    <row r="62" spans="2:14" x14ac:dyDescent="0.2">
      <c r="B62" s="35"/>
      <c r="C62" s="32"/>
      <c r="D62" s="42"/>
      <c r="E62" s="81"/>
      <c r="F62" s="81"/>
      <c r="G62" s="81"/>
      <c r="H62" s="81"/>
      <c r="I62" s="81"/>
      <c r="J62" s="81"/>
      <c r="K62" s="81"/>
      <c r="L62" s="82"/>
      <c r="M62" s="14"/>
    </row>
    <row r="63" spans="2:14" x14ac:dyDescent="0.2">
      <c r="B63" s="35" t="s">
        <v>52</v>
      </c>
      <c r="C63" s="32"/>
      <c r="D63" s="42"/>
      <c r="E63" s="50"/>
      <c r="F63" s="50"/>
      <c r="G63" s="50"/>
      <c r="H63" s="50"/>
      <c r="I63" s="50"/>
      <c r="J63" s="50"/>
      <c r="K63" s="50"/>
      <c r="L63" s="51"/>
      <c r="M63" s="14"/>
    </row>
    <row r="64" spans="2:14" x14ac:dyDescent="0.2">
      <c r="B64" s="48" t="s">
        <v>53</v>
      </c>
      <c r="C64" s="32"/>
      <c r="D64" s="42"/>
      <c r="E64" s="53">
        <f t="shared" ref="E64:L64" si="19">(E38/365)*E26</f>
        <v>5547.9452054794519</v>
      </c>
      <c r="F64" s="53">
        <f t="shared" si="19"/>
        <v>5825.3424657534242</v>
      </c>
      <c r="G64" s="53">
        <f t="shared" si="19"/>
        <v>6116.6095890410961</v>
      </c>
      <c r="H64" s="53">
        <f t="shared" si="19"/>
        <v>6422.4400684931506</v>
      </c>
      <c r="I64" s="53">
        <f t="shared" si="19"/>
        <v>6743.5620719178096</v>
      </c>
      <c r="J64" s="53">
        <f t="shared" si="19"/>
        <v>7080.7401755137007</v>
      </c>
      <c r="K64" s="53">
        <f t="shared" si="19"/>
        <v>7434.7771842893853</v>
      </c>
      <c r="L64" s="54">
        <f t="shared" si="19"/>
        <v>7806.5160435038542</v>
      </c>
      <c r="M64" s="14"/>
    </row>
    <row r="65" spans="2:14" x14ac:dyDescent="0.2">
      <c r="B65" s="48" t="s">
        <v>20</v>
      </c>
      <c r="C65" s="32"/>
      <c r="D65" s="42"/>
      <c r="E65" s="53">
        <f t="shared" ref="E65:L65" si="20">E33*0.06</f>
        <v>8406</v>
      </c>
      <c r="F65" s="53">
        <f t="shared" si="20"/>
        <v>9535.1831999999995</v>
      </c>
      <c r="G65" s="53">
        <f t="shared" si="20"/>
        <v>10830.632615999999</v>
      </c>
      <c r="H65" s="53">
        <f t="shared" si="20"/>
        <v>12317.872265280001</v>
      </c>
      <c r="I65" s="53">
        <f t="shared" si="20"/>
        <v>14026.3274178792</v>
      </c>
      <c r="J65" s="53">
        <f t="shared" si="20"/>
        <v>15988.05123746033</v>
      </c>
      <c r="K65" s="53">
        <f t="shared" si="20"/>
        <v>18243.918931031923</v>
      </c>
      <c r="L65" s="54">
        <f t="shared" si="20"/>
        <v>20836.746963642589</v>
      </c>
      <c r="M65" s="14"/>
    </row>
    <row r="66" spans="2:14" x14ac:dyDescent="0.2">
      <c r="B66" s="48" t="s">
        <v>54</v>
      </c>
      <c r="C66" s="32"/>
      <c r="D66" s="42"/>
      <c r="E66" s="53">
        <f t="shared" ref="E66:L66" si="21">E49</f>
        <v>0</v>
      </c>
      <c r="F66" s="53">
        <f t="shared" si="21"/>
        <v>223.88194934627245</v>
      </c>
      <c r="G66" s="53">
        <f t="shared" si="21"/>
        <v>4294.9401852629526</v>
      </c>
      <c r="H66" s="53">
        <f t="shared" si="21"/>
        <v>8730.8391612272244</v>
      </c>
      <c r="I66" s="53">
        <f t="shared" si="21"/>
        <v>13607.023037264189</v>
      </c>
      <c r="J66" s="53">
        <f t="shared" si="21"/>
        <v>19790.887158460682</v>
      </c>
      <c r="K66" s="53">
        <f t="shared" si="21"/>
        <v>26229.805812289371</v>
      </c>
      <c r="L66" s="54">
        <f t="shared" si="21"/>
        <v>33739.027474893621</v>
      </c>
      <c r="M66" s="14"/>
    </row>
    <row r="67" spans="2:14" x14ac:dyDescent="0.2">
      <c r="B67" s="48"/>
      <c r="C67" s="32"/>
      <c r="D67" s="42"/>
      <c r="E67" s="53"/>
      <c r="F67" s="53"/>
      <c r="G67" s="53"/>
      <c r="H67" s="53"/>
      <c r="I67" s="53"/>
      <c r="J67" s="53"/>
      <c r="K67" s="53"/>
      <c r="L67" s="54"/>
      <c r="M67" s="14"/>
    </row>
    <row r="68" spans="2:14" x14ac:dyDescent="0.2">
      <c r="B68" s="48" t="s">
        <v>55</v>
      </c>
      <c r="C68" s="32"/>
      <c r="D68" s="42"/>
      <c r="E68" s="53">
        <f>60000-H177</f>
        <v>51168.423985326808</v>
      </c>
      <c r="F68" s="53">
        <f>E68-I177</f>
        <v>41792.13568675358</v>
      </c>
      <c r="G68" s="53">
        <f>F68-J177</f>
        <v>31837.538442513644</v>
      </c>
      <c r="H68" s="53">
        <f>G68-K177</f>
        <v>21268.963422256609</v>
      </c>
      <c r="I68" s="53">
        <v>0</v>
      </c>
      <c r="J68" s="53">
        <v>0</v>
      </c>
      <c r="K68" s="53">
        <v>0</v>
      </c>
      <c r="L68" s="54">
        <v>0</v>
      </c>
      <c r="M68" s="125">
        <v>100000</v>
      </c>
      <c r="N68" t="s">
        <v>117</v>
      </c>
    </row>
    <row r="69" spans="2:14" x14ac:dyDescent="0.2">
      <c r="B69" s="48" t="s">
        <v>56</v>
      </c>
      <c r="C69" s="32"/>
      <c r="D69" s="42"/>
      <c r="E69" s="53">
        <v>33478.327128585406</v>
      </c>
      <c r="F69" s="53">
        <v>34716.890731143394</v>
      </c>
      <c r="G69" s="53">
        <v>20376.495384116173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  <c r="M69" s="126">
        <v>0.1</v>
      </c>
    </row>
    <row r="70" spans="2:14" x14ac:dyDescent="0.2">
      <c r="B70" s="48"/>
      <c r="C70" s="32"/>
      <c r="D70" s="42"/>
      <c r="E70" s="53"/>
      <c r="F70" s="53"/>
      <c r="G70" s="53"/>
      <c r="H70" s="53"/>
      <c r="I70" s="53"/>
      <c r="J70" s="53"/>
      <c r="K70" s="53"/>
      <c r="L70" s="54"/>
      <c r="M70" s="14"/>
    </row>
    <row r="71" spans="2:14" x14ac:dyDescent="0.2">
      <c r="B71" s="48" t="s">
        <v>57</v>
      </c>
      <c r="C71" s="32"/>
      <c r="D71" s="42"/>
      <c r="E71" s="53">
        <f t="shared" ref="E71:L71" si="22">E59*$M$71</f>
        <v>15000</v>
      </c>
      <c r="F71" s="53">
        <f t="shared" si="22"/>
        <v>15000</v>
      </c>
      <c r="G71" s="53">
        <f t="shared" si="22"/>
        <v>15000</v>
      </c>
      <c r="H71" s="53">
        <f t="shared" si="22"/>
        <v>15000</v>
      </c>
      <c r="I71" s="53">
        <f t="shared" si="22"/>
        <v>15000</v>
      </c>
      <c r="J71" s="53">
        <f t="shared" si="22"/>
        <v>15000</v>
      </c>
      <c r="K71" s="53">
        <f t="shared" si="22"/>
        <v>15000</v>
      </c>
      <c r="L71" s="54">
        <f t="shared" si="22"/>
        <v>15000</v>
      </c>
      <c r="M71" s="15">
        <v>0.2</v>
      </c>
    </row>
    <row r="72" spans="2:14" x14ac:dyDescent="0.2">
      <c r="B72" s="48" t="s">
        <v>58</v>
      </c>
      <c r="C72" s="32"/>
      <c r="D72" s="42"/>
      <c r="E72" s="53">
        <f>E50</f>
        <v>-11313.025086514943</v>
      </c>
      <c r="F72" s="53">
        <f t="shared" ref="F72:L72" si="23">E72+F50</f>
        <v>-10641.379238476125</v>
      </c>
      <c r="G72" s="53">
        <f t="shared" si="23"/>
        <v>2243.4413173127323</v>
      </c>
      <c r="H72" s="53">
        <f t="shared" si="23"/>
        <v>28435.958800994405</v>
      </c>
      <c r="I72" s="53">
        <f t="shared" si="23"/>
        <v>69257.027912786973</v>
      </c>
      <c r="J72" s="53">
        <f t="shared" si="23"/>
        <v>128629.68938816902</v>
      </c>
      <c r="K72" s="53">
        <f t="shared" si="23"/>
        <v>207319.10682503713</v>
      </c>
      <c r="L72" s="54">
        <f t="shared" si="23"/>
        <v>308536.18924971798</v>
      </c>
      <c r="M72" s="14"/>
    </row>
    <row r="73" spans="2:14" x14ac:dyDescent="0.2">
      <c r="B73" s="35"/>
      <c r="C73" s="32"/>
      <c r="D73" s="42"/>
      <c r="E73" s="77"/>
      <c r="F73" s="77"/>
      <c r="G73" s="77"/>
      <c r="H73" s="77"/>
      <c r="I73" s="77"/>
      <c r="J73" s="77"/>
      <c r="K73" s="77"/>
      <c r="L73" s="78"/>
      <c r="M73" s="14"/>
    </row>
    <row r="74" spans="2:14" x14ac:dyDescent="0.2">
      <c r="B74" s="35" t="s">
        <v>59</v>
      </c>
      <c r="C74" s="32"/>
      <c r="D74" s="42"/>
      <c r="E74" s="79">
        <f t="shared" ref="E74:L74" si="24">SUM(E64:E72)</f>
        <v>102287.67123287672</v>
      </c>
      <c r="F74" s="79">
        <f t="shared" si="24"/>
        <v>96452.054794520547</v>
      </c>
      <c r="G74" s="79">
        <f t="shared" si="24"/>
        <v>90699.657534246595</v>
      </c>
      <c r="H74" s="79">
        <f t="shared" si="24"/>
        <v>92176.073718251399</v>
      </c>
      <c r="I74" s="79">
        <f t="shared" si="24"/>
        <v>118633.94043984817</v>
      </c>
      <c r="J74" s="79">
        <f t="shared" si="24"/>
        <v>186489.36795960373</v>
      </c>
      <c r="K74" s="79">
        <f t="shared" si="24"/>
        <v>274227.60875264782</v>
      </c>
      <c r="L74" s="80">
        <f t="shared" si="24"/>
        <v>385918.47973175801</v>
      </c>
      <c r="M74" s="14"/>
    </row>
    <row r="75" spans="2:14" x14ac:dyDescent="0.2">
      <c r="B75" s="35"/>
      <c r="C75" s="32"/>
      <c r="D75" s="42"/>
      <c r="E75" s="81"/>
      <c r="F75" s="81"/>
      <c r="G75" s="81"/>
      <c r="H75" s="81"/>
      <c r="I75" s="81"/>
      <c r="J75" s="81"/>
      <c r="K75" s="81"/>
      <c r="L75" s="82"/>
      <c r="M75" s="128">
        <f>-PMT((0.06/12),60,60000)</f>
        <v>1159.9680917656749</v>
      </c>
    </row>
    <row r="76" spans="2:14" ht="13.5" thickBot="1" x14ac:dyDescent="0.25">
      <c r="B76" s="46" t="s">
        <v>60</v>
      </c>
      <c r="C76" s="33"/>
      <c r="D76" s="47"/>
      <c r="E76" s="83">
        <f t="shared" ref="E76:L76" si="25">E61-E74</f>
        <v>0</v>
      </c>
      <c r="F76" s="83">
        <f t="shared" si="25"/>
        <v>0</v>
      </c>
      <c r="G76" s="83">
        <f t="shared" si="25"/>
        <v>0</v>
      </c>
      <c r="H76" s="83">
        <f t="shared" si="25"/>
        <v>-3.3072924998123199E-3</v>
      </c>
      <c r="I76" s="83">
        <f t="shared" si="25"/>
        <v>1.9916587043553591E-3</v>
      </c>
      <c r="J76" s="83">
        <f t="shared" si="25"/>
        <v>3.0934784736018628E-3</v>
      </c>
      <c r="K76" s="83">
        <f t="shared" si="25"/>
        <v>4.3530885013751686E-3</v>
      </c>
      <c r="L76" s="84">
        <f t="shared" si="25"/>
        <v>-3.4707348677329719E-3</v>
      </c>
      <c r="M76" s="14"/>
    </row>
    <row r="77" spans="2:14" ht="13.5" thickBot="1" x14ac:dyDescent="0.25">
      <c r="E77" s="85"/>
      <c r="F77" s="85"/>
      <c r="G77" s="85"/>
      <c r="H77" s="85"/>
      <c r="I77" s="85"/>
      <c r="J77" s="85"/>
      <c r="K77" s="85"/>
      <c r="L77" s="85"/>
    </row>
    <row r="78" spans="2:14" x14ac:dyDescent="0.2">
      <c r="B78" s="19" t="s">
        <v>61</v>
      </c>
      <c r="C78" s="23"/>
      <c r="D78" s="6"/>
      <c r="E78" s="86"/>
      <c r="F78" s="86"/>
      <c r="G78" s="86"/>
      <c r="H78" s="86"/>
      <c r="I78" s="86"/>
      <c r="J78" s="86"/>
      <c r="K78" s="86"/>
      <c r="L78" s="87"/>
    </row>
    <row r="79" spans="2:14" x14ac:dyDescent="0.2">
      <c r="B79" s="21"/>
      <c r="C79" s="24"/>
      <c r="D79" s="7"/>
      <c r="E79" s="88"/>
      <c r="F79" s="88"/>
      <c r="G79" s="88"/>
      <c r="H79" s="88"/>
      <c r="I79" s="88"/>
      <c r="J79" s="88"/>
      <c r="K79" s="88"/>
      <c r="L79" s="89"/>
    </row>
    <row r="80" spans="2:14" x14ac:dyDescent="0.2">
      <c r="B80" s="21" t="s">
        <v>62</v>
      </c>
      <c r="C80" s="24"/>
      <c r="D80" s="7"/>
      <c r="E80" s="74">
        <f t="shared" ref="E80:L80" si="26">((((E37+E38)+E39)+E41)+E45)+E46</f>
        <v>120088.04108651496</v>
      </c>
      <c r="F80" s="74">
        <f t="shared" si="26"/>
        <v>122918.32880261492</v>
      </c>
      <c r="G80" s="74">
        <f t="shared" si="26"/>
        <v>125883.76985694822</v>
      </c>
      <c r="H80" s="74">
        <f t="shared" si="26"/>
        <v>128990.72958093112</v>
      </c>
      <c r="I80" s="74">
        <f t="shared" si="26"/>
        <v>132245.86737415587</v>
      </c>
      <c r="J80" s="74">
        <f t="shared" si="26"/>
        <v>133649.00546875002</v>
      </c>
      <c r="K80" s="74">
        <f t="shared" si="26"/>
        <v>137956.45574218751</v>
      </c>
      <c r="L80" s="90">
        <f t="shared" si="26"/>
        <v>142479.27852929689</v>
      </c>
    </row>
    <row r="81" spans="2:12" x14ac:dyDescent="0.2">
      <c r="B81" s="21"/>
      <c r="C81" s="24"/>
      <c r="D81" s="7"/>
      <c r="E81" s="88"/>
      <c r="F81" s="88"/>
      <c r="G81" s="88"/>
      <c r="H81" s="88"/>
      <c r="I81" s="88"/>
      <c r="J81" s="88"/>
      <c r="K81" s="88"/>
      <c r="L81" s="89"/>
    </row>
    <row r="82" spans="2:12" x14ac:dyDescent="0.2">
      <c r="B82" s="21" t="s">
        <v>63</v>
      </c>
      <c r="C82" s="24"/>
      <c r="D82" s="7"/>
      <c r="E82" s="117">
        <f t="shared" ref="E82:L82" si="27">E33/((E10+E15)*5)</f>
        <v>2.8475609756097562</v>
      </c>
      <c r="F82" s="117">
        <f t="shared" si="27"/>
        <v>2.8915524017467251</v>
      </c>
      <c r="G82" s="117">
        <f t="shared" si="27"/>
        <v>2.9394323986321447</v>
      </c>
      <c r="H82" s="117">
        <f t="shared" si="27"/>
        <v>2.9911542374590225</v>
      </c>
      <c r="I82" s="117">
        <f t="shared" si="27"/>
        <v>3.0466847860200708</v>
      </c>
      <c r="J82" s="117">
        <f t="shared" si="27"/>
        <v>3.1060440683569044</v>
      </c>
      <c r="K82" s="117">
        <f t="shared" si="27"/>
        <v>3.1691627027692819</v>
      </c>
      <c r="L82" s="118">
        <f t="shared" si="27"/>
        <v>3.2360724601473216</v>
      </c>
    </row>
    <row r="83" spans="2:12" x14ac:dyDescent="0.2">
      <c r="B83" s="21" t="s">
        <v>64</v>
      </c>
      <c r="C83" s="24"/>
      <c r="D83" s="7"/>
      <c r="E83" s="119">
        <f t="shared" ref="E83:L83" si="28">((E36+E40)+E42)/((E10+E15)*E6)</f>
        <v>0.57482723577235773</v>
      </c>
      <c r="F83" s="119">
        <f t="shared" si="28"/>
        <v>0.58345242721979629</v>
      </c>
      <c r="G83" s="119">
        <f t="shared" si="28"/>
        <v>0.59283106989089729</v>
      </c>
      <c r="H83" s="119">
        <f t="shared" si="28"/>
        <v>0.60295454013491667</v>
      </c>
      <c r="I83" s="119">
        <f t="shared" si="28"/>
        <v>0.61381681360755125</v>
      </c>
      <c r="J83" s="119">
        <f t="shared" si="28"/>
        <v>0.62542215318505734</v>
      </c>
      <c r="K83" s="119">
        <f t="shared" si="28"/>
        <v>0.63775742900467725</v>
      </c>
      <c r="L83" s="120">
        <f t="shared" si="28"/>
        <v>0.65082912576842389</v>
      </c>
    </row>
    <row r="84" spans="2:12" x14ac:dyDescent="0.2">
      <c r="B84" s="21" t="s">
        <v>65</v>
      </c>
      <c r="C84" s="24"/>
      <c r="D84" s="7"/>
      <c r="E84" s="91">
        <f t="shared" ref="E84:L84" si="29">E82-E83</f>
        <v>2.2727337398373986</v>
      </c>
      <c r="F84" s="91">
        <f t="shared" si="29"/>
        <v>2.3080999745269288</v>
      </c>
      <c r="G84" s="91">
        <f t="shared" si="29"/>
        <v>2.3466013287412473</v>
      </c>
      <c r="H84" s="91">
        <f t="shared" si="29"/>
        <v>2.3881996973241058</v>
      </c>
      <c r="I84" s="91">
        <f t="shared" si="29"/>
        <v>2.4328679724125193</v>
      </c>
      <c r="J84" s="91">
        <f t="shared" si="29"/>
        <v>2.4806219151718469</v>
      </c>
      <c r="K84" s="91">
        <f t="shared" si="29"/>
        <v>2.5314052737646047</v>
      </c>
      <c r="L84" s="92">
        <f t="shared" si="29"/>
        <v>2.5852433343788976</v>
      </c>
    </row>
    <row r="85" spans="2:12" x14ac:dyDescent="0.2">
      <c r="B85" s="21"/>
      <c r="C85" s="24"/>
      <c r="D85" s="7"/>
      <c r="E85" s="93"/>
      <c r="F85" s="93"/>
      <c r="G85" s="93"/>
      <c r="H85" s="93"/>
      <c r="I85" s="93"/>
      <c r="J85" s="93"/>
      <c r="K85" s="93"/>
      <c r="L85" s="94"/>
    </row>
    <row r="86" spans="2:12" x14ac:dyDescent="0.2">
      <c r="B86" s="21" t="s">
        <v>66</v>
      </c>
      <c r="C86" s="24"/>
      <c r="D86" s="7"/>
      <c r="E86" s="95">
        <f t="shared" ref="E86:L86" si="30">E80/E84</f>
        <v>52838.587724361671</v>
      </c>
      <c r="F86" s="95">
        <f t="shared" si="30"/>
        <v>53255.201316749037</v>
      </c>
      <c r="G86" s="95">
        <f t="shared" si="30"/>
        <v>53645.145562273327</v>
      </c>
      <c r="H86" s="95">
        <f t="shared" si="30"/>
        <v>54011.701670283568</v>
      </c>
      <c r="I86" s="95">
        <f t="shared" si="30"/>
        <v>54358.012384460024</v>
      </c>
      <c r="J86" s="95">
        <f t="shared" si="30"/>
        <v>53877.217100813767</v>
      </c>
      <c r="K86" s="95">
        <f t="shared" si="30"/>
        <v>54497.97279478058</v>
      </c>
      <c r="L86" s="96">
        <f t="shared" si="30"/>
        <v>55112.521376455807</v>
      </c>
    </row>
    <row r="87" spans="2:12" ht="13.5" thickBot="1" x14ac:dyDescent="0.25">
      <c r="B87" s="22"/>
      <c r="C87" s="25"/>
      <c r="D87" s="8"/>
      <c r="E87" s="97"/>
      <c r="F87" s="97"/>
      <c r="G87" s="97"/>
      <c r="H87" s="97"/>
      <c r="I87" s="97"/>
      <c r="J87" s="97"/>
      <c r="K87" s="97"/>
      <c r="L87" s="98"/>
    </row>
    <row r="88" spans="2:12" ht="13.5" thickBot="1" x14ac:dyDescent="0.25"/>
    <row r="89" spans="2:12" x14ac:dyDescent="0.2">
      <c r="B89" s="19" t="s">
        <v>67</v>
      </c>
      <c r="C89" s="23"/>
      <c r="D89" s="6"/>
      <c r="E89" s="86"/>
      <c r="F89" s="86"/>
      <c r="G89" s="86"/>
      <c r="H89" s="86"/>
      <c r="I89" s="86"/>
      <c r="J89" s="86"/>
      <c r="K89" s="87"/>
    </row>
    <row r="90" spans="2:12" x14ac:dyDescent="0.2">
      <c r="B90" s="21"/>
      <c r="C90" s="24"/>
      <c r="D90" s="7"/>
      <c r="E90" s="88"/>
      <c r="F90" s="88"/>
      <c r="G90" s="88"/>
      <c r="H90" s="88"/>
      <c r="I90" s="88"/>
      <c r="J90" s="88"/>
      <c r="K90" s="89"/>
    </row>
    <row r="91" spans="2:12" x14ac:dyDescent="0.2">
      <c r="B91" s="21" t="s">
        <v>69</v>
      </c>
      <c r="C91" s="24"/>
      <c r="D91" s="7"/>
      <c r="E91" s="88"/>
      <c r="F91" s="88"/>
      <c r="G91" s="88"/>
      <c r="H91" s="88"/>
      <c r="I91" s="88"/>
      <c r="J91" s="88"/>
      <c r="K91" s="89"/>
    </row>
    <row r="92" spans="2:12" x14ac:dyDescent="0.2">
      <c r="B92" s="21" t="s">
        <v>70</v>
      </c>
      <c r="C92" s="24"/>
      <c r="D92" s="7"/>
      <c r="E92" s="88">
        <v>1.1000000000000001</v>
      </c>
      <c r="F92" s="88"/>
      <c r="G92" s="88"/>
      <c r="H92" s="88"/>
      <c r="I92" s="88"/>
      <c r="J92" s="88"/>
      <c r="K92" s="89"/>
    </row>
    <row r="93" spans="2:12" x14ac:dyDescent="0.2">
      <c r="B93" s="21" t="s">
        <v>71</v>
      </c>
      <c r="C93" s="24"/>
      <c r="D93" s="7"/>
      <c r="E93" s="99">
        <v>1.5E-3</v>
      </c>
      <c r="F93" s="88"/>
      <c r="G93" s="88"/>
      <c r="H93" s="88"/>
      <c r="I93" s="88"/>
      <c r="J93" s="88"/>
      <c r="K93" s="89"/>
    </row>
    <row r="94" spans="2:12" x14ac:dyDescent="0.2">
      <c r="B94" s="21" t="s">
        <v>72</v>
      </c>
      <c r="C94" s="24"/>
      <c r="D94" s="7"/>
      <c r="E94" s="99">
        <v>0.12330000000000001</v>
      </c>
      <c r="F94" s="88"/>
      <c r="G94" s="88"/>
      <c r="H94" s="88"/>
      <c r="I94" s="88"/>
      <c r="J94" s="88"/>
      <c r="K94" s="89"/>
    </row>
    <row r="95" spans="2:12" x14ac:dyDescent="0.2">
      <c r="B95" s="21"/>
      <c r="C95" s="24"/>
      <c r="D95" s="7"/>
      <c r="E95" s="88"/>
      <c r="F95" s="88"/>
      <c r="G95" s="88"/>
      <c r="H95" s="88"/>
      <c r="I95" s="88"/>
      <c r="J95" s="88"/>
      <c r="K95" s="89"/>
    </row>
    <row r="96" spans="2:12" x14ac:dyDescent="0.2">
      <c r="B96" s="21" t="s">
        <v>73</v>
      </c>
      <c r="C96" s="24"/>
      <c r="D96" s="7"/>
      <c r="E96" s="99">
        <f>E93+(E92*(E94-E93))</f>
        <v>0.13548000000000002</v>
      </c>
      <c r="F96" s="88"/>
      <c r="G96" s="88"/>
      <c r="H96" s="88"/>
      <c r="I96" s="88"/>
      <c r="J96" s="88"/>
      <c r="K96" s="89"/>
    </row>
    <row r="97" spans="2:11" x14ac:dyDescent="0.2">
      <c r="B97" s="21"/>
      <c r="C97" s="24"/>
      <c r="D97" s="7"/>
      <c r="E97" s="88"/>
      <c r="F97" s="88"/>
      <c r="G97" s="88"/>
      <c r="H97" s="88"/>
      <c r="I97" s="88"/>
      <c r="J97" s="88"/>
      <c r="K97" s="89"/>
    </row>
    <row r="98" spans="2:11" x14ac:dyDescent="0.2">
      <c r="B98" s="28" t="s">
        <v>74</v>
      </c>
      <c r="C98" s="24"/>
      <c r="D98" s="7"/>
      <c r="E98" s="99"/>
      <c r="F98" s="88"/>
      <c r="G98" s="88"/>
      <c r="H98" s="88"/>
      <c r="I98" s="88"/>
      <c r="J98" s="88"/>
      <c r="K98" s="89"/>
    </row>
    <row r="99" spans="2:11" x14ac:dyDescent="0.2">
      <c r="B99" s="21" t="s">
        <v>75</v>
      </c>
      <c r="C99" s="24"/>
      <c r="D99" s="7"/>
      <c r="E99" s="100">
        <v>0.1</v>
      </c>
      <c r="F99" s="88"/>
      <c r="G99" s="88"/>
      <c r="H99" s="88"/>
      <c r="I99" s="88"/>
      <c r="J99" s="88"/>
      <c r="K99" s="89"/>
    </row>
    <row r="100" spans="2:11" x14ac:dyDescent="0.2">
      <c r="B100" s="21"/>
      <c r="C100" s="24"/>
      <c r="D100" s="7"/>
      <c r="E100" s="88"/>
      <c r="F100" s="88"/>
      <c r="G100" s="88"/>
      <c r="H100" s="88"/>
      <c r="I100" s="88"/>
      <c r="J100" s="88"/>
      <c r="K100" s="89"/>
    </row>
    <row r="101" spans="2:11" ht="12.75" customHeight="1" x14ac:dyDescent="0.2">
      <c r="B101" s="21" t="s">
        <v>76</v>
      </c>
      <c r="C101" s="24"/>
      <c r="D101" s="7"/>
      <c r="E101" s="101">
        <f>M49</f>
        <v>0.25</v>
      </c>
      <c r="F101" s="88"/>
      <c r="G101" s="88"/>
      <c r="H101" s="88"/>
      <c r="I101" s="88"/>
      <c r="J101" s="88"/>
      <c r="K101" s="89"/>
    </row>
    <row r="102" spans="2:11" x14ac:dyDescent="0.2">
      <c r="B102" s="21"/>
      <c r="C102" s="24"/>
      <c r="D102" s="7"/>
      <c r="E102" s="88"/>
      <c r="F102" s="88"/>
      <c r="G102" s="88"/>
      <c r="H102" s="88"/>
      <c r="I102" s="88"/>
      <c r="J102" s="88"/>
      <c r="K102" s="89"/>
    </row>
    <row r="103" spans="2:11" x14ac:dyDescent="0.2">
      <c r="B103" s="28" t="s">
        <v>78</v>
      </c>
      <c r="C103" s="24"/>
      <c r="D103" s="7"/>
      <c r="E103" s="88"/>
      <c r="F103" s="88"/>
      <c r="G103" s="88"/>
      <c r="H103" s="88"/>
      <c r="I103" s="88"/>
      <c r="J103" s="88"/>
      <c r="K103" s="89"/>
    </row>
    <row r="104" spans="2:11" x14ac:dyDescent="0.2">
      <c r="B104" s="21" t="s">
        <v>79</v>
      </c>
      <c r="C104" s="24"/>
      <c r="D104" s="7"/>
      <c r="E104" s="74">
        <f>G68</f>
        <v>31837.538442513644</v>
      </c>
      <c r="F104" s="88"/>
      <c r="G104" s="99">
        <f>E104/E106</f>
        <v>0.60975059977603363</v>
      </c>
      <c r="H104" s="121" t="s">
        <v>80</v>
      </c>
      <c r="I104" s="124">
        <v>0.06</v>
      </c>
      <c r="J104" s="122" t="s">
        <v>81</v>
      </c>
      <c r="K104" s="89"/>
    </row>
    <row r="105" spans="2:11" x14ac:dyDescent="0.2">
      <c r="B105" s="21" t="s">
        <v>82</v>
      </c>
      <c r="C105" s="24"/>
      <c r="D105" s="7"/>
      <c r="E105" s="102">
        <f>G69</f>
        <v>20376.495384116173</v>
      </c>
      <c r="F105" s="88"/>
      <c r="G105" s="99">
        <f>E105/E106</f>
        <v>0.39024940022396626</v>
      </c>
      <c r="H105" s="121" t="s">
        <v>80</v>
      </c>
      <c r="I105" s="124">
        <v>0.1</v>
      </c>
      <c r="J105" s="122" t="s">
        <v>81</v>
      </c>
      <c r="K105" s="89"/>
    </row>
    <row r="106" spans="2:11" x14ac:dyDescent="0.2">
      <c r="B106" s="21" t="s">
        <v>83</v>
      </c>
      <c r="C106" s="24"/>
      <c r="D106" s="7"/>
      <c r="E106" s="74">
        <f>SUM(E104:E105)</f>
        <v>52214.03382662982</v>
      </c>
      <c r="F106" s="88"/>
      <c r="G106" s="99">
        <f>E106/E112</f>
        <v>0.75174102885862615</v>
      </c>
      <c r="H106" s="122" t="s">
        <v>84</v>
      </c>
      <c r="I106" s="124">
        <f>(0.06*G104)+(0.1*G105)</f>
        <v>7.5609976008958635E-2</v>
      </c>
      <c r="J106" s="122" t="s">
        <v>85</v>
      </c>
      <c r="K106" s="89"/>
    </row>
    <row r="107" spans="2:11" x14ac:dyDescent="0.2">
      <c r="B107" s="21"/>
      <c r="C107" s="24"/>
      <c r="D107" s="7"/>
      <c r="E107" s="88"/>
      <c r="F107" s="88"/>
      <c r="G107" s="88"/>
      <c r="H107" s="88"/>
      <c r="I107" s="124">
        <f>E106/E112</f>
        <v>0.75174102885862615</v>
      </c>
      <c r="J107" s="130" t="s">
        <v>119</v>
      </c>
      <c r="K107" s="89"/>
    </row>
    <row r="108" spans="2:11" x14ac:dyDescent="0.2">
      <c r="B108" s="28" t="s">
        <v>86</v>
      </c>
      <c r="C108" s="24"/>
      <c r="D108" s="7"/>
      <c r="E108" s="88"/>
      <c r="F108" s="88"/>
      <c r="G108" s="88"/>
      <c r="H108" s="88"/>
      <c r="I108" s="124">
        <f>(I106*I107)*(1-E101)</f>
        <v>4.2629340867712952E-2</v>
      </c>
      <c r="J108" s="88"/>
      <c r="K108" s="89"/>
    </row>
    <row r="109" spans="2:11" x14ac:dyDescent="0.2">
      <c r="B109" s="21" t="s">
        <v>87</v>
      </c>
      <c r="C109" s="24"/>
      <c r="D109" s="7"/>
      <c r="E109" s="103">
        <f>G71</f>
        <v>15000</v>
      </c>
      <c r="F109" s="88"/>
      <c r="G109" s="88"/>
      <c r="H109" s="88"/>
      <c r="I109" s="124">
        <f>(1-I107)*E96</f>
        <v>3.3634125410233334E-2</v>
      </c>
      <c r="J109" s="88"/>
      <c r="K109" s="89"/>
    </row>
    <row r="110" spans="2:11" x14ac:dyDescent="0.2">
      <c r="B110" s="21" t="s">
        <v>58</v>
      </c>
      <c r="C110" s="24"/>
      <c r="D110" s="7"/>
      <c r="E110" s="103">
        <f>G72</f>
        <v>2243.4413173127323</v>
      </c>
      <c r="F110" s="88"/>
      <c r="G110" s="88"/>
      <c r="H110" s="88"/>
      <c r="I110" s="124">
        <f>I109+I108</f>
        <v>7.6263466277946279E-2</v>
      </c>
      <c r="J110" s="88"/>
      <c r="K110" s="89"/>
    </row>
    <row r="111" spans="2:11" x14ac:dyDescent="0.2">
      <c r="B111" s="21"/>
      <c r="C111" s="24"/>
      <c r="D111" s="7"/>
      <c r="E111" s="88"/>
      <c r="F111" s="88"/>
      <c r="G111" s="88"/>
      <c r="H111" s="88"/>
      <c r="I111" s="88"/>
      <c r="J111" s="88"/>
      <c r="K111" s="89"/>
    </row>
    <row r="112" spans="2:11" x14ac:dyDescent="0.2">
      <c r="B112" s="28" t="s">
        <v>88</v>
      </c>
      <c r="C112" s="24"/>
      <c r="D112" s="7"/>
      <c r="E112" s="74">
        <f>SUM(G68:G72)</f>
        <v>69457.475143942545</v>
      </c>
      <c r="F112" s="88"/>
      <c r="G112" s="88"/>
      <c r="H112" s="88"/>
      <c r="I112" s="88"/>
      <c r="J112" s="88"/>
      <c r="K112" s="89"/>
    </row>
    <row r="113" spans="2:13" ht="13.5" thickBot="1" x14ac:dyDescent="0.25">
      <c r="B113" s="21"/>
      <c r="C113" s="24"/>
      <c r="D113" s="7"/>
      <c r="E113" s="88"/>
      <c r="F113" s="88"/>
      <c r="G113" s="88"/>
      <c r="H113" s="88"/>
      <c r="I113" s="88"/>
      <c r="J113" s="88"/>
      <c r="K113" s="89"/>
    </row>
    <row r="114" spans="2:13" ht="13.5" thickBot="1" x14ac:dyDescent="0.25">
      <c r="B114" s="129" t="s">
        <v>118</v>
      </c>
      <c r="C114" s="27"/>
      <c r="D114" s="17"/>
      <c r="E114" s="104">
        <f>I110</f>
        <v>7.6263466277946279E-2</v>
      </c>
      <c r="F114" s="88"/>
      <c r="G114" s="88"/>
      <c r="H114" s="88"/>
      <c r="I114" s="88"/>
      <c r="J114" s="88"/>
      <c r="K114" s="89"/>
    </row>
    <row r="115" spans="2:13" ht="12.75" customHeight="1" thickBot="1" x14ac:dyDescent="0.25"/>
    <row r="116" spans="2:13" x14ac:dyDescent="0.2">
      <c r="B116" s="19" t="s">
        <v>112</v>
      </c>
      <c r="C116" s="23"/>
      <c r="D116" s="6"/>
      <c r="E116" s="86"/>
      <c r="F116" s="86"/>
      <c r="G116" s="86"/>
      <c r="H116" s="86"/>
      <c r="I116" s="86"/>
      <c r="J116" s="86"/>
      <c r="K116" s="86"/>
      <c r="L116" s="87"/>
    </row>
    <row r="117" spans="2:13" x14ac:dyDescent="0.2">
      <c r="B117" s="21" t="s">
        <v>89</v>
      </c>
      <c r="C117" s="24"/>
      <c r="D117" s="7"/>
      <c r="E117" s="88"/>
      <c r="F117" s="88"/>
      <c r="G117" s="88"/>
      <c r="H117" s="88"/>
      <c r="I117" s="88"/>
      <c r="J117" s="88"/>
      <c r="K117" s="88"/>
      <c r="L117" s="89"/>
    </row>
    <row r="118" spans="2:13" x14ac:dyDescent="0.2">
      <c r="B118" s="21"/>
      <c r="C118" s="24" t="s">
        <v>90</v>
      </c>
      <c r="D118" s="7"/>
      <c r="E118" s="74">
        <f t="shared" ref="E118:L118" si="31">E33-SUM(E36:E42)</f>
        <v>4318.5</v>
      </c>
      <c r="F118" s="74">
        <f t="shared" si="31"/>
        <v>15978.174599999998</v>
      </c>
      <c r="G118" s="74">
        <f t="shared" si="31"/>
        <v>29686.037598000024</v>
      </c>
      <c r="H118" s="74">
        <f t="shared" si="31"/>
        <v>45774.398725840001</v>
      </c>
      <c r="I118" s="74">
        <f t="shared" si="31"/>
        <v>64627.287648212601</v>
      </c>
      <c r="J118" s="74">
        <f t="shared" si="31"/>
        <v>86663.548633842729</v>
      </c>
      <c r="K118" s="74">
        <f t="shared" si="31"/>
        <v>112419.22324915748</v>
      </c>
      <c r="L118" s="90">
        <f t="shared" si="31"/>
        <v>142456.10989957448</v>
      </c>
    </row>
    <row r="119" spans="2:13" x14ac:dyDescent="0.2">
      <c r="B119" s="21"/>
      <c r="C119" s="24" t="s">
        <v>91</v>
      </c>
      <c r="D119" s="123"/>
      <c r="E119" s="117">
        <f t="shared" ref="E119:L119" si="32">E45</f>
        <v>7500</v>
      </c>
      <c r="F119" s="117">
        <f t="shared" si="32"/>
        <v>7500</v>
      </c>
      <c r="G119" s="117">
        <f t="shared" si="32"/>
        <v>7500</v>
      </c>
      <c r="H119" s="117">
        <f t="shared" si="32"/>
        <v>7500</v>
      </c>
      <c r="I119" s="117">
        <f t="shared" si="32"/>
        <v>7500</v>
      </c>
      <c r="J119" s="117">
        <f t="shared" si="32"/>
        <v>7500</v>
      </c>
      <c r="K119" s="117">
        <f t="shared" si="32"/>
        <v>7500</v>
      </c>
      <c r="L119" s="118">
        <f t="shared" si="32"/>
        <v>7500</v>
      </c>
    </row>
    <row r="120" spans="2:13" x14ac:dyDescent="0.2">
      <c r="B120" s="21"/>
      <c r="C120" s="24" t="s">
        <v>92</v>
      </c>
      <c r="D120" s="123"/>
      <c r="E120" s="117">
        <f t="shared" ref="E120:L120" si="33">E118-E119</f>
        <v>-3181.5</v>
      </c>
      <c r="F120" s="117">
        <f t="shared" si="33"/>
        <v>8478.1745999999985</v>
      </c>
      <c r="G120" s="117">
        <f t="shared" si="33"/>
        <v>22186.037598000024</v>
      </c>
      <c r="H120" s="117">
        <f t="shared" si="33"/>
        <v>38274.398725840001</v>
      </c>
      <c r="I120" s="117">
        <f t="shared" si="33"/>
        <v>57127.287648212601</v>
      </c>
      <c r="J120" s="117">
        <f t="shared" si="33"/>
        <v>79163.548633842729</v>
      </c>
      <c r="K120" s="117">
        <f t="shared" si="33"/>
        <v>104919.22324915748</v>
      </c>
      <c r="L120" s="118">
        <f t="shared" si="33"/>
        <v>134956.10989957448</v>
      </c>
    </row>
    <row r="121" spans="2:13" x14ac:dyDescent="0.2">
      <c r="B121" s="21"/>
      <c r="C121" s="24" t="s">
        <v>93</v>
      </c>
      <c r="D121" s="123"/>
      <c r="E121" s="117">
        <f t="shared" ref="E121:L121" si="34">IF((E120&lt;0),0,(E120*$M$49))</f>
        <v>0</v>
      </c>
      <c r="F121" s="117">
        <f t="shared" si="34"/>
        <v>2119.5436499999996</v>
      </c>
      <c r="G121" s="117">
        <f t="shared" si="34"/>
        <v>5546.5093995000061</v>
      </c>
      <c r="H121" s="117">
        <f t="shared" si="34"/>
        <v>9568.5996814600003</v>
      </c>
      <c r="I121" s="117">
        <f t="shared" si="34"/>
        <v>14281.82191205315</v>
      </c>
      <c r="J121" s="117">
        <f t="shared" si="34"/>
        <v>19790.887158460682</v>
      </c>
      <c r="K121" s="117">
        <f t="shared" si="34"/>
        <v>26229.805812289371</v>
      </c>
      <c r="L121" s="118">
        <f t="shared" si="34"/>
        <v>33739.027474893621</v>
      </c>
    </row>
    <row r="122" spans="2:13" x14ac:dyDescent="0.2">
      <c r="B122" s="21"/>
      <c r="C122" s="24" t="s">
        <v>94</v>
      </c>
      <c r="D122" s="123"/>
      <c r="E122" s="117">
        <f t="shared" ref="E122:L122" si="35">E119</f>
        <v>7500</v>
      </c>
      <c r="F122" s="117">
        <f t="shared" si="35"/>
        <v>7500</v>
      </c>
      <c r="G122" s="117">
        <f t="shared" si="35"/>
        <v>7500</v>
      </c>
      <c r="H122" s="117">
        <f t="shared" si="35"/>
        <v>7500</v>
      </c>
      <c r="I122" s="117">
        <f t="shared" si="35"/>
        <v>7500</v>
      </c>
      <c r="J122" s="117">
        <f t="shared" si="35"/>
        <v>7500</v>
      </c>
      <c r="K122" s="117">
        <f t="shared" si="35"/>
        <v>7500</v>
      </c>
      <c r="L122" s="118">
        <f t="shared" si="35"/>
        <v>7500</v>
      </c>
    </row>
    <row r="123" spans="2:13" x14ac:dyDescent="0.2">
      <c r="B123" s="21"/>
      <c r="C123" s="24" t="s">
        <v>89</v>
      </c>
      <c r="D123" s="123"/>
      <c r="E123" s="117">
        <f t="shared" ref="E123:L123" si="36">(E120-E121)+E122</f>
        <v>4318.5</v>
      </c>
      <c r="F123" s="117">
        <f t="shared" si="36"/>
        <v>13858.630949999999</v>
      </c>
      <c r="G123" s="117">
        <f t="shared" si="36"/>
        <v>24139.528198500018</v>
      </c>
      <c r="H123" s="117">
        <f t="shared" si="36"/>
        <v>36205.799044380001</v>
      </c>
      <c r="I123" s="117">
        <f t="shared" si="36"/>
        <v>50345.465736159451</v>
      </c>
      <c r="J123" s="117">
        <f t="shared" si="36"/>
        <v>66872.661475382047</v>
      </c>
      <c r="K123" s="117">
        <f t="shared" si="36"/>
        <v>86189.417436868112</v>
      </c>
      <c r="L123" s="118">
        <f t="shared" si="36"/>
        <v>108717.08242468086</v>
      </c>
    </row>
    <row r="124" spans="2:13" ht="12.75" customHeight="1" x14ac:dyDescent="0.2">
      <c r="B124" s="21"/>
      <c r="C124" s="24"/>
      <c r="D124" s="123"/>
      <c r="E124" s="117"/>
      <c r="F124" s="117"/>
      <c r="G124" s="117"/>
      <c r="H124" s="117"/>
      <c r="I124" s="117"/>
      <c r="J124" s="117"/>
      <c r="K124" s="117"/>
      <c r="L124" s="118"/>
    </row>
    <row r="125" spans="2:13" x14ac:dyDescent="0.2">
      <c r="B125" s="21" t="s">
        <v>95</v>
      </c>
      <c r="C125" s="24"/>
      <c r="D125" s="123"/>
      <c r="E125" s="117"/>
      <c r="F125" s="117"/>
      <c r="G125" s="117"/>
      <c r="H125" s="117"/>
      <c r="I125" s="117"/>
      <c r="J125" s="117"/>
      <c r="K125" s="117"/>
      <c r="L125" s="118"/>
    </row>
    <row r="126" spans="2:13" x14ac:dyDescent="0.2">
      <c r="B126" s="21"/>
      <c r="C126" s="24" t="s">
        <v>96</v>
      </c>
      <c r="D126" s="123">
        <v>-75000</v>
      </c>
      <c r="E126" s="117"/>
      <c r="F126" s="117"/>
      <c r="G126" s="117"/>
      <c r="H126" s="117"/>
      <c r="I126" s="117"/>
      <c r="J126" s="117"/>
      <c r="K126" s="117"/>
      <c r="L126" s="118"/>
    </row>
    <row r="127" spans="2:13" x14ac:dyDescent="0.2">
      <c r="B127" s="21"/>
      <c r="C127" s="24" t="s">
        <v>97</v>
      </c>
      <c r="D127" s="123"/>
      <c r="E127" s="117"/>
      <c r="F127" s="117"/>
      <c r="G127" s="117"/>
      <c r="H127" s="117"/>
      <c r="I127" s="117"/>
      <c r="J127" s="117"/>
      <c r="K127" s="117"/>
      <c r="L127" s="118">
        <f>15000</f>
        <v>15000</v>
      </c>
      <c r="M127" s="14" t="s">
        <v>98</v>
      </c>
    </row>
    <row r="128" spans="2:13" x14ac:dyDescent="0.2">
      <c r="B128" s="21"/>
      <c r="C128" s="24" t="s">
        <v>99</v>
      </c>
      <c r="D128" s="123"/>
      <c r="E128" s="117"/>
      <c r="F128" s="117"/>
      <c r="G128" s="117"/>
      <c r="H128" s="117"/>
      <c r="I128" s="117"/>
      <c r="J128" s="117"/>
      <c r="K128" s="117"/>
      <c r="L128" s="118">
        <v>0</v>
      </c>
    </row>
    <row r="129" spans="2:12" ht="12.75" customHeight="1" x14ac:dyDescent="0.2">
      <c r="B129" s="21"/>
      <c r="C129" s="24"/>
      <c r="D129" s="123"/>
      <c r="E129" s="117"/>
      <c r="F129" s="117"/>
      <c r="G129" s="117"/>
      <c r="H129" s="117"/>
      <c r="I129" s="117"/>
      <c r="J129" s="117"/>
      <c r="K129" s="117"/>
      <c r="L129" s="118"/>
    </row>
    <row r="130" spans="2:12" x14ac:dyDescent="0.2">
      <c r="B130" s="21" t="s">
        <v>100</v>
      </c>
      <c r="C130" s="24"/>
      <c r="D130" s="123"/>
      <c r="E130" s="117"/>
      <c r="F130" s="117"/>
      <c r="G130" s="117"/>
      <c r="H130" s="117"/>
      <c r="I130" s="117"/>
      <c r="J130" s="117"/>
      <c r="K130" s="117"/>
      <c r="L130" s="118"/>
    </row>
    <row r="131" spans="2:12" x14ac:dyDescent="0.2">
      <c r="B131" s="21"/>
      <c r="C131" s="24" t="s">
        <v>47</v>
      </c>
      <c r="D131" s="123"/>
      <c r="E131" s="117">
        <f t="shared" ref="E131:L131" si="37">-E56</f>
        <v>0</v>
      </c>
      <c r="F131" s="117">
        <f t="shared" si="37"/>
        <v>0</v>
      </c>
      <c r="G131" s="117">
        <f t="shared" si="37"/>
        <v>0</v>
      </c>
      <c r="H131" s="117">
        <f t="shared" si="37"/>
        <v>0</v>
      </c>
      <c r="I131" s="117">
        <f t="shared" si="37"/>
        <v>0</v>
      </c>
      <c r="J131" s="117">
        <f t="shared" si="37"/>
        <v>0</v>
      </c>
      <c r="K131" s="117">
        <f t="shared" si="37"/>
        <v>0</v>
      </c>
      <c r="L131" s="118">
        <f t="shared" si="37"/>
        <v>0</v>
      </c>
    </row>
    <row r="132" spans="2:12" x14ac:dyDescent="0.2">
      <c r="B132" s="21"/>
      <c r="C132" s="24" t="s">
        <v>48</v>
      </c>
      <c r="D132" s="123"/>
      <c r="E132" s="117">
        <f>-E57</f>
        <v>-33287.67123287671</v>
      </c>
      <c r="F132" s="117">
        <f t="shared" ref="F132:L132" si="38">E57-F57</f>
        <v>-1664.3835616438373</v>
      </c>
      <c r="G132" s="117">
        <f t="shared" si="38"/>
        <v>-1747.6027397260259</v>
      </c>
      <c r="H132" s="117">
        <f t="shared" si="38"/>
        <v>-1834.9828767123327</v>
      </c>
      <c r="I132" s="117">
        <f t="shared" si="38"/>
        <v>-1926.7320205479555</v>
      </c>
      <c r="J132" s="117">
        <f t="shared" si="38"/>
        <v>-2023.0686215753449</v>
      </c>
      <c r="K132" s="117">
        <f t="shared" si="38"/>
        <v>-2124.2220526541059</v>
      </c>
      <c r="L132" s="118">
        <f t="shared" si="38"/>
        <v>-2230.4331552868098</v>
      </c>
    </row>
    <row r="133" spans="2:12" x14ac:dyDescent="0.2">
      <c r="B133" s="21"/>
      <c r="C133" s="24" t="s">
        <v>53</v>
      </c>
      <c r="D133" s="123"/>
      <c r="E133" s="117">
        <f>E64</f>
        <v>5547.9452054794519</v>
      </c>
      <c r="F133" s="117">
        <f t="shared" ref="F133:L135" si="39">F64-E64</f>
        <v>277.39726027397228</v>
      </c>
      <c r="G133" s="117">
        <f t="shared" si="39"/>
        <v>291.26712328767189</v>
      </c>
      <c r="H133" s="117">
        <f t="shared" si="39"/>
        <v>305.83047945205453</v>
      </c>
      <c r="I133" s="117">
        <f t="shared" si="39"/>
        <v>321.12200342465894</v>
      </c>
      <c r="J133" s="117">
        <f t="shared" si="39"/>
        <v>337.17810359589112</v>
      </c>
      <c r="K133" s="117">
        <f t="shared" si="39"/>
        <v>354.03700877568463</v>
      </c>
      <c r="L133" s="118">
        <f t="shared" si="39"/>
        <v>371.7388592144689</v>
      </c>
    </row>
    <row r="134" spans="2:12" x14ac:dyDescent="0.2">
      <c r="B134" s="21"/>
      <c r="C134" s="24" t="s">
        <v>20</v>
      </c>
      <c r="D134" s="123"/>
      <c r="E134" s="117">
        <f>E65</f>
        <v>8406</v>
      </c>
      <c r="F134" s="117">
        <f t="shared" si="39"/>
        <v>1129.1831999999995</v>
      </c>
      <c r="G134" s="117">
        <f t="shared" si="39"/>
        <v>1295.4494159999995</v>
      </c>
      <c r="H134" s="117">
        <f t="shared" si="39"/>
        <v>1487.2396492800017</v>
      </c>
      <c r="I134" s="117">
        <f t="shared" si="39"/>
        <v>1708.4551525991992</v>
      </c>
      <c r="J134" s="117">
        <f t="shared" si="39"/>
        <v>1961.7238195811296</v>
      </c>
      <c r="K134" s="117">
        <f t="shared" si="39"/>
        <v>2255.8676935715939</v>
      </c>
      <c r="L134" s="118">
        <f t="shared" si="39"/>
        <v>2592.8280326106651</v>
      </c>
    </row>
    <row r="135" spans="2:12" x14ac:dyDescent="0.2">
      <c r="B135" s="21"/>
      <c r="C135" s="24" t="s">
        <v>54</v>
      </c>
      <c r="D135" s="123"/>
      <c r="E135" s="117">
        <f>E66</f>
        <v>0</v>
      </c>
      <c r="F135" s="117">
        <f t="shared" si="39"/>
        <v>223.88194934627245</v>
      </c>
      <c r="G135" s="117">
        <f t="shared" si="39"/>
        <v>4071.0582359166801</v>
      </c>
      <c r="H135" s="117">
        <f t="shared" si="39"/>
        <v>4435.8989759642718</v>
      </c>
      <c r="I135" s="117">
        <f t="shared" si="39"/>
        <v>4876.1838760369646</v>
      </c>
      <c r="J135" s="117">
        <f t="shared" si="39"/>
        <v>6183.8641211964932</v>
      </c>
      <c r="K135" s="117">
        <f t="shared" si="39"/>
        <v>6438.9186538286885</v>
      </c>
      <c r="L135" s="118">
        <f t="shared" si="39"/>
        <v>7509.22166260425</v>
      </c>
    </row>
    <row r="136" spans="2:12" ht="12.75" customHeight="1" x14ac:dyDescent="0.2">
      <c r="B136" s="21"/>
      <c r="C136" s="24"/>
      <c r="D136" s="123"/>
      <c r="E136" s="117"/>
      <c r="F136" s="117"/>
      <c r="G136" s="117"/>
      <c r="H136" s="117"/>
      <c r="I136" s="117"/>
      <c r="J136" s="117"/>
      <c r="K136" s="117"/>
      <c r="L136" s="118"/>
    </row>
    <row r="137" spans="2:12" x14ac:dyDescent="0.2">
      <c r="B137" s="21" t="s">
        <v>101</v>
      </c>
      <c r="C137" s="24"/>
      <c r="D137" s="123"/>
      <c r="E137" s="117"/>
      <c r="F137" s="117"/>
      <c r="G137" s="117"/>
      <c r="H137" s="117"/>
      <c r="I137" s="117"/>
      <c r="J137" s="117"/>
      <c r="K137" s="117"/>
      <c r="L137" s="118"/>
    </row>
    <row r="138" spans="2:12" x14ac:dyDescent="0.2">
      <c r="B138" s="21"/>
      <c r="C138" s="24" t="s">
        <v>47</v>
      </c>
      <c r="D138" s="123"/>
      <c r="E138" s="117"/>
      <c r="F138" s="117"/>
      <c r="G138" s="117"/>
      <c r="H138" s="117"/>
      <c r="I138" s="117"/>
      <c r="J138" s="117"/>
      <c r="K138" s="117"/>
      <c r="L138" s="118">
        <f>L56</f>
        <v>0</v>
      </c>
    </row>
    <row r="139" spans="2:12" x14ac:dyDescent="0.2">
      <c r="B139" s="21"/>
      <c r="C139" s="24" t="s">
        <v>48</v>
      </c>
      <c r="D139" s="123"/>
      <c r="E139" s="117"/>
      <c r="F139" s="117"/>
      <c r="G139" s="117"/>
      <c r="H139" s="117"/>
      <c r="I139" s="117"/>
      <c r="J139" s="117"/>
      <c r="K139" s="117"/>
      <c r="L139" s="118">
        <f>L57</f>
        <v>46839.096261023122</v>
      </c>
    </row>
    <row r="140" spans="2:12" x14ac:dyDescent="0.2">
      <c r="B140" s="21"/>
      <c r="C140" s="24" t="s">
        <v>102</v>
      </c>
      <c r="D140" s="123"/>
      <c r="E140" s="117"/>
      <c r="F140" s="117"/>
      <c r="G140" s="117"/>
      <c r="H140" s="117"/>
      <c r="I140" s="117"/>
      <c r="J140" s="117"/>
      <c r="K140" s="117"/>
      <c r="L140" s="118">
        <f>-L64</f>
        <v>-7806.5160435038542</v>
      </c>
    </row>
    <row r="141" spans="2:12" x14ac:dyDescent="0.2">
      <c r="B141" s="21"/>
      <c r="C141" s="24" t="s">
        <v>20</v>
      </c>
      <c r="D141" s="123"/>
      <c r="E141" s="117"/>
      <c r="F141" s="117"/>
      <c r="G141" s="117"/>
      <c r="H141" s="117"/>
      <c r="I141" s="117"/>
      <c r="J141" s="117"/>
      <c r="K141" s="117"/>
      <c r="L141" s="118">
        <f>-L65</f>
        <v>-20836.746963642589</v>
      </c>
    </row>
    <row r="142" spans="2:12" x14ac:dyDescent="0.2">
      <c r="B142" s="21"/>
      <c r="C142" s="24" t="s">
        <v>103</v>
      </c>
      <c r="D142" s="123"/>
      <c r="E142" s="117"/>
      <c r="F142" s="117"/>
      <c r="G142" s="117"/>
      <c r="H142" s="117"/>
      <c r="I142" s="117"/>
      <c r="J142" s="117"/>
      <c r="K142" s="117"/>
      <c r="L142" s="118">
        <f>-L66</f>
        <v>-33739.027474893621</v>
      </c>
    </row>
    <row r="143" spans="2:12" ht="12.75" customHeight="1" x14ac:dyDescent="0.2">
      <c r="B143" s="21"/>
      <c r="C143" s="24"/>
      <c r="D143" s="7"/>
      <c r="E143" s="88"/>
      <c r="F143" s="88"/>
      <c r="G143" s="88"/>
      <c r="H143" s="88"/>
      <c r="I143" s="88"/>
      <c r="J143" s="88"/>
      <c r="K143" s="88"/>
      <c r="L143" s="89"/>
    </row>
    <row r="144" spans="2:12" x14ac:dyDescent="0.2">
      <c r="B144" s="21"/>
      <c r="C144" s="24"/>
      <c r="D144" s="7">
        <v>0</v>
      </c>
      <c r="E144" s="88">
        <v>1</v>
      </c>
      <c r="F144" s="88">
        <v>2</v>
      </c>
      <c r="G144" s="88">
        <v>3</v>
      </c>
      <c r="H144" s="88">
        <v>4</v>
      </c>
      <c r="I144" s="88">
        <v>5</v>
      </c>
      <c r="J144" s="88">
        <v>6</v>
      </c>
      <c r="K144" s="88">
        <v>7</v>
      </c>
      <c r="L144" s="89">
        <v>8</v>
      </c>
    </row>
    <row r="145" spans="2:13" x14ac:dyDescent="0.2">
      <c r="B145" s="21" t="s">
        <v>104</v>
      </c>
      <c r="C145" s="24"/>
      <c r="D145" s="13">
        <f t="shared" ref="D145:L145" si="40">SUM(D123:D142)</f>
        <v>-75000</v>
      </c>
      <c r="E145" s="74">
        <f t="shared" si="40"/>
        <v>-15015.226027397257</v>
      </c>
      <c r="F145" s="74">
        <f t="shared" si="40"/>
        <v>13824.709797976406</v>
      </c>
      <c r="G145" s="74">
        <f t="shared" si="40"/>
        <v>28049.700233978343</v>
      </c>
      <c r="H145" s="74">
        <f t="shared" si="40"/>
        <v>40599.785272363995</v>
      </c>
      <c r="I145" s="74">
        <f t="shared" si="40"/>
        <v>55324.494747672317</v>
      </c>
      <c r="J145" s="74">
        <f t="shared" si="40"/>
        <v>73332.358898180217</v>
      </c>
      <c r="K145" s="74">
        <f t="shared" si="40"/>
        <v>93114.018740389976</v>
      </c>
      <c r="L145" s="90">
        <f t="shared" si="40"/>
        <v>116417.24360280648</v>
      </c>
      <c r="M145" s="127">
        <f>L145*(1+C146)/(E114-C146)</f>
        <v>2110527.4226840092</v>
      </c>
    </row>
    <row r="146" spans="2:13" x14ac:dyDescent="0.2">
      <c r="B146" s="30" t="s">
        <v>109</v>
      </c>
      <c r="C146" s="31">
        <v>0.02</v>
      </c>
      <c r="D146" s="13"/>
      <c r="E146" s="74"/>
      <c r="F146" s="102" t="s">
        <v>108</v>
      </c>
      <c r="G146" s="74"/>
      <c r="H146" s="74"/>
      <c r="I146" s="74"/>
      <c r="J146" s="74"/>
      <c r="K146" s="74"/>
      <c r="L146" s="89"/>
    </row>
    <row r="147" spans="2:13" x14ac:dyDescent="0.2">
      <c r="B147" s="21" t="s">
        <v>105</v>
      </c>
      <c r="C147" s="24"/>
      <c r="D147" s="13">
        <f t="shared" ref="D147:K147" si="41">-PV($E$114,D144,,D145)</f>
        <v>-75000</v>
      </c>
      <c r="E147" s="74">
        <f t="shared" si="41"/>
        <v>-13951.254964850361</v>
      </c>
      <c r="F147" s="74">
        <f t="shared" si="41"/>
        <v>11934.901160554944</v>
      </c>
      <c r="G147" s="74">
        <f t="shared" si="41"/>
        <v>22499.477311894305</v>
      </c>
      <c r="H147" s="74">
        <f t="shared" si="41"/>
        <v>30258.635721284325</v>
      </c>
      <c r="I147" s="74">
        <f t="shared" si="41"/>
        <v>38311.086112640012</v>
      </c>
      <c r="J147" s="74">
        <f t="shared" si="41"/>
        <v>47182.838549714201</v>
      </c>
      <c r="K147" s="74">
        <f t="shared" si="41"/>
        <v>55665.342044741585</v>
      </c>
      <c r="L147" s="90">
        <f>-PV($E$114,L144,,L145+M145)</f>
        <v>1236974.19222469</v>
      </c>
    </row>
    <row r="148" spans="2:13" ht="12.75" customHeight="1" thickBot="1" x14ac:dyDescent="0.25">
      <c r="B148" s="21"/>
      <c r="C148" s="24"/>
      <c r="D148" s="7"/>
      <c r="E148" s="88"/>
      <c r="F148" s="88"/>
      <c r="G148" s="88"/>
      <c r="H148" s="88"/>
      <c r="I148" s="88"/>
      <c r="J148" s="88"/>
      <c r="K148" s="88"/>
      <c r="L148" s="89"/>
    </row>
    <row r="149" spans="2:13" ht="13.5" thickBot="1" x14ac:dyDescent="0.25">
      <c r="B149" s="26" t="s">
        <v>106</v>
      </c>
      <c r="C149" s="27"/>
      <c r="D149" s="29">
        <f>SUM(D147:L147)</f>
        <v>1353875.2181606691</v>
      </c>
      <c r="E149" s="88"/>
      <c r="F149" s="88"/>
      <c r="G149" s="88"/>
      <c r="H149" s="88"/>
      <c r="I149" s="88"/>
      <c r="J149" s="88"/>
      <c r="K149" s="88"/>
      <c r="L149" s="89"/>
    </row>
    <row r="150" spans="2:13" ht="12.75" customHeight="1" thickBot="1" x14ac:dyDescent="0.25">
      <c r="B150" s="21"/>
      <c r="C150" s="24"/>
      <c r="D150" s="7"/>
      <c r="E150" s="88"/>
      <c r="F150" s="88"/>
      <c r="G150" s="88"/>
      <c r="H150" s="88"/>
      <c r="I150" s="88"/>
      <c r="J150" s="88"/>
      <c r="K150" s="88"/>
      <c r="L150" s="89"/>
    </row>
    <row r="151" spans="2:13" ht="13.5" thickBot="1" x14ac:dyDescent="0.25">
      <c r="B151" s="26" t="s">
        <v>107</v>
      </c>
      <c r="C151" s="27"/>
      <c r="D151" s="16">
        <f>IRR(D145:M145)</f>
        <v>0.53837771319141092</v>
      </c>
      <c r="E151" s="105"/>
      <c r="F151" s="105"/>
      <c r="G151" s="105"/>
      <c r="H151" s="105"/>
      <c r="I151" s="105"/>
      <c r="J151" s="105"/>
      <c r="K151" s="105"/>
      <c r="L151" s="106"/>
    </row>
    <row r="152" spans="2:13" ht="12.75" customHeight="1" thickBot="1" x14ac:dyDescent="0.25"/>
    <row r="153" spans="2:13" ht="12.75" customHeight="1" x14ac:dyDescent="0.2">
      <c r="H153" s="37" t="s">
        <v>111</v>
      </c>
      <c r="I153" s="9"/>
      <c r="J153" s="9"/>
      <c r="K153" s="107"/>
      <c r="L153" s="108"/>
    </row>
    <row r="154" spans="2:13" ht="12.75" customHeight="1" x14ac:dyDescent="0.2">
      <c r="H154" s="11">
        <v>1</v>
      </c>
      <c r="I154" s="10">
        <f t="shared" ref="I154:L165" si="42">H154+12</f>
        <v>13</v>
      </c>
      <c r="J154" s="10">
        <f t="shared" si="42"/>
        <v>25</v>
      </c>
      <c r="K154" s="109">
        <f t="shared" si="42"/>
        <v>37</v>
      </c>
      <c r="L154" s="110">
        <f t="shared" si="42"/>
        <v>49</v>
      </c>
    </row>
    <row r="155" spans="2:13" ht="12.75" customHeight="1" x14ac:dyDescent="0.2">
      <c r="H155" s="11">
        <v>2</v>
      </c>
      <c r="I155" s="10">
        <f t="shared" si="42"/>
        <v>14</v>
      </c>
      <c r="J155" s="10">
        <f t="shared" si="42"/>
        <v>26</v>
      </c>
      <c r="K155" s="109">
        <f t="shared" si="42"/>
        <v>38</v>
      </c>
      <c r="L155" s="110">
        <f t="shared" si="42"/>
        <v>50</v>
      </c>
    </row>
    <row r="156" spans="2:13" ht="12.75" customHeight="1" x14ac:dyDescent="0.2">
      <c r="H156" s="11">
        <v>3</v>
      </c>
      <c r="I156" s="10">
        <f t="shared" si="42"/>
        <v>15</v>
      </c>
      <c r="J156" s="10">
        <f t="shared" si="42"/>
        <v>27</v>
      </c>
      <c r="K156" s="109">
        <f t="shared" si="42"/>
        <v>39</v>
      </c>
      <c r="L156" s="110">
        <f t="shared" si="42"/>
        <v>51</v>
      </c>
    </row>
    <row r="157" spans="2:13" ht="12.75" customHeight="1" x14ac:dyDescent="0.2">
      <c r="H157" s="11">
        <v>4</v>
      </c>
      <c r="I157" s="10">
        <f t="shared" si="42"/>
        <v>16</v>
      </c>
      <c r="J157" s="10">
        <f t="shared" si="42"/>
        <v>28</v>
      </c>
      <c r="K157" s="109">
        <f t="shared" si="42"/>
        <v>40</v>
      </c>
      <c r="L157" s="110">
        <f t="shared" si="42"/>
        <v>52</v>
      </c>
    </row>
    <row r="158" spans="2:13" ht="12.75" customHeight="1" x14ac:dyDescent="0.2">
      <c r="H158" s="11">
        <v>5</v>
      </c>
      <c r="I158" s="10">
        <f t="shared" si="42"/>
        <v>17</v>
      </c>
      <c r="J158" s="10">
        <f t="shared" si="42"/>
        <v>29</v>
      </c>
      <c r="K158" s="109">
        <f t="shared" si="42"/>
        <v>41</v>
      </c>
      <c r="L158" s="110">
        <f t="shared" si="42"/>
        <v>53</v>
      </c>
    </row>
    <row r="159" spans="2:13" ht="12.75" customHeight="1" x14ac:dyDescent="0.2">
      <c r="H159" s="11">
        <v>6</v>
      </c>
      <c r="I159" s="10">
        <f t="shared" si="42"/>
        <v>18</v>
      </c>
      <c r="J159" s="10">
        <f t="shared" si="42"/>
        <v>30</v>
      </c>
      <c r="K159" s="109">
        <f t="shared" si="42"/>
        <v>42</v>
      </c>
      <c r="L159" s="110">
        <f t="shared" si="42"/>
        <v>54</v>
      </c>
    </row>
    <row r="160" spans="2:13" ht="12.75" customHeight="1" x14ac:dyDescent="0.2">
      <c r="H160" s="11">
        <v>7</v>
      </c>
      <c r="I160" s="10">
        <f t="shared" si="42"/>
        <v>19</v>
      </c>
      <c r="J160" s="10">
        <f t="shared" si="42"/>
        <v>31</v>
      </c>
      <c r="K160" s="109">
        <f t="shared" si="42"/>
        <v>43</v>
      </c>
      <c r="L160" s="110">
        <f t="shared" si="42"/>
        <v>55</v>
      </c>
    </row>
    <row r="161" spans="8:12" ht="12.75" customHeight="1" x14ac:dyDescent="0.2">
      <c r="H161" s="11">
        <v>8</v>
      </c>
      <c r="I161" s="10">
        <f t="shared" si="42"/>
        <v>20</v>
      </c>
      <c r="J161" s="10">
        <f t="shared" si="42"/>
        <v>32</v>
      </c>
      <c r="K161" s="109">
        <f t="shared" si="42"/>
        <v>44</v>
      </c>
      <c r="L161" s="110">
        <f t="shared" si="42"/>
        <v>56</v>
      </c>
    </row>
    <row r="162" spans="8:12" ht="12.75" customHeight="1" x14ac:dyDescent="0.2">
      <c r="H162" s="11">
        <v>9</v>
      </c>
      <c r="I162" s="10">
        <f t="shared" si="42"/>
        <v>21</v>
      </c>
      <c r="J162" s="10">
        <f t="shared" si="42"/>
        <v>33</v>
      </c>
      <c r="K162" s="109">
        <f t="shared" si="42"/>
        <v>45</v>
      </c>
      <c r="L162" s="110">
        <f t="shared" si="42"/>
        <v>57</v>
      </c>
    </row>
    <row r="163" spans="8:12" ht="12.75" customHeight="1" x14ac:dyDescent="0.2">
      <c r="H163" s="11">
        <v>10</v>
      </c>
      <c r="I163" s="10">
        <f t="shared" si="42"/>
        <v>22</v>
      </c>
      <c r="J163" s="10">
        <f t="shared" si="42"/>
        <v>34</v>
      </c>
      <c r="K163" s="109">
        <f t="shared" si="42"/>
        <v>46</v>
      </c>
      <c r="L163" s="110">
        <f t="shared" si="42"/>
        <v>58</v>
      </c>
    </row>
    <row r="164" spans="8:12" ht="12.75" customHeight="1" x14ac:dyDescent="0.2">
      <c r="H164" s="11">
        <v>11</v>
      </c>
      <c r="I164" s="10">
        <f t="shared" si="42"/>
        <v>23</v>
      </c>
      <c r="J164" s="10">
        <f t="shared" si="42"/>
        <v>35</v>
      </c>
      <c r="K164" s="109">
        <f t="shared" si="42"/>
        <v>47</v>
      </c>
      <c r="L164" s="110">
        <f t="shared" si="42"/>
        <v>59</v>
      </c>
    </row>
    <row r="165" spans="8:12" ht="12.75" customHeight="1" x14ac:dyDescent="0.2">
      <c r="H165" s="11">
        <v>12</v>
      </c>
      <c r="I165" s="10">
        <f t="shared" si="42"/>
        <v>24</v>
      </c>
      <c r="J165" s="10">
        <f t="shared" si="42"/>
        <v>36</v>
      </c>
      <c r="K165" s="109">
        <f t="shared" si="42"/>
        <v>48</v>
      </c>
      <c r="L165" s="110">
        <f t="shared" si="42"/>
        <v>60</v>
      </c>
    </row>
    <row r="166" spans="8:12" ht="12.75" customHeight="1" x14ac:dyDescent="0.2">
      <c r="H166" s="20" t="s">
        <v>68</v>
      </c>
      <c r="I166" s="10"/>
      <c r="J166" s="10"/>
      <c r="K166" s="109"/>
      <c r="L166" s="110"/>
    </row>
    <row r="167" spans="8:12" ht="12.75" customHeight="1" x14ac:dyDescent="0.2">
      <c r="H167" s="38">
        <f t="shared" ref="H167:L172" si="43">-PPMT((0.06/12),H154,60,60000)</f>
        <v>859.9680917656749</v>
      </c>
      <c r="I167" s="36">
        <f t="shared" si="43"/>
        <v>913.00904193907093</v>
      </c>
      <c r="J167" s="36">
        <f t="shared" si="43"/>
        <v>969.32144185837581</v>
      </c>
      <c r="K167" s="111">
        <f t="shared" si="43"/>
        <v>1029.1070673855422</v>
      </c>
      <c r="L167" s="112">
        <f t="shared" si="43"/>
        <v>1092.5801394761745</v>
      </c>
    </row>
    <row r="168" spans="8:12" ht="12.75" customHeight="1" x14ac:dyDescent="0.2">
      <c r="H168" s="38">
        <f t="shared" si="43"/>
        <v>864.26793222450317</v>
      </c>
      <c r="I168" s="36">
        <f t="shared" si="43"/>
        <v>917.57408714876613</v>
      </c>
      <c r="J168" s="36">
        <f t="shared" si="43"/>
        <v>974.16804906766777</v>
      </c>
      <c r="K168" s="111">
        <f t="shared" si="43"/>
        <v>1034.2526027224699</v>
      </c>
      <c r="L168" s="112">
        <f t="shared" si="43"/>
        <v>1098.0430401735555</v>
      </c>
    </row>
    <row r="169" spans="8:12" ht="12.75" customHeight="1" x14ac:dyDescent="0.2">
      <c r="H169" s="38">
        <f t="shared" si="43"/>
        <v>868.58927188562564</v>
      </c>
      <c r="I169" s="36">
        <f t="shared" si="43"/>
        <v>922.16195758450999</v>
      </c>
      <c r="J169" s="36">
        <f t="shared" si="43"/>
        <v>979.03888931300605</v>
      </c>
      <c r="K169" s="111">
        <f t="shared" si="43"/>
        <v>1039.4238657360825</v>
      </c>
      <c r="L169" s="112">
        <f t="shared" si="43"/>
        <v>1103.5332553744231</v>
      </c>
    </row>
    <row r="170" spans="8:12" ht="12.75" customHeight="1" x14ac:dyDescent="0.2">
      <c r="H170" s="38">
        <f t="shared" si="43"/>
        <v>872.93221824505383</v>
      </c>
      <c r="I170" s="36">
        <f t="shared" si="43"/>
        <v>926.77276737243255</v>
      </c>
      <c r="J170" s="36">
        <f t="shared" si="43"/>
        <v>983.93408375957108</v>
      </c>
      <c r="K170" s="111">
        <f t="shared" si="43"/>
        <v>1044.6209850647626</v>
      </c>
      <c r="L170" s="112">
        <f t="shared" si="43"/>
        <v>1109.0509216512953</v>
      </c>
    </row>
    <row r="171" spans="8:12" ht="12.75" customHeight="1" x14ac:dyDescent="0.2">
      <c r="H171" s="38">
        <f t="shared" si="43"/>
        <v>877.29687933627906</v>
      </c>
      <c r="I171" s="36">
        <f t="shared" si="43"/>
        <v>931.40663120929469</v>
      </c>
      <c r="J171" s="36">
        <f t="shared" si="43"/>
        <v>988.85375417836906</v>
      </c>
      <c r="K171" s="111">
        <f t="shared" si="43"/>
        <v>1049.8440899900866</v>
      </c>
      <c r="L171" s="112">
        <f t="shared" si="43"/>
        <v>1114.5961762595518</v>
      </c>
    </row>
    <row r="172" spans="8:12" ht="12.75" customHeight="1" x14ac:dyDescent="0.2">
      <c r="H172" s="38">
        <f t="shared" si="43"/>
        <v>881.68336373296063</v>
      </c>
      <c r="I172" s="36">
        <f t="shared" si="43"/>
        <v>936.06366436534108</v>
      </c>
      <c r="J172" s="36">
        <f t="shared" si="43"/>
        <v>993.79802294926083</v>
      </c>
      <c r="K172" s="111">
        <f t="shared" si="43"/>
        <v>1055.0933104400369</v>
      </c>
      <c r="L172" s="112">
        <f t="shared" si="43"/>
        <v>1120.1691571408496</v>
      </c>
    </row>
    <row r="173" spans="8:12" ht="12.75" customHeight="1" x14ac:dyDescent="0.2">
      <c r="H173" s="38">
        <f t="shared" ref="H173:L176" si="44">-PPMT((0.06/12),H162,60,60000)</f>
        <v>894.97485065165529</v>
      </c>
      <c r="I173" s="36">
        <f t="shared" si="44"/>
        <v>950.17494111360679</v>
      </c>
      <c r="J173" s="36">
        <f t="shared" si="44"/>
        <v>1008.7796523699737</v>
      </c>
      <c r="K173" s="111">
        <f t="shared" si="44"/>
        <v>1070.9989739815842</v>
      </c>
      <c r="L173" s="112">
        <f t="shared" si="44"/>
        <v>1137.0558472058926</v>
      </c>
    </row>
    <row r="174" spans="8:12" ht="12.75" customHeight="1" x14ac:dyDescent="0.2">
      <c r="H174" s="38">
        <f t="shared" si="44"/>
        <v>899.44972490491364</v>
      </c>
      <c r="I174" s="36">
        <f t="shared" si="44"/>
        <v>954.92581581917477</v>
      </c>
      <c r="J174" s="36">
        <f t="shared" si="44"/>
        <v>1013.8235506318237</v>
      </c>
      <c r="K174" s="111">
        <f t="shared" si="44"/>
        <v>1076.353968851492</v>
      </c>
      <c r="L174" s="112">
        <f t="shared" si="44"/>
        <v>1142.741126441922</v>
      </c>
    </row>
    <row r="175" spans="8:12" ht="12.75" customHeight="1" x14ac:dyDescent="0.2">
      <c r="H175" s="38">
        <f t="shared" si="44"/>
        <v>903.94697352943808</v>
      </c>
      <c r="I175" s="36">
        <f t="shared" si="44"/>
        <v>959.70044489827069</v>
      </c>
      <c r="J175" s="36">
        <f t="shared" si="44"/>
        <v>1018.8926683849827</v>
      </c>
      <c r="K175" s="111">
        <f t="shared" si="44"/>
        <v>1081.7357386957497</v>
      </c>
      <c r="L175" s="112">
        <f t="shared" si="44"/>
        <v>1148.4548320741317</v>
      </c>
    </row>
    <row r="176" spans="8:12" ht="12.75" customHeight="1" x14ac:dyDescent="0.2">
      <c r="H176" s="38">
        <f t="shared" si="44"/>
        <v>908.46670839708543</v>
      </c>
      <c r="I176" s="36">
        <f t="shared" si="44"/>
        <v>964.49894712276205</v>
      </c>
      <c r="J176" s="36">
        <f t="shared" si="44"/>
        <v>1023.9871317269077</v>
      </c>
      <c r="K176" s="111">
        <f t="shared" si="44"/>
        <v>1087.1444173892285</v>
      </c>
      <c r="L176" s="112">
        <f t="shared" si="44"/>
        <v>1154.1971062345024</v>
      </c>
    </row>
    <row r="177" spans="8:12" ht="12.75" customHeight="1" x14ac:dyDescent="0.2">
      <c r="H177" s="38">
        <f>SUM(H167:H176)</f>
        <v>8831.57601467319</v>
      </c>
      <c r="I177" s="36">
        <f>SUM(I167:I176)</f>
        <v>9376.2882985732303</v>
      </c>
      <c r="J177" s="36">
        <f>SUM(J167:J176)</f>
        <v>9954.5972442399379</v>
      </c>
      <c r="K177" s="111">
        <f>SUM(K167:K176)</f>
        <v>10568.575020257036</v>
      </c>
      <c r="L177" s="112">
        <f>SUM(L167:L176)</f>
        <v>11220.4216020323</v>
      </c>
    </row>
    <row r="178" spans="8:12" ht="12.75" customHeight="1" x14ac:dyDescent="0.2">
      <c r="H178" s="11" t="s">
        <v>77</v>
      </c>
      <c r="I178" s="10"/>
      <c r="J178" s="10"/>
      <c r="K178" s="109"/>
      <c r="L178" s="110"/>
    </row>
    <row r="179" spans="8:12" ht="12.75" customHeight="1" x14ac:dyDescent="0.2">
      <c r="H179" s="39">
        <f t="shared" ref="H179:L184" si="45">$M$75-H167</f>
        <v>300</v>
      </c>
      <c r="I179" s="12">
        <f t="shared" si="45"/>
        <v>246.95904982660397</v>
      </c>
      <c r="J179" s="12">
        <f t="shared" si="45"/>
        <v>190.64664990729909</v>
      </c>
      <c r="K179" s="113">
        <f t="shared" si="45"/>
        <v>130.86102438013268</v>
      </c>
      <c r="L179" s="114">
        <f t="shared" si="45"/>
        <v>67.38795228950039</v>
      </c>
    </row>
    <row r="180" spans="8:12" ht="12.75" customHeight="1" x14ac:dyDescent="0.2">
      <c r="H180" s="39">
        <f t="shared" si="45"/>
        <v>295.70015954117173</v>
      </c>
      <c r="I180" s="12">
        <f t="shared" si="45"/>
        <v>242.39400461690877</v>
      </c>
      <c r="J180" s="12">
        <f t="shared" si="45"/>
        <v>185.80004269800713</v>
      </c>
      <c r="K180" s="113">
        <f t="shared" si="45"/>
        <v>125.71548904320503</v>
      </c>
      <c r="L180" s="114">
        <f t="shared" si="45"/>
        <v>61.925051592119416</v>
      </c>
    </row>
    <row r="181" spans="8:12" ht="12.75" customHeight="1" x14ac:dyDescent="0.2">
      <c r="H181" s="39">
        <f t="shared" si="45"/>
        <v>291.37881988004926</v>
      </c>
      <c r="I181" s="12">
        <f t="shared" si="45"/>
        <v>237.80613418116491</v>
      </c>
      <c r="J181" s="12">
        <f t="shared" si="45"/>
        <v>180.92920245266885</v>
      </c>
      <c r="K181" s="113">
        <f t="shared" si="45"/>
        <v>120.54422602959244</v>
      </c>
      <c r="L181" s="114">
        <f t="shared" si="45"/>
        <v>56.434836391251793</v>
      </c>
    </row>
    <row r="182" spans="8:12" ht="12.75" customHeight="1" x14ac:dyDescent="0.2">
      <c r="H182" s="39">
        <f t="shared" si="45"/>
        <v>287.03587352062107</v>
      </c>
      <c r="I182" s="12">
        <f t="shared" si="45"/>
        <v>233.19532439324234</v>
      </c>
      <c r="J182" s="12">
        <f t="shared" si="45"/>
        <v>176.03400800610382</v>
      </c>
      <c r="K182" s="113">
        <f t="shared" si="45"/>
        <v>115.34710670091226</v>
      </c>
      <c r="L182" s="114">
        <f t="shared" si="45"/>
        <v>50.917170114379587</v>
      </c>
    </row>
    <row r="183" spans="8:12" ht="12.75" customHeight="1" x14ac:dyDescent="0.2">
      <c r="H183" s="39">
        <f t="shared" si="45"/>
        <v>282.67121242939584</v>
      </c>
      <c r="I183" s="12">
        <f t="shared" si="45"/>
        <v>228.56146055638021</v>
      </c>
      <c r="J183" s="12">
        <f t="shared" si="45"/>
        <v>171.11433758730584</v>
      </c>
      <c r="K183" s="113">
        <f t="shared" si="45"/>
        <v>110.12400177558834</v>
      </c>
      <c r="L183" s="114">
        <f t="shared" si="45"/>
        <v>45.371915506123059</v>
      </c>
    </row>
    <row r="184" spans="8:12" ht="12.75" customHeight="1" x14ac:dyDescent="0.2">
      <c r="H184" s="39">
        <f t="shared" si="45"/>
        <v>278.28472803271427</v>
      </c>
      <c r="I184" s="12">
        <f t="shared" si="45"/>
        <v>223.90442740033382</v>
      </c>
      <c r="J184" s="12">
        <f t="shared" si="45"/>
        <v>166.17006881641407</v>
      </c>
      <c r="K184" s="113">
        <f t="shared" si="45"/>
        <v>104.87478132563797</v>
      </c>
      <c r="L184" s="114">
        <f t="shared" si="45"/>
        <v>39.798934624825279</v>
      </c>
    </row>
    <row r="185" spans="8:12" ht="12.75" customHeight="1" x14ac:dyDescent="0.2">
      <c r="H185" s="39">
        <v>1159.9680917656999</v>
      </c>
      <c r="I185" s="12">
        <v>1159.9680917656999</v>
      </c>
      <c r="J185" s="12">
        <v>1159.9680917656999</v>
      </c>
      <c r="K185" s="113">
        <v>1159.9680917656999</v>
      </c>
      <c r="L185" s="114">
        <v>1159.9680917656999</v>
      </c>
    </row>
    <row r="186" spans="8:12" ht="12.75" customHeight="1" x14ac:dyDescent="0.2">
      <c r="H186" s="39">
        <v>1159.9680917656999</v>
      </c>
      <c r="I186" s="12">
        <v>1159.9680917656999</v>
      </c>
      <c r="J186" s="12">
        <v>1159.9680917656999</v>
      </c>
      <c r="K186" s="113">
        <v>1159.9680917656999</v>
      </c>
      <c r="L186" s="114">
        <v>1159.9680917656999</v>
      </c>
    </row>
    <row r="187" spans="8:12" ht="12.75" customHeight="1" x14ac:dyDescent="0.2">
      <c r="H187" s="39">
        <f t="shared" ref="H187:L190" si="46">$M$75-H173</f>
        <v>264.99324111401961</v>
      </c>
      <c r="I187" s="12">
        <f t="shared" si="46"/>
        <v>209.79315065206811</v>
      </c>
      <c r="J187" s="12">
        <f t="shared" si="46"/>
        <v>151.18843939570115</v>
      </c>
      <c r="K187" s="113">
        <f t="shared" si="46"/>
        <v>88.969117784090713</v>
      </c>
      <c r="L187" s="114">
        <f t="shared" si="46"/>
        <v>22.912244559782266</v>
      </c>
    </row>
    <row r="188" spans="8:12" ht="12.75" customHeight="1" x14ac:dyDescent="0.2">
      <c r="H188" s="39">
        <f t="shared" si="46"/>
        <v>260.51836686076126</v>
      </c>
      <c r="I188" s="12">
        <f t="shared" si="46"/>
        <v>205.04227594650013</v>
      </c>
      <c r="J188" s="12">
        <f t="shared" si="46"/>
        <v>146.14454113385125</v>
      </c>
      <c r="K188" s="113">
        <f t="shared" si="46"/>
        <v>83.614122914182872</v>
      </c>
      <c r="L188" s="114">
        <f t="shared" si="46"/>
        <v>17.226965323752893</v>
      </c>
    </row>
    <row r="189" spans="8:12" ht="12.75" customHeight="1" x14ac:dyDescent="0.2">
      <c r="H189" s="39">
        <f t="shared" si="46"/>
        <v>256.02111823623682</v>
      </c>
      <c r="I189" s="12">
        <f t="shared" si="46"/>
        <v>200.26764686740421</v>
      </c>
      <c r="J189" s="12">
        <f t="shared" si="46"/>
        <v>141.0754233806922</v>
      </c>
      <c r="K189" s="113">
        <f t="shared" si="46"/>
        <v>78.232353069925239</v>
      </c>
      <c r="L189" s="114">
        <f t="shared" si="46"/>
        <v>11.513259691543226</v>
      </c>
    </row>
    <row r="190" spans="8:12" ht="12.75" customHeight="1" x14ac:dyDescent="0.2">
      <c r="H190" s="39">
        <f t="shared" si="46"/>
        <v>251.50138336858947</v>
      </c>
      <c r="I190" s="12">
        <f t="shared" si="46"/>
        <v>195.46914464291285</v>
      </c>
      <c r="J190" s="12">
        <f t="shared" si="46"/>
        <v>135.98096003876719</v>
      </c>
      <c r="K190" s="113">
        <f t="shared" si="46"/>
        <v>72.823674376446434</v>
      </c>
      <c r="L190" s="114">
        <f t="shared" si="46"/>
        <v>5.7709855311725278</v>
      </c>
    </row>
    <row r="191" spans="8:12" ht="12.75" customHeight="1" thickBot="1" x14ac:dyDescent="0.25">
      <c r="H191" s="40">
        <f>SUM(H179:H190)</f>
        <v>5088.0410865149588</v>
      </c>
      <c r="I191" s="41">
        <f>SUM(I179:I190)</f>
        <v>4543.3288026149185</v>
      </c>
      <c r="J191" s="41">
        <f>SUM(J179:J190)</f>
        <v>3965.01985694821</v>
      </c>
      <c r="K191" s="115">
        <f>SUM(K179:K190)</f>
        <v>3351.0420809311136</v>
      </c>
      <c r="L191" s="116">
        <f>SUM(L179:L190)</f>
        <v>2699.1954991558505</v>
      </c>
    </row>
  </sheetData>
  <pageMargins left="0.7" right="0.7" top="0.75" bottom="0.75" header="0.3" footer="0.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2019-07-17T21:49:45Z</dcterms:created>
  <dcterms:modified xsi:type="dcterms:W3CDTF">2019-07-17T21:49:54Z</dcterms:modified>
</cp:coreProperties>
</file>