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0" windowWidth="8265" windowHeight="7305"/>
  </bookViews>
  <sheets>
    <sheet name="RoRo's Baking Co." sheetId="5" r:id="rId1"/>
    <sheet name="Cost Of Goods Sold" sheetId="2" r:id="rId2"/>
    <sheet name="Sources" sheetId="6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5" l="1"/>
  <c r="B91" i="5"/>
  <c r="B93" i="5"/>
  <c r="E79" i="5"/>
  <c r="F79" i="5"/>
  <c r="G79" i="5"/>
  <c r="H79" i="5"/>
  <c r="I79" i="5"/>
  <c r="J79" i="5"/>
  <c r="K79" i="5"/>
  <c r="L79" i="5"/>
  <c r="D79" i="5"/>
  <c r="G80" i="5"/>
  <c r="F96" i="5"/>
  <c r="E15" i="5" l="1"/>
  <c r="F15" i="5"/>
  <c r="G15" i="5"/>
  <c r="H15" i="5"/>
  <c r="I15" i="5"/>
  <c r="J15" i="5"/>
  <c r="K15" i="5"/>
  <c r="L15" i="5"/>
  <c r="D15" i="5"/>
  <c r="D61" i="5"/>
  <c r="E61" i="5" s="1"/>
  <c r="F61" i="5" s="1"/>
  <c r="G61" i="5" s="1"/>
  <c r="H61" i="5" s="1"/>
  <c r="I61" i="5" s="1"/>
  <c r="J61" i="5" s="1"/>
  <c r="K61" i="5" s="1"/>
  <c r="L61" i="5" s="1"/>
  <c r="M111" i="5" l="1"/>
  <c r="E94" i="5" l="1"/>
  <c r="B84" i="5"/>
  <c r="B86" i="5" s="1"/>
  <c r="B87" i="5" s="1"/>
  <c r="G92" i="5" l="1"/>
  <c r="G93" i="5" l="1"/>
  <c r="E34" i="5"/>
  <c r="F34" i="5" s="1"/>
  <c r="G34" i="5" s="1"/>
  <c r="H34" i="5" s="1"/>
  <c r="I34" i="5" s="1"/>
  <c r="J34" i="5" s="1"/>
  <c r="K34" i="5" s="1"/>
  <c r="L34" i="5" s="1"/>
  <c r="R31" i="5"/>
  <c r="R29" i="5"/>
  <c r="T23" i="5"/>
  <c r="E16" i="5" l="1"/>
  <c r="F16" i="5" s="1"/>
  <c r="G16" i="5" s="1"/>
  <c r="H16" i="5" s="1"/>
  <c r="I16" i="5" s="1"/>
  <c r="J16" i="5" s="1"/>
  <c r="K16" i="5" s="1"/>
  <c r="L16" i="5" l="1"/>
  <c r="E13" i="5"/>
  <c r="F13" i="5" s="1"/>
  <c r="G13" i="5" s="1"/>
  <c r="H13" i="5" s="1"/>
  <c r="I13" i="5" s="1"/>
  <c r="J13" i="5" s="1"/>
  <c r="K13" i="5" s="1"/>
  <c r="L13" i="5" s="1"/>
  <c r="L46" i="5" l="1"/>
  <c r="K46" i="5"/>
  <c r="J46" i="5"/>
  <c r="I46" i="5"/>
  <c r="H46" i="5"/>
  <c r="G46" i="5"/>
  <c r="F46" i="5"/>
  <c r="E46" i="5"/>
  <c r="D46" i="5"/>
  <c r="E38" i="5"/>
  <c r="R32" i="5" s="1"/>
  <c r="D38" i="5"/>
  <c r="E37" i="5"/>
  <c r="R30" i="5" s="1"/>
  <c r="E14" i="5"/>
  <c r="F14" i="5" s="1"/>
  <c r="G14" i="5" s="1"/>
  <c r="H14" i="5" s="1"/>
  <c r="I14" i="5" s="1"/>
  <c r="J14" i="5" s="1"/>
  <c r="K14" i="5" s="1"/>
  <c r="L14" i="5" s="1"/>
  <c r="E12" i="5"/>
  <c r="F12" i="5" s="1"/>
  <c r="G12" i="5" s="1"/>
  <c r="H12" i="5" s="1"/>
  <c r="I12" i="5" s="1"/>
  <c r="J12" i="5" s="1"/>
  <c r="K12" i="5" s="1"/>
  <c r="L12" i="5" s="1"/>
  <c r="F10" i="5"/>
  <c r="G10" i="5" s="1"/>
  <c r="H10" i="5" s="1"/>
  <c r="I10" i="5" s="1"/>
  <c r="J10" i="5" s="1"/>
  <c r="K10" i="5" s="1"/>
  <c r="L10" i="5" s="1"/>
  <c r="F9" i="5"/>
  <c r="G9" i="5" s="1"/>
  <c r="H9" i="5" s="1"/>
  <c r="I9" i="5" s="1"/>
  <c r="J9" i="5" s="1"/>
  <c r="K9" i="5" s="1"/>
  <c r="L9" i="5" s="1"/>
  <c r="F8" i="5"/>
  <c r="E6" i="5"/>
  <c r="P5" i="5"/>
  <c r="P8" i="5" l="1"/>
  <c r="P9" i="5" s="1"/>
  <c r="P10" i="5" s="1"/>
  <c r="D11" i="5" s="1"/>
  <c r="D45" i="5" s="1"/>
  <c r="D109" i="5" s="1"/>
  <c r="D112" i="5" s="1"/>
  <c r="F6" i="5"/>
  <c r="E7" i="5"/>
  <c r="F37" i="5"/>
  <c r="F38" i="5"/>
  <c r="G8" i="5"/>
  <c r="E62" i="5" l="1"/>
  <c r="C118" i="5" s="1"/>
  <c r="C135" i="5" s="1"/>
  <c r="G6" i="5"/>
  <c r="F7" i="5"/>
  <c r="G7" i="5" s="1"/>
  <c r="J11" i="5"/>
  <c r="F11" i="5"/>
  <c r="F45" i="5" s="1"/>
  <c r="F109" i="5" s="1"/>
  <c r="F112" i="5" s="1"/>
  <c r="I11" i="5"/>
  <c r="H11" i="5"/>
  <c r="L11" i="5"/>
  <c r="G11" i="5"/>
  <c r="G45" i="5" s="1"/>
  <c r="G109" i="5" s="1"/>
  <c r="G112" i="5" s="1"/>
  <c r="E11" i="5"/>
  <c r="E45" i="5" s="1"/>
  <c r="K11" i="5"/>
  <c r="G37" i="5"/>
  <c r="G38" i="5"/>
  <c r="H8" i="5"/>
  <c r="K62" i="5"/>
  <c r="G62" i="5"/>
  <c r="L62" i="5"/>
  <c r="F62" i="5"/>
  <c r="J62" i="5"/>
  <c r="I62" i="5"/>
  <c r="H62" i="5"/>
  <c r="K13" i="2"/>
  <c r="M13" i="2" s="1"/>
  <c r="N13" i="2" s="1"/>
  <c r="K7" i="2"/>
  <c r="M7" i="2" s="1"/>
  <c r="N7" i="2" s="1"/>
  <c r="M3" i="2"/>
  <c r="N3" i="2" s="1"/>
  <c r="M10" i="2"/>
  <c r="N10" i="2" s="1"/>
  <c r="M6" i="2"/>
  <c r="N6" i="2" s="1"/>
  <c r="M2" i="2"/>
  <c r="J2" i="2"/>
  <c r="N2" i="2" s="1"/>
  <c r="N15" i="2" s="1"/>
  <c r="C19" i="2"/>
  <c r="E19" i="2" s="1"/>
  <c r="B19" i="2"/>
  <c r="C18" i="2"/>
  <c r="E18" i="2" s="1"/>
  <c r="F18" i="2" s="1"/>
  <c r="E17" i="2"/>
  <c r="F17" i="2" s="1"/>
  <c r="E14" i="2"/>
  <c r="F14" i="2" s="1"/>
  <c r="E11" i="2"/>
  <c r="F11" i="2" s="1"/>
  <c r="C11" i="2"/>
  <c r="E4" i="2"/>
  <c r="F4" i="2" s="1"/>
  <c r="E5" i="2"/>
  <c r="F5" i="2" s="1"/>
  <c r="B4" i="2"/>
  <c r="E8" i="2"/>
  <c r="F8" i="2" s="1"/>
  <c r="E3" i="2"/>
  <c r="F3" i="2" s="1"/>
  <c r="B2" i="2"/>
  <c r="C2" i="2"/>
  <c r="E2" i="2" s="1"/>
  <c r="F2" i="2" l="1"/>
  <c r="F21" i="2" s="1"/>
  <c r="D4" i="5" s="1"/>
  <c r="F19" i="2"/>
  <c r="E5" i="5"/>
  <c r="I5" i="5"/>
  <c r="I3" i="5" s="1"/>
  <c r="D5" i="5"/>
  <c r="F5" i="5"/>
  <c r="F3" i="5" s="1"/>
  <c r="J5" i="5"/>
  <c r="J3" i="5" s="1"/>
  <c r="H5" i="5"/>
  <c r="H3" i="5" s="1"/>
  <c r="L5" i="5"/>
  <c r="L3" i="5" s="1"/>
  <c r="G5" i="5"/>
  <c r="G3" i="5" s="1"/>
  <c r="G25" i="5" s="1"/>
  <c r="K5" i="5"/>
  <c r="K3" i="5" s="1"/>
  <c r="E63" i="5"/>
  <c r="E109" i="5"/>
  <c r="E112" i="5" s="1"/>
  <c r="F25" i="5"/>
  <c r="H6" i="5"/>
  <c r="F63" i="5"/>
  <c r="G63" i="5" s="1"/>
  <c r="H63" i="5" s="1"/>
  <c r="I63" i="5" s="1"/>
  <c r="J63" i="5" s="1"/>
  <c r="K63" i="5" s="1"/>
  <c r="L63" i="5" s="1"/>
  <c r="N120" i="5" s="1"/>
  <c r="H7" i="5"/>
  <c r="H37" i="5"/>
  <c r="I8" i="5"/>
  <c r="H38" i="5"/>
  <c r="H45" i="5"/>
  <c r="H109" i="5" s="1"/>
  <c r="H112" i="5" s="1"/>
  <c r="G30" i="5" l="1"/>
  <c r="F30" i="5"/>
  <c r="D3" i="5"/>
  <c r="D25" i="5" s="1"/>
  <c r="D30" i="5"/>
  <c r="E3" i="5"/>
  <c r="S22" i="5"/>
  <c r="E30" i="5"/>
  <c r="D2" i="5"/>
  <c r="D24" i="5" s="1"/>
  <c r="D29" i="5"/>
  <c r="E4" i="5"/>
  <c r="S21" i="5" s="1"/>
  <c r="L119" i="5"/>
  <c r="L120" i="5" s="1"/>
  <c r="H25" i="5"/>
  <c r="H30" i="5"/>
  <c r="I6" i="5"/>
  <c r="I37" i="5"/>
  <c r="I38" i="5"/>
  <c r="J8" i="5"/>
  <c r="I7" i="5"/>
  <c r="I45" i="5"/>
  <c r="I109" i="5" s="1"/>
  <c r="I112" i="5" s="1"/>
  <c r="D26" i="5" l="1"/>
  <c r="D31" i="5"/>
  <c r="D39" i="5" s="1"/>
  <c r="D41" i="5" s="1"/>
  <c r="D56" i="5"/>
  <c r="S17" i="5"/>
  <c r="E25" i="5"/>
  <c r="E2" i="5"/>
  <c r="F4" i="5"/>
  <c r="E29" i="5"/>
  <c r="E31" i="5" s="1"/>
  <c r="D54" i="5"/>
  <c r="R28" i="5"/>
  <c r="I25" i="5"/>
  <c r="I30" i="5"/>
  <c r="J6" i="5"/>
  <c r="J38" i="5"/>
  <c r="K8" i="5"/>
  <c r="J37" i="5"/>
  <c r="J45" i="5"/>
  <c r="J109" i="5" s="1"/>
  <c r="J112" i="5" s="1"/>
  <c r="J7" i="5"/>
  <c r="D68" i="5" l="1"/>
  <c r="D126" i="5" s="1"/>
  <c r="D57" i="5"/>
  <c r="D65" i="5" s="1"/>
  <c r="D43" i="5"/>
  <c r="D48" i="5" s="1"/>
  <c r="F29" i="5"/>
  <c r="F31" i="5" s="1"/>
  <c r="G4" i="5"/>
  <c r="F2" i="5"/>
  <c r="F24" i="5" s="1"/>
  <c r="F26" i="5" s="1"/>
  <c r="D123" i="5"/>
  <c r="D108" i="5"/>
  <c r="D110" i="5" s="1"/>
  <c r="S16" i="5"/>
  <c r="S23" i="5" s="1"/>
  <c r="S25" i="5" s="1"/>
  <c r="S34" i="5" s="1"/>
  <c r="E24" i="5"/>
  <c r="E26" i="5" s="1"/>
  <c r="E68" i="5"/>
  <c r="E126" i="5" s="1"/>
  <c r="E39" i="5"/>
  <c r="E41" i="5" s="1"/>
  <c r="E57" i="5"/>
  <c r="J25" i="5"/>
  <c r="J30" i="5"/>
  <c r="K6" i="5"/>
  <c r="K7" i="5"/>
  <c r="K37" i="5"/>
  <c r="K38" i="5"/>
  <c r="L8" i="5"/>
  <c r="L45" i="5"/>
  <c r="L109" i="5" s="1"/>
  <c r="L112" i="5" s="1"/>
  <c r="K45" i="5"/>
  <c r="K109" i="5" s="1"/>
  <c r="K112" i="5" s="1"/>
  <c r="D124" i="5" l="1"/>
  <c r="E43" i="5"/>
  <c r="E108" i="5" s="1"/>
  <c r="E110" i="5" s="1"/>
  <c r="E111" i="5" s="1"/>
  <c r="D111" i="5"/>
  <c r="D125" i="5" s="1"/>
  <c r="E124" i="5"/>
  <c r="F56" i="5"/>
  <c r="F54" i="5"/>
  <c r="E56" i="5"/>
  <c r="E123" i="5" s="1"/>
  <c r="E54" i="5"/>
  <c r="G29" i="5"/>
  <c r="G31" i="5" s="1"/>
  <c r="H4" i="5"/>
  <c r="G2" i="5"/>
  <c r="G24" i="5" s="1"/>
  <c r="G26" i="5" s="1"/>
  <c r="D49" i="5"/>
  <c r="D69" i="5" s="1"/>
  <c r="F68" i="5"/>
  <c r="F126" i="5" s="1"/>
  <c r="F39" i="5"/>
  <c r="F41" i="5" s="1"/>
  <c r="F43" i="5" s="1"/>
  <c r="F108" i="5" s="1"/>
  <c r="F110" i="5" s="1"/>
  <c r="F111" i="5" s="1"/>
  <c r="F57" i="5"/>
  <c r="K25" i="5"/>
  <c r="K30" i="5"/>
  <c r="L6" i="5"/>
  <c r="L7" i="5"/>
  <c r="L38" i="5"/>
  <c r="L37" i="5"/>
  <c r="E125" i="5" l="1"/>
  <c r="F113" i="5"/>
  <c r="F125" i="5"/>
  <c r="E113" i="5"/>
  <c r="D113" i="5"/>
  <c r="D135" i="5" s="1"/>
  <c r="D50" i="5"/>
  <c r="D74" i="5" s="1"/>
  <c r="D76" i="5" s="1"/>
  <c r="D78" i="5" s="1"/>
  <c r="F124" i="5"/>
  <c r="E65" i="5"/>
  <c r="F123" i="5"/>
  <c r="H29" i="5"/>
  <c r="H31" i="5" s="1"/>
  <c r="H2" i="5"/>
  <c r="H24" i="5" s="1"/>
  <c r="H26" i="5" s="1"/>
  <c r="I4" i="5"/>
  <c r="F65" i="5"/>
  <c r="G56" i="5"/>
  <c r="G123" i="5" s="1"/>
  <c r="G54" i="5"/>
  <c r="G39" i="5"/>
  <c r="G41" i="5" s="1"/>
  <c r="G43" i="5" s="1"/>
  <c r="G108" i="5" s="1"/>
  <c r="G110" i="5" s="1"/>
  <c r="G111" i="5" s="1"/>
  <c r="G57" i="5"/>
  <c r="G124" i="5" s="1"/>
  <c r="G68" i="5"/>
  <c r="G126" i="5" s="1"/>
  <c r="L25" i="5"/>
  <c r="L30" i="5"/>
  <c r="F135" i="5" l="1"/>
  <c r="E135" i="5"/>
  <c r="G65" i="5"/>
  <c r="G113" i="5"/>
  <c r="G125" i="5"/>
  <c r="I29" i="5"/>
  <c r="I31" i="5" s="1"/>
  <c r="J4" i="5"/>
  <c r="I2" i="5"/>
  <c r="I24" i="5" s="1"/>
  <c r="I26" i="5" s="1"/>
  <c r="H39" i="5"/>
  <c r="H41" i="5" s="1"/>
  <c r="H43" i="5" s="1"/>
  <c r="H108" i="5" s="1"/>
  <c r="H110" i="5" s="1"/>
  <c r="H111" i="5" s="1"/>
  <c r="H68" i="5"/>
  <c r="H126" i="5" s="1"/>
  <c r="H57" i="5"/>
  <c r="H56" i="5"/>
  <c r="H123" i="5" s="1"/>
  <c r="H54" i="5"/>
  <c r="G135" i="5" l="1"/>
  <c r="H113" i="5"/>
  <c r="H125" i="5"/>
  <c r="H65" i="5"/>
  <c r="H124" i="5"/>
  <c r="I54" i="5"/>
  <c r="I56" i="5"/>
  <c r="I123" i="5" s="1"/>
  <c r="J29" i="5"/>
  <c r="J31" i="5" s="1"/>
  <c r="K4" i="5"/>
  <c r="K29" i="5" s="1"/>
  <c r="J2" i="5"/>
  <c r="J24" i="5" s="1"/>
  <c r="J26" i="5" s="1"/>
  <c r="I39" i="5"/>
  <c r="I41" i="5" s="1"/>
  <c r="I43" i="5" s="1"/>
  <c r="I108" i="5" s="1"/>
  <c r="I110" i="5" s="1"/>
  <c r="I111" i="5" s="1"/>
  <c r="I57" i="5"/>
  <c r="I124" i="5" s="1"/>
  <c r="I68" i="5"/>
  <c r="I126" i="5" s="1"/>
  <c r="H135" i="5" l="1"/>
  <c r="I113" i="5"/>
  <c r="I125" i="5"/>
  <c r="I65" i="5"/>
  <c r="K31" i="5"/>
  <c r="L4" i="5"/>
  <c r="K2" i="5"/>
  <c r="K24" i="5" s="1"/>
  <c r="K26" i="5" s="1"/>
  <c r="J54" i="5"/>
  <c r="J56" i="5"/>
  <c r="J123" i="5" s="1"/>
  <c r="J68" i="5"/>
  <c r="J126" i="5" s="1"/>
  <c r="J39" i="5"/>
  <c r="J41" i="5" s="1"/>
  <c r="J43" i="5" s="1"/>
  <c r="J108" i="5" s="1"/>
  <c r="J110" i="5" s="1"/>
  <c r="J111" i="5" s="1"/>
  <c r="J57" i="5"/>
  <c r="J124" i="5" s="1"/>
  <c r="E48" i="5"/>
  <c r="I135" i="5" l="1"/>
  <c r="J113" i="5"/>
  <c r="J125" i="5"/>
  <c r="K54" i="5"/>
  <c r="K56" i="5"/>
  <c r="K123" i="5" s="1"/>
  <c r="J65" i="5"/>
  <c r="K57" i="5"/>
  <c r="K124" i="5" s="1"/>
  <c r="K68" i="5"/>
  <c r="K126" i="5" s="1"/>
  <c r="K39" i="5"/>
  <c r="K41" i="5" s="1"/>
  <c r="K43" i="5" s="1"/>
  <c r="K108" i="5" s="1"/>
  <c r="K110" i="5" s="1"/>
  <c r="K111" i="5" s="1"/>
  <c r="L29" i="5"/>
  <c r="L31" i="5" s="1"/>
  <c r="L2" i="5"/>
  <c r="L24" i="5" s="1"/>
  <c r="L26" i="5" s="1"/>
  <c r="E49" i="5"/>
  <c r="E69" i="5" s="1"/>
  <c r="J135" i="5" l="1"/>
  <c r="K113" i="5"/>
  <c r="K125" i="5"/>
  <c r="L57" i="5"/>
  <c r="L39" i="5"/>
  <c r="L41" i="5" s="1"/>
  <c r="L43" i="5" s="1"/>
  <c r="L108" i="5" s="1"/>
  <c r="L110" i="5" s="1"/>
  <c r="L111" i="5" s="1"/>
  <c r="L68" i="5"/>
  <c r="L56" i="5"/>
  <c r="L54" i="5"/>
  <c r="K65" i="5"/>
  <c r="L124" i="5"/>
  <c r="E50" i="5"/>
  <c r="E74" i="5" s="1"/>
  <c r="E76" i="5" s="1"/>
  <c r="E78" i="5" s="1"/>
  <c r="K135" i="5" l="1"/>
  <c r="L113" i="5"/>
  <c r="L125" i="5"/>
  <c r="L65" i="5"/>
  <c r="D136" i="5"/>
  <c r="L126" i="5"/>
  <c r="L132" i="5"/>
  <c r="L129" i="5"/>
  <c r="L123" i="5"/>
  <c r="L130" i="5"/>
  <c r="F48" i="5" l="1"/>
  <c r="F49" i="5" s="1"/>
  <c r="F50" i="5" l="1"/>
  <c r="F69" i="5"/>
  <c r="F74" i="5" l="1"/>
  <c r="F76" i="5" s="1"/>
  <c r="F78" i="5" s="1"/>
  <c r="E136" i="5" l="1"/>
  <c r="G48" i="5" l="1"/>
  <c r="G49" i="5" l="1"/>
  <c r="G69" i="5" s="1"/>
  <c r="G50" i="5" l="1"/>
  <c r="G74" i="5" s="1"/>
  <c r="G76" i="5" s="1"/>
  <c r="G78" i="5" s="1"/>
  <c r="F136" i="5" l="1"/>
  <c r="H48" i="5" l="1"/>
  <c r="H49" i="5" s="1"/>
  <c r="H50" i="5" l="1"/>
  <c r="H69" i="5"/>
  <c r="H74" i="5" l="1"/>
  <c r="H76" i="5" s="1"/>
  <c r="H78" i="5" s="1"/>
  <c r="G136" i="5" l="1"/>
  <c r="I48" i="5" l="1"/>
  <c r="I49" i="5" l="1"/>
  <c r="I69" i="5" s="1"/>
  <c r="H136" i="5" l="1"/>
  <c r="I50" i="5"/>
  <c r="I74" i="5" s="1"/>
  <c r="I76" i="5" s="1"/>
  <c r="I78" i="5" s="1"/>
  <c r="J48" i="5" l="1"/>
  <c r="J49" i="5" s="1"/>
  <c r="J50" i="5" l="1"/>
  <c r="J69" i="5"/>
  <c r="I136" i="5" l="1"/>
  <c r="J74" i="5"/>
  <c r="J76" i="5" s="1"/>
  <c r="J78" i="5" s="1"/>
  <c r="K48" i="5" l="1"/>
  <c r="K49" i="5" l="1"/>
  <c r="K50" i="5" l="1"/>
  <c r="K74" i="5" s="1"/>
  <c r="K69" i="5"/>
  <c r="J136" i="5" l="1"/>
  <c r="K76" i="5"/>
  <c r="K78" i="5" s="1"/>
  <c r="L48" i="5" l="1"/>
  <c r="L49" i="5" s="1"/>
  <c r="L50" i="5" l="1"/>
  <c r="L69" i="5"/>
  <c r="L131" i="5" l="1"/>
  <c r="L135" i="5" s="1"/>
  <c r="L74" i="5"/>
  <c r="B94" i="5" l="1"/>
  <c r="L136" i="5"/>
  <c r="B140" i="5"/>
  <c r="L76" i="5"/>
  <c r="L78" i="5" s="1"/>
  <c r="B97" i="5" l="1"/>
  <c r="B101" i="5" s="1"/>
  <c r="K136" i="5"/>
  <c r="C136" i="5" l="1"/>
  <c r="B139" i="5" s="1"/>
</calcChain>
</file>

<file path=xl/sharedStrings.xml><?xml version="1.0" encoding="utf-8"?>
<sst xmlns="http://schemas.openxmlformats.org/spreadsheetml/2006/main" count="222" uniqueCount="163">
  <si>
    <t>Equipment</t>
  </si>
  <si>
    <t>INCOME STATEMENT</t>
  </si>
  <si>
    <t xml:space="preserve"> Revenues</t>
  </si>
  <si>
    <t>COGS</t>
  </si>
  <si>
    <t>Operating Expenses</t>
  </si>
  <si>
    <t>Operating Profit</t>
  </si>
  <si>
    <t>Depreciation</t>
  </si>
  <si>
    <t>Interest Expense</t>
  </si>
  <si>
    <t>Profit Before Taxes</t>
  </si>
  <si>
    <t>Net Profit After Taxes</t>
  </si>
  <si>
    <t>BALANCE SHEET</t>
  </si>
  <si>
    <t>Assets</t>
  </si>
  <si>
    <t>Cash</t>
  </si>
  <si>
    <t>Accounts Receivable</t>
  </si>
  <si>
    <t xml:space="preserve">Property, Plant </t>
  </si>
  <si>
    <t>Less:  Accumulated Depreciation</t>
  </si>
  <si>
    <t>Total Assets</t>
  </si>
  <si>
    <t>Liabilities and Equity</t>
  </si>
  <si>
    <t>Accounts Payable</t>
  </si>
  <si>
    <t>Income Tax Payable</t>
  </si>
  <si>
    <t>Bank Loans</t>
  </si>
  <si>
    <t>Shareholder Contributions</t>
  </si>
  <si>
    <t>Retained Earnings</t>
  </si>
  <si>
    <t>Total Liabilities and Equity</t>
  </si>
  <si>
    <t>Cinn-A-Rolls</t>
  </si>
  <si>
    <t>Dinn-A-Rolls</t>
  </si>
  <si>
    <t>Total Revenues</t>
  </si>
  <si>
    <t>Total COGS</t>
  </si>
  <si>
    <t>Internet Hosting</t>
  </si>
  <si>
    <t>Kitchen Rent</t>
  </si>
  <si>
    <t>Lease</t>
  </si>
  <si>
    <t>Shipping/Freight</t>
  </si>
  <si>
    <t>Permits</t>
  </si>
  <si>
    <t>Total Operating Expenses</t>
  </si>
  <si>
    <t>Cinna Rolls Price per Dozen</t>
  </si>
  <si>
    <t>Cinna Rolls Cost per Dozen</t>
  </si>
  <si>
    <t>Dinn-A-Rolls Cost per Dozen</t>
  </si>
  <si>
    <t>Warehouse SF</t>
  </si>
  <si>
    <t>Price per SF</t>
  </si>
  <si>
    <t>Sinks</t>
  </si>
  <si>
    <t>Ovens</t>
  </si>
  <si>
    <t>Walk-in freezer</t>
  </si>
  <si>
    <t>Fridge</t>
  </si>
  <si>
    <t>Total Equipment</t>
  </si>
  <si>
    <t>Interest Rate</t>
  </si>
  <si>
    <t>Flour</t>
  </si>
  <si>
    <t>White Sugar</t>
  </si>
  <si>
    <t>Butter</t>
  </si>
  <si>
    <t>Egg</t>
  </si>
  <si>
    <t>Milk</t>
  </si>
  <si>
    <t>Yeast</t>
  </si>
  <si>
    <t>Brown Sugar</t>
  </si>
  <si>
    <t>Powder Sugar</t>
  </si>
  <si>
    <t>salt</t>
  </si>
  <si>
    <t>cinnamon</t>
  </si>
  <si>
    <t>Per dozen(oz)</t>
  </si>
  <si>
    <t>Oz in 50 1b bag</t>
  </si>
  <si>
    <t>Cost of 50lb bag</t>
  </si>
  <si>
    <t>price per ounce</t>
  </si>
  <si>
    <t>Price per dozen</t>
  </si>
  <si>
    <t>Per dozen(lb)</t>
  </si>
  <si>
    <t>Bulk pounds</t>
  </si>
  <si>
    <t>price</t>
  </si>
  <si>
    <t>Price per pound</t>
  </si>
  <si>
    <t>Per Dozen(qty)</t>
  </si>
  <si>
    <t>Eggs in 15 doz</t>
  </si>
  <si>
    <t>Price of 15 doz</t>
  </si>
  <si>
    <t>Price per egg</t>
  </si>
  <si>
    <t>Per Dozen(cups)</t>
  </si>
  <si>
    <t>Cups per Gallon</t>
  </si>
  <si>
    <t>Price per Gallon</t>
  </si>
  <si>
    <t>Price per cup</t>
  </si>
  <si>
    <t>Price per Dozen</t>
  </si>
  <si>
    <t>Per Dozen(oz)</t>
  </si>
  <si>
    <t>Oz in bag</t>
  </si>
  <si>
    <t>Price per oz</t>
  </si>
  <si>
    <t>Price per bag</t>
  </si>
  <si>
    <t>Cost per Dozen Cinnamon rolls</t>
  </si>
  <si>
    <t>Inventory turnover days</t>
  </si>
  <si>
    <t>Inventory</t>
  </si>
  <si>
    <t>Receivable days</t>
  </si>
  <si>
    <t>Accounts Payable days</t>
  </si>
  <si>
    <t>Utilities</t>
  </si>
  <si>
    <t>Utilities per SF</t>
  </si>
  <si>
    <t>Cash Above Min</t>
  </si>
  <si>
    <t>DFN</t>
  </si>
  <si>
    <t>Income Taxes</t>
  </si>
  <si>
    <t>Tenant Improvements</t>
  </si>
  <si>
    <t>industrial mixers</t>
  </si>
  <si>
    <t>Salvage</t>
  </si>
  <si>
    <t>Total Depreciation</t>
  </si>
  <si>
    <t>Cost of Goods Sold</t>
  </si>
  <si>
    <t>Owners Salaries</t>
  </si>
  <si>
    <t>Mortgage</t>
  </si>
  <si>
    <t>http://www.katom.com/455-BPCVE22403.html?CID=Nextag&amp;utm_source=Nextag&amp;utm_medium=CSE&amp;utm_campaign=CSE&amp;zmam=29342707&amp;zmas=1&amp;zmac=3&amp;zmap=455-BPCVE22403</t>
  </si>
  <si>
    <t>Refrigerator</t>
  </si>
  <si>
    <t>http://www.sears.com/appliances-refrigerators&amp;White/c-1020022?filter=Color%20Family&amp;viewItems=25&amp;keywordSearch=false&amp;sName=View%20All</t>
  </si>
  <si>
    <t>Industrial Mixer</t>
  </si>
  <si>
    <t>http://www.globalindustrial.com/p/foodservice/appliances/mixers/axis-30-quart-mixer?utm_source=google_pr&amp;utm_medium=cpc&amp;utm_campaign=Mixers-google_pr&amp;infoParam.campaignId=T9F&amp;gclid=CPWMp77AoLUCFWlxQgodh1cARQ</t>
  </si>
  <si>
    <t>Walk in Freezer</t>
  </si>
  <si>
    <t>http://www.webstaurantstore.com/suffixitem/596KLF7766/RT.html?utm_source=google&amp;utm_medium=cpc&amp;utm_term=596KLF7766%20%20RT&amp;utm_campaign=PLA&amp;gclid=CJ6fkerBoLUCFUjZQgodKEUAcQ</t>
  </si>
  <si>
    <t>Leasing Space/cost</t>
  </si>
  <si>
    <t>http://www.loopnet.com/Texas/Dallas_Warehouses-For-Lease/</t>
  </si>
  <si>
    <t>Utilites</t>
  </si>
  <si>
    <t>http://www.seco.cpa.state.tx.us/TEP_Production/c/EPAEnergyStarSmallBusinessGuide.pdf</t>
  </si>
  <si>
    <t>Permits and licences</t>
  </si>
  <si>
    <t>http://smallbusiness.chron.com/much-money-need-open-bakery-texas-30685.html</t>
  </si>
  <si>
    <t>Costco Bulk Prices and roll recipes</t>
  </si>
  <si>
    <t>Cinn-A-Rolls Unit Sales/Store/Week</t>
  </si>
  <si>
    <t>Number of Stores</t>
  </si>
  <si>
    <t>Permits and fees</t>
  </si>
  <si>
    <t>Dinn-A-Rolls Unit Sales/Store/Week</t>
  </si>
  <si>
    <t>Tenant Improvements - Deprecition</t>
  </si>
  <si>
    <t>Variable Costs</t>
  </si>
  <si>
    <t>Total</t>
  </si>
  <si>
    <t>Per Unit</t>
  </si>
  <si>
    <t>Variable Revenue</t>
  </si>
  <si>
    <t>1 unit = 3 Cinn-A-Rolls and 1 Dinn-A-Rolls</t>
  </si>
  <si>
    <t>Din-A-Rolls</t>
  </si>
  <si>
    <t>Shipping/Frieght</t>
  </si>
  <si>
    <t>Contribution Margin</t>
  </si>
  <si>
    <t>Fixed Costs</t>
  </si>
  <si>
    <t>Break Even in Units</t>
  </si>
  <si>
    <t>WACC</t>
  </si>
  <si>
    <t>MARKET RATE</t>
  </si>
  <si>
    <t>T-BILL</t>
  </si>
  <si>
    <t>http://www.bloomberg.com/markets/rates-bonds/government-bonds/us/</t>
  </si>
  <si>
    <t>DIFFERENCE</t>
  </si>
  <si>
    <t>BETA</t>
  </si>
  <si>
    <t>http://finance.yahoo.com/q?s=CRMB&amp;ql=1</t>
  </si>
  <si>
    <t>TOTAL</t>
  </si>
  <si>
    <t>CAPM (COST OF EQUITY)</t>
  </si>
  <si>
    <t>Debt</t>
  </si>
  <si>
    <t>COST OF DEBT</t>
  </si>
  <si>
    <t>Bank Loan</t>
  </si>
  <si>
    <t>DEBT</t>
  </si>
  <si>
    <t>EQUITY</t>
  </si>
  <si>
    <t>Blended</t>
  </si>
  <si>
    <t>DEBT %</t>
  </si>
  <si>
    <t>EQUITY %</t>
  </si>
  <si>
    <t>TAX RATE</t>
  </si>
  <si>
    <t>FCF, NPV, IRR</t>
  </si>
  <si>
    <t>cash from operations</t>
  </si>
  <si>
    <t>Less: Depreciation for tax deduction</t>
  </si>
  <si>
    <t>Taxable Operating Income</t>
  </si>
  <si>
    <t>Taxes on Operations Only</t>
  </si>
  <si>
    <t xml:space="preserve">Add: Depreciation </t>
  </si>
  <si>
    <t>Cash from captial expenditures</t>
  </si>
  <si>
    <t>Buy Equipment</t>
  </si>
  <si>
    <t>Sell Equipment</t>
  </si>
  <si>
    <t>Taxes on Sale of Equipment</t>
  </si>
  <si>
    <t>Cash In/Out from Changes in Working Capital</t>
  </si>
  <si>
    <t>-</t>
  </si>
  <si>
    <t>+</t>
  </si>
  <si>
    <t>Cash In/Out from Liquidating Working Capital</t>
  </si>
  <si>
    <t>Total Free Cash Flows</t>
  </si>
  <si>
    <t>PV of Free Cash Flows</t>
  </si>
  <si>
    <t>NPV</t>
  </si>
  <si>
    <t>IRR</t>
  </si>
  <si>
    <t>Accounts Recievable</t>
  </si>
  <si>
    <t>Dinn-A-Rolls Price per Dozen</t>
  </si>
  <si>
    <t>Rehaul the Warehouse</t>
  </si>
  <si>
    <t>BREAKVEN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</si>
</sst>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\$* #,##0_);_(\$* \(#,##0\);_(\$* \-??_);_(@_)"/>
    <numFmt numFmtId="167" formatCode="0.000"/>
    <numFmt numFmtId="168" formatCode="_(* #,##0_);_(* \(#,##0\);_(* \-??_);_(@_)"/>
    <numFmt numFmtId="169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charset val="1"/>
    </font>
    <font>
      <sz val="14"/>
      <color theme="1"/>
      <name val="Calibri"/>
      <family val="2"/>
      <charset val="1"/>
      <scheme val="minor"/>
    </font>
    <font>
      <b/>
      <sz val="14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9" fontId="0" fillId="0" borderId="0" xfId="2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0" fontId="2" fillId="0" borderId="0" xfId="1" applyNumberFormat="1" applyFont="1"/>
    <xf numFmtId="0" fontId="3" fillId="0" borderId="0" xfId="3"/>
    <xf numFmtId="0" fontId="1" fillId="0" borderId="0" xfId="4"/>
    <xf numFmtId="164" fontId="0" fillId="0" borderId="0" xfId="1" applyNumberFormat="1" applyFont="1" applyFill="1" applyBorder="1"/>
    <xf numFmtId="10" fontId="1" fillId="0" borderId="0" xfId="4" applyNumberFormat="1" applyFill="1" applyBorder="1" applyProtection="1">
      <protection locked="0"/>
    </xf>
    <xf numFmtId="0" fontId="1" fillId="0" borderId="0" xfId="4" applyFill="1"/>
    <xf numFmtId="0" fontId="3" fillId="0" borderId="0" xfId="3" applyBorder="1"/>
    <xf numFmtId="168" fontId="1" fillId="0" borderId="0" xfId="1" applyNumberFormat="1"/>
    <xf numFmtId="165" fontId="0" fillId="0" borderId="0" xfId="2" applyNumberFormat="1" applyFont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0" fontId="2" fillId="2" borderId="12" xfId="1" applyNumberFormat="1" applyFont="1" applyFill="1" applyBorder="1"/>
    <xf numFmtId="0" fontId="2" fillId="2" borderId="13" xfId="1" applyNumberFormat="1" applyFont="1" applyFill="1" applyBorder="1"/>
    <xf numFmtId="0" fontId="1" fillId="0" borderId="6" xfId="4" applyBorder="1" applyProtection="1">
      <protection locked="0"/>
    </xf>
    <xf numFmtId="0" fontId="1" fillId="0" borderId="0" xfId="4" applyBorder="1" applyProtection="1">
      <protection locked="0"/>
    </xf>
    <xf numFmtId="0" fontId="1" fillId="0" borderId="0" xfId="4" applyBorder="1"/>
    <xf numFmtId="0" fontId="1" fillId="0" borderId="8" xfId="4" applyBorder="1" applyProtection="1">
      <protection locked="0"/>
    </xf>
    <xf numFmtId="0" fontId="3" fillId="0" borderId="9" xfId="3" applyBorder="1"/>
    <xf numFmtId="43" fontId="3" fillId="3" borderId="2" xfId="3" applyNumberFormat="1" applyFill="1" applyBorder="1"/>
    <xf numFmtId="164" fontId="3" fillId="3" borderId="2" xfId="1" applyNumberFormat="1" applyFont="1" applyFill="1" applyBorder="1"/>
    <xf numFmtId="0" fontId="3" fillId="4" borderId="0" xfId="3" applyFill="1" applyBorder="1"/>
    <xf numFmtId="0" fontId="6" fillId="4" borderId="0" xfId="3" applyFont="1" applyFill="1" applyBorder="1"/>
    <xf numFmtId="0" fontId="3" fillId="4" borderId="6" xfId="3" applyFill="1" applyBorder="1"/>
    <xf numFmtId="164" fontId="0" fillId="4" borderId="0" xfId="1" applyNumberFormat="1" applyFont="1" applyFill="1" applyBorder="1"/>
    <xf numFmtId="164" fontId="0" fillId="4" borderId="7" xfId="1" applyNumberFormat="1" applyFont="1" applyFill="1" applyBorder="1"/>
    <xf numFmtId="0" fontId="5" fillId="4" borderId="6" xfId="3" applyFont="1" applyFill="1" applyBorder="1"/>
    <xf numFmtId="43" fontId="3" fillId="4" borderId="0" xfId="3" applyNumberFormat="1" applyFill="1" applyBorder="1"/>
    <xf numFmtId="0" fontId="3" fillId="4" borderId="6" xfId="3" applyFont="1" applyFill="1" applyBorder="1"/>
    <xf numFmtId="0" fontId="6" fillId="4" borderId="6" xfId="3" applyFont="1" applyFill="1" applyBorder="1"/>
    <xf numFmtId="9" fontId="3" fillId="4" borderId="0" xfId="3" applyNumberFormat="1" applyFill="1" applyBorder="1"/>
    <xf numFmtId="165" fontId="3" fillId="4" borderId="0" xfId="3" applyNumberFormat="1" applyFill="1" applyBorder="1"/>
    <xf numFmtId="164" fontId="3" fillId="4" borderId="0" xfId="3" applyNumberFormat="1" applyFill="1" applyBorder="1"/>
    <xf numFmtId="164" fontId="0" fillId="4" borderId="6" xfId="1" applyNumberFormat="1" applyFont="1" applyFill="1" applyBorder="1"/>
    <xf numFmtId="166" fontId="3" fillId="4" borderId="0" xfId="3" applyNumberFormat="1" applyFill="1" applyBorder="1"/>
    <xf numFmtId="164" fontId="0" fillId="4" borderId="8" xfId="1" applyNumberFormat="1" applyFont="1" applyFill="1" applyBorder="1"/>
    <xf numFmtId="0" fontId="3" fillId="4" borderId="9" xfId="3" applyFill="1" applyBorder="1"/>
    <xf numFmtId="164" fontId="0" fillId="4" borderId="9" xfId="1" applyNumberFormat="1" applyFont="1" applyFill="1" applyBorder="1"/>
    <xf numFmtId="164" fontId="0" fillId="4" borderId="10" xfId="1" applyNumberFormat="1" applyFont="1" applyFill="1" applyBorder="1"/>
    <xf numFmtId="168" fontId="10" fillId="3" borderId="5" xfId="1" applyNumberFormat="1" applyFont="1" applyFill="1" applyBorder="1"/>
    <xf numFmtId="10" fontId="10" fillId="3" borderId="10" xfId="2" applyNumberFormat="1" applyFont="1" applyFill="1" applyBorder="1"/>
    <xf numFmtId="0" fontId="11" fillId="0" borderId="11" xfId="3" applyFont="1" applyBorder="1"/>
    <xf numFmtId="169" fontId="12" fillId="3" borderId="13" xfId="2" applyNumberFormat="1" applyFont="1" applyFill="1" applyBorder="1" applyProtection="1">
      <protection locked="0"/>
    </xf>
    <xf numFmtId="0" fontId="1" fillId="4" borderId="0" xfId="4" applyFill="1" applyBorder="1" applyProtection="1">
      <protection locked="0"/>
    </xf>
    <xf numFmtId="0" fontId="1" fillId="4" borderId="0" xfId="4" applyFill="1" applyBorder="1"/>
    <xf numFmtId="0" fontId="1" fillId="4" borderId="7" xfId="4" applyFill="1" applyBorder="1"/>
    <xf numFmtId="164" fontId="0" fillId="4" borderId="0" xfId="1" applyNumberFormat="1" applyFont="1" applyFill="1"/>
    <xf numFmtId="167" fontId="1" fillId="4" borderId="0" xfId="4" applyNumberFormat="1" applyFill="1" applyBorder="1" applyProtection="1">
      <protection locked="0"/>
    </xf>
    <xf numFmtId="10" fontId="1" fillId="4" borderId="0" xfId="5" applyNumberFormat="1" applyFont="1" applyFill="1" applyBorder="1" applyProtection="1">
      <protection locked="0"/>
    </xf>
    <xf numFmtId="166" fontId="1" fillId="4" borderId="0" xfId="4" applyNumberFormat="1" applyFill="1" applyBorder="1" applyProtection="1">
      <protection locked="0"/>
    </xf>
    <xf numFmtId="9" fontId="1" fillId="4" borderId="0" xfId="5" applyFont="1" applyFill="1" applyBorder="1"/>
    <xf numFmtId="9" fontId="1" fillId="4" borderId="7" xfId="5" applyFont="1" applyFill="1" applyBorder="1"/>
    <xf numFmtId="9" fontId="1" fillId="4" borderId="0" xfId="5" applyFont="1" applyFill="1" applyBorder="1" applyProtection="1">
      <protection locked="0"/>
    </xf>
    <xf numFmtId="9" fontId="1" fillId="4" borderId="0" xfId="5" applyNumberFormat="1" applyFont="1" applyFill="1" applyBorder="1" applyProtection="1">
      <protection locked="0"/>
    </xf>
    <xf numFmtId="10" fontId="1" fillId="4" borderId="9" xfId="5" applyNumberFormat="1" applyFont="1" applyFill="1" applyBorder="1" applyProtection="1">
      <protection locked="0"/>
    </xf>
    <xf numFmtId="0" fontId="1" fillId="4" borderId="3" xfId="4" applyFill="1" applyBorder="1"/>
    <xf numFmtId="0" fontId="1" fillId="4" borderId="4" xfId="4" applyFill="1" applyBorder="1"/>
    <xf numFmtId="0" fontId="1" fillId="4" borderId="5" xfId="4" applyFill="1" applyBorder="1"/>
    <xf numFmtId="0" fontId="1" fillId="4" borderId="6" xfId="4" applyFill="1" applyBorder="1"/>
    <xf numFmtId="166" fontId="1" fillId="4" borderId="0" xfId="4" applyNumberFormat="1" applyFill="1" applyBorder="1"/>
    <xf numFmtId="9" fontId="1" fillId="4" borderId="0" xfId="4" applyNumberFormat="1" applyFill="1" applyBorder="1"/>
    <xf numFmtId="0" fontId="1" fillId="4" borderId="8" xfId="4" applyFill="1" applyBorder="1"/>
    <xf numFmtId="0" fontId="1" fillId="4" borderId="9" xfId="4" applyFill="1" applyBorder="1"/>
    <xf numFmtId="9" fontId="1" fillId="4" borderId="9" xfId="4" applyNumberFormat="1" applyFill="1" applyBorder="1"/>
    <xf numFmtId="0" fontId="3" fillId="4" borderId="7" xfId="3" applyFill="1" applyBorder="1"/>
    <xf numFmtId="0" fontId="3" fillId="4" borderId="10" xfId="3" applyFill="1" applyBorder="1"/>
    <xf numFmtId="0" fontId="1" fillId="4" borderId="3" xfId="4" applyFill="1" applyBorder="1" applyProtection="1">
      <protection locked="0"/>
    </xf>
    <xf numFmtId="0" fontId="1" fillId="4" borderId="5" xfId="4" applyFill="1" applyBorder="1" applyProtection="1">
      <protection locked="0"/>
    </xf>
    <xf numFmtId="0" fontId="1" fillId="4" borderId="6" xfId="4" applyFill="1" applyBorder="1" applyProtection="1">
      <protection locked="0"/>
    </xf>
    <xf numFmtId="0" fontId="1" fillId="4" borderId="7" xfId="4" applyFill="1" applyBorder="1" applyProtection="1">
      <protection locked="0"/>
    </xf>
    <xf numFmtId="0" fontId="1" fillId="4" borderId="14" xfId="4" applyFill="1" applyBorder="1" applyProtection="1">
      <protection locked="0"/>
    </xf>
    <xf numFmtId="0" fontId="2" fillId="4" borderId="6" xfId="4" applyFont="1" applyFill="1" applyBorder="1" applyProtection="1">
      <protection locked="0"/>
    </xf>
    <xf numFmtId="10" fontId="1" fillId="4" borderId="7" xfId="5" applyNumberFormat="1" applyFont="1" applyFill="1" applyBorder="1" applyProtection="1">
      <protection locked="0"/>
    </xf>
    <xf numFmtId="166" fontId="3" fillId="4" borderId="7" xfId="3" applyNumberFormat="1" applyFill="1" applyBorder="1" applyProtection="1">
      <protection locked="0"/>
    </xf>
    <xf numFmtId="10" fontId="1" fillId="4" borderId="7" xfId="4" applyNumberFormat="1" applyFill="1" applyBorder="1" applyProtection="1">
      <protection locked="0"/>
    </xf>
    <xf numFmtId="166" fontId="1" fillId="4" borderId="7" xfId="4" applyNumberFormat="1" applyFill="1" applyBorder="1" applyProtection="1">
      <protection locked="0"/>
    </xf>
    <xf numFmtId="9" fontId="1" fillId="4" borderId="7" xfId="5" applyFont="1" applyFill="1" applyBorder="1" applyProtection="1">
      <protection locked="0"/>
    </xf>
    <xf numFmtId="9" fontId="1" fillId="4" borderId="7" xfId="5" applyNumberFormat="1" applyFont="1" applyFill="1" applyBorder="1" applyProtection="1">
      <protection locked="0"/>
    </xf>
    <xf numFmtId="0" fontId="1" fillId="4" borderId="8" xfId="4" applyFill="1" applyBorder="1" applyProtection="1">
      <protection locked="0"/>
    </xf>
    <xf numFmtId="9" fontId="1" fillId="4" borderId="10" xfId="5" applyFont="1" applyFill="1" applyBorder="1" applyProtection="1">
      <protection locked="0"/>
    </xf>
    <xf numFmtId="168" fontId="1" fillId="4" borderId="6" xfId="1" applyNumberFormat="1" applyFill="1" applyBorder="1"/>
    <xf numFmtId="168" fontId="1" fillId="4" borderId="0" xfId="1" applyNumberFormat="1" applyFill="1" applyBorder="1"/>
    <xf numFmtId="168" fontId="1" fillId="4" borderId="7" xfId="1" applyNumberFormat="1" applyFill="1" applyBorder="1"/>
    <xf numFmtId="168" fontId="1" fillId="4" borderId="1" xfId="1" applyNumberFormat="1" applyFill="1" applyBorder="1"/>
    <xf numFmtId="168" fontId="1" fillId="4" borderId="14" xfId="1" applyNumberFormat="1" applyFill="1" applyBorder="1"/>
    <xf numFmtId="43" fontId="1" fillId="4" borderId="0" xfId="1" applyNumberFormat="1" applyFill="1" applyBorder="1"/>
    <xf numFmtId="43" fontId="1" fillId="4" borderId="7" xfId="1" applyNumberFormat="1" applyFill="1" applyBorder="1"/>
    <xf numFmtId="168" fontId="0" fillId="4" borderId="0" xfId="1" applyNumberFormat="1" applyFont="1" applyFill="1" applyBorder="1"/>
    <xf numFmtId="9" fontId="1" fillId="4" borderId="0" xfId="2" applyFill="1" applyBorder="1"/>
    <xf numFmtId="0" fontId="3" fillId="4" borderId="6" xfId="3" quotePrefix="1" applyFill="1" applyBorder="1"/>
    <xf numFmtId="166" fontId="3" fillId="4" borderId="7" xfId="3" applyNumberFormat="1" applyFill="1" applyBorder="1"/>
    <xf numFmtId="168" fontId="1" fillId="4" borderId="6" xfId="1" quotePrefix="1" applyNumberFormat="1" applyFill="1" applyBorder="1"/>
    <xf numFmtId="168" fontId="1" fillId="4" borderId="9" xfId="1" applyNumberFormat="1" applyFill="1" applyBorder="1"/>
    <xf numFmtId="168" fontId="1" fillId="4" borderId="10" xfId="1" applyNumberFormat="1" applyFill="1" applyBorder="1"/>
    <xf numFmtId="168" fontId="10" fillId="4" borderId="3" xfId="1" applyNumberFormat="1" applyFont="1" applyFill="1" applyBorder="1"/>
    <xf numFmtId="164" fontId="10" fillId="4" borderId="8" xfId="1" applyNumberFormat="1" applyFont="1" applyFill="1" applyBorder="1"/>
    <xf numFmtId="164" fontId="0" fillId="4" borderId="3" xfId="1" applyNumberFormat="1" applyFont="1" applyFill="1" applyBorder="1"/>
    <xf numFmtId="164" fontId="0" fillId="4" borderId="4" xfId="1" applyNumberFormat="1" applyFont="1" applyFill="1" applyBorder="1"/>
    <xf numFmtId="164" fontId="0" fillId="4" borderId="5" xfId="1" applyNumberFormat="1" applyFont="1" applyFill="1" applyBorder="1"/>
    <xf numFmtId="43" fontId="0" fillId="4" borderId="0" xfId="1" applyNumberFormat="1" applyFont="1" applyFill="1" applyBorder="1"/>
    <xf numFmtId="164" fontId="0" fillId="4" borderId="1" xfId="1" applyNumberFormat="1" applyFont="1" applyFill="1" applyBorder="1"/>
    <xf numFmtId="164" fontId="0" fillId="4" borderId="14" xfId="1" applyNumberFormat="1" applyFont="1" applyFill="1" applyBorder="1"/>
    <xf numFmtId="43" fontId="0" fillId="4" borderId="1" xfId="1" applyNumberFormat="1" applyFont="1" applyFill="1" applyBorder="1"/>
    <xf numFmtId="43" fontId="0" fillId="4" borderId="7" xfId="1" applyNumberFormat="1" applyFont="1" applyFill="1" applyBorder="1"/>
    <xf numFmtId="43" fontId="0" fillId="4" borderId="14" xfId="1" applyNumberFormat="1" applyFont="1" applyFill="1" applyBorder="1"/>
    <xf numFmtId="164" fontId="2" fillId="4" borderId="6" xfId="1" applyNumberFormat="1" applyFont="1" applyFill="1" applyBorder="1"/>
    <xf numFmtId="10" fontId="0" fillId="4" borderId="0" xfId="2" applyNumberFormat="1" applyFont="1" applyFill="1" applyBorder="1"/>
    <xf numFmtId="164" fontId="0" fillId="3" borderId="11" xfId="1" applyNumberFormat="1" applyFont="1" applyFill="1" applyBorder="1"/>
    <xf numFmtId="164" fontId="0" fillId="3" borderId="12" xfId="1" applyNumberFormat="1" applyFont="1" applyFill="1" applyBorder="1"/>
    <xf numFmtId="164" fontId="0" fillId="3" borderId="13" xfId="1" applyNumberFormat="1" applyFont="1" applyFill="1" applyBorder="1"/>
    <xf numFmtId="0" fontId="7" fillId="2" borderId="11" xfId="3" applyFont="1" applyFill="1" applyBorder="1" applyAlignment="1">
      <alignment horizontal="center"/>
    </xf>
    <xf numFmtId="0" fontId="7" fillId="2" borderId="12" xfId="3" applyFont="1" applyFill="1" applyBorder="1" applyAlignment="1">
      <alignment horizontal="center"/>
    </xf>
    <xf numFmtId="0" fontId="7" fillId="2" borderId="13" xfId="3" applyFont="1" applyFill="1" applyBorder="1" applyAlignment="1">
      <alignment horizontal="center"/>
    </xf>
    <xf numFmtId="164" fontId="2" fillId="4" borderId="3" xfId="1" applyNumberFormat="1" applyFont="1" applyFill="1" applyBorder="1" applyAlignment="1">
      <alignment horizontal="left"/>
    </xf>
    <xf numFmtId="164" fontId="2" fillId="4" borderId="4" xfId="1" applyNumberFormat="1" applyFont="1" applyFill="1" applyBorder="1" applyAlignment="1">
      <alignment horizontal="left"/>
    </xf>
    <xf numFmtId="164" fontId="2" fillId="4" borderId="6" xfId="1" applyNumberFormat="1" applyFont="1" applyFill="1" applyBorder="1" applyAlignment="1">
      <alignment horizontal="left"/>
    </xf>
    <xf numFmtId="164" fontId="2" fillId="4" borderId="0" xfId="1" applyNumberFormat="1" applyFont="1" applyFill="1" applyBorder="1" applyAlignment="1">
      <alignment horizontal="left"/>
    </xf>
    <xf numFmtId="0" fontId="4" fillId="2" borderId="11" xfId="3" applyFont="1" applyFill="1" applyBorder="1" applyAlignment="1">
      <alignment horizontal="left"/>
    </xf>
    <xf numFmtId="0" fontId="4" fillId="2" borderId="12" xfId="3" applyFont="1" applyFill="1" applyBorder="1" applyAlignment="1">
      <alignment horizontal="left"/>
    </xf>
    <xf numFmtId="0" fontId="4" fillId="2" borderId="13" xfId="3" applyFont="1" applyFill="1" applyBorder="1" applyAlignment="1">
      <alignment horizontal="left"/>
    </xf>
    <xf numFmtId="164" fontId="2" fillId="2" borderId="11" xfId="1" applyNumberFormat="1" applyFont="1" applyFill="1" applyBorder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164" fontId="9" fillId="2" borderId="12" xfId="1" applyNumberFormat="1" applyFont="1" applyFill="1" applyBorder="1" applyAlignment="1">
      <alignment horizontal="center"/>
    </xf>
    <xf numFmtId="164" fontId="9" fillId="2" borderId="13" xfId="1" applyNumberFormat="1" applyFont="1" applyFill="1" applyBorder="1" applyAlignment="1">
      <alignment horizontal="center"/>
    </xf>
    <xf numFmtId="164" fontId="8" fillId="2" borderId="11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164" fontId="8" fillId="2" borderId="13" xfId="1" applyNumberFormat="1" applyFont="1" applyFill="1" applyBorder="1" applyAlignment="1">
      <alignment horizontal="center"/>
    </xf>
    <xf numFmtId="0" fontId="9" fillId="2" borderId="11" xfId="4" applyFont="1" applyFill="1" applyBorder="1" applyAlignment="1" applyProtection="1">
      <alignment horizontal="center"/>
      <protection locked="0"/>
    </xf>
    <xf numFmtId="0" fontId="9" fillId="2" borderId="12" xfId="4" applyFont="1" applyFill="1" applyBorder="1" applyAlignment="1" applyProtection="1">
      <alignment horizontal="center"/>
      <protection locked="0"/>
    </xf>
    <xf numFmtId="0" fontId="9" fillId="2" borderId="13" xfId="4" applyFont="1" applyFill="1" applyBorder="1" applyAlignment="1" applyProtection="1">
      <alignment horizontal="center"/>
      <protection locked="0"/>
    </xf>
  </cellXfs>
  <cellStyles count="6">
    <cellStyle name="Comma" xfId="1" builtinId="3"/>
    <cellStyle name="Excel Built-in Normal" xfId="3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74</xdr:row>
          <xdr:rowOff>19050</xdr:rowOff>
        </xdr:from>
        <xdr:to>
          <xdr:col>2</xdr:col>
          <xdr:colOff>333375</xdr:colOff>
          <xdr:row>76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Reset DFN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142"/>
  <sheetViews>
    <sheetView showGridLines="0" tabSelected="1" zoomScale="90" zoomScaleNormal="90" workbookViewId="0">
      <pane ySplit="1" topLeftCell="A78" activePane="bottomLeft" state="frozen"/>
      <selection pane="bottomLeft" activeCell="B95" sqref="B95"/>
    </sheetView>
  </sheetViews>
  <sheetFormatPr defaultRowHeight="15" x14ac:dyDescent="0.25"/>
  <cols>
    <col min="1" max="1" width="31.7109375" style="3" bestFit="1" customWidth="1"/>
    <col min="2" max="2" width="34.140625" style="3" customWidth="1"/>
    <col min="3" max="3" width="12.42578125" style="3" customWidth="1"/>
    <col min="4" max="4" width="14.42578125" style="3" customWidth="1"/>
    <col min="5" max="7" width="11.5703125" style="3" bestFit="1" customWidth="1"/>
    <col min="8" max="8" width="14.28515625" style="3" customWidth="1"/>
    <col min="9" max="9" width="11.5703125" style="3" bestFit="1" customWidth="1"/>
    <col min="10" max="10" width="12.42578125" style="3" bestFit="1" customWidth="1"/>
    <col min="11" max="11" width="14.28515625" style="3" customWidth="1"/>
    <col min="12" max="12" width="11.5703125" style="3" bestFit="1" customWidth="1"/>
    <col min="13" max="13" width="10.7109375" style="1" customWidth="1"/>
    <col min="14" max="14" width="9.140625" style="3"/>
    <col min="15" max="15" width="28.42578125" style="3" customWidth="1"/>
    <col min="16" max="16" width="10.5703125" style="3" bestFit="1" customWidth="1"/>
    <col min="17" max="16384" width="9.140625" style="3"/>
  </cols>
  <sheetData>
    <row r="1" spans="1:25" ht="15.75" thickBot="1" x14ac:dyDescent="0.3">
      <c r="A1" s="2"/>
      <c r="B1" s="15"/>
      <c r="C1" s="16"/>
      <c r="D1" s="17">
        <v>2014</v>
      </c>
      <c r="E1" s="17">
        <v>2015</v>
      </c>
      <c r="F1" s="17">
        <v>2016</v>
      </c>
      <c r="G1" s="17">
        <v>2017</v>
      </c>
      <c r="H1" s="17">
        <v>2018</v>
      </c>
      <c r="I1" s="17">
        <v>2019</v>
      </c>
      <c r="J1" s="17">
        <v>2020</v>
      </c>
      <c r="K1" s="17">
        <v>2021</v>
      </c>
      <c r="L1" s="18">
        <v>2022</v>
      </c>
    </row>
    <row r="2" spans="1:25" ht="15.75" thickBot="1" x14ac:dyDescent="0.3">
      <c r="B2" s="101" t="s">
        <v>34</v>
      </c>
      <c r="C2" s="102"/>
      <c r="D2" s="102">
        <f>D4*2</f>
        <v>5.3467328402777774</v>
      </c>
      <c r="E2" s="102">
        <f t="shared" ref="E2:L2" si="0">E4*2</f>
        <v>5.3467328402777774</v>
      </c>
      <c r="F2" s="102">
        <f t="shared" si="0"/>
        <v>5.3467328402777774</v>
      </c>
      <c r="G2" s="102">
        <f t="shared" si="0"/>
        <v>5.3467328402777774</v>
      </c>
      <c r="H2" s="102">
        <f t="shared" si="0"/>
        <v>5.3467328402777774</v>
      </c>
      <c r="I2" s="102">
        <f t="shared" si="0"/>
        <v>5.3467328402777774</v>
      </c>
      <c r="J2" s="102">
        <f t="shared" si="0"/>
        <v>5.3467328402777774</v>
      </c>
      <c r="K2" s="102">
        <f t="shared" si="0"/>
        <v>5.3467328402777774</v>
      </c>
      <c r="L2" s="103">
        <f t="shared" si="0"/>
        <v>5.3467328402777774</v>
      </c>
      <c r="O2" s="125" t="s">
        <v>0</v>
      </c>
      <c r="P2" s="126"/>
    </row>
    <row r="3" spans="1:25" x14ac:dyDescent="0.25">
      <c r="B3" s="38" t="s">
        <v>160</v>
      </c>
      <c r="C3" s="29"/>
      <c r="D3" s="104">
        <f>2*D5</f>
        <v>2.6057163555555558</v>
      </c>
      <c r="E3" s="104">
        <f t="shared" ref="E3:L3" si="1">2*E5</f>
        <v>2.6057163555555558</v>
      </c>
      <c r="F3" s="104">
        <f t="shared" si="1"/>
        <v>2.6057163555555558</v>
      </c>
      <c r="G3" s="104">
        <f t="shared" si="1"/>
        <v>2.6057163555555558</v>
      </c>
      <c r="H3" s="104">
        <f t="shared" si="1"/>
        <v>2.6057163555555558</v>
      </c>
      <c r="I3" s="104">
        <f t="shared" si="1"/>
        <v>2.6057163555555558</v>
      </c>
      <c r="J3" s="104">
        <f t="shared" si="1"/>
        <v>2.6057163555555558</v>
      </c>
      <c r="K3" s="104">
        <f t="shared" si="1"/>
        <v>2.6057163555555558</v>
      </c>
      <c r="L3" s="108">
        <f t="shared" si="1"/>
        <v>2.6057163555555558</v>
      </c>
      <c r="O3" s="38" t="s">
        <v>39</v>
      </c>
      <c r="P3" s="30"/>
    </row>
    <row r="4" spans="1:25" x14ac:dyDescent="0.25">
      <c r="B4" s="38" t="s">
        <v>35</v>
      </c>
      <c r="C4" s="29"/>
      <c r="D4" s="29">
        <f>'Cost Of Goods Sold'!F21</f>
        <v>2.6733664201388887</v>
      </c>
      <c r="E4" s="29">
        <f>D4</f>
        <v>2.6733664201388887</v>
      </c>
      <c r="F4" s="29">
        <f>E4</f>
        <v>2.6733664201388887</v>
      </c>
      <c r="G4" s="29">
        <f t="shared" ref="G4:L4" si="2">F4</f>
        <v>2.6733664201388887</v>
      </c>
      <c r="H4" s="29">
        <f t="shared" si="2"/>
        <v>2.6733664201388887</v>
      </c>
      <c r="I4" s="29">
        <f t="shared" si="2"/>
        <v>2.6733664201388887</v>
      </c>
      <c r="J4" s="29">
        <f t="shared" si="2"/>
        <v>2.6733664201388887</v>
      </c>
      <c r="K4" s="29">
        <f t="shared" si="2"/>
        <v>2.6733664201388887</v>
      </c>
      <c r="L4" s="30">
        <f t="shared" si="2"/>
        <v>2.6733664201388887</v>
      </c>
      <c r="O4" s="38" t="s">
        <v>41</v>
      </c>
      <c r="P4" s="30">
        <v>5500</v>
      </c>
    </row>
    <row r="5" spans="1:25" x14ac:dyDescent="0.25">
      <c r="B5" s="38" t="s">
        <v>36</v>
      </c>
      <c r="C5" s="29"/>
      <c r="D5" s="29">
        <f>'Cost Of Goods Sold'!$N$15</f>
        <v>1.3028581777777779</v>
      </c>
      <c r="E5" s="29">
        <f>'Cost Of Goods Sold'!$N$15</f>
        <v>1.3028581777777779</v>
      </c>
      <c r="F5" s="29">
        <f>'Cost Of Goods Sold'!$N$15</f>
        <v>1.3028581777777779</v>
      </c>
      <c r="G5" s="29">
        <f>'Cost Of Goods Sold'!$N$15</f>
        <v>1.3028581777777779</v>
      </c>
      <c r="H5" s="29">
        <f>'Cost Of Goods Sold'!$N$15</f>
        <v>1.3028581777777779</v>
      </c>
      <c r="I5" s="29">
        <f>'Cost Of Goods Sold'!$N$15</f>
        <v>1.3028581777777779</v>
      </c>
      <c r="J5" s="29">
        <f>'Cost Of Goods Sold'!$N$15</f>
        <v>1.3028581777777779</v>
      </c>
      <c r="K5" s="29">
        <f>'Cost Of Goods Sold'!$N$15</f>
        <v>1.3028581777777779</v>
      </c>
      <c r="L5" s="30">
        <f>'Cost Of Goods Sold'!$N$15</f>
        <v>1.3028581777777779</v>
      </c>
      <c r="O5" s="38" t="s">
        <v>88</v>
      </c>
      <c r="P5" s="30">
        <f>6000+300</f>
        <v>6300</v>
      </c>
    </row>
    <row r="6" spans="1:25" x14ac:dyDescent="0.25">
      <c r="B6" s="38" t="s">
        <v>108</v>
      </c>
      <c r="C6" s="29"/>
      <c r="D6" s="29">
        <v>30</v>
      </c>
      <c r="E6" s="29">
        <f>D6*(1+$M$6)</f>
        <v>30</v>
      </c>
      <c r="F6" s="29">
        <f t="shared" ref="F6:L6" si="3">E6*(1+$M$6)</f>
        <v>30</v>
      </c>
      <c r="G6" s="29">
        <f t="shared" si="3"/>
        <v>30</v>
      </c>
      <c r="H6" s="29">
        <f t="shared" si="3"/>
        <v>30</v>
      </c>
      <c r="I6" s="29">
        <f t="shared" si="3"/>
        <v>30</v>
      </c>
      <c r="J6" s="29">
        <f t="shared" si="3"/>
        <v>30</v>
      </c>
      <c r="K6" s="29">
        <f t="shared" si="3"/>
        <v>30</v>
      </c>
      <c r="L6" s="30">
        <f t="shared" si="3"/>
        <v>30</v>
      </c>
      <c r="O6" s="38" t="s">
        <v>40</v>
      </c>
      <c r="P6" s="30">
        <v>15000</v>
      </c>
      <c r="Q6"/>
    </row>
    <row r="7" spans="1:25" x14ac:dyDescent="0.25">
      <c r="B7" s="38" t="s">
        <v>111</v>
      </c>
      <c r="C7" s="29"/>
      <c r="D7" s="29">
        <v>10</v>
      </c>
      <c r="E7" s="29">
        <f>D7*(1+$M$7)</f>
        <v>10</v>
      </c>
      <c r="F7" s="29">
        <f t="shared" ref="F7:L7" si="4">E7*(1+$M$7)</f>
        <v>10</v>
      </c>
      <c r="G7" s="29">
        <f t="shared" si="4"/>
        <v>10</v>
      </c>
      <c r="H7" s="29">
        <f t="shared" si="4"/>
        <v>10</v>
      </c>
      <c r="I7" s="29">
        <f t="shared" si="4"/>
        <v>10</v>
      </c>
      <c r="J7" s="29">
        <f t="shared" si="4"/>
        <v>10</v>
      </c>
      <c r="K7" s="29">
        <f t="shared" si="4"/>
        <v>10</v>
      </c>
      <c r="L7" s="30">
        <f t="shared" si="4"/>
        <v>10</v>
      </c>
      <c r="O7" s="38" t="s">
        <v>42</v>
      </c>
      <c r="P7" s="30">
        <v>2000</v>
      </c>
    </row>
    <row r="8" spans="1:25" x14ac:dyDescent="0.25">
      <c r="B8" s="38" t="s">
        <v>37</v>
      </c>
      <c r="C8" s="29"/>
      <c r="D8" s="29">
        <v>1300</v>
      </c>
      <c r="E8" s="29">
        <v>1300</v>
      </c>
      <c r="F8" s="29">
        <f>E8</f>
        <v>1300</v>
      </c>
      <c r="G8" s="29">
        <f t="shared" ref="G8:L10" si="5">F8</f>
        <v>1300</v>
      </c>
      <c r="H8" s="29">
        <f t="shared" si="5"/>
        <v>1300</v>
      </c>
      <c r="I8" s="29">
        <f t="shared" si="5"/>
        <v>1300</v>
      </c>
      <c r="J8" s="29">
        <f t="shared" si="5"/>
        <v>1300</v>
      </c>
      <c r="K8" s="29">
        <f t="shared" si="5"/>
        <v>1300</v>
      </c>
      <c r="L8" s="30">
        <f t="shared" si="5"/>
        <v>1300</v>
      </c>
      <c r="O8" s="38" t="s">
        <v>43</v>
      </c>
      <c r="P8" s="30">
        <f>SUM(P3:P7)</f>
        <v>28800</v>
      </c>
    </row>
    <row r="9" spans="1:25" x14ac:dyDescent="0.25">
      <c r="B9" s="38" t="s">
        <v>38</v>
      </c>
      <c r="C9" s="29"/>
      <c r="D9" s="29">
        <v>6</v>
      </c>
      <c r="E9" s="29">
        <v>6</v>
      </c>
      <c r="F9" s="29">
        <f>E9</f>
        <v>6</v>
      </c>
      <c r="G9" s="29">
        <f t="shared" si="5"/>
        <v>6</v>
      </c>
      <c r="H9" s="29">
        <f t="shared" si="5"/>
        <v>6</v>
      </c>
      <c r="I9" s="29">
        <f t="shared" si="5"/>
        <v>6</v>
      </c>
      <c r="J9" s="29">
        <f t="shared" si="5"/>
        <v>6</v>
      </c>
      <c r="K9" s="29">
        <f t="shared" si="5"/>
        <v>6</v>
      </c>
      <c r="L9" s="30">
        <f t="shared" si="5"/>
        <v>6</v>
      </c>
      <c r="O9" s="38" t="s">
        <v>89</v>
      </c>
      <c r="P9" s="30">
        <f>0.15*P8</f>
        <v>4320</v>
      </c>
    </row>
    <row r="10" spans="1:25" ht="15.75" thickBot="1" x14ac:dyDescent="0.3">
      <c r="B10" s="38" t="s">
        <v>83</v>
      </c>
      <c r="C10" s="29"/>
      <c r="D10" s="29">
        <v>2</v>
      </c>
      <c r="E10" s="29">
        <v>1.5</v>
      </c>
      <c r="F10" s="29">
        <f>E10</f>
        <v>1.5</v>
      </c>
      <c r="G10" s="29">
        <f t="shared" si="5"/>
        <v>1.5</v>
      </c>
      <c r="H10" s="29">
        <f t="shared" si="5"/>
        <v>1.5</v>
      </c>
      <c r="I10" s="29">
        <f t="shared" si="5"/>
        <v>1.5</v>
      </c>
      <c r="J10" s="29">
        <f t="shared" si="5"/>
        <v>1.5</v>
      </c>
      <c r="K10" s="29">
        <f t="shared" si="5"/>
        <v>1.5</v>
      </c>
      <c r="L10" s="30">
        <f t="shared" si="5"/>
        <v>1.5</v>
      </c>
      <c r="O10" s="40" t="s">
        <v>90</v>
      </c>
      <c r="P10" s="43">
        <f>P8-P9</f>
        <v>24480</v>
      </c>
    </row>
    <row r="11" spans="1:25" x14ac:dyDescent="0.25">
      <c r="B11" s="38" t="s">
        <v>6</v>
      </c>
      <c r="C11" s="29"/>
      <c r="D11" s="104">
        <f>$P$10/10</f>
        <v>2448</v>
      </c>
      <c r="E11" s="104">
        <f>$P$10/10</f>
        <v>2448</v>
      </c>
      <c r="F11" s="104">
        <f t="shared" ref="F11:L11" si="6">$P$10/10</f>
        <v>2448</v>
      </c>
      <c r="G11" s="104">
        <f t="shared" si="6"/>
        <v>2448</v>
      </c>
      <c r="H11" s="104">
        <f t="shared" si="6"/>
        <v>2448</v>
      </c>
      <c r="I11" s="104">
        <f t="shared" si="6"/>
        <v>2448</v>
      </c>
      <c r="J11" s="104">
        <f t="shared" si="6"/>
        <v>2448</v>
      </c>
      <c r="K11" s="104">
        <f t="shared" si="6"/>
        <v>2448</v>
      </c>
      <c r="L11" s="108">
        <f t="shared" si="6"/>
        <v>2448</v>
      </c>
    </row>
    <row r="12" spans="1:25" ht="15.75" thickBot="1" x14ac:dyDescent="0.3">
      <c r="B12" s="38" t="s">
        <v>78</v>
      </c>
      <c r="C12" s="29"/>
      <c r="D12" s="29">
        <v>10</v>
      </c>
      <c r="E12" s="29">
        <f>D12</f>
        <v>10</v>
      </c>
      <c r="F12" s="29">
        <f t="shared" ref="F12:L13" si="7">E12</f>
        <v>10</v>
      </c>
      <c r="G12" s="29">
        <f t="shared" si="7"/>
        <v>10</v>
      </c>
      <c r="H12" s="29">
        <f t="shared" si="7"/>
        <v>10</v>
      </c>
      <c r="I12" s="29">
        <f t="shared" si="7"/>
        <v>10</v>
      </c>
      <c r="J12" s="29">
        <f t="shared" si="7"/>
        <v>10</v>
      </c>
      <c r="K12" s="29">
        <f t="shared" si="7"/>
        <v>10</v>
      </c>
      <c r="L12" s="30">
        <f t="shared" si="7"/>
        <v>10</v>
      </c>
    </row>
    <row r="13" spans="1:25" ht="15.75" thickBot="1" x14ac:dyDescent="0.3">
      <c r="B13" s="38" t="s">
        <v>80</v>
      </c>
      <c r="C13" s="29"/>
      <c r="D13" s="29">
        <v>30</v>
      </c>
      <c r="E13" s="29">
        <f>D13</f>
        <v>30</v>
      </c>
      <c r="F13" s="29">
        <f t="shared" si="7"/>
        <v>30</v>
      </c>
      <c r="G13" s="29">
        <f t="shared" si="7"/>
        <v>30</v>
      </c>
      <c r="H13" s="29">
        <f t="shared" si="7"/>
        <v>30</v>
      </c>
      <c r="I13" s="29">
        <f t="shared" si="7"/>
        <v>30</v>
      </c>
      <c r="J13" s="29">
        <f t="shared" si="7"/>
        <v>30</v>
      </c>
      <c r="K13" s="29">
        <f t="shared" si="7"/>
        <v>30</v>
      </c>
      <c r="L13" s="30">
        <f t="shared" si="7"/>
        <v>30</v>
      </c>
      <c r="O13" s="122" t="s">
        <v>162</v>
      </c>
      <c r="P13" s="123"/>
      <c r="Q13" s="123"/>
      <c r="R13" s="123"/>
      <c r="S13" s="123"/>
      <c r="T13" s="123"/>
      <c r="U13" s="123"/>
      <c r="V13" s="123"/>
      <c r="W13" s="123"/>
      <c r="X13" s="123"/>
      <c r="Y13" s="124"/>
    </row>
    <row r="14" spans="1:25" x14ac:dyDescent="0.25">
      <c r="B14" s="38" t="s">
        <v>81</v>
      </c>
      <c r="C14" s="29"/>
      <c r="D14" s="29">
        <v>30</v>
      </c>
      <c r="E14" s="29">
        <f>D14</f>
        <v>30</v>
      </c>
      <c r="F14" s="29">
        <f t="shared" ref="F14:L14" si="8">E14</f>
        <v>30</v>
      </c>
      <c r="G14" s="29">
        <f t="shared" si="8"/>
        <v>30</v>
      </c>
      <c r="H14" s="29">
        <f t="shared" si="8"/>
        <v>30</v>
      </c>
      <c r="I14" s="29">
        <f t="shared" si="8"/>
        <v>30</v>
      </c>
      <c r="J14" s="29">
        <f t="shared" si="8"/>
        <v>30</v>
      </c>
      <c r="K14" s="29">
        <f t="shared" si="8"/>
        <v>30</v>
      </c>
      <c r="L14" s="30">
        <f t="shared" si="8"/>
        <v>30</v>
      </c>
      <c r="O14" s="28"/>
      <c r="P14" s="26"/>
      <c r="Q14" s="26"/>
      <c r="R14" s="26" t="s">
        <v>114</v>
      </c>
      <c r="S14" s="26" t="s">
        <v>115</v>
      </c>
      <c r="T14" s="26"/>
      <c r="U14" s="29"/>
      <c r="V14" s="29"/>
      <c r="W14" s="29"/>
      <c r="X14" s="29"/>
      <c r="Y14" s="30"/>
    </row>
    <row r="15" spans="1:25" x14ac:dyDescent="0.25">
      <c r="B15" s="38" t="s">
        <v>112</v>
      </c>
      <c r="C15" s="29"/>
      <c r="D15" s="29">
        <f>45000/10</f>
        <v>4500</v>
      </c>
      <c r="E15" s="29">
        <f t="shared" ref="E15:L15" si="9">45000/10</f>
        <v>4500</v>
      </c>
      <c r="F15" s="29">
        <f t="shared" si="9"/>
        <v>4500</v>
      </c>
      <c r="G15" s="29">
        <f t="shared" si="9"/>
        <v>4500</v>
      </c>
      <c r="H15" s="29">
        <f t="shared" si="9"/>
        <v>4500</v>
      </c>
      <c r="I15" s="29">
        <f t="shared" si="9"/>
        <v>4500</v>
      </c>
      <c r="J15" s="29">
        <f t="shared" si="9"/>
        <v>4500</v>
      </c>
      <c r="K15" s="29">
        <f t="shared" si="9"/>
        <v>4500</v>
      </c>
      <c r="L15" s="30">
        <f t="shared" si="9"/>
        <v>4500</v>
      </c>
      <c r="O15" s="31" t="s">
        <v>116</v>
      </c>
      <c r="P15" s="26"/>
      <c r="Q15" s="26"/>
      <c r="R15" s="26"/>
      <c r="S15" s="26"/>
      <c r="T15" s="26"/>
      <c r="U15" s="29"/>
      <c r="V15" s="29"/>
      <c r="W15" s="29"/>
      <c r="X15" s="29"/>
      <c r="Y15" s="30"/>
    </row>
    <row r="16" spans="1:25" ht="15.75" thickBot="1" x14ac:dyDescent="0.3">
      <c r="B16" s="40" t="s">
        <v>109</v>
      </c>
      <c r="C16" s="42"/>
      <c r="D16" s="42">
        <v>17</v>
      </c>
      <c r="E16" s="42">
        <f>D16*(1+$M$16)</f>
        <v>17.084999999999997</v>
      </c>
      <c r="F16" s="42">
        <f t="shared" ref="F16:L16" si="10">E16*(1+$M$16)</f>
        <v>17.170424999999994</v>
      </c>
      <c r="G16" s="42">
        <f t="shared" si="10"/>
        <v>17.256277124999993</v>
      </c>
      <c r="H16" s="42">
        <f t="shared" si="10"/>
        <v>17.34255851062499</v>
      </c>
      <c r="I16" s="42">
        <f t="shared" si="10"/>
        <v>17.429271303178112</v>
      </c>
      <c r="J16" s="42">
        <f t="shared" si="10"/>
        <v>17.516417659694</v>
      </c>
      <c r="K16" s="42">
        <f t="shared" si="10"/>
        <v>17.603999747992468</v>
      </c>
      <c r="L16" s="43">
        <f t="shared" si="10"/>
        <v>17.692019746732427</v>
      </c>
      <c r="M16" s="12">
        <v>5.0000000000000001E-3</v>
      </c>
      <c r="O16" s="28"/>
      <c r="P16" s="27" t="s">
        <v>24</v>
      </c>
      <c r="Q16" s="26"/>
      <c r="R16" s="26"/>
      <c r="S16" s="32">
        <f>3*E2</f>
        <v>16.040198520833332</v>
      </c>
      <c r="T16" s="26"/>
      <c r="U16" s="29"/>
      <c r="V16" s="29"/>
      <c r="W16" s="29"/>
      <c r="X16" s="29"/>
      <c r="Y16" s="30"/>
    </row>
    <row r="17" spans="1:25" x14ac:dyDescent="0.25">
      <c r="O17" s="28"/>
      <c r="P17" s="27" t="s">
        <v>118</v>
      </c>
      <c r="Q17" s="26"/>
      <c r="R17" s="26"/>
      <c r="S17" s="32">
        <f>E3</f>
        <v>2.6057163555555558</v>
      </c>
      <c r="T17" s="26"/>
      <c r="U17" s="29"/>
      <c r="V17" s="26" t="s">
        <v>117</v>
      </c>
      <c r="W17" s="29"/>
      <c r="X17" s="29"/>
      <c r="Y17" s="30"/>
    </row>
    <row r="18" spans="1:25" x14ac:dyDescent="0.25">
      <c r="O18" s="28"/>
      <c r="P18" s="26"/>
      <c r="Q18" s="26"/>
      <c r="R18" s="26"/>
      <c r="S18" s="26"/>
      <c r="T18" s="26"/>
      <c r="U18" s="29"/>
      <c r="V18" s="29"/>
      <c r="W18" s="29"/>
      <c r="X18" s="29"/>
      <c r="Y18" s="30"/>
    </row>
    <row r="19" spans="1:25" x14ac:dyDescent="0.25">
      <c r="O19" s="31" t="s">
        <v>113</v>
      </c>
      <c r="P19" s="26"/>
      <c r="Q19" s="26"/>
      <c r="R19" s="26"/>
      <c r="S19" s="26"/>
      <c r="T19" s="26"/>
      <c r="U19" s="29"/>
      <c r="V19" s="29"/>
      <c r="W19" s="29"/>
      <c r="X19" s="29"/>
      <c r="Y19" s="30"/>
    </row>
    <row r="20" spans="1:25" x14ac:dyDescent="0.25">
      <c r="D20" s="4"/>
      <c r="E20" s="4"/>
      <c r="F20" s="4"/>
      <c r="G20" s="4"/>
      <c r="H20" s="4"/>
      <c r="I20" s="4"/>
      <c r="J20" s="4"/>
      <c r="K20" s="4"/>
      <c r="L20" s="4"/>
      <c r="O20" s="28" t="s">
        <v>91</v>
      </c>
      <c r="P20" s="26"/>
      <c r="Q20" s="26"/>
      <c r="R20" s="26"/>
      <c r="S20" s="26"/>
      <c r="T20" s="26"/>
      <c r="U20" s="29"/>
      <c r="V20" s="29"/>
      <c r="W20" s="29"/>
      <c r="X20" s="29"/>
      <c r="Y20" s="30"/>
    </row>
    <row r="21" spans="1:25" ht="15.75" thickBot="1" x14ac:dyDescent="0.3">
      <c r="O21" s="33"/>
      <c r="P21" s="27" t="s">
        <v>24</v>
      </c>
      <c r="Q21" s="26"/>
      <c r="R21" s="26"/>
      <c r="S21" s="32">
        <f>3*E4</f>
        <v>8.0200992604166661</v>
      </c>
      <c r="T21" s="26"/>
      <c r="U21" s="29"/>
      <c r="V21" s="29"/>
      <c r="W21" s="29"/>
      <c r="X21" s="29"/>
      <c r="Y21" s="30"/>
    </row>
    <row r="22" spans="1:25" ht="19.5" thickBot="1" x14ac:dyDescent="0.35">
      <c r="A22" s="127" t="s">
        <v>1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9"/>
      <c r="O22" s="33"/>
      <c r="P22" s="27" t="s">
        <v>118</v>
      </c>
      <c r="Q22" s="26"/>
      <c r="R22" s="26"/>
      <c r="S22" s="32">
        <f>E5</f>
        <v>1.3028581777777779</v>
      </c>
      <c r="T22" s="26"/>
      <c r="U22" s="29"/>
      <c r="V22" s="29"/>
      <c r="W22" s="29"/>
      <c r="X22" s="29"/>
      <c r="Y22" s="30"/>
    </row>
    <row r="23" spans="1:25" x14ac:dyDescent="0.25">
      <c r="A23" s="118" t="s">
        <v>2</v>
      </c>
      <c r="B23" s="119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O23" s="34" t="s">
        <v>119</v>
      </c>
      <c r="P23" s="26"/>
      <c r="Q23" s="26"/>
      <c r="R23" s="26"/>
      <c r="S23" s="32">
        <f>SUM(S16:S17)*T23</f>
        <v>2.7968872314583328</v>
      </c>
      <c r="T23" s="35">
        <f>M39</f>
        <v>0.15</v>
      </c>
      <c r="U23" s="29"/>
      <c r="V23" s="29"/>
      <c r="W23" s="29"/>
      <c r="X23" s="29"/>
      <c r="Y23" s="30"/>
    </row>
    <row r="24" spans="1:25" ht="15.75" thickBot="1" x14ac:dyDescent="0.3">
      <c r="A24" s="38"/>
      <c r="B24" s="29" t="s">
        <v>24</v>
      </c>
      <c r="C24" s="29"/>
      <c r="D24" s="104">
        <f>D2*D6*D16*52</f>
        <v>141795.35492416666</v>
      </c>
      <c r="E24" s="29">
        <f t="shared" ref="E24:L24" si="11">E2*E6*E16*52</f>
        <v>142504.33169878746</v>
      </c>
      <c r="F24" s="29">
        <f t="shared" si="11"/>
        <v>143216.85335728136</v>
      </c>
      <c r="G24" s="29">
        <f t="shared" si="11"/>
        <v>143932.93762406777</v>
      </c>
      <c r="H24" s="29">
        <f t="shared" si="11"/>
        <v>144652.60231218807</v>
      </c>
      <c r="I24" s="29">
        <f t="shared" si="11"/>
        <v>145375.86532374899</v>
      </c>
      <c r="J24" s="29">
        <f t="shared" si="11"/>
        <v>146102.74465036771</v>
      </c>
      <c r="K24" s="29">
        <f t="shared" si="11"/>
        <v>146833.25837361955</v>
      </c>
      <c r="L24" s="30">
        <f t="shared" si="11"/>
        <v>147567.4246654876</v>
      </c>
      <c r="O24" s="34"/>
      <c r="P24" s="26"/>
      <c r="Q24" s="26"/>
      <c r="R24" s="26"/>
      <c r="S24" s="32"/>
      <c r="T24" s="35"/>
      <c r="U24" s="29"/>
      <c r="V24" s="29"/>
      <c r="W24" s="29"/>
      <c r="X24" s="29"/>
      <c r="Y24" s="30"/>
    </row>
    <row r="25" spans="1:25" ht="15.75" thickBot="1" x14ac:dyDescent="0.3">
      <c r="A25" s="38"/>
      <c r="B25" s="29" t="s">
        <v>25</v>
      </c>
      <c r="C25" s="29"/>
      <c r="D25" s="107">
        <f>D7*D3*D16*52</f>
        <v>23034.532583111115</v>
      </c>
      <c r="E25" s="105">
        <f t="shared" ref="E25:L25" si="12">E7*E3*E16*52</f>
        <v>23149.705246026664</v>
      </c>
      <c r="F25" s="105">
        <f t="shared" si="12"/>
        <v>23265.453772256795</v>
      </c>
      <c r="G25" s="105">
        <f t="shared" si="12"/>
        <v>23381.781041118076</v>
      </c>
      <c r="H25" s="105">
        <f t="shared" si="12"/>
        <v>23498.689946323662</v>
      </c>
      <c r="I25" s="105">
        <f t="shared" si="12"/>
        <v>23616.183396055279</v>
      </c>
      <c r="J25" s="105">
        <f t="shared" si="12"/>
        <v>23734.26431303555</v>
      </c>
      <c r="K25" s="105">
        <f t="shared" si="12"/>
        <v>23852.935634600726</v>
      </c>
      <c r="L25" s="106">
        <f t="shared" si="12"/>
        <v>23972.200312773726</v>
      </c>
      <c r="O25" s="34" t="s">
        <v>120</v>
      </c>
      <c r="P25" s="26"/>
      <c r="Q25" s="26"/>
      <c r="R25" s="26"/>
      <c r="S25" s="24">
        <f>SUM(S16:S17)-SUM(S21:S23)</f>
        <v>6.5260702067361098</v>
      </c>
      <c r="T25" s="35"/>
      <c r="U25" s="29"/>
      <c r="V25" s="29"/>
      <c r="W25" s="29"/>
      <c r="X25" s="29"/>
      <c r="Y25" s="30"/>
    </row>
    <row r="26" spans="1:25" x14ac:dyDescent="0.25">
      <c r="A26" s="38"/>
      <c r="B26" s="29" t="s">
        <v>26</v>
      </c>
      <c r="C26" s="29"/>
      <c r="D26" s="29">
        <f>SUM(D24:D25)</f>
        <v>164829.88750727777</v>
      </c>
      <c r="E26" s="29">
        <f t="shared" ref="E26:L26" si="13">SUM(E24:E25)</f>
        <v>165654.03694481411</v>
      </c>
      <c r="F26" s="29">
        <f t="shared" si="13"/>
        <v>166482.30712953815</v>
      </c>
      <c r="G26" s="29">
        <f t="shared" si="13"/>
        <v>167314.71866518585</v>
      </c>
      <c r="H26" s="29">
        <f t="shared" si="13"/>
        <v>168151.29225851173</v>
      </c>
      <c r="I26" s="29">
        <f t="shared" si="13"/>
        <v>168992.04871980427</v>
      </c>
      <c r="J26" s="29">
        <f t="shared" si="13"/>
        <v>169837.00896340326</v>
      </c>
      <c r="K26" s="29">
        <f t="shared" si="13"/>
        <v>170686.19400822028</v>
      </c>
      <c r="L26" s="30">
        <f t="shared" si="13"/>
        <v>171539.62497826133</v>
      </c>
      <c r="O26" s="34"/>
      <c r="P26" s="26"/>
      <c r="Q26" s="26"/>
      <c r="R26" s="26"/>
      <c r="S26" s="26"/>
      <c r="T26" s="36"/>
      <c r="U26" s="29"/>
      <c r="V26" s="29"/>
      <c r="W26" s="29"/>
      <c r="X26" s="29"/>
      <c r="Y26" s="30"/>
    </row>
    <row r="27" spans="1:25" x14ac:dyDescent="0.25">
      <c r="A27" s="3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  <c r="O27" s="31" t="s">
        <v>121</v>
      </c>
      <c r="P27" s="26"/>
      <c r="Q27" s="26"/>
      <c r="R27" s="26"/>
      <c r="S27" s="26"/>
      <c r="T27" s="26"/>
      <c r="U27" s="29"/>
      <c r="V27" s="29"/>
      <c r="W27" s="29"/>
      <c r="X27" s="29"/>
      <c r="Y27" s="30"/>
    </row>
    <row r="28" spans="1:25" x14ac:dyDescent="0.25">
      <c r="A28" s="120" t="s">
        <v>91</v>
      </c>
      <c r="B28" s="121"/>
      <c r="C28" s="29"/>
      <c r="D28" s="29"/>
      <c r="E28" s="29"/>
      <c r="F28" s="29"/>
      <c r="G28" s="29"/>
      <c r="H28" s="29"/>
      <c r="I28" s="29"/>
      <c r="J28" s="29"/>
      <c r="K28" s="29"/>
      <c r="L28" s="30"/>
      <c r="O28" s="28" t="s">
        <v>92</v>
      </c>
      <c r="P28" s="26"/>
      <c r="Q28" s="26"/>
      <c r="R28" s="37">
        <f>E34</f>
        <v>36750</v>
      </c>
      <c r="S28" s="26"/>
      <c r="T28" s="26"/>
      <c r="U28" s="29"/>
      <c r="V28" s="29"/>
      <c r="W28" s="29"/>
      <c r="X28" s="29"/>
      <c r="Y28" s="30"/>
    </row>
    <row r="29" spans="1:25" x14ac:dyDescent="0.25">
      <c r="A29" s="38"/>
      <c r="B29" s="29" t="s">
        <v>24</v>
      </c>
      <c r="C29" s="29"/>
      <c r="D29" s="104">
        <f>D4*D6*D16*52</f>
        <v>70897.677462083331</v>
      </c>
      <c r="E29" s="104">
        <f t="shared" ref="E29:L29" si="14">E4*E6*E16*52</f>
        <v>71252.165849393728</v>
      </c>
      <c r="F29" s="104">
        <f t="shared" si="14"/>
        <v>71608.426678640681</v>
      </c>
      <c r="G29" s="104">
        <f t="shared" si="14"/>
        <v>71966.468812033883</v>
      </c>
      <c r="H29" s="104">
        <f t="shared" si="14"/>
        <v>72326.301156094036</v>
      </c>
      <c r="I29" s="104">
        <f t="shared" si="14"/>
        <v>72687.932661874496</v>
      </c>
      <c r="J29" s="104">
        <f t="shared" si="14"/>
        <v>73051.372325183853</v>
      </c>
      <c r="K29" s="104">
        <f>K4*K6*K16*52</f>
        <v>73416.629186809776</v>
      </c>
      <c r="L29" s="108">
        <f t="shared" si="14"/>
        <v>73783.712332743802</v>
      </c>
      <c r="O29" s="33" t="s">
        <v>28</v>
      </c>
      <c r="P29" s="27"/>
      <c r="Q29" s="26"/>
      <c r="R29" s="37">
        <f>E35</f>
        <v>30</v>
      </c>
      <c r="S29" s="26"/>
      <c r="T29" s="26"/>
      <c r="U29" s="29"/>
      <c r="V29" s="29"/>
      <c r="W29" s="29"/>
      <c r="X29" s="29"/>
      <c r="Y29" s="30"/>
    </row>
    <row r="30" spans="1:25" x14ac:dyDescent="0.25">
      <c r="A30" s="38"/>
      <c r="B30" s="29" t="s">
        <v>25</v>
      </c>
      <c r="C30" s="29"/>
      <c r="D30" s="107">
        <f>D5*D7*D16*52</f>
        <v>11517.266291555557</v>
      </c>
      <c r="E30" s="107">
        <f t="shared" ref="E30:L30" si="15">E5*E7*E16*52</f>
        <v>11574.852623013332</v>
      </c>
      <c r="F30" s="107">
        <f t="shared" si="15"/>
        <v>11632.726886128397</v>
      </c>
      <c r="G30" s="107">
        <f t="shared" si="15"/>
        <v>11690.890520559038</v>
      </c>
      <c r="H30" s="107">
        <f t="shared" si="15"/>
        <v>11749.344973161831</v>
      </c>
      <c r="I30" s="107">
        <f t="shared" si="15"/>
        <v>11808.09169802764</v>
      </c>
      <c r="J30" s="107">
        <f t="shared" si="15"/>
        <v>11867.132156517775</v>
      </c>
      <c r="K30" s="107">
        <f t="shared" si="15"/>
        <v>11926.467817300363</v>
      </c>
      <c r="L30" s="109">
        <f t="shared" si="15"/>
        <v>11986.100156386863</v>
      </c>
      <c r="O30" s="38" t="s">
        <v>30</v>
      </c>
      <c r="P30" s="27"/>
      <c r="Q30" s="26"/>
      <c r="R30" s="37">
        <f>E37</f>
        <v>7800</v>
      </c>
      <c r="S30" s="26"/>
      <c r="T30" s="26"/>
      <c r="U30" s="29"/>
      <c r="V30" s="29"/>
      <c r="W30" s="29"/>
      <c r="X30" s="29"/>
      <c r="Y30" s="30"/>
    </row>
    <row r="31" spans="1:25" x14ac:dyDescent="0.25">
      <c r="A31" s="38"/>
      <c r="B31" s="29" t="s">
        <v>27</v>
      </c>
      <c r="C31" s="29"/>
      <c r="D31" s="29">
        <f>SUM(D29:D30)</f>
        <v>82414.943753638887</v>
      </c>
      <c r="E31" s="29">
        <f t="shared" ref="E31:L31" si="16">SUM(E29:E30)</f>
        <v>82827.018472407057</v>
      </c>
      <c r="F31" s="29">
        <f t="shared" si="16"/>
        <v>83241.153564769076</v>
      </c>
      <c r="G31" s="29">
        <f t="shared" si="16"/>
        <v>83657.359332592925</v>
      </c>
      <c r="H31" s="29">
        <f t="shared" si="16"/>
        <v>84075.646129255867</v>
      </c>
      <c r="I31" s="29">
        <f t="shared" si="16"/>
        <v>84496.024359902134</v>
      </c>
      <c r="J31" s="29">
        <f t="shared" si="16"/>
        <v>84918.504481701631</v>
      </c>
      <c r="K31" s="29">
        <f t="shared" si="16"/>
        <v>85343.097004110139</v>
      </c>
      <c r="L31" s="30">
        <f t="shared" si="16"/>
        <v>85769.812489130665</v>
      </c>
      <c r="O31" s="38" t="s">
        <v>32</v>
      </c>
      <c r="P31" s="26"/>
      <c r="Q31" s="26"/>
      <c r="R31" s="37">
        <f>E40</f>
        <v>500</v>
      </c>
      <c r="S31" s="26"/>
      <c r="T31" s="26"/>
      <c r="U31" s="29"/>
      <c r="V31" s="29"/>
      <c r="W31" s="29"/>
      <c r="X31" s="29"/>
      <c r="Y31" s="30"/>
    </row>
    <row r="32" spans="1:25" x14ac:dyDescent="0.25">
      <c r="A32" s="3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O32" s="38" t="s">
        <v>103</v>
      </c>
      <c r="P32" s="26"/>
      <c r="Q32" s="26"/>
      <c r="R32" s="37">
        <f>E38</f>
        <v>1950</v>
      </c>
      <c r="S32" s="26"/>
      <c r="T32" s="26"/>
      <c r="U32" s="29"/>
      <c r="V32" s="29"/>
      <c r="W32" s="29"/>
      <c r="X32" s="29"/>
      <c r="Y32" s="30"/>
    </row>
    <row r="33" spans="1:25" ht="15.75" thickBot="1" x14ac:dyDescent="0.3">
      <c r="A33" s="110" t="s">
        <v>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30"/>
      <c r="O33" s="38"/>
      <c r="P33" s="26"/>
      <c r="Q33" s="26"/>
      <c r="R33" s="39"/>
      <c r="S33" s="26"/>
      <c r="T33" s="26"/>
      <c r="U33" s="29"/>
      <c r="V33" s="29"/>
      <c r="W33" s="29"/>
      <c r="X33" s="29"/>
      <c r="Y33" s="30"/>
    </row>
    <row r="34" spans="1:25" ht="15.75" thickBot="1" x14ac:dyDescent="0.3">
      <c r="A34" s="38"/>
      <c r="B34" s="29" t="s">
        <v>92</v>
      </c>
      <c r="C34" s="29"/>
      <c r="D34" s="29">
        <v>35000</v>
      </c>
      <c r="E34" s="29">
        <f>D34*(1+$M$34)</f>
        <v>36750</v>
      </c>
      <c r="F34" s="29">
        <f t="shared" ref="F34:G34" si="17">E34*(1+$M$34)</f>
        <v>38587.5</v>
      </c>
      <c r="G34" s="29">
        <f t="shared" si="17"/>
        <v>40516.875</v>
      </c>
      <c r="H34" s="29">
        <f t="shared" ref="H34" si="18">G34*(1+$M$34)</f>
        <v>42542.71875</v>
      </c>
      <c r="I34" s="29">
        <f t="shared" ref="I34" si="19">H34*(1+$M$34)</f>
        <v>44669.854687500003</v>
      </c>
      <c r="J34" s="29">
        <f t="shared" ref="J34" si="20">I34*(1+$M$34)</f>
        <v>46903.347421875005</v>
      </c>
      <c r="K34" s="29">
        <f t="shared" ref="K34" si="21">J34*(1+$M$34)</f>
        <v>49248.514792968759</v>
      </c>
      <c r="L34" s="30">
        <f t="shared" ref="L34" si="22">K34*(1+$M$34)</f>
        <v>51710.940532617198</v>
      </c>
      <c r="M34" s="1">
        <v>0.05</v>
      </c>
      <c r="O34" s="40" t="s">
        <v>122</v>
      </c>
      <c r="P34" s="41"/>
      <c r="Q34" s="41"/>
      <c r="R34" s="41"/>
      <c r="S34" s="25">
        <f>SUM(R28:R32)/S25</f>
        <v>7206.4808545051128</v>
      </c>
      <c r="T34" s="41"/>
      <c r="U34" s="42"/>
      <c r="V34" s="42"/>
      <c r="W34" s="42"/>
      <c r="X34" s="42"/>
      <c r="Y34" s="43"/>
    </row>
    <row r="35" spans="1:25" x14ac:dyDescent="0.25">
      <c r="A35" s="38"/>
      <c r="B35" s="29" t="s">
        <v>28</v>
      </c>
      <c r="C35" s="29"/>
      <c r="D35" s="29">
        <v>30</v>
      </c>
      <c r="E35" s="29">
        <v>30</v>
      </c>
      <c r="F35" s="29">
        <v>30</v>
      </c>
      <c r="G35" s="29">
        <v>30</v>
      </c>
      <c r="H35" s="29">
        <v>30</v>
      </c>
      <c r="I35" s="29">
        <v>30</v>
      </c>
      <c r="J35" s="29">
        <v>30</v>
      </c>
      <c r="K35" s="29">
        <v>30</v>
      </c>
      <c r="L35" s="30">
        <v>30</v>
      </c>
    </row>
    <row r="36" spans="1:25" x14ac:dyDescent="0.25">
      <c r="A36" s="38"/>
      <c r="B36" s="29" t="s">
        <v>29</v>
      </c>
      <c r="C36" s="29"/>
      <c r="D36" s="29"/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0">
        <v>0</v>
      </c>
    </row>
    <row r="37" spans="1:25" x14ac:dyDescent="0.25">
      <c r="A37" s="38"/>
      <c r="B37" s="29" t="s">
        <v>30</v>
      </c>
      <c r="C37" s="29"/>
      <c r="D37" s="29">
        <v>7800</v>
      </c>
      <c r="E37" s="29">
        <f>E8*E9</f>
        <v>7800</v>
      </c>
      <c r="F37" s="29">
        <f t="shared" ref="F37:L37" si="23">F8*F9</f>
        <v>7800</v>
      </c>
      <c r="G37" s="29">
        <f t="shared" si="23"/>
        <v>7800</v>
      </c>
      <c r="H37" s="29">
        <f t="shared" si="23"/>
        <v>7800</v>
      </c>
      <c r="I37" s="29">
        <f t="shared" si="23"/>
        <v>7800</v>
      </c>
      <c r="J37" s="29">
        <f t="shared" si="23"/>
        <v>7800</v>
      </c>
      <c r="K37" s="29">
        <f t="shared" si="23"/>
        <v>7800</v>
      </c>
      <c r="L37" s="30">
        <f t="shared" si="23"/>
        <v>7800</v>
      </c>
    </row>
    <row r="38" spans="1:25" x14ac:dyDescent="0.25">
      <c r="A38" s="38"/>
      <c r="B38" s="29" t="s">
        <v>82</v>
      </c>
      <c r="C38" s="29"/>
      <c r="D38" s="29">
        <f>2*D8</f>
        <v>2600</v>
      </c>
      <c r="E38" s="29">
        <f>E8*E10</f>
        <v>1950</v>
      </c>
      <c r="F38" s="29">
        <f t="shared" ref="F38:L38" si="24">F8*F10</f>
        <v>1950</v>
      </c>
      <c r="G38" s="29">
        <f t="shared" si="24"/>
        <v>1950</v>
      </c>
      <c r="H38" s="29">
        <f t="shared" si="24"/>
        <v>1950</v>
      </c>
      <c r="I38" s="29">
        <f t="shared" si="24"/>
        <v>1950</v>
      </c>
      <c r="J38" s="29">
        <f t="shared" si="24"/>
        <v>1950</v>
      </c>
      <c r="K38" s="29">
        <f t="shared" si="24"/>
        <v>1950</v>
      </c>
      <c r="L38" s="30">
        <f t="shared" si="24"/>
        <v>1950</v>
      </c>
    </row>
    <row r="39" spans="1:25" x14ac:dyDescent="0.25">
      <c r="A39" s="38"/>
      <c r="B39" s="29" t="s">
        <v>31</v>
      </c>
      <c r="C39" s="29"/>
      <c r="D39" s="29">
        <f>$M$39*D31</f>
        <v>12362.241563045833</v>
      </c>
      <c r="E39" s="29">
        <f t="shared" ref="E39:L39" si="25">$M$39*E31</f>
        <v>12424.052770861059</v>
      </c>
      <c r="F39" s="29">
        <f t="shared" si="25"/>
        <v>12486.173034715361</v>
      </c>
      <c r="G39" s="29">
        <f t="shared" si="25"/>
        <v>12548.603899888938</v>
      </c>
      <c r="H39" s="29">
        <f t="shared" si="25"/>
        <v>12611.346919388379</v>
      </c>
      <c r="I39" s="29">
        <f t="shared" si="25"/>
        <v>12674.40365398532</v>
      </c>
      <c r="J39" s="29">
        <f t="shared" si="25"/>
        <v>12737.775672255244</v>
      </c>
      <c r="K39" s="29">
        <f t="shared" si="25"/>
        <v>12801.46455061652</v>
      </c>
      <c r="L39" s="30">
        <f t="shared" si="25"/>
        <v>12865.471873369599</v>
      </c>
      <c r="M39" s="1">
        <v>0.15</v>
      </c>
    </row>
    <row r="40" spans="1:25" x14ac:dyDescent="0.25">
      <c r="A40" s="38"/>
      <c r="B40" s="29" t="s">
        <v>110</v>
      </c>
      <c r="C40" s="29"/>
      <c r="D40" s="105">
        <v>500</v>
      </c>
      <c r="E40" s="105">
        <v>500</v>
      </c>
      <c r="F40" s="105">
        <v>500</v>
      </c>
      <c r="G40" s="105">
        <v>500</v>
      </c>
      <c r="H40" s="105">
        <v>500</v>
      </c>
      <c r="I40" s="105">
        <v>500</v>
      </c>
      <c r="J40" s="105">
        <v>500</v>
      </c>
      <c r="K40" s="105">
        <v>500</v>
      </c>
      <c r="L40" s="106">
        <v>500</v>
      </c>
    </row>
    <row r="41" spans="1:25" x14ac:dyDescent="0.25">
      <c r="A41" s="38"/>
      <c r="B41" s="29" t="s">
        <v>33</v>
      </c>
      <c r="C41" s="29"/>
      <c r="D41" s="29">
        <f>SUM(D34:D40)</f>
        <v>58292.241563045834</v>
      </c>
      <c r="E41" s="29">
        <f t="shared" ref="E41:L41" si="26">SUM(E34:E40)</f>
        <v>59454.052770861061</v>
      </c>
      <c r="F41" s="29">
        <f t="shared" si="26"/>
        <v>61353.673034715364</v>
      </c>
      <c r="G41" s="29">
        <f t="shared" si="26"/>
        <v>63345.478899888942</v>
      </c>
      <c r="H41" s="29">
        <f t="shared" si="26"/>
        <v>65434.065669388379</v>
      </c>
      <c r="I41" s="29">
        <f t="shared" si="26"/>
        <v>67624.258341485329</v>
      </c>
      <c r="J41" s="29">
        <f t="shared" si="26"/>
        <v>69921.123094130249</v>
      </c>
      <c r="K41" s="29">
        <f t="shared" si="26"/>
        <v>72329.979343585277</v>
      </c>
      <c r="L41" s="30">
        <f t="shared" si="26"/>
        <v>74856.412405986805</v>
      </c>
    </row>
    <row r="42" spans="1:25" x14ac:dyDescent="0.25">
      <c r="A42" s="3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30"/>
    </row>
    <row r="43" spans="1:25" x14ac:dyDescent="0.25">
      <c r="A43" s="110" t="s">
        <v>5</v>
      </c>
      <c r="B43" s="29"/>
      <c r="C43" s="29"/>
      <c r="D43" s="29">
        <f>D26-D31-D41</f>
        <v>24122.702190593052</v>
      </c>
      <c r="E43" s="29">
        <f>E26-E31-E41</f>
        <v>23372.965701545996</v>
      </c>
      <c r="F43" s="29">
        <f t="shared" ref="F43:L43" si="27">F26-F31-F41</f>
        <v>21887.480530053712</v>
      </c>
      <c r="G43" s="29">
        <f t="shared" si="27"/>
        <v>20311.880432703983</v>
      </c>
      <c r="H43" s="29">
        <f t="shared" si="27"/>
        <v>18641.580459867488</v>
      </c>
      <c r="I43" s="29">
        <f t="shared" si="27"/>
        <v>16871.766018416805</v>
      </c>
      <c r="J43" s="29">
        <f t="shared" si="27"/>
        <v>14997.381387571382</v>
      </c>
      <c r="K43" s="29">
        <f t="shared" si="27"/>
        <v>13013.117660524862</v>
      </c>
      <c r="L43" s="30">
        <f t="shared" si="27"/>
        <v>10913.400083143861</v>
      </c>
    </row>
    <row r="44" spans="1:25" x14ac:dyDescent="0.25">
      <c r="A44" s="3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30"/>
    </row>
    <row r="45" spans="1:25" x14ac:dyDescent="0.25">
      <c r="A45" s="38" t="s">
        <v>6</v>
      </c>
      <c r="B45" s="29"/>
      <c r="C45" s="29"/>
      <c r="D45" s="29">
        <f>D11+D15</f>
        <v>6948</v>
      </c>
      <c r="E45" s="29">
        <f>E15+E11</f>
        <v>6948</v>
      </c>
      <c r="F45" s="29">
        <f t="shared" ref="F45:L45" si="28">F15+F11</f>
        <v>6948</v>
      </c>
      <c r="G45" s="29">
        <f t="shared" si="28"/>
        <v>6948</v>
      </c>
      <c r="H45" s="29">
        <f t="shared" si="28"/>
        <v>6948</v>
      </c>
      <c r="I45" s="29">
        <f t="shared" si="28"/>
        <v>6948</v>
      </c>
      <c r="J45" s="29">
        <f t="shared" si="28"/>
        <v>6948</v>
      </c>
      <c r="K45" s="29">
        <f t="shared" si="28"/>
        <v>6948</v>
      </c>
      <c r="L45" s="30">
        <f t="shared" si="28"/>
        <v>6948</v>
      </c>
    </row>
    <row r="46" spans="1:25" x14ac:dyDescent="0.25">
      <c r="A46" s="38" t="s">
        <v>7</v>
      </c>
      <c r="B46" s="29"/>
      <c r="C46" s="29"/>
      <c r="D46" s="29">
        <f>M46*D71</f>
        <v>3982.2290242297518</v>
      </c>
      <c r="E46" s="29">
        <f t="shared" ref="E46:H46" si="29">$M$46*E71</f>
        <v>4835.0436656741622</v>
      </c>
      <c r="F46" s="29">
        <f t="shared" si="29"/>
        <v>3212.1280244434211</v>
      </c>
      <c r="G46" s="29">
        <f t="shared" si="29"/>
        <v>1587.0803397123841</v>
      </c>
      <c r="H46" s="29">
        <f t="shared" si="29"/>
        <v>0</v>
      </c>
      <c r="I46" s="29">
        <f>$M$46*I71</f>
        <v>0</v>
      </c>
      <c r="J46" s="29">
        <f>$M$46*J71</f>
        <v>0</v>
      </c>
      <c r="K46" s="29">
        <f>$M$46*K71</f>
        <v>0</v>
      </c>
      <c r="L46" s="30">
        <f>$M$46*L71</f>
        <v>0</v>
      </c>
      <c r="M46" s="1">
        <v>0.1</v>
      </c>
      <c r="N46" s="3" t="s">
        <v>44</v>
      </c>
    </row>
    <row r="47" spans="1:25" x14ac:dyDescent="0.25">
      <c r="A47" s="3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30"/>
    </row>
    <row r="48" spans="1:25" x14ac:dyDescent="0.25">
      <c r="A48" s="38" t="s">
        <v>8</v>
      </c>
      <c r="B48" s="29"/>
      <c r="C48" s="29"/>
      <c r="D48" s="29">
        <f t="shared" ref="D48:L48" si="30">D43-SUM(D45:D46)</f>
        <v>13192.473166363301</v>
      </c>
      <c r="E48" s="29">
        <f t="shared" si="30"/>
        <v>11589.922035871834</v>
      </c>
      <c r="F48" s="29">
        <f t="shared" si="30"/>
        <v>11727.352505610292</v>
      </c>
      <c r="G48" s="29">
        <f t="shared" si="30"/>
        <v>11776.8000929916</v>
      </c>
      <c r="H48" s="29">
        <f t="shared" si="30"/>
        <v>11693.580459867488</v>
      </c>
      <c r="I48" s="29">
        <f t="shared" si="30"/>
        <v>9923.7660184168053</v>
      </c>
      <c r="J48" s="29">
        <f t="shared" si="30"/>
        <v>8049.3813875713822</v>
      </c>
      <c r="K48" s="29">
        <f t="shared" si="30"/>
        <v>6065.117660524862</v>
      </c>
      <c r="L48" s="30">
        <f t="shared" si="30"/>
        <v>3965.4000831438607</v>
      </c>
    </row>
    <row r="49" spans="1:13" ht="15.75" thickBot="1" x14ac:dyDescent="0.3">
      <c r="A49" s="38" t="s">
        <v>86</v>
      </c>
      <c r="B49" s="29"/>
      <c r="C49" s="111"/>
      <c r="D49" s="29">
        <f>IF(D48&gt;0,D48*$M$49,0)</f>
        <v>2638.4946332726604</v>
      </c>
      <c r="E49" s="29">
        <f t="shared" ref="E49:L49" si="31">IF(E48&gt;0,E48*$M$49,0)</f>
        <v>2317.9844071743669</v>
      </c>
      <c r="F49" s="29">
        <f t="shared" si="31"/>
        <v>2345.4705011220585</v>
      </c>
      <c r="G49" s="29">
        <f t="shared" si="31"/>
        <v>2355.36001859832</v>
      </c>
      <c r="H49" s="29">
        <f t="shared" si="31"/>
        <v>2338.7160919734974</v>
      </c>
      <c r="I49" s="29">
        <f t="shared" si="31"/>
        <v>1984.7532036833611</v>
      </c>
      <c r="J49" s="29">
        <f t="shared" si="31"/>
        <v>1609.8762775142766</v>
      </c>
      <c r="K49" s="29">
        <f t="shared" si="31"/>
        <v>1213.0235321049724</v>
      </c>
      <c r="L49" s="30">
        <f t="shared" si="31"/>
        <v>793.08001662877223</v>
      </c>
      <c r="M49" s="1">
        <v>0.2</v>
      </c>
    </row>
    <row r="50" spans="1:13" ht="15.75" thickBot="1" x14ac:dyDescent="0.3">
      <c r="A50" s="40" t="s">
        <v>9</v>
      </c>
      <c r="B50" s="42"/>
      <c r="C50" s="42"/>
      <c r="D50" s="112">
        <f>D48-D49</f>
        <v>10553.978533090642</v>
      </c>
      <c r="E50" s="113">
        <f t="shared" ref="E50:L50" si="32">E48-E49</f>
        <v>9271.9376286974675</v>
      </c>
      <c r="F50" s="113">
        <f t="shared" si="32"/>
        <v>9381.8820044882341</v>
      </c>
      <c r="G50" s="113">
        <f t="shared" si="32"/>
        <v>9421.4400743932802</v>
      </c>
      <c r="H50" s="113">
        <f t="shared" si="32"/>
        <v>9354.8643678939898</v>
      </c>
      <c r="I50" s="113">
        <f t="shared" si="32"/>
        <v>7939.0128147334444</v>
      </c>
      <c r="J50" s="113">
        <f t="shared" si="32"/>
        <v>6439.5051100571054</v>
      </c>
      <c r="K50" s="113">
        <f t="shared" si="32"/>
        <v>4852.0941284198898</v>
      </c>
      <c r="L50" s="114">
        <f t="shared" si="32"/>
        <v>3172.3200665150885</v>
      </c>
    </row>
    <row r="51" spans="1:13" ht="15.75" thickBot="1" x14ac:dyDescent="0.3"/>
    <row r="52" spans="1:13" ht="21.75" thickBot="1" x14ac:dyDescent="0.4">
      <c r="A52" s="130" t="s">
        <v>10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2"/>
    </row>
    <row r="53" spans="1:13" x14ac:dyDescent="0.25">
      <c r="A53" s="101" t="s">
        <v>11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3"/>
    </row>
    <row r="54" spans="1:13" x14ac:dyDescent="0.25">
      <c r="A54" s="38" t="s">
        <v>12</v>
      </c>
      <c r="B54" s="29"/>
      <c r="C54" s="29"/>
      <c r="D54" s="29">
        <f t="shared" ref="D54:L54" si="33">$M$54*D26</f>
        <v>16482.988750727778</v>
      </c>
      <c r="E54" s="29">
        <f t="shared" si="33"/>
        <v>16565.403694481411</v>
      </c>
      <c r="F54" s="29">
        <f t="shared" si="33"/>
        <v>16648.230712953817</v>
      </c>
      <c r="G54" s="29">
        <f t="shared" si="33"/>
        <v>16731.471866518586</v>
      </c>
      <c r="H54" s="29">
        <f t="shared" si="33"/>
        <v>16815.129225851175</v>
      </c>
      <c r="I54" s="29">
        <f t="shared" si="33"/>
        <v>16899.204871980426</v>
      </c>
      <c r="J54" s="29">
        <f t="shared" si="33"/>
        <v>16983.700896340328</v>
      </c>
      <c r="K54" s="29">
        <f t="shared" si="33"/>
        <v>17068.61940082203</v>
      </c>
      <c r="L54" s="30">
        <f t="shared" si="33"/>
        <v>17153.962497826134</v>
      </c>
      <c r="M54" s="1">
        <v>0.1</v>
      </c>
    </row>
    <row r="55" spans="1:13" x14ac:dyDescent="0.25">
      <c r="A55" s="38" t="s">
        <v>84</v>
      </c>
      <c r="B55" s="29"/>
      <c r="C55" s="29"/>
      <c r="D55" s="29">
        <v>0</v>
      </c>
      <c r="E55" s="29">
        <v>0</v>
      </c>
      <c r="F55" s="29">
        <v>0</v>
      </c>
      <c r="G55" s="29">
        <v>0</v>
      </c>
      <c r="H55" s="29">
        <v>286</v>
      </c>
      <c r="I55" s="29">
        <v>14689</v>
      </c>
      <c r="J55" s="29">
        <v>27571</v>
      </c>
      <c r="K55" s="29">
        <v>38842</v>
      </c>
      <c r="L55" s="30">
        <v>48411</v>
      </c>
    </row>
    <row r="56" spans="1:13" x14ac:dyDescent="0.25">
      <c r="A56" s="38" t="s">
        <v>13</v>
      </c>
      <c r="B56" s="29"/>
      <c r="C56" s="29"/>
      <c r="D56" s="104">
        <f>(D26)/365*D13</f>
        <v>13547.661986899544</v>
      </c>
      <c r="E56" s="29">
        <f t="shared" ref="E56:L56" si="34">(E26)/365*E13</f>
        <v>13615.400296834037</v>
      </c>
      <c r="F56" s="29">
        <f t="shared" si="34"/>
        <v>13683.477298318205</v>
      </c>
      <c r="G56" s="29">
        <f t="shared" si="34"/>
        <v>13751.894684809797</v>
      </c>
      <c r="H56" s="29">
        <f t="shared" si="34"/>
        <v>13820.654158233841</v>
      </c>
      <c r="I56" s="29">
        <f t="shared" si="34"/>
        <v>13889.757429025009</v>
      </c>
      <c r="J56" s="29">
        <f t="shared" si="34"/>
        <v>13959.206216170131</v>
      </c>
      <c r="K56" s="29">
        <f t="shared" si="34"/>
        <v>14029.002247250981</v>
      </c>
      <c r="L56" s="30">
        <f t="shared" si="34"/>
        <v>14099.147258487232</v>
      </c>
    </row>
    <row r="57" spans="1:13" x14ac:dyDescent="0.25">
      <c r="A57" s="38" t="s">
        <v>79</v>
      </c>
      <c r="B57" s="29"/>
      <c r="C57" s="29"/>
      <c r="D57" s="29">
        <f t="shared" ref="D57:L57" si="35">(D31)/365*D12</f>
        <v>2257.9436644832572</v>
      </c>
      <c r="E57" s="29">
        <f t="shared" si="35"/>
        <v>2269.233382805673</v>
      </c>
      <c r="F57" s="29">
        <f t="shared" si="35"/>
        <v>2280.5795497197009</v>
      </c>
      <c r="G57" s="29">
        <f t="shared" si="35"/>
        <v>2291.9824474682996</v>
      </c>
      <c r="H57" s="29">
        <f t="shared" si="35"/>
        <v>2303.4423597056402</v>
      </c>
      <c r="I57" s="29">
        <f t="shared" si="35"/>
        <v>2314.9595715041683</v>
      </c>
      <c r="J57" s="29">
        <f t="shared" si="35"/>
        <v>2326.5343693616883</v>
      </c>
      <c r="K57" s="29">
        <f t="shared" si="35"/>
        <v>2338.1670412084968</v>
      </c>
      <c r="L57" s="30">
        <f t="shared" si="35"/>
        <v>2349.8578764145386</v>
      </c>
    </row>
    <row r="58" spans="1:13" x14ac:dyDescent="0.25">
      <c r="A58" s="3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30"/>
    </row>
    <row r="59" spans="1:13" x14ac:dyDescent="0.25">
      <c r="A59" s="38" t="s">
        <v>14</v>
      </c>
      <c r="B59" s="29"/>
      <c r="C59" s="29"/>
      <c r="D59" s="29">
        <v>0</v>
      </c>
      <c r="E59" s="29"/>
      <c r="F59" s="29"/>
      <c r="G59" s="29"/>
      <c r="H59" s="29"/>
      <c r="I59" s="29"/>
      <c r="J59" s="29"/>
      <c r="K59" s="29"/>
      <c r="L59" s="30"/>
    </row>
    <row r="60" spans="1:13" x14ac:dyDescent="0.25">
      <c r="A60" s="38" t="s">
        <v>87</v>
      </c>
      <c r="B60" s="29"/>
      <c r="C60" s="29"/>
      <c r="D60" s="29">
        <v>35000</v>
      </c>
      <c r="E60" s="29">
        <v>35000</v>
      </c>
      <c r="F60" s="29">
        <v>35000</v>
      </c>
      <c r="G60" s="29">
        <v>35000</v>
      </c>
      <c r="H60" s="29">
        <v>35000</v>
      </c>
      <c r="I60" s="29">
        <v>35000</v>
      </c>
      <c r="J60" s="29">
        <v>35000</v>
      </c>
      <c r="K60" s="29">
        <v>35000</v>
      </c>
      <c r="L60" s="30">
        <v>35000</v>
      </c>
    </row>
    <row r="61" spans="1:13" x14ac:dyDescent="0.25">
      <c r="A61" s="38" t="s">
        <v>15</v>
      </c>
      <c r="B61" s="29"/>
      <c r="C61" s="29"/>
      <c r="D61" s="29">
        <f>-D15</f>
        <v>-4500</v>
      </c>
      <c r="E61" s="29">
        <f>D61-E15</f>
        <v>-9000</v>
      </c>
      <c r="F61" s="29">
        <f t="shared" ref="F61:L61" si="36">E61-F15</f>
        <v>-13500</v>
      </c>
      <c r="G61" s="29">
        <f t="shared" si="36"/>
        <v>-18000</v>
      </c>
      <c r="H61" s="29">
        <f t="shared" si="36"/>
        <v>-22500</v>
      </c>
      <c r="I61" s="29">
        <f t="shared" si="36"/>
        <v>-27000</v>
      </c>
      <c r="J61" s="29">
        <f t="shared" si="36"/>
        <v>-31500</v>
      </c>
      <c r="K61" s="29">
        <f t="shared" si="36"/>
        <v>-36000</v>
      </c>
      <c r="L61" s="30">
        <f t="shared" si="36"/>
        <v>-40500</v>
      </c>
    </row>
    <row r="62" spans="1:13" x14ac:dyDescent="0.25">
      <c r="A62" s="38" t="s">
        <v>0</v>
      </c>
      <c r="B62" s="29"/>
      <c r="C62" s="29"/>
      <c r="D62" s="29">
        <v>0</v>
      </c>
      <c r="E62" s="29">
        <f>P8</f>
        <v>28800</v>
      </c>
      <c r="F62" s="29">
        <f>$E$62</f>
        <v>28800</v>
      </c>
      <c r="G62" s="29">
        <f t="shared" ref="G62:L62" si="37">$E$62</f>
        <v>28800</v>
      </c>
      <c r="H62" s="29">
        <f t="shared" si="37"/>
        <v>28800</v>
      </c>
      <c r="I62" s="29">
        <f t="shared" si="37"/>
        <v>28800</v>
      </c>
      <c r="J62" s="29">
        <f t="shared" si="37"/>
        <v>28800</v>
      </c>
      <c r="K62" s="29">
        <f t="shared" si="37"/>
        <v>28800</v>
      </c>
      <c r="L62" s="30">
        <f t="shared" si="37"/>
        <v>28800</v>
      </c>
    </row>
    <row r="63" spans="1:13" x14ac:dyDescent="0.25">
      <c r="A63" s="38" t="s">
        <v>15</v>
      </c>
      <c r="B63" s="29"/>
      <c r="C63" s="29"/>
      <c r="D63" s="29">
        <v>0</v>
      </c>
      <c r="E63" s="29">
        <f>-E45</f>
        <v>-6948</v>
      </c>
      <c r="F63" s="29">
        <f t="shared" ref="F63:L63" si="38">E63-F11</f>
        <v>-9396</v>
      </c>
      <c r="G63" s="29">
        <f t="shared" si="38"/>
        <v>-11844</v>
      </c>
      <c r="H63" s="29">
        <f t="shared" si="38"/>
        <v>-14292</v>
      </c>
      <c r="I63" s="29">
        <f t="shared" si="38"/>
        <v>-16740</v>
      </c>
      <c r="J63" s="29">
        <f t="shared" si="38"/>
        <v>-19188</v>
      </c>
      <c r="K63" s="29">
        <f t="shared" si="38"/>
        <v>-21636</v>
      </c>
      <c r="L63" s="30">
        <f t="shared" si="38"/>
        <v>-24084</v>
      </c>
    </row>
    <row r="64" spans="1:13" ht="15.75" thickBot="1" x14ac:dyDescent="0.3">
      <c r="A64" s="3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1:12" ht="15.75" thickBot="1" x14ac:dyDescent="0.3">
      <c r="A65" s="38" t="s">
        <v>16</v>
      </c>
      <c r="B65" s="29"/>
      <c r="C65" s="29"/>
      <c r="D65" s="112">
        <f>SUM(D54:D64)</f>
        <v>62788.594402110582</v>
      </c>
      <c r="E65" s="113">
        <f t="shared" ref="E65:L65" si="39">SUM(E54:E64)</f>
        <v>80302.037374121122</v>
      </c>
      <c r="F65" s="113">
        <f t="shared" si="39"/>
        <v>73516.287560991725</v>
      </c>
      <c r="G65" s="113">
        <f t="shared" si="39"/>
        <v>66731.34899879669</v>
      </c>
      <c r="H65" s="113">
        <f t="shared" si="39"/>
        <v>60233.225743790652</v>
      </c>
      <c r="I65" s="113">
        <f t="shared" si="39"/>
        <v>67852.9218725096</v>
      </c>
      <c r="J65" s="113">
        <f t="shared" si="39"/>
        <v>73952.441481872142</v>
      </c>
      <c r="K65" s="113">
        <f t="shared" si="39"/>
        <v>78441.788689281515</v>
      </c>
      <c r="L65" s="114">
        <f t="shared" si="39"/>
        <v>81229.967632727916</v>
      </c>
    </row>
    <row r="66" spans="1:12" x14ac:dyDescent="0.25">
      <c r="A66" s="3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30"/>
    </row>
    <row r="67" spans="1:12" x14ac:dyDescent="0.25">
      <c r="A67" s="38" t="s">
        <v>17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30"/>
    </row>
    <row r="68" spans="1:12" x14ac:dyDescent="0.25">
      <c r="A68" s="38" t="s">
        <v>18</v>
      </c>
      <c r="B68" s="29"/>
      <c r="C68" s="29"/>
      <c r="D68" s="29">
        <f t="shared" ref="D68:L68" si="40">(D31/365)*D14</f>
        <v>6773.830993449772</v>
      </c>
      <c r="E68" s="29">
        <f t="shared" si="40"/>
        <v>6807.7001484170187</v>
      </c>
      <c r="F68" s="29">
        <f t="shared" si="40"/>
        <v>6841.7386491591024</v>
      </c>
      <c r="G68" s="29">
        <f t="shared" si="40"/>
        <v>6875.9473424048983</v>
      </c>
      <c r="H68" s="29">
        <f t="shared" si="40"/>
        <v>6910.3270791169207</v>
      </c>
      <c r="I68" s="29">
        <f t="shared" si="40"/>
        <v>6944.8787145125043</v>
      </c>
      <c r="J68" s="29">
        <f t="shared" si="40"/>
        <v>6979.6031080850653</v>
      </c>
      <c r="K68" s="29">
        <f t="shared" si="40"/>
        <v>7014.5011236254904</v>
      </c>
      <c r="L68" s="30">
        <f t="shared" si="40"/>
        <v>7049.5736292436159</v>
      </c>
    </row>
    <row r="69" spans="1:12" x14ac:dyDescent="0.25">
      <c r="A69" s="38" t="s">
        <v>19</v>
      </c>
      <c r="B69" s="29"/>
      <c r="C69" s="29"/>
      <c r="D69" s="29">
        <f>D49</f>
        <v>2638.4946332726604</v>
      </c>
      <c r="E69" s="29">
        <f t="shared" ref="E69:L69" si="41">E49</f>
        <v>2317.9844071743669</v>
      </c>
      <c r="F69" s="29">
        <f t="shared" si="41"/>
        <v>2345.4705011220585</v>
      </c>
      <c r="G69" s="29">
        <f t="shared" si="41"/>
        <v>2355.36001859832</v>
      </c>
      <c r="H69" s="29">
        <f t="shared" si="41"/>
        <v>2338.7160919734974</v>
      </c>
      <c r="I69" s="29">
        <f t="shared" si="41"/>
        <v>1984.7532036833611</v>
      </c>
      <c r="J69" s="29">
        <f t="shared" si="41"/>
        <v>1609.8762775142766</v>
      </c>
      <c r="K69" s="29">
        <f t="shared" si="41"/>
        <v>1213.0235321049724</v>
      </c>
      <c r="L69" s="30">
        <f t="shared" si="41"/>
        <v>793.08001662877223</v>
      </c>
    </row>
    <row r="70" spans="1:12" x14ac:dyDescent="0.25">
      <c r="A70" s="3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30"/>
    </row>
    <row r="71" spans="1:12" x14ac:dyDescent="0.25">
      <c r="A71" s="38" t="s">
        <v>20</v>
      </c>
      <c r="B71" s="29"/>
      <c r="C71" s="29"/>
      <c r="D71" s="29">
        <v>39822.290242297517</v>
      </c>
      <c r="E71" s="29">
        <v>48350.436656741622</v>
      </c>
      <c r="F71" s="29">
        <v>32121.280244434209</v>
      </c>
      <c r="G71" s="29">
        <v>15870.80339712384</v>
      </c>
      <c r="H71" s="29">
        <v>0</v>
      </c>
      <c r="I71" s="29">
        <v>0</v>
      </c>
      <c r="J71" s="29">
        <v>0</v>
      </c>
      <c r="K71" s="29">
        <v>0</v>
      </c>
      <c r="L71" s="30">
        <v>0</v>
      </c>
    </row>
    <row r="72" spans="1:12" x14ac:dyDescent="0.25">
      <c r="A72" s="3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30"/>
    </row>
    <row r="73" spans="1:12" x14ac:dyDescent="0.25">
      <c r="A73" s="38" t="s">
        <v>21</v>
      </c>
      <c r="B73" s="29"/>
      <c r="C73" s="29"/>
      <c r="D73" s="29">
        <v>3000</v>
      </c>
      <c r="E73" s="29">
        <v>3000</v>
      </c>
      <c r="F73" s="29">
        <v>3000</v>
      </c>
      <c r="G73" s="29">
        <v>3000</v>
      </c>
      <c r="H73" s="29">
        <v>3000</v>
      </c>
      <c r="I73" s="29">
        <v>3000</v>
      </c>
      <c r="J73" s="29">
        <v>3000</v>
      </c>
      <c r="K73" s="29">
        <v>3000</v>
      </c>
      <c r="L73" s="30">
        <v>3000</v>
      </c>
    </row>
    <row r="74" spans="1:12" x14ac:dyDescent="0.25">
      <c r="A74" s="38" t="s">
        <v>22</v>
      </c>
      <c r="B74" s="29"/>
      <c r="C74" s="29"/>
      <c r="D74" s="29">
        <f>D50</f>
        <v>10553.978533090642</v>
      </c>
      <c r="E74" s="29">
        <f t="shared" ref="E74:L74" si="42">D74+E50</f>
        <v>19825.916161788111</v>
      </c>
      <c r="F74" s="29">
        <f t="shared" si="42"/>
        <v>29207.798166276345</v>
      </c>
      <c r="G74" s="29">
        <f t="shared" si="42"/>
        <v>38629.238240669627</v>
      </c>
      <c r="H74" s="29">
        <f t="shared" si="42"/>
        <v>47984.102608563619</v>
      </c>
      <c r="I74" s="29">
        <f t="shared" si="42"/>
        <v>55923.115423297066</v>
      </c>
      <c r="J74" s="29">
        <f t="shared" si="42"/>
        <v>62362.620533354173</v>
      </c>
      <c r="K74" s="29">
        <f t="shared" si="42"/>
        <v>67214.714661774065</v>
      </c>
      <c r="L74" s="30">
        <f t="shared" si="42"/>
        <v>70387.03472828916</v>
      </c>
    </row>
    <row r="75" spans="1:12" ht="15.75" thickBot="1" x14ac:dyDescent="0.3">
      <c r="A75" s="3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30"/>
    </row>
    <row r="76" spans="1:12" ht="15.75" thickBot="1" x14ac:dyDescent="0.3">
      <c r="A76" s="38" t="s">
        <v>23</v>
      </c>
      <c r="B76" s="29"/>
      <c r="C76" s="29"/>
      <c r="D76" s="112">
        <f t="shared" ref="D76:L76" si="43">SUM(D67:D75)</f>
        <v>62788.594402110597</v>
      </c>
      <c r="E76" s="113">
        <f t="shared" si="43"/>
        <v>80302.037374121108</v>
      </c>
      <c r="F76" s="113">
        <f t="shared" si="43"/>
        <v>73516.28756099171</v>
      </c>
      <c r="G76" s="113">
        <f t="shared" si="43"/>
        <v>66731.34899879669</v>
      </c>
      <c r="H76" s="113">
        <f t="shared" si="43"/>
        <v>60233.145779654034</v>
      </c>
      <c r="I76" s="113">
        <f t="shared" si="43"/>
        <v>67852.747341492926</v>
      </c>
      <c r="J76" s="113">
        <f t="shared" si="43"/>
        <v>73952.099918953521</v>
      </c>
      <c r="K76" s="113">
        <f t="shared" si="43"/>
        <v>78442.239317504529</v>
      </c>
      <c r="L76" s="114">
        <f t="shared" si="43"/>
        <v>81229.688374161546</v>
      </c>
    </row>
    <row r="77" spans="1:12" x14ac:dyDescent="0.25">
      <c r="A77" s="3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30"/>
    </row>
    <row r="78" spans="1:12" ht="15.75" thickBot="1" x14ac:dyDescent="0.3">
      <c r="A78" s="40" t="s">
        <v>85</v>
      </c>
      <c r="B78" s="42"/>
      <c r="C78" s="42"/>
      <c r="D78" s="42">
        <f t="shared" ref="D78:L78" si="44">D65-D76</f>
        <v>0</v>
      </c>
      <c r="E78" s="42">
        <f t="shared" si="44"/>
        <v>0</v>
      </c>
      <c r="F78" s="42">
        <f t="shared" si="44"/>
        <v>0</v>
      </c>
      <c r="G78" s="42">
        <f t="shared" si="44"/>
        <v>0</v>
      </c>
      <c r="H78" s="42">
        <f t="shared" si="44"/>
        <v>7.9964136617491022E-2</v>
      </c>
      <c r="I78" s="42">
        <f t="shared" si="44"/>
        <v>0.17453101667342708</v>
      </c>
      <c r="J78" s="42">
        <f t="shared" si="44"/>
        <v>0.34156291862018406</v>
      </c>
      <c r="K78" s="42">
        <f t="shared" si="44"/>
        <v>-0.45062822301406413</v>
      </c>
      <c r="L78" s="43">
        <f t="shared" si="44"/>
        <v>0.27925856637011748</v>
      </c>
    </row>
    <row r="79" spans="1:12" x14ac:dyDescent="0.25">
      <c r="D79" s="1">
        <f>D71/SUM(D71:D74)</f>
        <v>0.7460673283453565</v>
      </c>
      <c r="E79" s="1">
        <f t="shared" ref="E79:L79" si="45">E71/SUM(E71:E74)</f>
        <v>0.67930477949629198</v>
      </c>
      <c r="F79" s="1">
        <f t="shared" si="45"/>
        <v>0.49932753644246414</v>
      </c>
      <c r="G79" s="1">
        <f t="shared" si="45"/>
        <v>0.27601377225251122</v>
      </c>
      <c r="H79" s="1">
        <f t="shared" si="45"/>
        <v>0</v>
      </c>
      <c r="I79" s="1">
        <f t="shared" si="45"/>
        <v>0</v>
      </c>
      <c r="J79" s="1">
        <f t="shared" si="45"/>
        <v>0</v>
      </c>
      <c r="K79" s="1">
        <f t="shared" si="45"/>
        <v>0</v>
      </c>
      <c r="L79" s="1">
        <f t="shared" si="45"/>
        <v>0</v>
      </c>
    </row>
    <row r="80" spans="1:12" ht="15.75" thickBot="1" x14ac:dyDescent="0.3">
      <c r="G80" s="1">
        <f>AVERAGE(D79:L79)</f>
        <v>0.24452371294851374</v>
      </c>
    </row>
    <row r="81" spans="1:17" ht="19.5" thickBot="1" x14ac:dyDescent="0.35">
      <c r="A81" s="133" t="s">
        <v>123</v>
      </c>
      <c r="B81" s="134"/>
      <c r="C81" s="134"/>
      <c r="D81" s="134"/>
      <c r="E81" s="134"/>
      <c r="F81" s="134"/>
      <c r="G81" s="134"/>
      <c r="H81" s="134"/>
      <c r="I81" s="135"/>
      <c r="J81" s="6"/>
      <c r="K81" s="6"/>
      <c r="L81" s="6"/>
      <c r="M81" s="6"/>
      <c r="N81" s="6"/>
      <c r="O81" s="6"/>
      <c r="P81" s="6"/>
      <c r="Q81" s="7"/>
    </row>
    <row r="82" spans="1:17" x14ac:dyDescent="0.25">
      <c r="A82" s="71" t="s">
        <v>124</v>
      </c>
      <c r="B82" s="72">
        <v>0.09</v>
      </c>
      <c r="C82" s="48"/>
      <c r="D82" s="49"/>
      <c r="E82" s="49"/>
      <c r="F82" s="49"/>
      <c r="G82" s="49"/>
      <c r="H82" s="49"/>
      <c r="I82" s="50"/>
      <c r="J82" s="6"/>
      <c r="K82" s="6"/>
      <c r="L82" s="6"/>
      <c r="M82" s="6"/>
      <c r="N82" s="6"/>
      <c r="O82" s="6"/>
      <c r="P82" s="6"/>
      <c r="Q82" s="7"/>
    </row>
    <row r="83" spans="1:17" x14ac:dyDescent="0.25">
      <c r="A83" s="73" t="s">
        <v>125</v>
      </c>
      <c r="B83" s="74">
        <v>1.9E-2</v>
      </c>
      <c r="C83" s="29"/>
      <c r="D83" s="51"/>
      <c r="E83" s="29"/>
      <c r="F83" s="49"/>
      <c r="G83" s="49"/>
      <c r="H83" s="49"/>
      <c r="I83" s="50"/>
      <c r="J83" s="6"/>
      <c r="K83" s="6"/>
      <c r="L83" s="6"/>
      <c r="M83" s="6"/>
      <c r="N83" s="6"/>
      <c r="O83" s="6"/>
      <c r="P83" s="6"/>
      <c r="Q83" s="7"/>
    </row>
    <row r="84" spans="1:17" x14ac:dyDescent="0.25">
      <c r="A84" s="73" t="s">
        <v>127</v>
      </c>
      <c r="B84" s="74">
        <f>B82-B83</f>
        <v>7.0999999999999994E-2</v>
      </c>
      <c r="C84" s="48"/>
      <c r="D84" s="49"/>
      <c r="E84" s="49"/>
      <c r="F84" s="49"/>
      <c r="G84" s="49"/>
      <c r="H84" s="49"/>
      <c r="I84" s="50"/>
      <c r="J84" s="6"/>
      <c r="K84" s="6"/>
      <c r="L84" s="6"/>
      <c r="M84" s="6"/>
      <c r="N84" s="6"/>
      <c r="O84" s="6"/>
      <c r="P84" s="6"/>
      <c r="Q84" s="7"/>
    </row>
    <row r="85" spans="1:17" x14ac:dyDescent="0.25">
      <c r="A85" s="73" t="s">
        <v>128</v>
      </c>
      <c r="B85" s="74">
        <v>1.82</v>
      </c>
      <c r="C85" s="29"/>
      <c r="D85" s="51"/>
      <c r="E85" s="29"/>
      <c r="F85" s="49"/>
      <c r="G85" s="49"/>
      <c r="H85" s="49"/>
      <c r="I85" s="50"/>
      <c r="J85" s="6"/>
      <c r="K85" s="6"/>
      <c r="L85" s="6"/>
      <c r="M85" s="6"/>
      <c r="N85" s="6"/>
      <c r="O85" s="6"/>
      <c r="P85" s="6"/>
      <c r="Q85" s="7"/>
    </row>
    <row r="86" spans="1:17" x14ac:dyDescent="0.25">
      <c r="A86" s="73" t="s">
        <v>130</v>
      </c>
      <c r="B86" s="75">
        <f>B84*B85</f>
        <v>0.12922</v>
      </c>
      <c r="C86" s="52"/>
      <c r="D86" s="49"/>
      <c r="E86" s="49"/>
      <c r="F86" s="49"/>
      <c r="G86" s="49"/>
      <c r="H86" s="49"/>
      <c r="I86" s="50"/>
      <c r="J86" s="6"/>
      <c r="K86" s="6"/>
      <c r="L86" s="6"/>
      <c r="M86" s="6"/>
      <c r="N86" s="6"/>
      <c r="O86" s="6"/>
      <c r="P86" s="6"/>
      <c r="Q86" s="7"/>
    </row>
    <row r="87" spans="1:17" x14ac:dyDescent="0.25">
      <c r="A87" s="76" t="s">
        <v>131</v>
      </c>
      <c r="B87" s="77">
        <f>B86+B83</f>
        <v>0.14821999999999999</v>
      </c>
      <c r="C87" s="53"/>
      <c r="D87" s="49"/>
      <c r="E87" s="49"/>
      <c r="F87" s="49"/>
      <c r="G87" s="49"/>
      <c r="H87" s="49"/>
      <c r="I87" s="50"/>
      <c r="J87" s="6"/>
      <c r="K87" s="6"/>
      <c r="L87" s="6"/>
      <c r="M87" s="6"/>
      <c r="N87" s="6"/>
      <c r="O87" s="6"/>
      <c r="P87" s="6"/>
      <c r="Q87" s="7"/>
    </row>
    <row r="88" spans="1:17" x14ac:dyDescent="0.25">
      <c r="A88" s="73"/>
      <c r="B88" s="74"/>
      <c r="C88" s="48"/>
      <c r="D88" s="49"/>
      <c r="E88" s="49"/>
      <c r="F88" s="49"/>
      <c r="G88" s="49"/>
      <c r="H88" s="49"/>
      <c r="I88" s="50"/>
      <c r="J88" s="6"/>
      <c r="K88" s="6"/>
      <c r="L88" s="6"/>
      <c r="M88" s="6"/>
      <c r="N88" s="6"/>
      <c r="O88" s="6"/>
      <c r="P88" s="6"/>
      <c r="Q88" s="7"/>
    </row>
    <row r="89" spans="1:17" x14ac:dyDescent="0.25">
      <c r="A89" s="73"/>
      <c r="B89" s="78"/>
      <c r="C89" s="54"/>
      <c r="D89" s="49"/>
      <c r="E89" s="49"/>
      <c r="F89" s="49"/>
      <c r="G89" s="49"/>
      <c r="H89" s="49"/>
      <c r="I89" s="50"/>
      <c r="J89" s="9"/>
      <c r="K89" s="6"/>
      <c r="L89" s="6"/>
      <c r="Q89" s="7"/>
    </row>
    <row r="90" spans="1:17" ht="15.75" thickBot="1" x14ac:dyDescent="0.3">
      <c r="A90" s="73"/>
      <c r="B90" s="74"/>
      <c r="C90" s="48"/>
      <c r="D90" s="49"/>
      <c r="E90" s="49"/>
      <c r="F90" s="49"/>
      <c r="G90" s="49"/>
      <c r="H90" s="55"/>
      <c r="I90" s="56"/>
      <c r="J90" s="9"/>
      <c r="K90" s="6"/>
      <c r="L90" s="6"/>
      <c r="Q90" s="7"/>
    </row>
    <row r="91" spans="1:17" x14ac:dyDescent="0.25">
      <c r="A91" s="76" t="s">
        <v>133</v>
      </c>
      <c r="B91" s="79">
        <f>M46</f>
        <v>0.1</v>
      </c>
      <c r="C91" s="8"/>
      <c r="D91" s="60" t="s">
        <v>132</v>
      </c>
      <c r="E91" s="61"/>
      <c r="F91" s="61"/>
      <c r="G91" s="62"/>
      <c r="H91" s="49"/>
      <c r="I91" s="50"/>
      <c r="J91" s="9"/>
      <c r="K91" s="6"/>
      <c r="L91" s="6"/>
      <c r="Q91" s="7"/>
    </row>
    <row r="92" spans="1:17" x14ac:dyDescent="0.25">
      <c r="A92" s="73"/>
      <c r="B92" s="74"/>
      <c r="C92" s="48"/>
      <c r="D92" s="63" t="s">
        <v>93</v>
      </c>
      <c r="E92" s="64">
        <v>1</v>
      </c>
      <c r="F92" s="65">
        <v>9.9999999999999995E-7</v>
      </c>
      <c r="G92" s="50">
        <f>E92/E94</f>
        <v>0.5</v>
      </c>
      <c r="H92" s="55"/>
      <c r="I92" s="56"/>
      <c r="J92" s="9"/>
      <c r="K92" s="6"/>
      <c r="L92" s="6"/>
      <c r="Q92" s="7"/>
    </row>
    <row r="93" spans="1:17" x14ac:dyDescent="0.25">
      <c r="A93" s="73" t="s">
        <v>135</v>
      </c>
      <c r="B93" s="80">
        <f>G80</f>
        <v>0.24452371294851374</v>
      </c>
      <c r="C93" s="54"/>
      <c r="D93" s="63" t="s">
        <v>134</v>
      </c>
      <c r="E93" s="64">
        <v>1</v>
      </c>
      <c r="F93" s="65">
        <v>9.9999999999999995E-8</v>
      </c>
      <c r="G93" s="50">
        <f>E93/E94</f>
        <v>0.5</v>
      </c>
      <c r="H93" s="55"/>
      <c r="I93" s="56"/>
      <c r="J93" s="9"/>
      <c r="K93" s="6"/>
      <c r="L93" s="6"/>
      <c r="Q93" s="7"/>
    </row>
    <row r="94" spans="1:17" x14ac:dyDescent="0.25">
      <c r="A94" s="73" t="s">
        <v>136</v>
      </c>
      <c r="B94" s="80">
        <f>L73+L74</f>
        <v>73387.03472828916</v>
      </c>
      <c r="C94" s="54"/>
      <c r="D94" s="63"/>
      <c r="E94" s="64">
        <f>E92+E93</f>
        <v>2</v>
      </c>
      <c r="F94" s="49"/>
      <c r="G94" s="50"/>
      <c r="H94" s="55"/>
      <c r="I94" s="56"/>
      <c r="J94" s="9"/>
      <c r="K94" s="6"/>
      <c r="L94" s="6"/>
      <c r="Q94" s="7"/>
    </row>
    <row r="95" spans="1:17" x14ac:dyDescent="0.25">
      <c r="A95" s="76" t="s">
        <v>138</v>
      </c>
      <c r="B95" s="81">
        <f>G80</f>
        <v>0.24452371294851374</v>
      </c>
      <c r="C95" s="57"/>
      <c r="D95" s="63"/>
      <c r="E95" s="49"/>
      <c r="F95" s="49"/>
      <c r="G95" s="50"/>
      <c r="H95" s="49"/>
      <c r="I95" s="50"/>
      <c r="J95" s="6"/>
      <c r="K95" s="6"/>
      <c r="L95" s="6"/>
      <c r="M95" s="6"/>
      <c r="N95" s="6"/>
      <c r="O95" s="6"/>
      <c r="P95" s="6"/>
      <c r="Q95" s="7"/>
    </row>
    <row r="96" spans="1:17" ht="15.75" thickBot="1" x14ac:dyDescent="0.3">
      <c r="A96" s="73"/>
      <c r="B96" s="74"/>
      <c r="C96" s="48"/>
      <c r="D96" s="66"/>
      <c r="E96" s="67" t="s">
        <v>137</v>
      </c>
      <c r="F96" s="68">
        <f>G92*F92+G93*F93</f>
        <v>5.5000000000000003E-7</v>
      </c>
      <c r="G96" s="43"/>
      <c r="H96" s="49"/>
      <c r="I96" s="50"/>
      <c r="J96" s="6"/>
      <c r="K96" s="6"/>
      <c r="L96" s="6"/>
      <c r="M96" s="6"/>
      <c r="N96" s="6"/>
      <c r="O96" s="6"/>
      <c r="P96" s="6"/>
      <c r="Q96" s="7"/>
    </row>
    <row r="97" spans="1:17" x14ac:dyDescent="0.25">
      <c r="A97" s="73" t="s">
        <v>139</v>
      </c>
      <c r="B97" s="82">
        <f>100%-B95</f>
        <v>0.75547628705148628</v>
      </c>
      <c r="C97" s="58"/>
      <c r="D97" s="26"/>
      <c r="E97" s="26"/>
      <c r="F97" s="26"/>
      <c r="G97" s="26"/>
      <c r="H97" s="26"/>
      <c r="I97" s="69"/>
      <c r="J97" s="5"/>
      <c r="K97" s="5"/>
      <c r="L97" s="5"/>
      <c r="M97" s="5"/>
      <c r="N97" s="5"/>
      <c r="O97" s="5"/>
      <c r="P97" s="5"/>
      <c r="Q97" s="7"/>
    </row>
    <row r="98" spans="1:17" x14ac:dyDescent="0.25">
      <c r="A98" s="73"/>
      <c r="B98" s="81"/>
      <c r="C98" s="48"/>
      <c r="D98" s="26"/>
      <c r="E98" s="26"/>
      <c r="F98" s="26"/>
      <c r="G98" s="26"/>
      <c r="H98" s="26"/>
      <c r="I98" s="69"/>
      <c r="J98" s="5"/>
      <c r="K98" s="5"/>
      <c r="L98" s="5"/>
      <c r="M98" s="5"/>
      <c r="N98" s="5"/>
      <c r="O98" s="5"/>
      <c r="P98" s="5"/>
      <c r="Q98" s="7"/>
    </row>
    <row r="99" spans="1:17" ht="15.75" thickBot="1" x14ac:dyDescent="0.3">
      <c r="A99" s="83" t="s">
        <v>140</v>
      </c>
      <c r="B99" s="84">
        <v>0.2</v>
      </c>
      <c r="C99" s="57"/>
      <c r="D99" s="26"/>
      <c r="E99" s="26"/>
      <c r="F99" s="26"/>
      <c r="G99" s="26"/>
      <c r="H99" s="26"/>
      <c r="I99" s="69"/>
      <c r="J99" s="5"/>
      <c r="K99" s="5"/>
      <c r="L99" s="5"/>
      <c r="M99" s="5"/>
      <c r="N99" s="5"/>
      <c r="O99" s="5"/>
      <c r="P99" s="5"/>
      <c r="Q99" s="7"/>
    </row>
    <row r="100" spans="1:17" ht="15.75" thickBot="1" x14ac:dyDescent="0.3">
      <c r="A100" s="19"/>
      <c r="B100" s="20"/>
      <c r="C100" s="48"/>
      <c r="D100" s="26"/>
      <c r="E100" s="26"/>
      <c r="F100" s="26"/>
      <c r="G100" s="26"/>
      <c r="H100" s="26"/>
      <c r="I100" s="69"/>
      <c r="J100" s="5"/>
      <c r="K100" s="5"/>
      <c r="L100" s="5"/>
      <c r="M100" s="5"/>
      <c r="N100" s="5"/>
      <c r="O100" s="5"/>
      <c r="P100" s="5"/>
      <c r="Q100" s="7"/>
    </row>
    <row r="101" spans="1:17" ht="19.5" thickBot="1" x14ac:dyDescent="0.35">
      <c r="A101" s="46" t="s">
        <v>123</v>
      </c>
      <c r="B101" s="47">
        <f>B95*B91*(1-B99)+B97*B87</f>
        <v>0.13153859230265239</v>
      </c>
      <c r="C101" s="53"/>
      <c r="D101" s="26"/>
      <c r="E101" s="26"/>
      <c r="F101" s="26"/>
      <c r="G101" s="26"/>
      <c r="H101" s="26"/>
      <c r="I101" s="69"/>
      <c r="J101" s="5"/>
      <c r="K101" s="5"/>
      <c r="L101" s="5"/>
      <c r="M101" s="5"/>
      <c r="N101" s="5"/>
      <c r="O101" s="5"/>
      <c r="P101" s="5"/>
      <c r="Q101" s="7"/>
    </row>
    <row r="102" spans="1:17" ht="15.75" thickBot="1" x14ac:dyDescent="0.3">
      <c r="A102" s="22"/>
      <c r="B102" s="23"/>
      <c r="C102" s="59"/>
      <c r="D102" s="41"/>
      <c r="E102" s="41"/>
      <c r="F102" s="41"/>
      <c r="G102" s="41"/>
      <c r="H102" s="41"/>
      <c r="I102" s="70"/>
      <c r="J102" s="5"/>
      <c r="K102" s="5"/>
      <c r="L102" s="5"/>
      <c r="M102" s="5"/>
      <c r="N102" s="5"/>
      <c r="O102" s="5"/>
      <c r="P102" s="5"/>
      <c r="Q102" s="7"/>
    </row>
    <row r="103" spans="1:17" ht="15.75" thickBot="1" x14ac:dyDescent="0.3"/>
    <row r="104" spans="1:17" ht="19.5" thickBot="1" x14ac:dyDescent="0.35">
      <c r="A104" s="115" t="s">
        <v>141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7"/>
      <c r="M104" s="10"/>
    </row>
    <row r="105" spans="1:17" x14ac:dyDescent="0.25">
      <c r="A105" s="28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69"/>
      <c r="M105" s="10"/>
    </row>
    <row r="106" spans="1:17" x14ac:dyDescent="0.25">
      <c r="A106" s="85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7"/>
      <c r="M106" s="3"/>
    </row>
    <row r="107" spans="1:17" x14ac:dyDescent="0.25">
      <c r="A107" s="85" t="s">
        <v>142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7"/>
      <c r="M107" s="3"/>
    </row>
    <row r="108" spans="1:17" x14ac:dyDescent="0.25">
      <c r="A108" s="85"/>
      <c r="B108" s="86" t="s">
        <v>5</v>
      </c>
      <c r="C108" s="86"/>
      <c r="D108" s="86">
        <f t="shared" ref="D108:L108" si="46">D43</f>
        <v>24122.702190593052</v>
      </c>
      <c r="E108" s="86">
        <f t="shared" si="46"/>
        <v>23372.965701545996</v>
      </c>
      <c r="F108" s="86">
        <f t="shared" si="46"/>
        <v>21887.480530053712</v>
      </c>
      <c r="G108" s="86">
        <f t="shared" si="46"/>
        <v>20311.880432703983</v>
      </c>
      <c r="H108" s="86">
        <f t="shared" si="46"/>
        <v>18641.580459867488</v>
      </c>
      <c r="I108" s="86">
        <f t="shared" si="46"/>
        <v>16871.766018416805</v>
      </c>
      <c r="J108" s="86">
        <f t="shared" si="46"/>
        <v>14997.381387571382</v>
      </c>
      <c r="K108" s="86">
        <f t="shared" si="46"/>
        <v>13013.117660524862</v>
      </c>
      <c r="L108" s="87">
        <f t="shared" si="46"/>
        <v>10913.400083143861</v>
      </c>
      <c r="M108" s="11"/>
    </row>
    <row r="109" spans="1:17" x14ac:dyDescent="0.25">
      <c r="A109" s="85"/>
      <c r="B109" s="86" t="s">
        <v>143</v>
      </c>
      <c r="C109" s="86"/>
      <c r="D109" s="88">
        <f t="shared" ref="D109:L109" si="47">D45</f>
        <v>6948</v>
      </c>
      <c r="E109" s="88">
        <f t="shared" si="47"/>
        <v>6948</v>
      </c>
      <c r="F109" s="88">
        <f t="shared" si="47"/>
        <v>6948</v>
      </c>
      <c r="G109" s="88">
        <f t="shared" si="47"/>
        <v>6948</v>
      </c>
      <c r="H109" s="88">
        <f t="shared" si="47"/>
        <v>6948</v>
      </c>
      <c r="I109" s="88">
        <f t="shared" si="47"/>
        <v>6948</v>
      </c>
      <c r="J109" s="88">
        <f t="shared" si="47"/>
        <v>6948</v>
      </c>
      <c r="K109" s="88">
        <f t="shared" si="47"/>
        <v>6948</v>
      </c>
      <c r="L109" s="89">
        <f t="shared" si="47"/>
        <v>6948</v>
      </c>
      <c r="M109" s="3"/>
    </row>
    <row r="110" spans="1:17" x14ac:dyDescent="0.25">
      <c r="A110" s="85"/>
      <c r="B110" s="86" t="s">
        <v>144</v>
      </c>
      <c r="C110" s="86"/>
      <c r="D110" s="86">
        <f>D108-D109</f>
        <v>17174.702190593052</v>
      </c>
      <c r="E110" s="86">
        <f t="shared" ref="E110:L110" si="48">E108-E109</f>
        <v>16424.965701545996</v>
      </c>
      <c r="F110" s="86">
        <f t="shared" si="48"/>
        <v>14939.480530053712</v>
      </c>
      <c r="G110" s="86">
        <f t="shared" si="48"/>
        <v>13363.880432703983</v>
      </c>
      <c r="H110" s="86">
        <f t="shared" si="48"/>
        <v>11693.580459867488</v>
      </c>
      <c r="I110" s="86">
        <f t="shared" si="48"/>
        <v>9923.7660184168053</v>
      </c>
      <c r="J110" s="86">
        <f t="shared" si="48"/>
        <v>8049.3813875713822</v>
      </c>
      <c r="K110" s="86">
        <f t="shared" si="48"/>
        <v>6065.117660524862</v>
      </c>
      <c r="L110" s="87">
        <f t="shared" si="48"/>
        <v>3965.4000831438607</v>
      </c>
      <c r="M110" s="3"/>
    </row>
    <row r="111" spans="1:17" x14ac:dyDescent="0.25">
      <c r="A111" s="85"/>
      <c r="B111" s="86" t="s">
        <v>145</v>
      </c>
      <c r="C111" s="86"/>
      <c r="D111" s="90">
        <f>D110*$M$111</f>
        <v>3434.9404381186105</v>
      </c>
      <c r="E111" s="90">
        <f t="shared" ref="E111:L111" si="49">E110*$M$111</f>
        <v>3284.9931403091996</v>
      </c>
      <c r="F111" s="90">
        <f t="shared" si="49"/>
        <v>2987.8961060107426</v>
      </c>
      <c r="G111" s="90">
        <f t="shared" si="49"/>
        <v>2672.7760865407968</v>
      </c>
      <c r="H111" s="90">
        <f t="shared" si="49"/>
        <v>2338.7160919734974</v>
      </c>
      <c r="I111" s="90">
        <f t="shared" si="49"/>
        <v>1984.7532036833611</v>
      </c>
      <c r="J111" s="90">
        <f t="shared" si="49"/>
        <v>1609.8762775142766</v>
      </c>
      <c r="K111" s="90">
        <f t="shared" si="49"/>
        <v>1213.0235321049724</v>
      </c>
      <c r="L111" s="91">
        <f t="shared" si="49"/>
        <v>793.08001662877223</v>
      </c>
      <c r="M111" s="1">
        <f>M49</f>
        <v>0.2</v>
      </c>
    </row>
    <row r="112" spans="1:17" x14ac:dyDescent="0.25">
      <c r="A112" s="85"/>
      <c r="B112" s="86" t="s">
        <v>146</v>
      </c>
      <c r="C112" s="86"/>
      <c r="D112" s="88">
        <f>D109</f>
        <v>6948</v>
      </c>
      <c r="E112" s="88">
        <f t="shared" ref="E112:L112" si="50">E109</f>
        <v>6948</v>
      </c>
      <c r="F112" s="88">
        <f t="shared" si="50"/>
        <v>6948</v>
      </c>
      <c r="G112" s="88">
        <f t="shared" si="50"/>
        <v>6948</v>
      </c>
      <c r="H112" s="88">
        <f t="shared" si="50"/>
        <v>6948</v>
      </c>
      <c r="I112" s="88">
        <f t="shared" si="50"/>
        <v>6948</v>
      </c>
      <c r="J112" s="88">
        <f t="shared" si="50"/>
        <v>6948</v>
      </c>
      <c r="K112" s="88">
        <f t="shared" si="50"/>
        <v>6948</v>
      </c>
      <c r="L112" s="89">
        <f t="shared" si="50"/>
        <v>6948</v>
      </c>
      <c r="M112" s="3"/>
    </row>
    <row r="113" spans="1:14" x14ac:dyDescent="0.25">
      <c r="A113" s="85" t="s">
        <v>142</v>
      </c>
      <c r="B113" s="86"/>
      <c r="C113" s="86"/>
      <c r="D113" s="86">
        <f>D110-D111+D112</f>
        <v>20687.761752474442</v>
      </c>
      <c r="E113" s="86">
        <f t="shared" ref="E113:L113" si="51">E110-E111+E112</f>
        <v>20087.972561236798</v>
      </c>
      <c r="F113" s="86">
        <f t="shared" si="51"/>
        <v>18899.584424042969</v>
      </c>
      <c r="G113" s="86">
        <f t="shared" si="51"/>
        <v>17639.104346163185</v>
      </c>
      <c r="H113" s="86">
        <f t="shared" si="51"/>
        <v>16302.86436789399</v>
      </c>
      <c r="I113" s="86">
        <f t="shared" si="51"/>
        <v>14887.012814733444</v>
      </c>
      <c r="J113" s="86">
        <f t="shared" si="51"/>
        <v>13387.505110057105</v>
      </c>
      <c r="K113" s="86">
        <f t="shared" si="51"/>
        <v>11800.094128419889</v>
      </c>
      <c r="L113" s="87">
        <f t="shared" si="51"/>
        <v>10120.320066515089</v>
      </c>
      <c r="M113" s="3"/>
    </row>
    <row r="114" spans="1:14" x14ac:dyDescent="0.25">
      <c r="A114" s="85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7"/>
      <c r="M114" s="3"/>
    </row>
    <row r="115" spans="1:14" x14ac:dyDescent="0.25">
      <c r="A115" s="85" t="s">
        <v>147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7"/>
      <c r="M115" s="3"/>
    </row>
    <row r="116" spans="1:14" x14ac:dyDescent="0.25">
      <c r="A116" s="85"/>
      <c r="B116" s="92" t="s">
        <v>161</v>
      </c>
      <c r="C116" s="86">
        <v>-45000</v>
      </c>
      <c r="D116" s="29"/>
      <c r="E116" s="86"/>
      <c r="F116" s="86"/>
      <c r="G116" s="86"/>
      <c r="H116" s="86"/>
      <c r="I116" s="86"/>
      <c r="J116" s="86"/>
      <c r="K116" s="86"/>
      <c r="L116" s="87"/>
      <c r="M116" s="3"/>
    </row>
    <row r="117" spans="1:14" x14ac:dyDescent="0.25">
      <c r="A117" s="85"/>
      <c r="B117" s="86"/>
      <c r="C117" s="86"/>
      <c r="D117" s="86"/>
      <c r="E117" s="86"/>
      <c r="F117" s="86"/>
      <c r="G117" s="86"/>
      <c r="H117" s="86"/>
      <c r="I117" s="86"/>
      <c r="J117" s="86"/>
      <c r="K117" s="93"/>
      <c r="L117" s="87"/>
      <c r="M117" s="3"/>
    </row>
    <row r="118" spans="1:14" x14ac:dyDescent="0.25">
      <c r="A118" s="85"/>
      <c r="B118" s="86" t="s">
        <v>148</v>
      </c>
      <c r="C118" s="86">
        <f>-E62</f>
        <v>-28800</v>
      </c>
      <c r="D118" s="29"/>
      <c r="E118" s="86"/>
      <c r="F118" s="86"/>
      <c r="G118" s="86"/>
      <c r="H118" s="86"/>
      <c r="I118" s="86"/>
      <c r="J118" s="86"/>
      <c r="K118" s="86"/>
      <c r="L118" s="87"/>
      <c r="M118" s="3"/>
    </row>
    <row r="119" spans="1:14" x14ac:dyDescent="0.25">
      <c r="A119" s="85"/>
      <c r="B119" s="86" t="s">
        <v>149</v>
      </c>
      <c r="C119" s="86"/>
      <c r="D119" s="86"/>
      <c r="E119" s="86"/>
      <c r="F119" s="86"/>
      <c r="G119" s="86"/>
      <c r="H119" s="86"/>
      <c r="I119" s="86"/>
      <c r="J119" s="86"/>
      <c r="K119" s="86"/>
      <c r="L119" s="87">
        <f>(L62+L63)*M119</f>
        <v>5187.6000000000004</v>
      </c>
      <c r="M119" s="1">
        <v>1.1000000000000001</v>
      </c>
    </row>
    <row r="120" spans="1:14" x14ac:dyDescent="0.25">
      <c r="A120" s="85"/>
      <c r="B120" s="86" t="s">
        <v>150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30">
        <f>(L119-N119)*-M111</f>
        <v>-1037.5200000000002</v>
      </c>
      <c r="M120" s="3"/>
      <c r="N120" s="11">
        <f>L62+L63</f>
        <v>4716</v>
      </c>
    </row>
    <row r="121" spans="1:14" x14ac:dyDescent="0.25">
      <c r="A121" s="85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7"/>
      <c r="M121" s="3"/>
    </row>
    <row r="122" spans="1:14" x14ac:dyDescent="0.25">
      <c r="A122" s="28" t="s">
        <v>151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69"/>
      <c r="M122" s="3"/>
    </row>
    <row r="123" spans="1:14" x14ac:dyDescent="0.25">
      <c r="A123" s="94" t="s">
        <v>152</v>
      </c>
      <c r="B123" s="26" t="s">
        <v>159</v>
      </c>
      <c r="C123" s="26"/>
      <c r="D123" s="39">
        <f t="shared" ref="D123:L123" si="52">C56-D56</f>
        <v>-13547.661986899544</v>
      </c>
      <c r="E123" s="39">
        <f t="shared" si="52"/>
        <v>-67.738309934493373</v>
      </c>
      <c r="F123" s="39">
        <f t="shared" si="52"/>
        <v>-68.07700148416734</v>
      </c>
      <c r="G123" s="39">
        <f t="shared" si="52"/>
        <v>-68.417386491591969</v>
      </c>
      <c r="H123" s="39">
        <f t="shared" si="52"/>
        <v>-68.7594734240447</v>
      </c>
      <c r="I123" s="39">
        <f t="shared" si="52"/>
        <v>-69.103270791167233</v>
      </c>
      <c r="J123" s="39">
        <f t="shared" si="52"/>
        <v>-69.448787145121969</v>
      </c>
      <c r="K123" s="39">
        <f t="shared" si="52"/>
        <v>-69.796031080850298</v>
      </c>
      <c r="L123" s="95">
        <f t="shared" si="52"/>
        <v>-70.145011236250866</v>
      </c>
      <c r="M123" s="3"/>
    </row>
    <row r="124" spans="1:14" x14ac:dyDescent="0.25">
      <c r="A124" s="94" t="s">
        <v>152</v>
      </c>
      <c r="B124" s="26" t="s">
        <v>79</v>
      </c>
      <c r="C124" s="26"/>
      <c r="D124" s="39">
        <f t="shared" ref="D124:L124" si="53">C57-D57</f>
        <v>-2257.9436644832572</v>
      </c>
      <c r="E124" s="39">
        <f t="shared" si="53"/>
        <v>-11.289718322415865</v>
      </c>
      <c r="F124" s="39">
        <f t="shared" si="53"/>
        <v>-11.34616691402789</v>
      </c>
      <c r="G124" s="39">
        <f t="shared" si="53"/>
        <v>-11.402897748598662</v>
      </c>
      <c r="H124" s="39">
        <f t="shared" si="53"/>
        <v>-11.459912237340632</v>
      </c>
      <c r="I124" s="39">
        <f t="shared" si="53"/>
        <v>-11.517211798528024</v>
      </c>
      <c r="J124" s="39">
        <f t="shared" si="53"/>
        <v>-11.574797857520025</v>
      </c>
      <c r="K124" s="39">
        <f t="shared" si="53"/>
        <v>-11.632671846808535</v>
      </c>
      <c r="L124" s="95">
        <f t="shared" si="53"/>
        <v>-11.690835206041811</v>
      </c>
      <c r="M124" s="3"/>
    </row>
    <row r="125" spans="1:14" x14ac:dyDescent="0.25">
      <c r="A125" s="94" t="s">
        <v>153</v>
      </c>
      <c r="B125" s="26" t="s">
        <v>19</v>
      </c>
      <c r="C125" s="26"/>
      <c r="D125" s="39">
        <f>D111-0</f>
        <v>3434.9404381186105</v>
      </c>
      <c r="E125" s="39">
        <f>E111-D111</f>
        <v>-149.94729780941088</v>
      </c>
      <c r="F125" s="39">
        <f t="shared" ref="F125:L125" si="54">F111-E111</f>
        <v>-297.09703429845695</v>
      </c>
      <c r="G125" s="39">
        <f t="shared" si="54"/>
        <v>-315.12001946994587</v>
      </c>
      <c r="H125" s="39">
        <f t="shared" si="54"/>
        <v>-334.05999456729933</v>
      </c>
      <c r="I125" s="39">
        <f t="shared" si="54"/>
        <v>-353.96288829013633</v>
      </c>
      <c r="J125" s="39">
        <f t="shared" si="54"/>
        <v>-374.87692616908453</v>
      </c>
      <c r="K125" s="39">
        <f t="shared" si="54"/>
        <v>-396.85274540930413</v>
      </c>
      <c r="L125" s="95">
        <f t="shared" si="54"/>
        <v>-419.94351547620022</v>
      </c>
      <c r="M125" s="3"/>
    </row>
    <row r="126" spans="1:14" x14ac:dyDescent="0.25">
      <c r="A126" s="94" t="s">
        <v>153</v>
      </c>
      <c r="B126" s="26" t="s">
        <v>18</v>
      </c>
      <c r="C126" s="26"/>
      <c r="D126" s="39">
        <f t="shared" ref="D126:L126" si="55">D68-C68</f>
        <v>6773.830993449772</v>
      </c>
      <c r="E126" s="39">
        <f t="shared" si="55"/>
        <v>33.869154967246686</v>
      </c>
      <c r="F126" s="39">
        <f t="shared" si="55"/>
        <v>34.03850074208367</v>
      </c>
      <c r="G126" s="39">
        <f t="shared" si="55"/>
        <v>34.208693245795985</v>
      </c>
      <c r="H126" s="39">
        <f t="shared" si="55"/>
        <v>34.37973671202235</v>
      </c>
      <c r="I126" s="39">
        <f t="shared" si="55"/>
        <v>34.551635395583617</v>
      </c>
      <c r="J126" s="39">
        <f t="shared" si="55"/>
        <v>34.724393572560984</v>
      </c>
      <c r="K126" s="39">
        <f t="shared" si="55"/>
        <v>34.898015540425149</v>
      </c>
      <c r="L126" s="95">
        <f t="shared" si="55"/>
        <v>35.072505618125433</v>
      </c>
      <c r="M126" s="3"/>
    </row>
    <row r="127" spans="1:14" x14ac:dyDescent="0.25">
      <c r="A127" s="85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7"/>
      <c r="M127" s="3"/>
    </row>
    <row r="128" spans="1:14" x14ac:dyDescent="0.25">
      <c r="A128" s="85" t="s">
        <v>154</v>
      </c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7"/>
      <c r="M128" s="3"/>
    </row>
    <row r="129" spans="1:13" x14ac:dyDescent="0.25">
      <c r="A129" s="96" t="s">
        <v>153</v>
      </c>
      <c r="B129" s="26" t="s">
        <v>159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7">
        <f>L56</f>
        <v>14099.147258487232</v>
      </c>
      <c r="M129" s="3"/>
    </row>
    <row r="130" spans="1:13" x14ac:dyDescent="0.25">
      <c r="A130" s="96" t="s">
        <v>153</v>
      </c>
      <c r="B130" s="26" t="s">
        <v>79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7">
        <f>L57</f>
        <v>2349.8578764145386</v>
      </c>
      <c r="M130" s="3"/>
    </row>
    <row r="131" spans="1:13" x14ac:dyDescent="0.25">
      <c r="A131" s="96" t="s">
        <v>152</v>
      </c>
      <c r="B131" s="26" t="s">
        <v>19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7">
        <f>-L69</f>
        <v>-793.08001662877223</v>
      </c>
      <c r="M131" s="3"/>
    </row>
    <row r="132" spans="1:13" x14ac:dyDescent="0.25">
      <c r="A132" s="96" t="s">
        <v>152</v>
      </c>
      <c r="B132" s="26" t="s">
        <v>18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7">
        <f>-L68</f>
        <v>-7049.5736292436159</v>
      </c>
      <c r="M132" s="3"/>
    </row>
    <row r="133" spans="1:13" x14ac:dyDescent="0.25">
      <c r="A133" s="85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7"/>
      <c r="M133" s="3"/>
    </row>
    <row r="134" spans="1:13" x14ac:dyDescent="0.25">
      <c r="A134" s="85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7"/>
      <c r="M134" s="3"/>
    </row>
    <row r="135" spans="1:13" x14ac:dyDescent="0.25">
      <c r="A135" s="85" t="s">
        <v>155</v>
      </c>
      <c r="B135" s="86"/>
      <c r="C135" s="86">
        <f>SUM(C113:C134)</f>
        <v>-73800</v>
      </c>
      <c r="D135" s="86">
        <f t="shared" ref="D135:L135" si="56">SUM(D113:D134)</f>
        <v>15090.927532660024</v>
      </c>
      <c r="E135" s="86">
        <f t="shared" si="56"/>
        <v>19892.866390137726</v>
      </c>
      <c r="F135" s="86">
        <f t="shared" si="56"/>
        <v>18557.102722088403</v>
      </c>
      <c r="G135" s="86">
        <f t="shared" si="56"/>
        <v>17278.372735698846</v>
      </c>
      <c r="H135" s="86">
        <f t="shared" si="56"/>
        <v>15922.964724377327</v>
      </c>
      <c r="I135" s="86">
        <f t="shared" si="56"/>
        <v>14486.981079249195</v>
      </c>
      <c r="J135" s="86">
        <f t="shared" si="56"/>
        <v>12966.32899245794</v>
      </c>
      <c r="K135" s="86">
        <f t="shared" si="56"/>
        <v>11356.710695623351</v>
      </c>
      <c r="L135" s="87">
        <f t="shared" si="56"/>
        <v>22410.044699244103</v>
      </c>
      <c r="M135" s="3"/>
    </row>
    <row r="136" spans="1:13" x14ac:dyDescent="0.25">
      <c r="A136" s="85" t="s">
        <v>156</v>
      </c>
      <c r="B136" s="86"/>
      <c r="C136" s="86">
        <f t="shared" ref="C136:L136" si="57">-PV(B101,D137,,C135)</f>
        <v>-73800</v>
      </c>
      <c r="D136" s="86">
        <f t="shared" si="57"/>
        <v>15090.927532660024</v>
      </c>
      <c r="E136" s="86">
        <f t="shared" si="57"/>
        <v>19892.866390137726</v>
      </c>
      <c r="F136" s="86">
        <f t="shared" si="57"/>
        <v>18557.102722088403</v>
      </c>
      <c r="G136" s="86">
        <f t="shared" si="57"/>
        <v>17278.372735698846</v>
      </c>
      <c r="H136" s="86">
        <f t="shared" si="57"/>
        <v>15922.964724377327</v>
      </c>
      <c r="I136" s="86">
        <f t="shared" si="57"/>
        <v>14486.981079249195</v>
      </c>
      <c r="J136" s="86">
        <f t="shared" si="57"/>
        <v>12966.32899245794</v>
      </c>
      <c r="K136" s="86">
        <f t="shared" si="57"/>
        <v>11356.710695623351</v>
      </c>
      <c r="L136" s="87">
        <f t="shared" si="57"/>
        <v>22410.044699244103</v>
      </c>
      <c r="M136" s="3"/>
    </row>
    <row r="137" spans="1:13" x14ac:dyDescent="0.25">
      <c r="A137" s="85"/>
      <c r="B137" s="86"/>
      <c r="C137" s="86"/>
      <c r="D137" s="86">
        <v>0</v>
      </c>
      <c r="E137" s="86">
        <v>1</v>
      </c>
      <c r="F137" s="86">
        <v>2</v>
      </c>
      <c r="G137" s="86">
        <v>3</v>
      </c>
      <c r="H137" s="86">
        <v>4</v>
      </c>
      <c r="I137" s="86">
        <v>5</v>
      </c>
      <c r="J137" s="86">
        <v>6</v>
      </c>
      <c r="K137" s="86">
        <v>7</v>
      </c>
      <c r="L137" s="87">
        <v>8</v>
      </c>
      <c r="M137" s="3"/>
    </row>
    <row r="138" spans="1:13" ht="15.75" thickBot="1" x14ac:dyDescent="0.3">
      <c r="A138" s="51"/>
      <c r="B138" s="51"/>
      <c r="C138" s="86"/>
      <c r="D138" s="86"/>
      <c r="E138" s="86"/>
      <c r="F138" s="86"/>
      <c r="G138" s="86"/>
      <c r="H138" s="86"/>
      <c r="I138" s="86"/>
      <c r="J138" s="86"/>
      <c r="K138" s="86"/>
      <c r="L138" s="87"/>
      <c r="M138" s="3"/>
    </row>
    <row r="139" spans="1:13" ht="18.75" x14ac:dyDescent="0.3">
      <c r="A139" s="99" t="s">
        <v>157</v>
      </c>
      <c r="B139" s="44">
        <f>SUM(C136:K136)</f>
        <v>51752.254872292804</v>
      </c>
      <c r="C139" s="86"/>
      <c r="D139" s="86"/>
      <c r="E139" s="86"/>
      <c r="F139" s="51"/>
      <c r="G139" s="51"/>
      <c r="H139" s="86"/>
      <c r="I139" s="86"/>
      <c r="J139" s="86"/>
      <c r="K139" s="86"/>
      <c r="L139" s="87"/>
      <c r="M139" s="3"/>
    </row>
    <row r="140" spans="1:13" ht="19.5" thickBot="1" x14ac:dyDescent="0.35">
      <c r="A140" s="100" t="s">
        <v>158</v>
      </c>
      <c r="B140" s="45">
        <f>IRR(C135:L135)</f>
        <v>0.17145009086822371</v>
      </c>
      <c r="C140" s="29"/>
      <c r="D140" s="29"/>
      <c r="E140" s="29"/>
      <c r="F140" s="51"/>
      <c r="G140" s="51"/>
      <c r="H140" s="29"/>
      <c r="I140" s="51"/>
      <c r="J140" s="51"/>
      <c r="K140" s="86"/>
      <c r="L140" s="87"/>
      <c r="M140" s="3"/>
    </row>
    <row r="141" spans="1:13" ht="15.75" thickBot="1" x14ac:dyDescent="0.3">
      <c r="A141" s="13"/>
      <c r="B141" s="14"/>
      <c r="C141" s="42"/>
      <c r="D141" s="42"/>
      <c r="E141" s="42"/>
      <c r="F141" s="42"/>
      <c r="G141" s="42"/>
      <c r="H141" s="42"/>
      <c r="I141" s="97"/>
      <c r="J141" s="97"/>
      <c r="K141" s="97"/>
      <c r="L141" s="98"/>
      <c r="M141" s="3"/>
    </row>
    <row r="142" spans="1:13" x14ac:dyDescent="0.25">
      <c r="L142" s="1"/>
      <c r="M142" s="3"/>
    </row>
  </sheetData>
  <mergeCells count="8">
    <mergeCell ref="A104:L104"/>
    <mergeCell ref="A23:B23"/>
    <mergeCell ref="A28:B28"/>
    <mergeCell ref="O13:Y13"/>
    <mergeCell ref="O2:P2"/>
    <mergeCell ref="A22:L22"/>
    <mergeCell ref="A52:L52"/>
    <mergeCell ref="A81:I81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heet2.goalSeek">
                <anchor moveWithCells="1" sizeWithCells="1">
                  <from>
                    <xdr:col>1</xdr:col>
                    <xdr:colOff>76200</xdr:colOff>
                    <xdr:row>74</xdr:row>
                    <xdr:rowOff>19050</xdr:rowOff>
                  </from>
                  <to>
                    <xdr:col>2</xdr:col>
                    <xdr:colOff>333375</xdr:colOff>
                    <xdr:row>76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1"/>
  <sheetViews>
    <sheetView workbookViewId="0">
      <selection activeCell="I27" sqref="I27"/>
    </sheetView>
  </sheetViews>
  <sheetFormatPr defaultRowHeight="15" x14ac:dyDescent="0.25"/>
  <cols>
    <col min="1" max="1" width="16" customWidth="1"/>
    <col min="2" max="2" width="13.7109375" customWidth="1"/>
    <col min="3" max="3" width="14.85546875" customWidth="1"/>
    <col min="4" max="4" width="17.5703125" customWidth="1"/>
    <col min="5" max="5" width="17.7109375" customWidth="1"/>
    <col min="6" max="6" width="15.7109375" customWidth="1"/>
    <col min="9" max="9" width="13.28515625" customWidth="1"/>
    <col min="10" max="10" width="13.42578125" bestFit="1" customWidth="1"/>
    <col min="11" max="11" width="14.140625" bestFit="1" customWidth="1"/>
    <col min="12" max="12" width="15" bestFit="1" customWidth="1"/>
    <col min="13" max="14" width="14.85546875" bestFit="1" customWidth="1"/>
  </cols>
  <sheetData>
    <row r="1" spans="1:14" x14ac:dyDescent="0.25">
      <c r="B1" t="s">
        <v>55</v>
      </c>
      <c r="C1" t="s">
        <v>56</v>
      </c>
      <c r="D1" t="s">
        <v>57</v>
      </c>
      <c r="E1" t="s">
        <v>58</v>
      </c>
      <c r="F1" t="s">
        <v>59</v>
      </c>
      <c r="J1" t="s">
        <v>55</v>
      </c>
      <c r="K1" t="s">
        <v>56</v>
      </c>
      <c r="L1" t="s">
        <v>57</v>
      </c>
      <c r="M1" t="s">
        <v>58</v>
      </c>
      <c r="N1" t="s">
        <v>59</v>
      </c>
    </row>
    <row r="2" spans="1:14" x14ac:dyDescent="0.25">
      <c r="A2" t="s">
        <v>45</v>
      </c>
      <c r="B2">
        <f>4*4</f>
        <v>16</v>
      </c>
      <c r="C2">
        <f>50*16</f>
        <v>800</v>
      </c>
      <c r="D2">
        <v>17.5</v>
      </c>
      <c r="E2">
        <f>D2/C2</f>
        <v>2.1874999999999999E-2</v>
      </c>
      <c r="F2">
        <f>E2*B2</f>
        <v>0.35</v>
      </c>
      <c r="I2" t="s">
        <v>45</v>
      </c>
      <c r="J2">
        <f>4*4.25</f>
        <v>17</v>
      </c>
      <c r="K2">
        <v>800</v>
      </c>
      <c r="L2">
        <v>17.5</v>
      </c>
      <c r="M2">
        <f>L2/K2</f>
        <v>2.1874999999999999E-2</v>
      </c>
      <c r="N2">
        <f>M2*J2</f>
        <v>0.37187499999999996</v>
      </c>
    </row>
    <row r="3" spans="1:14" x14ac:dyDescent="0.25">
      <c r="A3" t="s">
        <v>46</v>
      </c>
      <c r="B3">
        <v>3.8</v>
      </c>
      <c r="C3">
        <v>800</v>
      </c>
      <c r="D3">
        <v>24</v>
      </c>
      <c r="E3">
        <f>D3/C3</f>
        <v>0.03</v>
      </c>
      <c r="F3">
        <f>E3*B3</f>
        <v>0.11399999999999999</v>
      </c>
      <c r="I3" t="s">
        <v>46</v>
      </c>
      <c r="J3">
        <v>3.8</v>
      </c>
      <c r="K3">
        <v>800</v>
      </c>
      <c r="L3">
        <v>24</v>
      </c>
      <c r="M3">
        <f>L3/K3</f>
        <v>0.03</v>
      </c>
      <c r="N3">
        <f>M3*J3</f>
        <v>0.11399999999999999</v>
      </c>
    </row>
    <row r="4" spans="1:14" x14ac:dyDescent="0.25">
      <c r="A4" t="s">
        <v>51</v>
      </c>
      <c r="B4">
        <f>0.75*7.75</f>
        <v>5.8125</v>
      </c>
      <c r="C4">
        <v>800</v>
      </c>
      <c r="D4">
        <v>27.25</v>
      </c>
      <c r="E4">
        <f>D4/C4</f>
        <v>3.4062500000000002E-2</v>
      </c>
      <c r="F4">
        <f>E4*B4</f>
        <v>0.19798828125000001</v>
      </c>
    </row>
    <row r="5" spans="1:14" x14ac:dyDescent="0.25">
      <c r="A5" t="s">
        <v>52</v>
      </c>
      <c r="B5">
        <v>3.6</v>
      </c>
      <c r="C5">
        <v>800</v>
      </c>
      <c r="D5">
        <v>25.15</v>
      </c>
      <c r="E5">
        <f>D5/C5</f>
        <v>3.14375E-2</v>
      </c>
      <c r="F5">
        <f>E5*B5</f>
        <v>0.113175</v>
      </c>
      <c r="J5" t="s">
        <v>73</v>
      </c>
      <c r="K5" t="s">
        <v>74</v>
      </c>
      <c r="L5" t="s">
        <v>76</v>
      </c>
      <c r="M5" t="s">
        <v>75</v>
      </c>
      <c r="N5" t="s">
        <v>59</v>
      </c>
    </row>
    <row r="6" spans="1:14" x14ac:dyDescent="0.25">
      <c r="I6" t="s">
        <v>50</v>
      </c>
      <c r="J6">
        <v>0.5</v>
      </c>
      <c r="K6">
        <v>32</v>
      </c>
      <c r="L6">
        <v>3.99</v>
      </c>
      <c r="M6">
        <f>L6/K6</f>
        <v>0.12468750000000001</v>
      </c>
      <c r="N6">
        <f>M6*J6</f>
        <v>6.2343750000000003E-2</v>
      </c>
    </row>
    <row r="7" spans="1:14" x14ac:dyDescent="0.25">
      <c r="B7" t="s">
        <v>60</v>
      </c>
      <c r="C7" t="s">
        <v>61</v>
      </c>
      <c r="D7" t="s">
        <v>62</v>
      </c>
      <c r="E7" t="s">
        <v>63</v>
      </c>
      <c r="F7" t="s">
        <v>59</v>
      </c>
      <c r="I7" t="s">
        <v>53</v>
      </c>
      <c r="J7">
        <v>0.17730000000000001</v>
      </c>
      <c r="K7">
        <f>25*16</f>
        <v>400</v>
      </c>
      <c r="L7">
        <v>4.2</v>
      </c>
      <c r="M7">
        <f>L7/K7</f>
        <v>1.0500000000000001E-2</v>
      </c>
      <c r="N7">
        <f>M7*J7</f>
        <v>1.8616500000000003E-3</v>
      </c>
    </row>
    <row r="8" spans="1:14" x14ac:dyDescent="0.25">
      <c r="A8" t="s">
        <v>47</v>
      </c>
      <c r="B8">
        <v>0.75</v>
      </c>
      <c r="C8">
        <v>30</v>
      </c>
      <c r="D8">
        <v>57</v>
      </c>
      <c r="E8">
        <f>D8/C8</f>
        <v>1.9</v>
      </c>
      <c r="F8">
        <f>E8*B8</f>
        <v>1.4249999999999998</v>
      </c>
    </row>
    <row r="9" spans="1:14" x14ac:dyDescent="0.25">
      <c r="J9" t="s">
        <v>60</v>
      </c>
      <c r="K9" t="s">
        <v>61</v>
      </c>
      <c r="L9" t="s">
        <v>62</v>
      </c>
      <c r="M9" t="s">
        <v>63</v>
      </c>
      <c r="N9" t="s">
        <v>59</v>
      </c>
    </row>
    <row r="10" spans="1:14" x14ac:dyDescent="0.25">
      <c r="B10" t="s">
        <v>64</v>
      </c>
      <c r="C10" t="s">
        <v>65</v>
      </c>
      <c r="D10" t="s">
        <v>66</v>
      </c>
      <c r="E10" t="s">
        <v>67</v>
      </c>
      <c r="F10" t="s">
        <v>59</v>
      </c>
      <c r="I10" t="s">
        <v>47</v>
      </c>
      <c r="J10">
        <v>0.25</v>
      </c>
      <c r="K10">
        <v>30</v>
      </c>
      <c r="L10">
        <v>57</v>
      </c>
      <c r="M10">
        <f>L10/K10</f>
        <v>1.9</v>
      </c>
      <c r="N10">
        <f>M10*J10</f>
        <v>0.47499999999999998</v>
      </c>
    </row>
    <row r="11" spans="1:14" x14ac:dyDescent="0.25">
      <c r="A11" t="s">
        <v>48</v>
      </c>
      <c r="B11">
        <v>1</v>
      </c>
      <c r="C11">
        <f>15*12</f>
        <v>180</v>
      </c>
      <c r="D11">
        <v>25</v>
      </c>
      <c r="E11">
        <f>D11/C11</f>
        <v>0.1388888888888889</v>
      </c>
      <c r="F11">
        <f>E11*B11</f>
        <v>0.1388888888888889</v>
      </c>
    </row>
    <row r="12" spans="1:14" x14ac:dyDescent="0.25">
      <c r="J12" t="s">
        <v>64</v>
      </c>
      <c r="K12" t="s">
        <v>65</v>
      </c>
      <c r="L12" t="s">
        <v>66</v>
      </c>
      <c r="M12" t="s">
        <v>67</v>
      </c>
      <c r="N12" t="s">
        <v>59</v>
      </c>
    </row>
    <row r="13" spans="1:14" x14ac:dyDescent="0.25">
      <c r="B13" t="s">
        <v>68</v>
      </c>
      <c r="C13" t="s">
        <v>69</v>
      </c>
      <c r="D13" t="s">
        <v>70</v>
      </c>
      <c r="E13" t="s">
        <v>71</v>
      </c>
      <c r="F13" t="s">
        <v>72</v>
      </c>
      <c r="I13" t="s">
        <v>48</v>
      </c>
      <c r="J13">
        <v>2</v>
      </c>
      <c r="K13">
        <f>15*12</f>
        <v>180</v>
      </c>
      <c r="L13">
        <v>25</v>
      </c>
      <c r="M13">
        <f>L13/K13</f>
        <v>0.1388888888888889</v>
      </c>
      <c r="N13">
        <f>M13*J13</f>
        <v>0.27777777777777779</v>
      </c>
    </row>
    <row r="14" spans="1:14" x14ac:dyDescent="0.25">
      <c r="A14" t="s">
        <v>49</v>
      </c>
      <c r="B14">
        <v>1.25</v>
      </c>
      <c r="C14">
        <v>16</v>
      </c>
      <c r="D14">
        <v>1.97</v>
      </c>
      <c r="E14">
        <f>D14/C14</f>
        <v>0.123125</v>
      </c>
      <c r="F14">
        <f>E14*B14</f>
        <v>0.15390624999999999</v>
      </c>
    </row>
    <row r="15" spans="1:14" x14ac:dyDescent="0.25">
      <c r="N15">
        <f>N2+N3+N6+N7+N10+N13</f>
        <v>1.3028581777777779</v>
      </c>
    </row>
    <row r="16" spans="1:14" x14ac:dyDescent="0.25">
      <c r="B16" t="s">
        <v>73</v>
      </c>
      <c r="C16" t="s">
        <v>74</v>
      </c>
      <c r="D16" t="s">
        <v>76</v>
      </c>
      <c r="E16" t="s">
        <v>75</v>
      </c>
      <c r="F16" t="s">
        <v>59</v>
      </c>
    </row>
    <row r="17" spans="1:6" x14ac:dyDescent="0.25">
      <c r="A17" t="s">
        <v>50</v>
      </c>
      <c r="B17">
        <v>0.5</v>
      </c>
      <c r="C17">
        <v>32</v>
      </c>
      <c r="D17">
        <v>3.99</v>
      </c>
      <c r="E17">
        <f>D17/C17</f>
        <v>0.12468750000000001</v>
      </c>
      <c r="F17">
        <f>E17*B17</f>
        <v>6.2343750000000003E-2</v>
      </c>
    </row>
    <row r="18" spans="1:6" x14ac:dyDescent="0.25">
      <c r="A18" t="s">
        <v>53</v>
      </c>
      <c r="B18">
        <v>0.17730000000000001</v>
      </c>
      <c r="C18">
        <f>25*16</f>
        <v>400</v>
      </c>
      <c r="D18">
        <v>4.2</v>
      </c>
      <c r="E18">
        <f>D18/C18</f>
        <v>1.0500000000000001E-2</v>
      </c>
      <c r="F18">
        <f>E18*B18</f>
        <v>1.8616500000000003E-3</v>
      </c>
    </row>
    <row r="19" spans="1:6" x14ac:dyDescent="0.25">
      <c r="A19" t="s">
        <v>54</v>
      </c>
      <c r="B19">
        <f>0.0243*4*3*2</f>
        <v>0.58319999999999994</v>
      </c>
      <c r="C19">
        <f>5*16</f>
        <v>80</v>
      </c>
      <c r="D19">
        <v>15.94</v>
      </c>
      <c r="E19">
        <f>D19/C19</f>
        <v>0.19924999999999998</v>
      </c>
      <c r="F19">
        <f>E19*B19</f>
        <v>0.11620259999999998</v>
      </c>
    </row>
    <row r="21" spans="1:6" x14ac:dyDescent="0.25">
      <c r="A21" t="s">
        <v>77</v>
      </c>
      <c r="F21">
        <f>SUM(F2:F5)+F8+F11+F14+SUM(F17:F19)</f>
        <v>2.6733664201388887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9"/>
  <sheetViews>
    <sheetView workbookViewId="0">
      <selection activeCell="D22" sqref="D22"/>
    </sheetView>
  </sheetViews>
  <sheetFormatPr defaultRowHeight="15" x14ac:dyDescent="0.25"/>
  <cols>
    <col min="1" max="1" width="17.85546875" customWidth="1"/>
  </cols>
  <sheetData>
    <row r="1" spans="1:2" x14ac:dyDescent="0.25">
      <c r="A1" t="s">
        <v>40</v>
      </c>
      <c r="B1" t="s">
        <v>94</v>
      </c>
    </row>
    <row r="3" spans="1:2" x14ac:dyDescent="0.25">
      <c r="A3" t="s">
        <v>95</v>
      </c>
      <c r="B3" t="s">
        <v>96</v>
      </c>
    </row>
    <row r="5" spans="1:2" x14ac:dyDescent="0.25">
      <c r="A5" t="s">
        <v>97</v>
      </c>
      <c r="B5" t="s">
        <v>98</v>
      </c>
    </row>
    <row r="7" spans="1:2" x14ac:dyDescent="0.25">
      <c r="A7" t="s">
        <v>99</v>
      </c>
      <c r="B7" t="s">
        <v>100</v>
      </c>
    </row>
    <row r="9" spans="1:2" x14ac:dyDescent="0.25">
      <c r="A9" t="s">
        <v>101</v>
      </c>
      <c r="B9" t="s">
        <v>102</v>
      </c>
    </row>
    <row r="11" spans="1:2" x14ac:dyDescent="0.25">
      <c r="A11" t="s">
        <v>103</v>
      </c>
      <c r="B11" t="s">
        <v>104</v>
      </c>
    </row>
    <row r="13" spans="1:2" x14ac:dyDescent="0.25">
      <c r="A13" t="s">
        <v>105</v>
      </c>
      <c r="B13" t="s">
        <v>106</v>
      </c>
    </row>
    <row r="15" spans="1:2" x14ac:dyDescent="0.25">
      <c r="A15" t="s">
        <v>3</v>
      </c>
      <c r="B15" t="s">
        <v>107</v>
      </c>
    </row>
    <row r="17" spans="2:2" x14ac:dyDescent="0.25">
      <c r="B17" s="21" t="s">
        <v>126</v>
      </c>
    </row>
    <row r="19" spans="2:2" x14ac:dyDescent="0.25">
      <c r="B19" s="21" t="s">
        <v>129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RoRo's Baking Co.</vt:lpstr>
      <vt:lpstr>Cost Of Goods Sold</vt:lpstr>
      <vt:lpstr>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2019-07-17T21:48:29Z</dcterms:created>
  <dcterms:modified xsi:type="dcterms:W3CDTF">2019-07-17T21:48:39Z</dcterms:modified>
</cp:coreProperties>
</file>