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-165" yWindow="-15" windowWidth="15600" windowHeight="9240"/>
  </bookViews>
  <sheets>
    <sheet name="Financial Statements" sheetId="1" r:id="rId1"/>
    <sheet name="Installment Loan" sheetId="2" r:id="rId2"/>
    <sheet name="Market Return Calculation" sheetId="3" r:id="rId3"/>
    <sheet name="Sheet2" sheetId="4" r:id="rId4"/>
  </sheets>
  <definedNames>
    <definedName name="solver_adj" localSheetId="0" hidden="1">'Financial Statements'!$C$39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'Financial Statements'!$C$209</definedName>
    <definedName name="solver_lhs2" localSheetId="0" hidden="1">'Financial Statements'!$C$98</definedName>
    <definedName name="solver_lhs3" localSheetId="0" hidden="1">'Financial Statements'!$E$98</definedName>
    <definedName name="solver_lhs4" localSheetId="0" hidden="1">'Financial Statements'!$G$98</definedName>
    <definedName name="solver_lhs5" localSheetId="0" hidden="1">'Financial Statements'!$I$98</definedName>
    <definedName name="solver_lhs6" localSheetId="0" hidden="1">'Financial Statements'!$K$98</definedName>
    <definedName name="solver_lhs7" localSheetId="0" hidden="1">'Financial Statements'!$M$98</definedName>
    <definedName name="solver_lhs8" localSheetId="0" hidden="1">'Financial Statements'!$O$98</definedName>
    <definedName name="solver_lhs9" localSheetId="0" hidden="1">'Financial Statements'!$Q$98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'Financial Statements'!$C$39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1" localSheetId="0" hidden="1">'Financial Statements'!$C$207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hs7" localSheetId="0" hidden="1">0</definedName>
    <definedName name="solver_rhs8" localSheetId="0" hidden="1">0</definedName>
    <definedName name="solver_rhs9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19" i="1" l="1"/>
  <c r="K149" i="1" l="1"/>
  <c r="C40" i="1"/>
  <c r="S203" i="1" l="1"/>
  <c r="M78" i="1"/>
  <c r="O78" i="1"/>
  <c r="Q78" i="1"/>
  <c r="K78" i="1"/>
  <c r="E78" i="1"/>
  <c r="G78" i="1"/>
  <c r="I78" i="1"/>
  <c r="C78" i="1"/>
  <c r="M178" i="1"/>
  <c r="C178" i="1"/>
  <c r="O55" i="1"/>
  <c r="Q55" i="1"/>
  <c r="M55" i="1"/>
  <c r="K55" i="1"/>
  <c r="E55" i="1"/>
  <c r="G55" i="1"/>
  <c r="I55" i="1"/>
  <c r="C55" i="1"/>
  <c r="E203" i="1" l="1"/>
  <c r="G203" i="1"/>
  <c r="I203" i="1"/>
  <c r="K203" i="1"/>
  <c r="O203" i="1"/>
  <c r="Q203" i="1"/>
  <c r="J201" i="1"/>
  <c r="L201" i="1"/>
  <c r="N201" i="1"/>
  <c r="P201" i="1"/>
  <c r="J200" i="1"/>
  <c r="L200" i="1"/>
  <c r="N200" i="1"/>
  <c r="P200" i="1"/>
  <c r="S193" i="1"/>
  <c r="M177" i="1" l="1"/>
  <c r="M203" i="1" s="1"/>
  <c r="C177" i="1"/>
  <c r="C203" i="1" s="1"/>
  <c r="C205" i="1" s="1"/>
  <c r="G164" i="1"/>
  <c r="I164" i="1"/>
  <c r="I170" i="1" s="1"/>
  <c r="K164" i="1"/>
  <c r="K170" i="1" s="1"/>
  <c r="M164" i="1"/>
  <c r="O164" i="1"/>
  <c r="Q164" i="1"/>
  <c r="S164" i="1"/>
  <c r="M170" i="1"/>
  <c r="O170" i="1"/>
  <c r="Q170" i="1"/>
  <c r="S170" i="1"/>
  <c r="E164" i="1"/>
  <c r="E170" i="1" s="1"/>
  <c r="G170" i="1" l="1"/>
  <c r="H744" i="3" l="1"/>
  <c r="H743" i="3"/>
  <c r="H742" i="3"/>
  <c r="H741" i="3"/>
  <c r="H740" i="3"/>
  <c r="H739" i="3"/>
  <c r="H738" i="3"/>
  <c r="H737" i="3"/>
  <c r="H736" i="3"/>
  <c r="H735" i="3"/>
  <c r="K734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K722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K710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K698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K686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K674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K662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K650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K638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K626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K614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K602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K590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K578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K566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K554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K542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K530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K518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K506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K494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K482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K470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K458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K446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K434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K422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K410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K398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K386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K374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K362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K350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K338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K326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K314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K302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K290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K278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K266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K254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K242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K230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K218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K206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K194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K182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K170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K158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K146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K134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K122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K110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K98" i="3"/>
  <c r="H98" i="3"/>
  <c r="H97" i="3"/>
  <c r="H96" i="3"/>
  <c r="H95" i="3"/>
  <c r="H94" i="3"/>
  <c r="H93" i="3"/>
  <c r="H92" i="3"/>
  <c r="H91" i="3"/>
  <c r="H90" i="3"/>
  <c r="H89" i="3"/>
  <c r="H88" i="3"/>
  <c r="H87" i="3"/>
  <c r="K86" i="3"/>
  <c r="H86" i="3"/>
  <c r="H85" i="3"/>
  <c r="H84" i="3"/>
  <c r="H83" i="3"/>
  <c r="H82" i="3"/>
  <c r="H81" i="3"/>
  <c r="H80" i="3"/>
  <c r="H79" i="3"/>
  <c r="H78" i="3"/>
  <c r="H77" i="3"/>
  <c r="H76" i="3"/>
  <c r="H75" i="3"/>
  <c r="K74" i="3"/>
  <c r="H74" i="3"/>
  <c r="H73" i="3"/>
  <c r="H72" i="3"/>
  <c r="H71" i="3"/>
  <c r="H70" i="3"/>
  <c r="H69" i="3"/>
  <c r="H68" i="3"/>
  <c r="H67" i="3"/>
  <c r="H66" i="3"/>
  <c r="H65" i="3"/>
  <c r="H64" i="3"/>
  <c r="H63" i="3"/>
  <c r="K62" i="3"/>
  <c r="H62" i="3"/>
  <c r="H61" i="3"/>
  <c r="H60" i="3"/>
  <c r="H59" i="3"/>
  <c r="H58" i="3"/>
  <c r="H57" i="3"/>
  <c r="H56" i="3"/>
  <c r="H55" i="3"/>
  <c r="H54" i="3"/>
  <c r="H53" i="3"/>
  <c r="H52" i="3"/>
  <c r="H51" i="3"/>
  <c r="K50" i="3"/>
  <c r="H50" i="3"/>
  <c r="H49" i="3"/>
  <c r="H48" i="3"/>
  <c r="H47" i="3"/>
  <c r="H46" i="3"/>
  <c r="H45" i="3"/>
  <c r="H44" i="3"/>
  <c r="H43" i="3"/>
  <c r="H42" i="3"/>
  <c r="H41" i="3"/>
  <c r="H40" i="3"/>
  <c r="H39" i="3"/>
  <c r="K38" i="3"/>
  <c r="H38" i="3"/>
  <c r="H37" i="3"/>
  <c r="H36" i="3"/>
  <c r="H35" i="3"/>
  <c r="H34" i="3"/>
  <c r="H33" i="3"/>
  <c r="H32" i="3"/>
  <c r="H31" i="3"/>
  <c r="H30" i="3"/>
  <c r="H29" i="3"/>
  <c r="H28" i="3"/>
  <c r="H27" i="3"/>
  <c r="K26" i="3"/>
  <c r="H26" i="3"/>
  <c r="H25" i="3"/>
  <c r="H24" i="3"/>
  <c r="H23" i="3"/>
  <c r="H22" i="3"/>
  <c r="H21" i="3"/>
  <c r="H20" i="3"/>
  <c r="H19" i="3"/>
  <c r="H18" i="3"/>
  <c r="H17" i="3"/>
  <c r="H16" i="3"/>
  <c r="H15" i="3"/>
  <c r="K14" i="3"/>
  <c r="L2" i="3" s="1"/>
  <c r="H14" i="3"/>
  <c r="H13" i="3"/>
  <c r="H12" i="3"/>
  <c r="H11" i="3"/>
  <c r="H10" i="3"/>
  <c r="H9" i="3"/>
  <c r="H8" i="3"/>
  <c r="H7" i="3"/>
  <c r="H6" i="3"/>
  <c r="H5" i="3"/>
  <c r="H4" i="3"/>
  <c r="H3" i="3"/>
  <c r="H2" i="3"/>
  <c r="I2" i="3" s="1"/>
  <c r="J2" i="3" s="1"/>
  <c r="K146" i="1" l="1"/>
  <c r="K147" i="1"/>
  <c r="Q150" i="1"/>
  <c r="E155" i="1"/>
  <c r="C152" i="1"/>
  <c r="E148" i="1"/>
  <c r="E147" i="1"/>
  <c r="Q146" i="1"/>
  <c r="D116" i="1"/>
  <c r="L55" i="1"/>
  <c r="C16" i="1" l="1"/>
  <c r="E92" i="1" l="1"/>
  <c r="G92" i="1"/>
  <c r="I92" i="1"/>
  <c r="K92" i="1"/>
  <c r="M92" i="1"/>
  <c r="O92" i="1"/>
  <c r="Q92" i="1"/>
  <c r="C92" i="1"/>
  <c r="G58" i="2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58" i="1"/>
  <c r="I58" i="1"/>
  <c r="K58" i="1"/>
  <c r="M58" i="1"/>
  <c r="O58" i="1"/>
  <c r="Q58" i="1"/>
  <c r="G57" i="1"/>
  <c r="I57" i="1"/>
  <c r="K57" i="1"/>
  <c r="M57" i="1"/>
  <c r="O57" i="1"/>
  <c r="Q57" i="1"/>
  <c r="E57" i="1"/>
  <c r="E58" i="1"/>
  <c r="C61" i="1"/>
  <c r="C58" i="1"/>
  <c r="C128" i="1" s="1"/>
  <c r="C57" i="1"/>
  <c r="C127" i="1" s="1"/>
  <c r="C54" i="1"/>
  <c r="B2" i="2"/>
  <c r="L3" i="2"/>
  <c r="I41" i="2" s="1"/>
  <c r="L2" i="2"/>
  <c r="J13" i="2" s="1"/>
  <c r="D2" i="2"/>
  <c r="I27" i="2" l="1"/>
  <c r="I69" i="2"/>
  <c r="G72" i="2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J83" i="2" s="1"/>
  <c r="E54" i="1"/>
  <c r="G54" i="1" s="1"/>
  <c r="I54" i="1" s="1"/>
  <c r="K54" i="1" s="1"/>
  <c r="M54" i="1" s="1"/>
  <c r="O54" i="1" s="1"/>
  <c r="Q54" i="1" s="1"/>
  <c r="C125" i="1"/>
  <c r="E61" i="1"/>
  <c r="G61" i="1" s="1"/>
  <c r="I61" i="1" s="1"/>
  <c r="K61" i="1" s="1"/>
  <c r="M61" i="1" s="1"/>
  <c r="O61" i="1" s="1"/>
  <c r="Q61" i="1" s="1"/>
  <c r="C130" i="1"/>
  <c r="C79" i="1"/>
  <c r="E79" i="1" s="1"/>
  <c r="G79" i="1" s="1"/>
  <c r="I79" i="1" s="1"/>
  <c r="K79" i="1" s="1"/>
  <c r="M79" i="1" s="1"/>
  <c r="O79" i="1" s="1"/>
  <c r="Q79" i="1" s="1"/>
  <c r="C126" i="1"/>
  <c r="J69" i="2"/>
  <c r="I13" i="2"/>
  <c r="L5" i="2"/>
  <c r="J55" i="2"/>
  <c r="J27" i="2"/>
  <c r="J41" i="2"/>
  <c r="I55" i="2"/>
  <c r="C80" i="1" l="1"/>
  <c r="E176" i="1" s="1"/>
  <c r="E108" i="2"/>
  <c r="E104" i="2"/>
  <c r="E101" i="2"/>
  <c r="E94" i="2"/>
  <c r="E90" i="2"/>
  <c r="E83" i="2"/>
  <c r="E79" i="2"/>
  <c r="E75" i="2"/>
  <c r="E66" i="2"/>
  <c r="E62" i="2"/>
  <c r="E58" i="2"/>
  <c r="E111" i="2"/>
  <c r="E103" i="2"/>
  <c r="E93" i="2"/>
  <c r="E86" i="2"/>
  <c r="E69" i="2"/>
  <c r="E61" i="2"/>
  <c r="E110" i="2"/>
  <c r="E106" i="2"/>
  <c r="E102" i="2"/>
  <c r="E100" i="2"/>
  <c r="E96" i="2"/>
  <c r="E92" i="2"/>
  <c r="E88" i="2"/>
  <c r="E81" i="2"/>
  <c r="E77" i="2"/>
  <c r="E73" i="2"/>
  <c r="E68" i="2"/>
  <c r="E64" i="2"/>
  <c r="E60" i="2"/>
  <c r="E109" i="2"/>
  <c r="E105" i="2"/>
  <c r="E95" i="2"/>
  <c r="E91" i="2"/>
  <c r="E87" i="2"/>
  <c r="E80" i="2"/>
  <c r="E76" i="2"/>
  <c r="E72" i="2"/>
  <c r="E67" i="2"/>
  <c r="E63" i="2"/>
  <c r="E59" i="2"/>
  <c r="E107" i="2"/>
  <c r="E97" i="2"/>
  <c r="E89" i="2"/>
  <c r="E82" i="2"/>
  <c r="E78" i="2"/>
  <c r="E74" i="2"/>
  <c r="E65" i="2"/>
  <c r="I83" i="2"/>
  <c r="G86" i="2"/>
  <c r="E52" i="2"/>
  <c r="E48" i="2"/>
  <c r="E44" i="2"/>
  <c r="E38" i="2"/>
  <c r="E34" i="2"/>
  <c r="E30" i="2"/>
  <c r="E24" i="2"/>
  <c r="E20" i="2"/>
  <c r="E16" i="2"/>
  <c r="E55" i="2"/>
  <c r="E51" i="2"/>
  <c r="E47" i="2"/>
  <c r="E41" i="2"/>
  <c r="E37" i="2"/>
  <c r="E33" i="2"/>
  <c r="E27" i="2"/>
  <c r="E23" i="2"/>
  <c r="E19" i="2"/>
  <c r="E10" i="2"/>
  <c r="E6" i="2"/>
  <c r="E40" i="2"/>
  <c r="E36" i="2"/>
  <c r="E32" i="2"/>
  <c r="E26" i="2"/>
  <c r="E54" i="2"/>
  <c r="E50" i="2"/>
  <c r="E46" i="2"/>
  <c r="E45" i="2"/>
  <c r="E31" i="2"/>
  <c r="E22" i="2"/>
  <c r="E13" i="2"/>
  <c r="E12" i="2"/>
  <c r="E11" i="2"/>
  <c r="E2" i="2"/>
  <c r="E35" i="2"/>
  <c r="E9" i="2"/>
  <c r="E5" i="2"/>
  <c r="E3" i="2"/>
  <c r="E17" i="2"/>
  <c r="E53" i="2"/>
  <c r="E39" i="2"/>
  <c r="E25" i="2"/>
  <c r="E18" i="2"/>
  <c r="E49" i="2"/>
  <c r="E21" i="2"/>
  <c r="E8" i="2"/>
  <c r="E7" i="2"/>
  <c r="E4" i="2"/>
  <c r="G87" i="2" l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E14" i="2"/>
  <c r="C2" i="2"/>
  <c r="I97" i="2" l="1"/>
  <c r="G100" i="2"/>
  <c r="J97" i="2"/>
  <c r="F2" i="2"/>
  <c r="B3" i="2" s="1"/>
  <c r="G101" i="2" l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I111" i="2" s="1"/>
  <c r="D3" i="2"/>
  <c r="J111" i="2" l="1"/>
  <c r="C3" i="2"/>
  <c r="F3" i="2" l="1"/>
  <c r="B4" i="2" s="1"/>
  <c r="D4" i="2" l="1"/>
  <c r="C4" i="2" l="1"/>
  <c r="F4" i="2" l="1"/>
  <c r="B5" i="2" s="1"/>
  <c r="D5" i="2" l="1"/>
  <c r="C5" i="2" l="1"/>
  <c r="F5" i="2" l="1"/>
  <c r="B6" i="2" s="1"/>
  <c r="D6" i="2" l="1"/>
  <c r="C6" i="2" s="1"/>
  <c r="F6" i="2" l="1"/>
  <c r="B7" i="2" s="1"/>
  <c r="D7" i="2" l="1"/>
  <c r="C7" i="2" s="1"/>
  <c r="F7" i="2" s="1"/>
  <c r="B8" i="2" s="1"/>
  <c r="D8" i="2" l="1"/>
  <c r="C8" i="2" s="1"/>
  <c r="F8" i="2" s="1"/>
  <c r="B9" i="2" s="1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C66" i="1" s="1"/>
  <c r="C14" i="2" l="1"/>
  <c r="F13" i="2"/>
  <c r="C89" i="1" s="1"/>
  <c r="B16" i="2" l="1"/>
  <c r="D16" i="2" s="1"/>
  <c r="C16" i="2" l="1"/>
  <c r="F16" i="2" l="1"/>
  <c r="B17" i="2" s="1"/>
  <c r="D17" i="2" l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E66" i="1" s="1"/>
  <c r="C28" i="2" l="1"/>
  <c r="F27" i="2"/>
  <c r="E89" i="1" s="1"/>
  <c r="B30" i="2" l="1"/>
  <c r="D30" i="2" s="1"/>
  <c r="C30" i="2" l="1"/>
  <c r="F30" i="2" l="1"/>
  <c r="B31" i="2" s="1"/>
  <c r="D31" i="2" l="1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G66" i="1" s="1"/>
  <c r="C42" i="2" l="1"/>
  <c r="F41" i="2"/>
  <c r="G89" i="1" s="1"/>
  <c r="B44" i="2" l="1"/>
  <c r="D44" i="2"/>
  <c r="C44" i="2" l="1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C10" i="1"/>
  <c r="C13" i="1"/>
  <c r="C8" i="1"/>
  <c r="C49" i="1" l="1"/>
  <c r="C119" i="1"/>
  <c r="C48" i="1"/>
  <c r="C60" i="1" s="1"/>
  <c r="C116" i="1"/>
  <c r="C75" i="1"/>
  <c r="E59" i="1"/>
  <c r="C59" i="1"/>
  <c r="C129" i="1" s="1"/>
  <c r="C131" i="1" s="1"/>
  <c r="I59" i="1"/>
  <c r="M59" i="1"/>
  <c r="Q59" i="1"/>
  <c r="G59" i="1"/>
  <c r="K59" i="1"/>
  <c r="O59" i="1"/>
  <c r="D48" i="2"/>
  <c r="G80" i="1"/>
  <c r="I176" i="1" s="1"/>
  <c r="I80" i="1"/>
  <c r="K176" i="1" s="1"/>
  <c r="E80" i="1"/>
  <c r="G176" i="1" s="1"/>
  <c r="C107" i="1" l="1"/>
  <c r="D119" i="1"/>
  <c r="D122" i="1" s="1"/>
  <c r="E183" i="1"/>
  <c r="E187" i="1" s="1"/>
  <c r="E49" i="1"/>
  <c r="C85" i="1"/>
  <c r="E48" i="1"/>
  <c r="C121" i="1"/>
  <c r="C120" i="1"/>
  <c r="C50" i="1"/>
  <c r="C56" i="1"/>
  <c r="C76" i="1"/>
  <c r="K80" i="1"/>
  <c r="M176" i="1" s="1"/>
  <c r="C48" i="2"/>
  <c r="E85" i="1" l="1"/>
  <c r="C82" i="1"/>
  <c r="C106" i="1"/>
  <c r="C87" i="1"/>
  <c r="C102" i="1" s="1"/>
  <c r="G49" i="1"/>
  <c r="E184" i="1"/>
  <c r="E188" i="1" s="1"/>
  <c r="E50" i="1"/>
  <c r="E75" i="1"/>
  <c r="E76" i="1" s="1"/>
  <c r="E56" i="1"/>
  <c r="G48" i="1"/>
  <c r="I48" i="1" s="1"/>
  <c r="E60" i="1"/>
  <c r="C122" i="1"/>
  <c r="C134" i="1" s="1"/>
  <c r="C137" i="1" s="1"/>
  <c r="C140" i="1" s="1"/>
  <c r="C62" i="1"/>
  <c r="C64" i="1" s="1"/>
  <c r="M80" i="1"/>
  <c r="O176" i="1" s="1"/>
  <c r="F48" i="2"/>
  <c r="B49" i="2" s="1"/>
  <c r="E106" i="1" l="1"/>
  <c r="E87" i="1"/>
  <c r="E102" i="1" s="1"/>
  <c r="G184" i="1"/>
  <c r="G188" i="1" s="1"/>
  <c r="G85" i="1"/>
  <c r="I184" i="1" s="1"/>
  <c r="E82" i="1"/>
  <c r="C103" i="1"/>
  <c r="C90" i="1"/>
  <c r="E107" i="1"/>
  <c r="G75" i="1"/>
  <c r="I183" i="1" s="1"/>
  <c r="I49" i="1"/>
  <c r="G56" i="1"/>
  <c r="G183" i="1"/>
  <c r="G187" i="1" s="1"/>
  <c r="E62" i="1"/>
  <c r="E64" i="1" s="1"/>
  <c r="E67" i="1" s="1"/>
  <c r="E68" i="1" s="1"/>
  <c r="E69" i="1" s="1"/>
  <c r="G60" i="1"/>
  <c r="G50" i="1"/>
  <c r="C67" i="1"/>
  <c r="C68" i="1" s="1"/>
  <c r="C69" i="1" s="1"/>
  <c r="E163" i="1"/>
  <c r="E166" i="1" s="1"/>
  <c r="I50" i="1"/>
  <c r="K48" i="1"/>
  <c r="I60" i="1"/>
  <c r="I56" i="1"/>
  <c r="O80" i="1"/>
  <c r="Q176" i="1" s="1"/>
  <c r="D49" i="2"/>
  <c r="C49" i="2" s="1"/>
  <c r="F49" i="2" s="1"/>
  <c r="B50" i="2" s="1"/>
  <c r="G107" i="1" l="1"/>
  <c r="I85" i="1"/>
  <c r="E108" i="1"/>
  <c r="E109" i="1"/>
  <c r="G106" i="1"/>
  <c r="G87" i="1"/>
  <c r="C93" i="1"/>
  <c r="C94" i="1" s="1"/>
  <c r="C104" i="1" s="1"/>
  <c r="C109" i="1"/>
  <c r="C108" i="1"/>
  <c r="E103" i="1"/>
  <c r="E90" i="1"/>
  <c r="G76" i="1"/>
  <c r="I75" i="1"/>
  <c r="I76" i="1" s="1"/>
  <c r="K49" i="1"/>
  <c r="I188" i="1"/>
  <c r="G62" i="1"/>
  <c r="G64" i="1" s="1"/>
  <c r="G67" i="1" s="1"/>
  <c r="G68" i="1" s="1"/>
  <c r="G69" i="1" s="1"/>
  <c r="G163" i="1"/>
  <c r="G166" i="1" s="1"/>
  <c r="G167" i="1" s="1"/>
  <c r="G185" i="1" s="1"/>
  <c r="I187" i="1"/>
  <c r="E167" i="1"/>
  <c r="E185" i="1" s="1"/>
  <c r="I62" i="1"/>
  <c r="I64" i="1" s="1"/>
  <c r="K163" i="1" s="1"/>
  <c r="K166" i="1" s="1"/>
  <c r="K167" i="1" s="1"/>
  <c r="M48" i="1"/>
  <c r="K60" i="1"/>
  <c r="K56" i="1"/>
  <c r="Q80" i="1"/>
  <c r="S176" i="1" s="1"/>
  <c r="D50" i="2"/>
  <c r="C50" i="2" s="1"/>
  <c r="F50" i="2" s="1"/>
  <c r="B51" i="2" s="1"/>
  <c r="I107" i="1" l="1"/>
  <c r="E93" i="1"/>
  <c r="E94" i="1" s="1"/>
  <c r="E104" i="1" s="1"/>
  <c r="C96" i="1"/>
  <c r="C98" i="1" s="1"/>
  <c r="K85" i="1"/>
  <c r="G109" i="1"/>
  <c r="G108" i="1"/>
  <c r="I82" i="1"/>
  <c r="G103" i="1"/>
  <c r="G90" i="1"/>
  <c r="E110" i="1"/>
  <c r="G82" i="1"/>
  <c r="G102" i="1"/>
  <c r="C110" i="1"/>
  <c r="K184" i="1"/>
  <c r="K188" i="1" s="1"/>
  <c r="I106" i="1"/>
  <c r="I87" i="1"/>
  <c r="E168" i="1"/>
  <c r="E171" i="1" s="1"/>
  <c r="E200" i="1" s="1"/>
  <c r="S179" i="1"/>
  <c r="S204" i="1" s="1"/>
  <c r="K183" i="1"/>
  <c r="K187" i="1" s="1"/>
  <c r="M49" i="1"/>
  <c r="K75" i="1"/>
  <c r="M183" i="1" s="1"/>
  <c r="K50" i="1"/>
  <c r="I163" i="1"/>
  <c r="I166" i="1" s="1"/>
  <c r="I167" i="1" s="1"/>
  <c r="I185" i="1" s="1"/>
  <c r="I189" i="1" s="1"/>
  <c r="I190" i="1" s="1"/>
  <c r="I201" i="1" s="1"/>
  <c r="G168" i="1"/>
  <c r="G171" i="1" s="1"/>
  <c r="G200" i="1" s="1"/>
  <c r="K168" i="1"/>
  <c r="K171" i="1" s="1"/>
  <c r="K200" i="1" s="1"/>
  <c r="K185" i="1"/>
  <c r="E189" i="1"/>
  <c r="E190" i="1" s="1"/>
  <c r="E201" i="1" s="1"/>
  <c r="G189" i="1"/>
  <c r="G190" i="1" s="1"/>
  <c r="G201" i="1" s="1"/>
  <c r="K62" i="1"/>
  <c r="O48" i="1"/>
  <c r="M60" i="1"/>
  <c r="M56" i="1"/>
  <c r="D51" i="2"/>
  <c r="C51" i="2" s="1"/>
  <c r="F51" i="2" s="1"/>
  <c r="B52" i="2" s="1"/>
  <c r="G93" i="1" l="1"/>
  <c r="G94" i="1" s="1"/>
  <c r="G104" i="1" s="1"/>
  <c r="E205" i="1"/>
  <c r="E96" i="1"/>
  <c r="E98" i="1" s="1"/>
  <c r="I103" i="1"/>
  <c r="I102" i="1"/>
  <c r="K107" i="1"/>
  <c r="M85" i="1"/>
  <c r="M184" i="1"/>
  <c r="M188" i="1" s="1"/>
  <c r="K106" i="1"/>
  <c r="K87" i="1"/>
  <c r="K76" i="1"/>
  <c r="M187" i="1"/>
  <c r="O49" i="1"/>
  <c r="M75" i="1"/>
  <c r="O183" i="1" s="1"/>
  <c r="O187" i="1" s="1"/>
  <c r="M50" i="1"/>
  <c r="K64" i="1"/>
  <c r="M163" i="1" s="1"/>
  <c r="M166" i="1" s="1"/>
  <c r="M167" i="1" s="1"/>
  <c r="M185" i="1" s="1"/>
  <c r="M189" i="1" s="1"/>
  <c r="I168" i="1"/>
  <c r="I171" i="1" s="1"/>
  <c r="I200" i="1" s="1"/>
  <c r="I205" i="1" s="1"/>
  <c r="G205" i="1"/>
  <c r="K189" i="1"/>
  <c r="K190" i="1" s="1"/>
  <c r="K201" i="1" s="1"/>
  <c r="K205" i="1" s="1"/>
  <c r="M62" i="1"/>
  <c r="Q48" i="1"/>
  <c r="O60" i="1"/>
  <c r="O56" i="1"/>
  <c r="D52" i="2"/>
  <c r="C52" i="2" s="1"/>
  <c r="F52" i="2" s="1"/>
  <c r="B53" i="2" s="1"/>
  <c r="M190" i="1" l="1"/>
  <c r="M201" i="1" s="1"/>
  <c r="G96" i="1"/>
  <c r="G98" i="1" s="1"/>
  <c r="G110" i="1"/>
  <c r="K82" i="1"/>
  <c r="K102" i="1"/>
  <c r="M107" i="1"/>
  <c r="K103" i="1"/>
  <c r="O184" i="1"/>
  <c r="O188" i="1" s="1"/>
  <c r="M106" i="1"/>
  <c r="M87" i="1"/>
  <c r="O85" i="1"/>
  <c r="M64" i="1"/>
  <c r="O163" i="1" s="1"/>
  <c r="O166" i="1" s="1"/>
  <c r="O167" i="1" s="1"/>
  <c r="O185" i="1" s="1"/>
  <c r="O189" i="1" s="1"/>
  <c r="M76" i="1"/>
  <c r="Q49" i="1"/>
  <c r="O75" i="1"/>
  <c r="O76" i="1" s="1"/>
  <c r="O50" i="1"/>
  <c r="M168" i="1"/>
  <c r="M171" i="1" s="1"/>
  <c r="M200" i="1" s="1"/>
  <c r="M205" i="1" s="1"/>
  <c r="O62" i="1"/>
  <c r="Q60" i="1"/>
  <c r="Q56" i="1"/>
  <c r="D53" i="2"/>
  <c r="C53" i="2" s="1"/>
  <c r="F53" i="2" s="1"/>
  <c r="B54" i="2" s="1"/>
  <c r="O82" i="1" l="1"/>
  <c r="O102" i="1"/>
  <c r="O107" i="1"/>
  <c r="Q85" i="1"/>
  <c r="Q184" i="1"/>
  <c r="Q188" i="1" s="1"/>
  <c r="O106" i="1"/>
  <c r="O87" i="1"/>
  <c r="M82" i="1"/>
  <c r="M102" i="1"/>
  <c r="M103" i="1"/>
  <c r="O190" i="1"/>
  <c r="O201" i="1" s="1"/>
  <c r="Q183" i="1"/>
  <c r="Q187" i="1" s="1"/>
  <c r="O64" i="1"/>
  <c r="Q163" i="1" s="1"/>
  <c r="Q166" i="1" s="1"/>
  <c r="Q167" i="1" s="1"/>
  <c r="Q168" i="1" s="1"/>
  <c r="Q171" i="1" s="1"/>
  <c r="Q200" i="1" s="1"/>
  <c r="Q75" i="1"/>
  <c r="Q76" i="1" s="1"/>
  <c r="Q50" i="1"/>
  <c r="O168" i="1"/>
  <c r="O171" i="1" s="1"/>
  <c r="O200" i="1" s="1"/>
  <c r="Q62" i="1"/>
  <c r="D54" i="2"/>
  <c r="C54" i="2" s="1"/>
  <c r="F54" i="2" s="1"/>
  <c r="B55" i="2" s="1"/>
  <c r="Q82" i="1" l="1"/>
  <c r="Q102" i="1"/>
  <c r="Q107" i="1"/>
  <c r="O103" i="1"/>
  <c r="S184" i="1"/>
  <c r="Q106" i="1"/>
  <c r="Q87" i="1"/>
  <c r="O205" i="1"/>
  <c r="Q185" i="1"/>
  <c r="Q189" i="1" s="1"/>
  <c r="Q190" i="1" s="1"/>
  <c r="Q201" i="1" s="1"/>
  <c r="Q205" i="1" s="1"/>
  <c r="Q64" i="1"/>
  <c r="S163" i="1" s="1"/>
  <c r="S166" i="1" s="1"/>
  <c r="S167" i="1" s="1"/>
  <c r="S185" i="1" s="1"/>
  <c r="S183" i="1"/>
  <c r="D55" i="2"/>
  <c r="S195" i="1" l="1"/>
  <c r="S188" i="1"/>
  <c r="Q103" i="1"/>
  <c r="S168" i="1"/>
  <c r="S171" i="1" s="1"/>
  <c r="S200" i="1" s="1"/>
  <c r="S194" i="1"/>
  <c r="S187" i="1"/>
  <c r="S196" i="1"/>
  <c r="S189" i="1"/>
  <c r="C55" i="2"/>
  <c r="D56" i="2"/>
  <c r="S190" i="1" l="1"/>
  <c r="S201" i="1" s="1"/>
  <c r="S197" i="1"/>
  <c r="S202" i="1" s="1"/>
  <c r="I66" i="1"/>
  <c r="I67" i="1" s="1"/>
  <c r="I68" i="1" s="1"/>
  <c r="I69" i="1" s="1"/>
  <c r="C56" i="2"/>
  <c r="F55" i="2"/>
  <c r="I89" i="1" s="1"/>
  <c r="I93" i="1" l="1"/>
  <c r="I94" i="1" s="1"/>
  <c r="I110" i="1" s="1"/>
  <c r="I108" i="1"/>
  <c r="I109" i="1"/>
  <c r="I90" i="1"/>
  <c r="S205" i="1"/>
  <c r="C209" i="1" s="1"/>
  <c r="B58" i="2"/>
  <c r="I104" i="1" l="1"/>
  <c r="I96" i="1"/>
  <c r="I98" i="1" s="1"/>
  <c r="D58" i="2"/>
  <c r="C58" i="2" l="1"/>
  <c r="F58" i="2" l="1"/>
  <c r="B59" i="2" s="1"/>
  <c r="D59" i="2" l="1"/>
  <c r="C59" i="2" l="1"/>
  <c r="F59" i="2" l="1"/>
  <c r="B60" i="2" s="1"/>
  <c r="D60" i="2" l="1"/>
  <c r="C60" i="2" l="1"/>
  <c r="F60" i="2" l="1"/>
  <c r="B61" i="2" s="1"/>
  <c r="D61" i="2" l="1"/>
  <c r="C61" i="2" l="1"/>
  <c r="F61" i="2" l="1"/>
  <c r="B62" i="2" s="1"/>
  <c r="D62" i="2" s="1"/>
  <c r="C62" i="2" l="1"/>
  <c r="F62" i="2" l="1"/>
  <c r="B63" i="2" s="1"/>
  <c r="D63" i="2" s="1"/>
  <c r="C63" i="2" s="1"/>
  <c r="F63" i="2" s="1"/>
  <c r="B64" i="2" s="1"/>
  <c r="D64" i="2" l="1"/>
  <c r="C64" i="2" s="1"/>
  <c r="F64" i="2" s="1"/>
  <c r="B65" i="2" s="1"/>
  <c r="D65" i="2" s="1"/>
  <c r="C65" i="2" s="1"/>
  <c r="F65" i="2" s="1"/>
  <c r="B66" i="2" s="1"/>
  <c r="D66" i="2" l="1"/>
  <c r="C66" i="2" s="1"/>
  <c r="F66" i="2" s="1"/>
  <c r="B67" i="2" s="1"/>
  <c r="D67" i="2" l="1"/>
  <c r="C67" i="2" s="1"/>
  <c r="F67" i="2" s="1"/>
  <c r="B68" i="2" s="1"/>
  <c r="D68" i="2" s="1"/>
  <c r="C68" i="2" s="1"/>
  <c r="F68" i="2" s="1"/>
  <c r="B69" i="2" s="1"/>
  <c r="D69" i="2" l="1"/>
  <c r="C69" i="2" l="1"/>
  <c r="D70" i="2"/>
  <c r="K66" i="1" l="1"/>
  <c r="K67" i="1" s="1"/>
  <c r="K68" i="1" s="1"/>
  <c r="K69" i="1" s="1"/>
  <c r="C70" i="2"/>
  <c r="F69" i="2"/>
  <c r="K89" i="1" s="1"/>
  <c r="K93" i="1" l="1"/>
  <c r="K94" i="1" s="1"/>
  <c r="K110" i="1" s="1"/>
  <c r="K109" i="1"/>
  <c r="K108" i="1"/>
  <c r="K90" i="1"/>
  <c r="B72" i="2"/>
  <c r="K104" i="1" l="1"/>
  <c r="K96" i="1"/>
  <c r="K98" i="1" s="1"/>
  <c r="D72" i="2"/>
  <c r="C72" i="2" l="1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D77" i="2" l="1"/>
  <c r="C77" i="2" s="1"/>
  <c r="F77" i="2" s="1"/>
  <c r="B78" i="2" s="1"/>
  <c r="D78" i="2" s="1"/>
  <c r="C78" i="2" s="1"/>
  <c r="F78" i="2" s="1"/>
  <c r="B79" i="2" s="1"/>
  <c r="D79" i="2" s="1"/>
  <c r="C79" i="2" s="1"/>
  <c r="F79" i="2" s="1"/>
  <c r="B80" i="2" s="1"/>
  <c r="D80" i="2" l="1"/>
  <c r="C80" i="2" s="1"/>
  <c r="F80" i="2" s="1"/>
  <c r="B81" i="2" s="1"/>
  <c r="D81" i="2" l="1"/>
  <c r="C81" i="2" s="1"/>
  <c r="F81" i="2"/>
  <c r="B82" i="2" s="1"/>
  <c r="D82" i="2" s="1"/>
  <c r="C82" i="2" s="1"/>
  <c r="F82" i="2" s="1"/>
  <c r="B83" i="2" s="1"/>
  <c r="D83" i="2" l="1"/>
  <c r="C83" i="2" l="1"/>
  <c r="D84" i="2"/>
  <c r="M66" i="1" l="1"/>
  <c r="M67" i="1" s="1"/>
  <c r="M68" i="1" s="1"/>
  <c r="M69" i="1" s="1"/>
  <c r="C84" i="2"/>
  <c r="F83" i="2"/>
  <c r="M89" i="1" s="1"/>
  <c r="M90" i="1" l="1"/>
  <c r="M93" i="1"/>
  <c r="M94" i="1" s="1"/>
  <c r="M104" i="1" s="1"/>
  <c r="M108" i="1"/>
  <c r="M109" i="1"/>
  <c r="B86" i="2"/>
  <c r="D86" i="2" s="1"/>
  <c r="M110" i="1" l="1"/>
  <c r="M96" i="1"/>
  <c r="M98" i="1" s="1"/>
  <c r="C86" i="2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s="1"/>
  <c r="C90" i="2" l="1"/>
  <c r="F90" i="2" l="1"/>
  <c r="B91" i="2" s="1"/>
  <c r="D91" i="2" l="1"/>
  <c r="C91" i="2" s="1"/>
  <c r="F91" i="2" s="1"/>
  <c r="B92" i="2" s="1"/>
  <c r="D92" i="2" s="1"/>
  <c r="C92" i="2" s="1"/>
  <c r="F92" i="2" s="1"/>
  <c r="B93" i="2" s="1"/>
  <c r="D93" i="2" s="1"/>
  <c r="C93" i="2" s="1"/>
  <c r="F93" i="2" s="1"/>
  <c r="B94" i="2" s="1"/>
  <c r="D94" i="2" l="1"/>
  <c r="C94" i="2" s="1"/>
  <c r="F94" i="2"/>
  <c r="B95" i="2" s="1"/>
  <c r="D95" i="2" s="1"/>
  <c r="C95" i="2" s="1"/>
  <c r="F95" i="2" s="1"/>
  <c r="B96" i="2" s="1"/>
  <c r="D96" i="2" l="1"/>
  <c r="C96" i="2" s="1"/>
  <c r="F96" i="2"/>
  <c r="B97" i="2" s="1"/>
  <c r="D97" i="2" l="1"/>
  <c r="C97" i="2" l="1"/>
  <c r="D98" i="2"/>
  <c r="O66" i="1" l="1"/>
  <c r="O67" i="1" s="1"/>
  <c r="O68" i="1" s="1"/>
  <c r="O69" i="1" s="1"/>
  <c r="C98" i="2"/>
  <c r="F97" i="2"/>
  <c r="O89" i="1" s="1"/>
  <c r="O93" i="1" l="1"/>
  <c r="O94" i="1" s="1"/>
  <c r="O104" i="1" s="1"/>
  <c r="O109" i="1"/>
  <c r="O108" i="1"/>
  <c r="O90" i="1"/>
  <c r="B100" i="2"/>
  <c r="O110" i="1" l="1"/>
  <c r="O96" i="1"/>
  <c r="O98" i="1" s="1"/>
  <c r="D100" i="2"/>
  <c r="C100" i="2" l="1"/>
  <c r="F100" i="2" l="1"/>
  <c r="B101" i="2" s="1"/>
  <c r="D101" i="2" s="1"/>
  <c r="C101" i="2" l="1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s="1"/>
  <c r="C104" i="2" l="1"/>
  <c r="F104" i="2" l="1"/>
  <c r="B105" i="2" s="1"/>
  <c r="D105" i="2" s="1"/>
  <c r="C105" i="2" s="1"/>
  <c r="F105" i="2" s="1"/>
  <c r="B106" i="2" s="1"/>
  <c r="D106" i="2" l="1"/>
  <c r="C106" i="2" s="1"/>
  <c r="F106" i="2" s="1"/>
  <c r="B107" i="2" s="1"/>
  <c r="D107" i="2" s="1"/>
  <c r="C107" i="2" s="1"/>
  <c r="F107" i="2" s="1"/>
  <c r="B108" i="2" s="1"/>
  <c r="D108" i="2" l="1"/>
  <c r="C108" i="2" s="1"/>
  <c r="F108" i="2" s="1"/>
  <c r="B109" i="2" s="1"/>
  <c r="D109" i="2" s="1"/>
  <c r="C109" i="2" s="1"/>
  <c r="F109" i="2" s="1"/>
  <c r="B110" i="2" s="1"/>
  <c r="D110" i="2" l="1"/>
  <c r="C110" i="2" s="1"/>
  <c r="F110" i="2" s="1"/>
  <c r="B111" i="2" s="1"/>
  <c r="D111" i="2" l="1"/>
  <c r="C111" i="2" l="1"/>
  <c r="D112" i="2"/>
  <c r="Q66" i="1" l="1"/>
  <c r="Q67" i="1" s="1"/>
  <c r="Q68" i="1" s="1"/>
  <c r="Q69" i="1" s="1"/>
  <c r="C112" i="2"/>
  <c r="F111" i="2"/>
  <c r="Q89" i="1" s="1"/>
  <c r="Q93" i="1" l="1"/>
  <c r="Q108" i="1"/>
  <c r="Q109" i="1"/>
  <c r="K148" i="1"/>
  <c r="C153" i="1" s="1"/>
  <c r="Q90" i="1"/>
  <c r="Q96" i="1" s="1"/>
  <c r="Q98" i="1" s="1"/>
  <c r="K151" i="1" l="1"/>
  <c r="C154" i="1" s="1"/>
  <c r="E153" i="1" s="1"/>
  <c r="Q94" i="1"/>
  <c r="C151" i="1"/>
  <c r="E151" i="1" s="1"/>
  <c r="E156" i="1" s="1"/>
  <c r="E154" i="1" l="1"/>
  <c r="C155" i="1"/>
  <c r="Q147" i="1" s="1"/>
  <c r="Q148" i="1" s="1"/>
  <c r="Q154" i="1" s="1"/>
  <c r="Q156" i="1" s="1"/>
  <c r="E146" i="1" s="1"/>
  <c r="E152" i="1" s="1"/>
  <c r="E157" i="1" s="1"/>
  <c r="E158" i="1" s="1"/>
  <c r="Q110" i="1"/>
  <c r="Q104" i="1"/>
  <c r="C156" i="1" l="1"/>
  <c r="C157" i="1"/>
  <c r="C158" i="1" l="1"/>
  <c r="G206" i="1" s="1"/>
  <c r="C206" i="1" l="1"/>
  <c r="I206" i="1"/>
  <c r="K206" i="1"/>
  <c r="M206" i="1"/>
  <c r="S206" i="1"/>
  <c r="E206" i="1"/>
  <c r="Q206" i="1"/>
  <c r="O206" i="1"/>
  <c r="C207" i="1"/>
  <c r="C214" i="1" s="1"/>
  <c r="C216" i="1" s="1"/>
  <c r="C217" i="1" s="1"/>
  <c r="C208" i="1" l="1"/>
</calcChain>
</file>

<file path=xl/sharedStrings.xml><?xml version="1.0" encoding="utf-8"?>
<sst xmlns="http://schemas.openxmlformats.org/spreadsheetml/2006/main" count="328" uniqueCount="263">
  <si>
    <t>Net Income Before Interest &amp; Taxes</t>
    <phoneticPr fontId="3" type="noConversion"/>
  </si>
  <si>
    <t>Net Income After Taxes</t>
    <phoneticPr fontId="3" type="noConversion"/>
  </si>
  <si>
    <t>FORECAST</t>
  </si>
  <si>
    <t>Total Revenues</t>
  </si>
  <si>
    <t>Operating Expenses</t>
  </si>
  <si>
    <t>Rent</t>
  </si>
  <si>
    <t>Interest Expense</t>
  </si>
  <si>
    <t>Profit Before Taxes</t>
  </si>
  <si>
    <t>Taxes</t>
  </si>
  <si>
    <t>BALANCE SHEET</t>
  </si>
  <si>
    <t>Assets</t>
  </si>
  <si>
    <t>Cash</t>
  </si>
  <si>
    <t>Less:  Accumulated Depreciation</t>
  </si>
  <si>
    <t>Total Assets</t>
  </si>
  <si>
    <t>Liabilities and Equity</t>
  </si>
  <si>
    <t>Accounts Payable</t>
  </si>
  <si>
    <t>Total Liabilities and Equity</t>
  </si>
  <si>
    <t>Inventory</t>
    <phoneticPr fontId="3" type="noConversion"/>
  </si>
  <si>
    <t>Total Current Assets</t>
    <phoneticPr fontId="3" type="noConversion"/>
  </si>
  <si>
    <t>Long Term, Debt</t>
    <phoneticPr fontId="3" type="noConversion"/>
  </si>
  <si>
    <t>Common Stock</t>
    <phoneticPr fontId="3" type="noConversion"/>
  </si>
  <si>
    <t>Retained Earnings</t>
    <phoneticPr fontId="3" type="noConversion"/>
  </si>
  <si>
    <t>Sales</t>
    <phoneticPr fontId="3" type="noConversion"/>
  </si>
  <si>
    <t>Cost of Sales</t>
    <phoneticPr fontId="3" type="noConversion"/>
  </si>
  <si>
    <t>Gross Profit</t>
    <phoneticPr fontId="3" type="noConversion"/>
  </si>
  <si>
    <t xml:space="preserve">Payroll </t>
    <phoneticPr fontId="3" type="noConversion"/>
  </si>
  <si>
    <t>Depreciation</t>
    <phoneticPr fontId="3" type="noConversion"/>
  </si>
  <si>
    <t>Insurance</t>
    <phoneticPr fontId="3" type="noConversion"/>
  </si>
  <si>
    <t>Marketing</t>
    <phoneticPr fontId="3" type="noConversion"/>
  </si>
  <si>
    <t>Credit Card serv fees</t>
    <phoneticPr fontId="3" type="noConversion"/>
  </si>
  <si>
    <t>Utilities</t>
    <phoneticPr fontId="3" type="noConversion"/>
  </si>
  <si>
    <t>Total Expenses</t>
    <phoneticPr fontId="3" type="noConversion"/>
  </si>
  <si>
    <t>Sell Price per ounce</t>
  </si>
  <si>
    <t>Average Ounces of Yogurt Sold per customer</t>
  </si>
  <si>
    <t>Average Ounces of Topping Sold per customer</t>
  </si>
  <si>
    <t>Average Sell Price per customer</t>
  </si>
  <si>
    <t>Unit Sales Annual Forecast</t>
  </si>
  <si>
    <t>Average Cost of Sales per customer</t>
  </si>
  <si>
    <t>Minimum Cash Balance</t>
  </si>
  <si>
    <t>Fixed Marketing Expense</t>
  </si>
  <si>
    <t>Annual Percent Increase of Payroll</t>
  </si>
  <si>
    <t>Cost per ounce</t>
  </si>
  <si>
    <t>Depreciation Years</t>
  </si>
  <si>
    <t>Utilities Starting Cost per month</t>
  </si>
  <si>
    <t>Inventory Turnover (days)</t>
  </si>
  <si>
    <t>Tax Rate</t>
  </si>
  <si>
    <t>Payment Period for Accounts Payable (days)</t>
  </si>
  <si>
    <t>Beg Balance</t>
  </si>
  <si>
    <t>Principal</t>
  </si>
  <si>
    <t xml:space="preserve">Interest </t>
  </si>
  <si>
    <t>Payment</t>
  </si>
  <si>
    <t>End Balance</t>
  </si>
  <si>
    <t>Monthly</t>
  </si>
  <si>
    <t>January 2012</t>
  </si>
  <si>
    <t>Rate</t>
  </si>
  <si>
    <t>February 2012</t>
  </si>
  <si>
    <t>Term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</si>
  <si>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</si>
  <si>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</si>
  <si>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</si>
  <si>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</si>
  <si>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</si>
  <si>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</si>
  <si>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</si>
  <si>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ALTERNATIVE WAY TO DO CALCULATIONS:</t>
  </si>
  <si>
    <t>October 2012</t>
  </si>
  <si>
    <t>November 2012</t>
  </si>
  <si>
    <t>Interest for year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</si>
  <si>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</si>
  <si>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</si>
  <si>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</si>
  <si>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</si>
  <si>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</si>
  <si>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</si>
  <si>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</si>
  <si>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</si>
  <si>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</si>
  <si>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</si>
  <si>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</si>
  <si>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</si>
  <si>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</si>
  <si>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</si>
  <si>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</si>
  <si>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</si>
  <si>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</si>
  <si>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</si>
  <si>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</si>
  <si>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</si>
  <si>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</si>
  <si>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</si>
  <si>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</si>
  <si>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</si>
  <si>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</si>
  <si>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</si>
  <si>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</si>
  <si>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</si>
  <si>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</si>
  <si>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</si>
  <si>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</si>
  <si>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</si>
  <si>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</si>
  <si>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</si>
  <si>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</si>
  <si>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</si>
  <si>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</si>
  <si>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</si>
  <si>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Owners Equity Contribution</t>
  </si>
  <si>
    <t>Extra Loan Interest Rate</t>
  </si>
  <si>
    <t>Income Statement</t>
  </si>
  <si>
    <t>Fixed Insurance Expense</t>
  </si>
  <si>
    <t>Credit Card Service fees (percent of sales)</t>
  </si>
  <si>
    <t>Misc. Supplies &amp; Costs (percent of sales)</t>
  </si>
  <si>
    <t>Misc Supplies &amp; Costs</t>
  </si>
  <si>
    <t>Rent ($22 per sqft. Per year with 1,200 sqft.)</t>
  </si>
  <si>
    <t>Sales Annual Growth</t>
  </si>
  <si>
    <t>Cost of Sales Growth</t>
  </si>
  <si>
    <t>Assumptions</t>
  </si>
  <si>
    <t>Zoyo Yogurt</t>
  </si>
  <si>
    <t>Net Plant &amp; Equipment</t>
  </si>
  <si>
    <t>Plant &amp; Equipment</t>
  </si>
  <si>
    <t>Extra Bank Loan</t>
  </si>
  <si>
    <t>DFN</t>
  </si>
  <si>
    <t>Utilities annual percent increase</t>
  </si>
  <si>
    <t>BREAKEVEN</t>
  </si>
  <si>
    <t>Totals</t>
  </si>
  <si>
    <t>Revenue</t>
  </si>
  <si>
    <t>Variable Costs</t>
  </si>
  <si>
    <t>Cost of Goods Sold</t>
  </si>
  <si>
    <t>Contribuition Margin</t>
  </si>
  <si>
    <t>Fixed Costs</t>
  </si>
  <si>
    <t>Breakeven units</t>
  </si>
  <si>
    <t>per year</t>
  </si>
  <si>
    <t>per month</t>
  </si>
  <si>
    <t>per day</t>
  </si>
  <si>
    <t>Per Customer</t>
  </si>
  <si>
    <t>Number of line workers</t>
  </si>
  <si>
    <t>Number of supervisors</t>
  </si>
  <si>
    <t>Number of hours worked per week per line worker</t>
  </si>
  <si>
    <t>Number of hours worked per week per supervisor</t>
  </si>
  <si>
    <t>Wage per hour for line worker</t>
  </si>
  <si>
    <t>Wage per hour for supervisor</t>
  </si>
  <si>
    <t>Amount of hours in operation per week</t>
  </si>
  <si>
    <t>Installment Loan at 12%</t>
  </si>
  <si>
    <t>Open Monday to Friday 11:00 am to 10:00 pm and Saturday 9:00 am to 12:00 am (Closed Sunday)</t>
  </si>
  <si>
    <t>Payroll Starting Cost (Annual)</t>
  </si>
  <si>
    <t>We are leasing our building in South Jordan, Utah instead of owning the building and land</t>
  </si>
  <si>
    <t>Average price per ounce by most competitors</t>
  </si>
  <si>
    <t>Average cost per ounce by most competitors</t>
  </si>
  <si>
    <t>Average yogurt  ounces sold per customer by most competitors</t>
  </si>
  <si>
    <t>Average topping ounces sold per customer by most competitors</t>
  </si>
  <si>
    <t>Initial Equipment Cost</t>
  </si>
  <si>
    <t>Equipment Improvement Cost (in 5th year)</t>
  </si>
  <si>
    <t>The investors are not the supervisors</t>
  </si>
  <si>
    <t>The investors will not work at the business.  They will sell the business at a profit in 30 years.</t>
  </si>
  <si>
    <t>This loan will be paid in equal monthly installments over 30 years.</t>
  </si>
  <si>
    <t>WACC</t>
  </si>
  <si>
    <t>*Change only the blue numbers</t>
  </si>
  <si>
    <t>With Old Beta</t>
  </si>
  <si>
    <t>With New Beta</t>
  </si>
  <si>
    <t>Old Beta (observed)</t>
  </si>
  <si>
    <t>Proportion of Debt</t>
  </si>
  <si>
    <t>Proportion of Equity</t>
  </si>
  <si>
    <t>Blended Interest Rate</t>
  </si>
  <si>
    <t>Total Equity</t>
  </si>
  <si>
    <t>CAPM (what shareholders need)</t>
  </si>
  <si>
    <t>New Proportion of Debt</t>
  </si>
  <si>
    <t>Total Debt (total mortgage and loan)</t>
  </si>
  <si>
    <t>Unlevered Beta</t>
  </si>
  <si>
    <t>WACC (Debt Proportion)</t>
  </si>
  <si>
    <t>Re-Levered Beta (New)</t>
  </si>
  <si>
    <t>WACC (Equity Proportion)</t>
  </si>
  <si>
    <t>Installment Loan Interest Rate</t>
  </si>
  <si>
    <t>Interest on Installment Loan</t>
  </si>
  <si>
    <t>Interest on Extra Bank Loan</t>
  </si>
  <si>
    <t>Total Liabilities</t>
  </si>
  <si>
    <t>Total Installment Loan</t>
  </si>
  <si>
    <t>Total Extra Bank Loan</t>
  </si>
  <si>
    <t>Debt-to-Value</t>
  </si>
  <si>
    <t>Total Debt &amp; Equity (Total Value)</t>
  </si>
  <si>
    <t>Date</t>
  </si>
  <si>
    <t>Open</t>
  </si>
  <si>
    <t>High</t>
  </si>
  <si>
    <t>Low</t>
  </si>
  <si>
    <t>Close</t>
  </si>
  <si>
    <t>Volume</t>
  </si>
  <si>
    <t>Adj Close</t>
  </si>
  <si>
    <t>LOG</t>
  </si>
  <si>
    <t>Monthly Return</t>
  </si>
  <si>
    <t>Annual Return</t>
  </si>
  <si>
    <t>Return on T-Bills (10 year tresury note)</t>
  </si>
  <si>
    <t>Beta (compared to others in industry)</t>
  </si>
  <si>
    <t>Return on S&amp;P 500 (historically since 1950)</t>
  </si>
  <si>
    <t>FCF, NPV, IRR</t>
  </si>
  <si>
    <t>Operating Net Income</t>
  </si>
  <si>
    <t>Year 0</t>
  </si>
  <si>
    <t>Year 1</t>
  </si>
  <si>
    <t>Year 2</t>
  </si>
  <si>
    <t>Year 3</t>
  </si>
  <si>
    <t>Year 4</t>
  </si>
  <si>
    <t>Operating Income</t>
  </si>
  <si>
    <t>Less: Depreciation Expense</t>
  </si>
  <si>
    <t>(Interest Expense is included in the WACC)</t>
  </si>
  <si>
    <t>Taxable Operating Income</t>
  </si>
  <si>
    <t>Operating Income Tax Expense</t>
  </si>
  <si>
    <t>After tax operating Income</t>
  </si>
  <si>
    <t>Add: depreciation expense</t>
  </si>
  <si>
    <t>Balance Sheet</t>
  </si>
  <si>
    <t>Change in Capital Expenditures</t>
  </si>
  <si>
    <t>Book Value</t>
  </si>
  <si>
    <t>Percent of Book Value Sold</t>
  </si>
  <si>
    <t>Change in Working Capital</t>
  </si>
  <si>
    <t>Accounts Receivable</t>
  </si>
  <si>
    <t>Inventory</t>
  </si>
  <si>
    <t>Operation Income Taxes Payable</t>
  </si>
  <si>
    <t>Accounts Receivable Change</t>
  </si>
  <si>
    <t>As they increase, cash flow is negative</t>
  </si>
  <si>
    <t>Inventory Change</t>
  </si>
  <si>
    <t>Accounts Payable Change</t>
  </si>
  <si>
    <t>As they increase, cash flow is positve</t>
  </si>
  <si>
    <t>Operation Income Taxes Payable Change</t>
  </si>
  <si>
    <t>Total Change in Working Capital</t>
  </si>
  <si>
    <t>Cash Flow from liquidation of Assets</t>
  </si>
  <si>
    <t>Income Taxes Payable</t>
  </si>
  <si>
    <t>Total Free Cash Flow</t>
  </si>
  <si>
    <t>Present Value of Free Cash Flow</t>
  </si>
  <si>
    <t>Hurdle Rate (WACC)</t>
  </si>
  <si>
    <t>Net Present Value (NPV)</t>
  </si>
  <si>
    <t>Internal Rate of Return (IRR)</t>
  </si>
  <si>
    <t>Year 5</t>
  </si>
  <si>
    <t>Year 6</t>
  </si>
  <si>
    <t>Year 7</t>
  </si>
  <si>
    <t>Year 8</t>
  </si>
  <si>
    <t>Tax on Sale of Assets</t>
  </si>
  <si>
    <t>Future Value of last year FCF (Terminal Value)</t>
  </si>
  <si>
    <t>Tax Rate for sale of business</t>
  </si>
  <si>
    <t>Tax Expense</t>
  </si>
  <si>
    <t>Cash Received from sale of business</t>
  </si>
  <si>
    <t>The price the business will be sold at after 8 years of operation.</t>
  </si>
  <si>
    <t>If the company continued on after 8 years, this would be the debt proportion to value</t>
  </si>
  <si>
    <t>New Proportion of Equity (Value)</t>
  </si>
  <si>
    <t>It would cost about $120,000 for new equipment in year 9 and it would cause the debt to value proportion to be about 19%.</t>
  </si>
  <si>
    <t>The ultimate result of the 8 year investment in the business.</t>
  </si>
  <si>
    <t>We will sell the business at the price of the terminal value of the company.</t>
  </si>
  <si>
    <t>Equipment Investment (Purchase/Sale)</t>
  </si>
  <si>
    <t>Building Improvements</t>
  </si>
  <si>
    <t>Initial Building Improvements Cost</t>
  </si>
  <si>
    <t>Buidling Improvements Cost (in 5th year)</t>
  </si>
  <si>
    <t>We used solver to get the maximum sales growth possible and our final IRR would equal our WACC</t>
  </si>
  <si>
    <t>We used solver to get the IRR to equal the WACC</t>
  </si>
  <si>
    <t>RATIOS</t>
  </si>
  <si>
    <t>Current Ratio</t>
  </si>
  <si>
    <t>Acid Test</t>
  </si>
  <si>
    <t>Debt Ratio</t>
  </si>
  <si>
    <t>Average Collection Period</t>
  </si>
  <si>
    <t>Average Payment Period</t>
  </si>
  <si>
    <t>Inventory Turnover</t>
  </si>
  <si>
    <t>Return on Assets</t>
  </si>
  <si>
    <t>Return on Sales</t>
  </si>
  <si>
    <t>Return of Equity</t>
  </si>
  <si>
    <t>Total Current Liabilites</t>
  </si>
  <si>
    <t>N/A</t>
  </si>
  <si>
    <t>Terminal Growth Rate</t>
  </si>
  <si>
    <t>Annual Return of Investment (9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</si>
</sst>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\$* #,##0.00_);_(\$* \(#,##0.00\);_(\$* \-??_);_(@_)"/>
    <numFmt numFmtId="166" formatCode="_(\$* #,##0_);_(\$* \(#,##0\);_(\$* \-??_);_(@_)"/>
    <numFmt numFmtId="167" formatCode="_(&quot;$&quot;* #,##0_);_(&quot;$&quot;* \(#,##0\);_(&quot;$&quot;* &quot;-&quot;??_);_(@_)"/>
    <numFmt numFmtId="168" formatCode="[$$-409]#,##0.00;[Red]\-[$$-409]#,##0.00"/>
    <numFmt numFmtId="169" formatCode="[$$-409]#,##0.00;[Red][$$-409]#,##0.00"/>
    <numFmt numFmtId="170" formatCode="_-* #,##0_-;\-* #,##0_-;_-* &quot;-&quot;??_-;_-@_-"/>
    <numFmt numFmtId="171" formatCode="_(* #,##0_);_(* \(#,##0\);_(* &quot;-&quot;??_);_(@_)"/>
    <numFmt numFmtId="172" formatCode="0.0%"/>
    <numFmt numFmtId="173" formatCode="[$-409]mmmm\ d\,\ yyyy;@"/>
  </numFmts>
  <fonts count="2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4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rgb="FF00B0F0"/>
      <name val="Calibri"/>
      <family val="2"/>
      <charset val="1"/>
    </font>
    <font>
      <sz val="11"/>
      <color rgb="FF00B0F0"/>
      <name val="Calibri"/>
      <family val="2"/>
      <charset val="1"/>
    </font>
    <font>
      <sz val="10"/>
      <color rgb="FF00B0F0"/>
      <name val="Arial"/>
      <family val="2"/>
    </font>
    <font>
      <sz val="11"/>
      <name val="Calibri"/>
      <family val="2"/>
      <charset val="1"/>
    </font>
    <font>
      <sz val="10"/>
      <color rgb="FF000000"/>
      <name val="Arial Unicode MS"/>
      <family val="2"/>
    </font>
    <font>
      <u/>
      <sz val="11"/>
      <color indexed="8"/>
      <name val="Calibri"/>
      <family val="2"/>
    </font>
    <font>
      <sz val="11"/>
      <color rgb="FFFF0000"/>
      <name val="Calibri"/>
      <family val="2"/>
    </font>
    <font>
      <u/>
      <sz val="11"/>
      <color indexed="8"/>
      <name val="Calibri"/>
      <family val="2"/>
      <charset val="1"/>
    </font>
    <font>
      <sz val="11"/>
      <color theme="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/>
    <xf numFmtId="0" fontId="1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2"/>
    <xf numFmtId="0" fontId="1" fillId="0" borderId="1" xfId="2" applyBorder="1"/>
    <xf numFmtId="0" fontId="2" fillId="0" borderId="0" xfId="2" applyFont="1"/>
    <xf numFmtId="1" fontId="1" fillId="0" borderId="0" xfId="2" applyNumberFormat="1"/>
    <xf numFmtId="165" fontId="1" fillId="0" borderId="0" xfId="1" applyFont="1" applyFill="1" applyBorder="1" applyAlignment="1" applyProtection="1"/>
    <xf numFmtId="0" fontId="1" fillId="0" borderId="0" xfId="2" applyFont="1"/>
    <xf numFmtId="166" fontId="1" fillId="0" borderId="0" xfId="1" applyNumberFormat="1" applyFont="1" applyFill="1" applyBorder="1" applyAlignment="1" applyProtection="1"/>
    <xf numFmtId="166" fontId="1" fillId="0" borderId="0" xfId="2" applyNumberFormat="1"/>
    <xf numFmtId="166" fontId="1" fillId="0" borderId="0" xfId="2" applyNumberFormat="1" applyFont="1"/>
    <xf numFmtId="44" fontId="1" fillId="0" borderId="0" xfId="2" applyNumberFormat="1"/>
    <xf numFmtId="44" fontId="1" fillId="0" borderId="0" xfId="1" applyNumberFormat="1" applyFont="1" applyFill="1" applyBorder="1" applyAlignment="1" applyProtection="1"/>
    <xf numFmtId="43" fontId="1" fillId="0" borderId="0" xfId="2" applyNumberFormat="1"/>
    <xf numFmtId="10" fontId="1" fillId="0" borderId="0" xfId="1" applyNumberFormat="1" applyFont="1" applyFill="1" applyBorder="1" applyAlignment="1" applyProtection="1"/>
    <xf numFmtId="10" fontId="1" fillId="0" borderId="0" xfId="2" applyNumberFormat="1"/>
    <xf numFmtId="9" fontId="1" fillId="0" borderId="0" xfId="3" applyFont="1"/>
    <xf numFmtId="165" fontId="1" fillId="0" borderId="0" xfId="1"/>
    <xf numFmtId="2" fontId="1" fillId="0" borderId="0" xfId="1" applyNumberFormat="1"/>
    <xf numFmtId="3" fontId="1" fillId="0" borderId="0" xfId="2" applyNumberFormat="1"/>
    <xf numFmtId="166" fontId="1" fillId="0" borderId="0" xfId="1" applyNumberFormat="1"/>
    <xf numFmtId="165" fontId="1" fillId="0" borderId="0" xfId="1" applyNumberFormat="1"/>
    <xf numFmtId="9" fontId="1" fillId="0" borderId="0" xfId="2" applyNumberFormat="1"/>
    <xf numFmtId="167" fontId="1" fillId="0" borderId="0" xfId="2" applyNumberFormat="1"/>
    <xf numFmtId="0" fontId="1" fillId="0" borderId="0" xfId="2" applyNumberFormat="1"/>
    <xf numFmtId="168" fontId="0" fillId="0" borderId="0" xfId="0" applyNumberFormat="1"/>
    <xf numFmtId="0" fontId="0" fillId="0" borderId="0" xfId="0" applyFont="1" applyAlignment="1">
      <alignment wrapText="1"/>
    </xf>
    <xf numFmtId="168" fontId="0" fillId="0" borderId="0" xfId="0" applyNumberFormat="1" applyFont="1" applyAlignment="1">
      <alignment wrapText="1"/>
    </xf>
    <xf numFmtId="9" fontId="4" fillId="0" borderId="0" xfId="3"/>
    <xf numFmtId="8" fontId="0" fillId="0" borderId="0" xfId="0" applyNumberFormat="1"/>
    <xf numFmtId="0" fontId="5" fillId="0" borderId="0" xfId="0" applyFont="1"/>
    <xf numFmtId="168" fontId="5" fillId="0" borderId="2" xfId="0" applyNumberFormat="1" applyFont="1" applyBorder="1" applyAlignment="1">
      <alignment wrapText="1"/>
    </xf>
    <xf numFmtId="169" fontId="5" fillId="0" borderId="2" xfId="0" applyNumberFormat="1" applyFont="1" applyBorder="1"/>
    <xf numFmtId="165" fontId="6" fillId="0" borderId="2" xfId="1" applyNumberFormat="1" applyFont="1" applyBorder="1"/>
    <xf numFmtId="0" fontId="5" fillId="0" borderId="0" xfId="0" applyFont="1" applyAlignment="1">
      <alignment wrapText="1"/>
    </xf>
    <xf numFmtId="168" fontId="5" fillId="0" borderId="0" xfId="0" applyNumberFormat="1" applyFont="1" applyAlignment="1">
      <alignment wrapText="1"/>
    </xf>
    <xf numFmtId="0" fontId="8" fillId="0" borderId="0" xfId="2" applyFont="1"/>
    <xf numFmtId="166" fontId="9" fillId="0" borderId="0" xfId="2" applyNumberFormat="1" applyFont="1"/>
    <xf numFmtId="17" fontId="0" fillId="0" borderId="0" xfId="0" applyNumberFormat="1" applyFont="1" applyAlignment="1">
      <alignment wrapText="1"/>
    </xf>
    <xf numFmtId="0" fontId="6" fillId="0" borderId="0" xfId="2" applyFont="1"/>
    <xf numFmtId="0" fontId="7" fillId="0" borderId="3" xfId="2" applyFont="1" applyBorder="1"/>
    <xf numFmtId="0" fontId="1" fillId="0" borderId="3" xfId="2" applyBorder="1"/>
    <xf numFmtId="0" fontId="1" fillId="0" borderId="0" xfId="2" applyBorder="1"/>
    <xf numFmtId="0" fontId="2" fillId="0" borderId="0" xfId="2" applyFont="1" applyBorder="1"/>
    <xf numFmtId="166" fontId="9" fillId="0" borderId="0" xfId="2" applyNumberFormat="1" applyFont="1" applyBorder="1"/>
    <xf numFmtId="166" fontId="1" fillId="0" borderId="0" xfId="2" applyNumberFormat="1" applyBorder="1"/>
    <xf numFmtId="167" fontId="1" fillId="0" borderId="0" xfId="1" applyNumberFormat="1" applyFont="1" applyFill="1" applyBorder="1" applyAlignment="1" applyProtection="1"/>
    <xf numFmtId="165" fontId="10" fillId="0" borderId="0" xfId="1" applyNumberFormat="1" applyFont="1" applyFill="1" applyBorder="1" applyAlignment="1" applyProtection="1"/>
    <xf numFmtId="0" fontId="11" fillId="0" borderId="0" xfId="2" applyFont="1"/>
    <xf numFmtId="0" fontId="10" fillId="0" borderId="0" xfId="2" applyFont="1"/>
    <xf numFmtId="165" fontId="10" fillId="0" borderId="4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  <xf numFmtId="166" fontId="10" fillId="0" borderId="0" xfId="1" applyNumberFormat="1" applyFont="1" applyFill="1" applyBorder="1" applyAlignment="1" applyProtection="1"/>
    <xf numFmtId="166" fontId="10" fillId="0" borderId="3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>
      <alignment wrapText="1"/>
    </xf>
    <xf numFmtId="0" fontId="1" fillId="0" borderId="0" xfId="2" applyAlignment="1">
      <alignment horizontal="center"/>
    </xf>
    <xf numFmtId="170" fontId="1" fillId="0" borderId="0" xfId="2" applyNumberFormat="1" applyAlignment="1">
      <alignment horizontal="center"/>
    </xf>
    <xf numFmtId="171" fontId="1" fillId="0" borderId="0" xfId="2" applyNumberFormat="1" applyAlignment="1">
      <alignment horizontal="center"/>
    </xf>
    <xf numFmtId="170" fontId="1" fillId="0" borderId="0" xfId="4" applyNumberFormat="1" applyFont="1" applyAlignment="1"/>
    <xf numFmtId="0" fontId="1" fillId="0" borderId="0" xfId="1" applyNumberFormat="1"/>
    <xf numFmtId="0" fontId="13" fillId="0" borderId="4" xfId="2" applyFont="1" applyBorder="1"/>
    <xf numFmtId="0" fontId="1" fillId="0" borderId="4" xfId="2" applyBorder="1"/>
    <xf numFmtId="0" fontId="14" fillId="0" borderId="0" xfId="2" applyFont="1"/>
    <xf numFmtId="0" fontId="1" fillId="0" borderId="7" xfId="2" applyBorder="1"/>
    <xf numFmtId="0" fontId="1" fillId="0" borderId="8" xfId="2" applyBorder="1"/>
    <xf numFmtId="10" fontId="15" fillId="0" borderId="8" xfId="3" applyNumberFormat="1" applyFont="1" applyBorder="1"/>
    <xf numFmtId="0" fontId="0" fillId="0" borderId="8" xfId="0" applyBorder="1"/>
    <xf numFmtId="0" fontId="1" fillId="0" borderId="9" xfId="2" applyBorder="1"/>
    <xf numFmtId="0" fontId="1" fillId="0" borderId="10" xfId="2" applyBorder="1"/>
    <xf numFmtId="10" fontId="15" fillId="0" borderId="10" xfId="2" applyNumberFormat="1" applyFont="1" applyBorder="1"/>
    <xf numFmtId="0" fontId="0" fillId="0" borderId="10" xfId="0" applyBorder="1"/>
    <xf numFmtId="172" fontId="0" fillId="0" borderId="10" xfId="0" applyNumberFormat="1" applyBorder="1"/>
    <xf numFmtId="0" fontId="1" fillId="0" borderId="11" xfId="2" applyBorder="1"/>
    <xf numFmtId="166" fontId="15" fillId="0" borderId="10" xfId="2" applyNumberFormat="1" applyFont="1" applyBorder="1"/>
    <xf numFmtId="10" fontId="4" fillId="0" borderId="0" xfId="3" applyNumberFormat="1" applyBorder="1"/>
    <xf numFmtId="0" fontId="1" fillId="0" borderId="12" xfId="2" applyBorder="1"/>
    <xf numFmtId="166" fontId="15" fillId="0" borderId="12" xfId="2" applyNumberFormat="1" applyFont="1" applyBorder="1"/>
    <xf numFmtId="9" fontId="16" fillId="0" borderId="10" xfId="0" applyNumberFormat="1" applyFont="1" applyBorder="1"/>
    <xf numFmtId="2" fontId="0" fillId="3" borderId="10" xfId="0" applyNumberFormat="1" applyFill="1" applyBorder="1"/>
    <xf numFmtId="0" fontId="0" fillId="0" borderId="12" xfId="0" applyBorder="1"/>
    <xf numFmtId="2" fontId="0" fillId="3" borderId="12" xfId="0" applyNumberFormat="1" applyFill="1" applyBorder="1"/>
    <xf numFmtId="2" fontId="0" fillId="0" borderId="0" xfId="0" applyNumberFormat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66" fontId="15" fillId="0" borderId="6" xfId="2" applyNumberFormat="1" applyFont="1" applyBorder="1"/>
    <xf numFmtId="0" fontId="1" fillId="0" borderId="16" xfId="2" applyBorder="1"/>
    <xf numFmtId="0" fontId="1" fillId="0" borderId="6" xfId="2" applyBorder="1"/>
    <xf numFmtId="0" fontId="0" fillId="0" borderId="9" xfId="0" applyBorder="1"/>
    <xf numFmtId="9" fontId="1" fillId="0" borderId="0" xfId="1" applyNumberFormat="1"/>
    <xf numFmtId="0" fontId="18" fillId="0" borderId="0" xfId="0" applyFont="1" applyAlignment="1">
      <alignment vertical="center"/>
    </xf>
    <xf numFmtId="173" fontId="18" fillId="0" borderId="0" xfId="0" applyNumberFormat="1" applyFont="1" applyAlignment="1">
      <alignment vertical="center"/>
    </xf>
    <xf numFmtId="10" fontId="0" fillId="0" borderId="0" xfId="3" applyNumberFormat="1" applyFont="1"/>
    <xf numFmtId="10" fontId="0" fillId="4" borderId="0" xfId="3" applyNumberFormat="1" applyFont="1" applyFill="1"/>
    <xf numFmtId="10" fontId="0" fillId="5" borderId="0" xfId="3" applyNumberFormat="1" applyFont="1" applyFill="1"/>
    <xf numFmtId="10" fontId="0" fillId="0" borderId="0" xfId="0" applyNumberFormat="1"/>
    <xf numFmtId="172" fontId="0" fillId="0" borderId="0" xfId="3" applyNumberFormat="1" applyFont="1"/>
    <xf numFmtId="0" fontId="19" fillId="0" borderId="0" xfId="2" applyFont="1"/>
    <xf numFmtId="0" fontId="6" fillId="0" borderId="0" xfId="2" applyFont="1" applyAlignment="1">
      <alignment horizontal="center"/>
    </xf>
    <xf numFmtId="166" fontId="1" fillId="0" borderId="4" xfId="2" applyNumberFormat="1" applyBorder="1"/>
    <xf numFmtId="166" fontId="1" fillId="0" borderId="13" xfId="2" applyNumberFormat="1" applyBorder="1"/>
    <xf numFmtId="166" fontId="1" fillId="0" borderId="14" xfId="2" applyNumberFormat="1" applyBorder="1"/>
    <xf numFmtId="0" fontId="20" fillId="0" borderId="9" xfId="2" applyFont="1" applyBorder="1"/>
    <xf numFmtId="166" fontId="1" fillId="0" borderId="0" xfId="1" applyNumberFormat="1" applyBorder="1"/>
    <xf numFmtId="166" fontId="1" fillId="0" borderId="14" xfId="1" applyNumberFormat="1" applyBorder="1"/>
    <xf numFmtId="166" fontId="1" fillId="0" borderId="3" xfId="2" applyNumberFormat="1" applyBorder="1"/>
    <xf numFmtId="166" fontId="1" fillId="0" borderId="15" xfId="2" applyNumberFormat="1" applyBorder="1"/>
    <xf numFmtId="166" fontId="1" fillId="0" borderId="15" xfId="1" applyNumberFormat="1" applyBorder="1"/>
    <xf numFmtId="0" fontId="21" fillId="0" borderId="0" xfId="2" applyFont="1"/>
    <xf numFmtId="165" fontId="1" fillId="0" borderId="7" xfId="1" applyBorder="1"/>
    <xf numFmtId="0" fontId="1" fillId="6" borderId="7" xfId="2" applyFill="1" applyBorder="1"/>
    <xf numFmtId="166" fontId="1" fillId="6" borderId="4" xfId="1" applyNumberFormat="1" applyFill="1" applyBorder="1"/>
    <xf numFmtId="0" fontId="1" fillId="6" borderId="9" xfId="2" applyFill="1" applyBorder="1"/>
    <xf numFmtId="0" fontId="1" fillId="6" borderId="11" xfId="2" applyFill="1" applyBorder="1"/>
    <xf numFmtId="166" fontId="1" fillId="6" borderId="3" xfId="1" applyNumberFormat="1" applyFill="1" applyBorder="1"/>
    <xf numFmtId="0" fontId="1" fillId="7" borderId="7" xfId="2" applyFill="1" applyBorder="1"/>
    <xf numFmtId="0" fontId="1" fillId="7" borderId="11" xfId="2" applyFill="1" applyBorder="1"/>
    <xf numFmtId="166" fontId="1" fillId="7" borderId="3" xfId="1" applyNumberFormat="1" applyFill="1" applyBorder="1"/>
    <xf numFmtId="0" fontId="1" fillId="0" borderId="0" xfId="2" applyFill="1"/>
    <xf numFmtId="0" fontId="1" fillId="0" borderId="11" xfId="2" applyFill="1" applyBorder="1"/>
    <xf numFmtId="0" fontId="6" fillId="0" borderId="16" xfId="2" applyFont="1" applyBorder="1" applyAlignment="1">
      <alignment horizontal="center"/>
    </xf>
    <xf numFmtId="166" fontId="1" fillId="0" borderId="3" xfId="1" applyNumberFormat="1" applyBorder="1"/>
    <xf numFmtId="0" fontId="1" fillId="4" borderId="2" xfId="2" applyFill="1" applyBorder="1"/>
    <xf numFmtId="0" fontId="1" fillId="3" borderId="10" xfId="2" applyFill="1" applyBorder="1"/>
    <xf numFmtId="166" fontId="1" fillId="3" borderId="12" xfId="1" applyNumberFormat="1" applyFill="1" applyBorder="1"/>
    <xf numFmtId="0" fontId="1" fillId="3" borderId="12" xfId="2" applyFill="1" applyBorder="1"/>
    <xf numFmtId="10" fontId="1" fillId="3" borderId="2" xfId="2" applyNumberFormat="1" applyFill="1" applyBorder="1"/>
    <xf numFmtId="166" fontId="1" fillId="7" borderId="0" xfId="1" applyNumberFormat="1" applyFill="1" applyBorder="1"/>
    <xf numFmtId="0" fontId="1" fillId="0" borderId="3" xfId="2" applyFill="1" applyBorder="1"/>
    <xf numFmtId="0" fontId="1" fillId="7" borderId="9" xfId="2" applyFill="1" applyBorder="1"/>
    <xf numFmtId="0" fontId="1" fillId="6" borderId="4" xfId="2" applyFill="1" applyBorder="1"/>
    <xf numFmtId="0" fontId="1" fillId="6" borderId="13" xfId="2" applyFill="1" applyBorder="1"/>
    <xf numFmtId="0" fontId="1" fillId="6" borderId="3" xfId="2" applyFill="1" applyBorder="1"/>
    <xf numFmtId="0" fontId="1" fillId="7" borderId="0" xfId="2" applyFill="1" applyBorder="1"/>
    <xf numFmtId="0" fontId="1" fillId="7" borderId="3" xfId="2" applyFill="1" applyBorder="1"/>
    <xf numFmtId="166" fontId="1" fillId="0" borderId="11" xfId="2" applyNumberFormat="1" applyBorder="1"/>
    <xf numFmtId="10" fontId="1" fillId="4" borderId="12" xfId="2" applyNumberFormat="1" applyFill="1" applyBorder="1"/>
    <xf numFmtId="166" fontId="1" fillId="0" borderId="11" xfId="1" applyNumberFormat="1" applyBorder="1"/>
    <xf numFmtId="166" fontId="1" fillId="0" borderId="7" xfId="1" applyNumberFormat="1" applyBorder="1"/>
    <xf numFmtId="166" fontId="1" fillId="0" borderId="4" xfId="1" applyNumberFormat="1" applyBorder="1"/>
    <xf numFmtId="166" fontId="1" fillId="0" borderId="13" xfId="1" applyNumberFormat="1" applyBorder="1"/>
    <xf numFmtId="166" fontId="1" fillId="0" borderId="9" xfId="1" applyNumberFormat="1" applyBorder="1"/>
    <xf numFmtId="167" fontId="1" fillId="6" borderId="3" xfId="2" applyNumberFormat="1" applyFill="1" applyBorder="1"/>
    <xf numFmtId="167" fontId="1" fillId="6" borderId="15" xfId="2" applyNumberFormat="1" applyFill="1" applyBorder="1"/>
    <xf numFmtId="167" fontId="1" fillId="7" borderId="0" xfId="2" applyNumberFormat="1" applyFill="1" applyBorder="1"/>
    <xf numFmtId="167" fontId="1" fillId="7" borderId="14" xfId="2" applyNumberFormat="1" applyFill="1" applyBorder="1"/>
    <xf numFmtId="167" fontId="1" fillId="7" borderId="3" xfId="2" applyNumberFormat="1" applyFill="1" applyBorder="1"/>
    <xf numFmtId="167" fontId="1" fillId="7" borderId="15" xfId="2" applyNumberFormat="1" applyFill="1" applyBorder="1"/>
    <xf numFmtId="167" fontId="1" fillId="0" borderId="3" xfId="2" applyNumberFormat="1" applyFill="1" applyBorder="1"/>
    <xf numFmtId="167" fontId="1" fillId="0" borderId="15" xfId="2" applyNumberFormat="1" applyFill="1" applyBorder="1"/>
    <xf numFmtId="167" fontId="1" fillId="0" borderId="9" xfId="2" applyNumberFormat="1" applyBorder="1"/>
    <xf numFmtId="167" fontId="1" fillId="0" borderId="0" xfId="2" applyNumberFormat="1" applyBorder="1"/>
    <xf numFmtId="167" fontId="1" fillId="0" borderId="14" xfId="2" applyNumberFormat="1" applyBorder="1"/>
    <xf numFmtId="167" fontId="1" fillId="0" borderId="19" xfId="2" applyNumberFormat="1" applyBorder="1"/>
    <xf numFmtId="167" fontId="1" fillId="0" borderId="17" xfId="2" applyNumberFormat="1" applyBorder="1"/>
    <xf numFmtId="167" fontId="1" fillId="0" borderId="18" xfId="2" applyNumberFormat="1" applyBorder="1"/>
    <xf numFmtId="0" fontId="22" fillId="0" borderId="0" xfId="2" applyFont="1" applyAlignment="1">
      <alignment horizontal="center"/>
    </xf>
    <xf numFmtId="167" fontId="1" fillId="0" borderId="11" xfId="1" applyNumberFormat="1" applyBorder="1"/>
    <xf numFmtId="167" fontId="1" fillId="0" borderId="3" xfId="2" applyNumberFormat="1" applyBorder="1"/>
    <xf numFmtId="167" fontId="1" fillId="0" borderId="3" xfId="1" applyNumberFormat="1" applyBorder="1"/>
    <xf numFmtId="167" fontId="1" fillId="0" borderId="15" xfId="2" applyNumberFormat="1" applyBorder="1"/>
    <xf numFmtId="172" fontId="1" fillId="0" borderId="0" xfId="3" applyNumberFormat="1" applyFont="1"/>
    <xf numFmtId="6" fontId="1" fillId="0" borderId="0" xfId="2" applyNumberFormat="1"/>
    <xf numFmtId="0" fontId="1" fillId="0" borderId="5" xfId="2" applyBorder="1"/>
    <xf numFmtId="166" fontId="1" fillId="0" borderId="6" xfId="2" applyNumberFormat="1" applyBorder="1"/>
    <xf numFmtId="10" fontId="1" fillId="0" borderId="0" xfId="3" applyNumberFormat="1" applyFont="1"/>
    <xf numFmtId="0" fontId="12" fillId="0" borderId="0" xfId="2" applyFont="1" applyBorder="1"/>
    <xf numFmtId="0" fontId="11" fillId="0" borderId="0" xfId="2" applyFont="1" applyBorder="1"/>
    <xf numFmtId="0" fontId="8" fillId="0" borderId="0" xfId="2" applyFont="1" applyBorder="1"/>
    <xf numFmtId="0" fontId="12" fillId="0" borderId="4" xfId="2" applyFont="1" applyBorder="1"/>
    <xf numFmtId="0" fontId="11" fillId="0" borderId="4" xfId="2" applyFont="1" applyBorder="1"/>
    <xf numFmtId="0" fontId="12" fillId="0" borderId="0" xfId="2" applyFont="1"/>
    <xf numFmtId="2" fontId="10" fillId="0" borderId="0" xfId="1" applyNumberFormat="1" applyFont="1" applyFill="1" applyBorder="1" applyAlignment="1" applyProtection="1">
      <alignment horizontal="center"/>
    </xf>
    <xf numFmtId="2" fontId="11" fillId="0" borderId="0" xfId="2" applyNumberFormat="1" applyFont="1" applyBorder="1" applyAlignment="1">
      <alignment horizontal="center"/>
    </xf>
    <xf numFmtId="2" fontId="1" fillId="0" borderId="0" xfId="2" applyNumberFormat="1" applyBorder="1" applyAlignment="1">
      <alignment horizontal="center"/>
    </xf>
    <xf numFmtId="10" fontId="10" fillId="0" borderId="0" xfId="3" applyNumberFormat="1" applyFont="1" applyFill="1" applyBorder="1" applyAlignment="1" applyProtection="1">
      <alignment horizontal="center"/>
    </xf>
    <xf numFmtId="10" fontId="11" fillId="0" borderId="0" xfId="3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172" fontId="4" fillId="3" borderId="9" xfId="3" applyNumberFormat="1" applyFill="1" applyBorder="1" applyAlignment="1">
      <alignment horizontal="center"/>
    </xf>
    <xf numFmtId="172" fontId="4" fillId="3" borderId="14" xfId="3" applyNumberFormat="1" applyFill="1" applyBorder="1" applyAlignment="1">
      <alignment horizontal="center"/>
    </xf>
    <xf numFmtId="172" fontId="4" fillId="0" borderId="7" xfId="3" applyNumberFormat="1" applyBorder="1" applyAlignment="1">
      <alignment horizontal="center"/>
    </xf>
    <xf numFmtId="172" fontId="4" fillId="0" borderId="13" xfId="3" applyNumberFormat="1" applyBorder="1" applyAlignment="1">
      <alignment horizontal="center"/>
    </xf>
    <xf numFmtId="172" fontId="4" fillId="2" borderId="9" xfId="3" applyNumberFormat="1" applyFill="1" applyBorder="1" applyAlignment="1">
      <alignment horizontal="center"/>
    </xf>
    <xf numFmtId="172" fontId="4" fillId="2" borderId="14" xfId="3" applyNumberFormat="1" applyFill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10" fontId="15" fillId="0" borderId="9" xfId="3" applyNumberFormat="1" applyFont="1" applyBorder="1" applyAlignment="1">
      <alignment horizontal="center"/>
    </xf>
    <xf numFmtId="10" fontId="15" fillId="0" borderId="14" xfId="3" applyNumberFormat="1" applyFont="1" applyBorder="1" applyAlignment="1">
      <alignment horizontal="center"/>
    </xf>
    <xf numFmtId="10" fontId="15" fillId="0" borderId="11" xfId="3" applyNumberFormat="1" applyFont="1" applyBorder="1" applyAlignment="1">
      <alignment horizontal="center"/>
    </xf>
    <xf numFmtId="10" fontId="15" fillId="0" borderId="15" xfId="3" applyNumberFormat="1" applyFont="1" applyBorder="1" applyAlignment="1">
      <alignment horizontal="center"/>
    </xf>
    <xf numFmtId="2" fontId="1" fillId="2" borderId="7" xfId="2" applyNumberFormat="1" applyFill="1" applyBorder="1" applyAlignment="1">
      <alignment horizontal="center"/>
    </xf>
    <xf numFmtId="2" fontId="1" fillId="2" borderId="13" xfId="2" applyNumberFormat="1" applyFill="1" applyBorder="1" applyAlignment="1">
      <alignment horizontal="center"/>
    </xf>
    <xf numFmtId="10" fontId="4" fillId="0" borderId="9" xfId="3" applyNumberFormat="1" applyBorder="1" applyAlignment="1">
      <alignment horizontal="center"/>
    </xf>
    <xf numFmtId="10" fontId="4" fillId="0" borderId="14" xfId="3" applyNumberFormat="1" applyBorder="1" applyAlignment="1">
      <alignment horizontal="center"/>
    </xf>
    <xf numFmtId="10" fontId="4" fillId="0" borderId="11" xfId="3" applyNumberFormat="1" applyBorder="1" applyAlignment="1">
      <alignment horizontal="center"/>
    </xf>
    <xf numFmtId="10" fontId="4" fillId="0" borderId="15" xfId="3" applyNumberFormat="1" applyBorder="1" applyAlignment="1">
      <alignment horizontal="center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13" fillId="0" borderId="5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172" fontId="17" fillId="3" borderId="7" xfId="3" applyNumberFormat="1" applyFont="1" applyFill="1" applyBorder="1" applyAlignment="1">
      <alignment horizontal="center"/>
    </xf>
    <xf numFmtId="172" fontId="17" fillId="3" borderId="13" xfId="3" applyNumberFormat="1" applyFont="1" applyFill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0" fontId="1" fillId="3" borderId="11" xfId="2" applyNumberFormat="1" applyFill="1" applyBorder="1" applyAlignment="1">
      <alignment horizontal="center"/>
    </xf>
    <xf numFmtId="10" fontId="1" fillId="3" borderId="15" xfId="2" applyNumberFormat="1" applyFill="1" applyBorder="1" applyAlignment="1">
      <alignment horizontal="center"/>
    </xf>
    <xf numFmtId="166" fontId="17" fillId="0" borderId="9" xfId="2" applyNumberFormat="1" applyFont="1" applyBorder="1" applyAlignment="1">
      <alignment horizontal="center"/>
    </xf>
    <xf numFmtId="166" fontId="17" fillId="0" borderId="14" xfId="2" applyNumberFormat="1" applyFont="1" applyBorder="1" applyAlignment="1">
      <alignment horizontal="center"/>
    </xf>
    <xf numFmtId="166" fontId="1" fillId="0" borderId="9" xfId="2" applyNumberFormat="1" applyBorder="1" applyAlignment="1">
      <alignment horizontal="center"/>
    </xf>
    <xf numFmtId="166" fontId="1" fillId="0" borderId="14" xfId="2" applyNumberFormat="1" applyBorder="1" applyAlignment="1">
      <alignment horizontal="center"/>
    </xf>
    <xf numFmtId="10" fontId="4" fillId="2" borderId="9" xfId="3" applyNumberFormat="1" applyFill="1" applyBorder="1" applyAlignment="1">
      <alignment horizontal="center"/>
    </xf>
    <xf numFmtId="10" fontId="4" fillId="2" borderId="14" xfId="3" applyNumberFormat="1" applyFill="1" applyBorder="1" applyAlignment="1">
      <alignment horizontal="center"/>
    </xf>
  </cellXfs>
  <cellStyles count="5">
    <cellStyle name="Comma" xfId="4" builtinId="3"/>
    <cellStyle name="Currency" xfId="1" builtinId="4"/>
    <cellStyle name="Excel Built-in Normal" xfId="2"/>
    <cellStyle name="Normal" xfId="0" builtinId="0"/>
    <cellStyle name="Percent" xfId="3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219"/>
  <sheetViews>
    <sheetView tabSelected="1" workbookViewId="0">
      <selection activeCell="C219" sqref="C219"/>
    </sheetView>
  </sheetViews>
  <sheetFormatPr defaultColWidth="9.42578125" defaultRowHeight="15" x14ac:dyDescent="0.25"/>
  <cols>
    <col min="1" max="1" width="9.140625" style="1" customWidth="1"/>
    <col min="2" max="2" width="47.140625" style="1" bestFit="1" customWidth="1"/>
    <col min="3" max="3" width="14.28515625" style="1" bestFit="1" customWidth="1"/>
    <col min="4" max="4" width="2.5703125" style="1" customWidth="1"/>
    <col min="5" max="5" width="11" style="1" customWidth="1"/>
    <col min="6" max="6" width="3" style="1" customWidth="1"/>
    <col min="7" max="7" width="11.28515625" style="1" customWidth="1"/>
    <col min="8" max="8" width="2.7109375" style="1" customWidth="1"/>
    <col min="9" max="9" width="11.140625" style="1" customWidth="1"/>
    <col min="10" max="10" width="2" style="1" customWidth="1"/>
    <col min="11" max="11" width="11.5703125" style="1" customWidth="1"/>
    <col min="12" max="12" width="2.28515625" style="1" customWidth="1"/>
    <col min="13" max="13" width="11.28515625" style="1" customWidth="1"/>
    <col min="14" max="14" width="1.85546875" style="1" customWidth="1"/>
    <col min="15" max="15" width="12.5703125" style="1" bestFit="1" customWidth="1"/>
    <col min="16" max="16" width="2.140625" style="1" customWidth="1"/>
    <col min="17" max="17" width="12.5703125" style="1" bestFit="1" customWidth="1"/>
    <col min="18" max="18" width="1.7109375" style="1" customWidth="1"/>
    <col min="19" max="19" width="12.85546875" style="1" bestFit="1" customWidth="1"/>
    <col min="20" max="21" width="9.42578125" style="1"/>
    <col min="22" max="22" width="18.140625" style="1" customWidth="1"/>
    <col min="23" max="16384" width="9.42578125" style="1"/>
  </cols>
  <sheetData>
    <row r="2" spans="1:5" s="40" customFormat="1" ht="23.25" x14ac:dyDescent="0.35">
      <c r="A2" s="39" t="s">
        <v>117</v>
      </c>
    </row>
    <row r="3" spans="1:5" ht="18.75" x14ac:dyDescent="0.3">
      <c r="A3" s="172" t="s">
        <v>116</v>
      </c>
    </row>
    <row r="4" spans="1:5" x14ac:dyDescent="0.25">
      <c r="B4" s="1" t="s">
        <v>32</v>
      </c>
      <c r="C4" s="16">
        <v>0.43</v>
      </c>
      <c r="E4" s="1" t="s">
        <v>146</v>
      </c>
    </row>
    <row r="5" spans="1:5" x14ac:dyDescent="0.25">
      <c r="B5" s="1" t="s">
        <v>41</v>
      </c>
      <c r="C5" s="16">
        <v>0.08</v>
      </c>
      <c r="E5" s="1" t="s">
        <v>147</v>
      </c>
    </row>
    <row r="6" spans="1:5" x14ac:dyDescent="0.25">
      <c r="B6" s="1" t="s">
        <v>33</v>
      </c>
      <c r="C6" s="1">
        <v>9</v>
      </c>
      <c r="E6" s="1" t="s">
        <v>148</v>
      </c>
    </row>
    <row r="7" spans="1:5" x14ac:dyDescent="0.25">
      <c r="B7" s="1" t="s">
        <v>34</v>
      </c>
      <c r="C7" s="1">
        <v>5</v>
      </c>
      <c r="E7" s="1" t="s">
        <v>149</v>
      </c>
    </row>
    <row r="8" spans="1:5" x14ac:dyDescent="0.25">
      <c r="B8" s="1" t="s">
        <v>35</v>
      </c>
      <c r="C8" s="20">
        <f>(C6+C7)*C4</f>
        <v>6.02</v>
      </c>
    </row>
    <row r="9" spans="1:5" x14ac:dyDescent="0.25">
      <c r="B9" s="1" t="s">
        <v>36</v>
      </c>
      <c r="C9" s="18">
        <v>45679.535534178081</v>
      </c>
    </row>
    <row r="10" spans="1:5" x14ac:dyDescent="0.25">
      <c r="B10" s="1" t="s">
        <v>37</v>
      </c>
      <c r="C10" s="16">
        <f>C5*(C6+C7)</f>
        <v>1.1200000000000001</v>
      </c>
      <c r="D10" s="12"/>
    </row>
    <row r="11" spans="1:5" x14ac:dyDescent="0.25">
      <c r="D11" s="12"/>
    </row>
    <row r="12" spans="1:5" x14ac:dyDescent="0.25">
      <c r="B12" s="1" t="s">
        <v>38</v>
      </c>
      <c r="C12" s="19">
        <v>5000</v>
      </c>
      <c r="D12" s="12"/>
    </row>
    <row r="13" spans="1:5" x14ac:dyDescent="0.25">
      <c r="B13" s="1" t="s">
        <v>113</v>
      </c>
      <c r="C13" s="19">
        <f>22*1200</f>
        <v>26400</v>
      </c>
      <c r="D13" s="12"/>
      <c r="E13" s="1" t="s">
        <v>145</v>
      </c>
    </row>
    <row r="14" spans="1:5" x14ac:dyDescent="0.25">
      <c r="B14" s="1" t="s">
        <v>39</v>
      </c>
      <c r="C14" s="19">
        <v>20000</v>
      </c>
      <c r="D14" s="12"/>
    </row>
    <row r="15" spans="1:5" x14ac:dyDescent="0.25">
      <c r="B15" s="1" t="s">
        <v>109</v>
      </c>
      <c r="C15" s="19">
        <v>3000</v>
      </c>
      <c r="D15" s="12"/>
    </row>
    <row r="16" spans="1:5" x14ac:dyDescent="0.25">
      <c r="B16" s="1" t="s">
        <v>144</v>
      </c>
      <c r="C16" s="19">
        <f>((C17*C19*C21)+(C18*C20*C22))*(C23/40)*52</f>
        <v>125580</v>
      </c>
      <c r="D16" s="12"/>
    </row>
    <row r="17" spans="2:5" x14ac:dyDescent="0.25">
      <c r="B17" s="1" t="s">
        <v>135</v>
      </c>
      <c r="C17" s="58">
        <v>4</v>
      </c>
      <c r="D17" s="12"/>
    </row>
    <row r="18" spans="2:5" x14ac:dyDescent="0.25">
      <c r="B18" s="1" t="s">
        <v>136</v>
      </c>
      <c r="C18" s="58">
        <v>2</v>
      </c>
      <c r="D18" s="12"/>
    </row>
    <row r="19" spans="2:5" x14ac:dyDescent="0.25">
      <c r="B19" s="1" t="s">
        <v>137</v>
      </c>
      <c r="C19" s="58">
        <v>20</v>
      </c>
      <c r="D19" s="12"/>
    </row>
    <row r="20" spans="2:5" x14ac:dyDescent="0.25">
      <c r="B20" s="1" t="s">
        <v>138</v>
      </c>
      <c r="C20" s="58">
        <v>40</v>
      </c>
      <c r="D20" s="12"/>
    </row>
    <row r="21" spans="2:5" x14ac:dyDescent="0.25">
      <c r="B21" s="1" t="s">
        <v>139</v>
      </c>
      <c r="C21" s="16">
        <v>7.25</v>
      </c>
      <c r="D21" s="12"/>
    </row>
    <row r="22" spans="2:5" x14ac:dyDescent="0.25">
      <c r="B22" s="1" t="s">
        <v>140</v>
      </c>
      <c r="C22" s="16">
        <v>10</v>
      </c>
      <c r="D22" s="12"/>
      <c r="E22" s="1" t="s">
        <v>152</v>
      </c>
    </row>
    <row r="23" spans="2:5" x14ac:dyDescent="0.25">
      <c r="B23" s="1" t="s">
        <v>141</v>
      </c>
      <c r="C23" s="58">
        <v>70</v>
      </c>
      <c r="D23" s="12"/>
      <c r="E23" s="1" t="s">
        <v>143</v>
      </c>
    </row>
    <row r="24" spans="2:5" x14ac:dyDescent="0.25">
      <c r="B24" s="1" t="s">
        <v>40</v>
      </c>
      <c r="C24" s="21">
        <v>0.03</v>
      </c>
      <c r="D24" s="12"/>
    </row>
    <row r="25" spans="2:5" x14ac:dyDescent="0.25">
      <c r="B25" s="1" t="s">
        <v>245</v>
      </c>
      <c r="C25" s="19">
        <v>60000</v>
      </c>
      <c r="D25" s="12"/>
    </row>
    <row r="26" spans="2:5" x14ac:dyDescent="0.25">
      <c r="B26" s="1" t="s">
        <v>150</v>
      </c>
      <c r="C26" s="22">
        <v>95000</v>
      </c>
      <c r="D26" s="12"/>
    </row>
    <row r="27" spans="2:5" x14ac:dyDescent="0.25">
      <c r="B27" s="1" t="s">
        <v>246</v>
      </c>
      <c r="C27" s="22">
        <v>25000</v>
      </c>
      <c r="D27" s="12"/>
    </row>
    <row r="28" spans="2:5" x14ac:dyDescent="0.25">
      <c r="B28" s="1" t="s">
        <v>151</v>
      </c>
      <c r="C28" s="22">
        <v>40000</v>
      </c>
      <c r="D28" s="12"/>
    </row>
    <row r="29" spans="2:5" x14ac:dyDescent="0.25">
      <c r="B29" s="1" t="s">
        <v>42</v>
      </c>
      <c r="C29" s="23">
        <v>5</v>
      </c>
      <c r="D29" s="12"/>
    </row>
    <row r="30" spans="2:5" x14ac:dyDescent="0.25">
      <c r="B30" s="1" t="s">
        <v>43</v>
      </c>
      <c r="C30" s="19">
        <v>800</v>
      </c>
      <c r="D30" s="12"/>
    </row>
    <row r="31" spans="2:5" x14ac:dyDescent="0.25">
      <c r="B31" s="1" t="s">
        <v>122</v>
      </c>
      <c r="C31" s="15">
        <v>0.04</v>
      </c>
      <c r="D31" s="12"/>
    </row>
    <row r="32" spans="2:5" x14ac:dyDescent="0.25">
      <c r="B32" s="1" t="s">
        <v>44</v>
      </c>
      <c r="C32" s="1">
        <v>30</v>
      </c>
      <c r="D32" s="17"/>
    </row>
    <row r="33" spans="1:19" x14ac:dyDescent="0.25">
      <c r="B33" s="1" t="s">
        <v>45</v>
      </c>
      <c r="C33" s="21">
        <v>0.23</v>
      </c>
      <c r="D33" s="17"/>
    </row>
    <row r="34" spans="1:19" x14ac:dyDescent="0.25">
      <c r="B34" s="1" t="s">
        <v>46</v>
      </c>
      <c r="C34" s="1">
        <v>30</v>
      </c>
      <c r="D34" s="17"/>
    </row>
    <row r="35" spans="1:19" x14ac:dyDescent="0.25">
      <c r="B35" s="1" t="s">
        <v>106</v>
      </c>
      <c r="C35" s="19">
        <v>80000</v>
      </c>
      <c r="D35" s="17"/>
      <c r="E35" s="1" t="s">
        <v>153</v>
      </c>
    </row>
    <row r="36" spans="1:19" x14ac:dyDescent="0.25">
      <c r="B36" s="1" t="s">
        <v>142</v>
      </c>
      <c r="C36" s="19">
        <v>106000</v>
      </c>
      <c r="D36" s="17"/>
      <c r="E36" s="1" t="s">
        <v>154</v>
      </c>
    </row>
    <row r="37" spans="1:19" x14ac:dyDescent="0.25">
      <c r="B37" s="1" t="s">
        <v>171</v>
      </c>
      <c r="C37" s="90">
        <v>0.12</v>
      </c>
      <c r="D37" s="17"/>
    </row>
    <row r="38" spans="1:19" x14ac:dyDescent="0.25">
      <c r="B38" s="1" t="s">
        <v>107</v>
      </c>
      <c r="C38" s="15">
        <v>0.18</v>
      </c>
      <c r="D38" s="17"/>
    </row>
    <row r="39" spans="1:19" x14ac:dyDescent="0.25">
      <c r="B39" s="1" t="s">
        <v>114</v>
      </c>
      <c r="C39" s="166">
        <v>6.3207026467033092E-2</v>
      </c>
      <c r="D39" s="17"/>
      <c r="E39" s="1" t="s">
        <v>247</v>
      </c>
    </row>
    <row r="40" spans="1:19" x14ac:dyDescent="0.25">
      <c r="B40" s="1" t="s">
        <v>115</v>
      </c>
      <c r="C40" s="166">
        <f>C39</f>
        <v>6.3207026467033092E-2</v>
      </c>
      <c r="D40" s="17"/>
    </row>
    <row r="41" spans="1:19" x14ac:dyDescent="0.25">
      <c r="B41" s="1" t="s">
        <v>110</v>
      </c>
      <c r="C41" s="15">
        <v>0.01</v>
      </c>
      <c r="D41" s="17"/>
    </row>
    <row r="42" spans="1:19" x14ac:dyDescent="0.25">
      <c r="B42" s="1" t="s">
        <v>111</v>
      </c>
      <c r="C42" s="15">
        <v>0.02</v>
      </c>
      <c r="D42" s="17"/>
    </row>
    <row r="43" spans="1:19" x14ac:dyDescent="0.25">
      <c r="C43" s="15"/>
      <c r="D43" s="17"/>
    </row>
    <row r="44" spans="1:19" s="2" customFormat="1" x14ac:dyDescent="0.25"/>
    <row r="45" spans="1:19" ht="18.75" x14ac:dyDescent="0.3">
      <c r="A45" s="35" t="s">
        <v>2</v>
      </c>
    </row>
    <row r="46" spans="1:19" x14ac:dyDescent="0.25">
      <c r="C46" s="38">
        <v>2012</v>
      </c>
      <c r="D46" s="38"/>
      <c r="E46" s="38">
        <v>2013</v>
      </c>
      <c r="F46" s="38"/>
      <c r="G46" s="38">
        <v>2014</v>
      </c>
      <c r="H46" s="38"/>
      <c r="I46" s="38">
        <v>2015</v>
      </c>
      <c r="J46" s="38"/>
      <c r="K46" s="38">
        <v>2016</v>
      </c>
      <c r="L46" s="38"/>
      <c r="M46" s="38">
        <v>2017</v>
      </c>
      <c r="N46" s="38"/>
      <c r="O46" s="38">
        <v>2018</v>
      </c>
      <c r="P46" s="38"/>
      <c r="Q46" s="38">
        <v>2019</v>
      </c>
      <c r="R46" s="38"/>
    </row>
    <row r="47" spans="1:19" ht="18.75" x14ac:dyDescent="0.3">
      <c r="A47" s="35" t="s">
        <v>108</v>
      </c>
    </row>
    <row r="48" spans="1:19" x14ac:dyDescent="0.25">
      <c r="A48" s="6" t="s">
        <v>22</v>
      </c>
      <c r="C48" s="19">
        <f>C9*C8</f>
        <v>274990.80391575204</v>
      </c>
      <c r="D48" s="4"/>
      <c r="E48" s="19">
        <f>C48*(1+$C$39)</f>
        <v>292372.15493704565</v>
      </c>
      <c r="F48" s="19"/>
      <c r="G48" s="19">
        <f>E48*(1+$C$39)</f>
        <v>310852.12947237497</v>
      </c>
      <c r="H48" s="19"/>
      <c r="I48" s="19">
        <f>G48*(1+$C$39)</f>
        <v>330500.16824726894</v>
      </c>
      <c r="J48" s="19"/>
      <c r="K48" s="19">
        <f>I48*(1+$C$39)</f>
        <v>351390.10112903296</v>
      </c>
      <c r="L48" s="19"/>
      <c r="M48" s="19">
        <f>K48*(1+$C$39)</f>
        <v>373600.42455134913</v>
      </c>
      <c r="N48" s="19"/>
      <c r="O48" s="19">
        <f>M48*(1+$C$39)</f>
        <v>397214.59647406102</v>
      </c>
      <c r="P48" s="19"/>
      <c r="Q48" s="19">
        <f>O48*(1+$C$39)</f>
        <v>422321.34998648881</v>
      </c>
      <c r="R48" s="19"/>
      <c r="S48" s="19"/>
    </row>
    <row r="49" spans="1:19" x14ac:dyDescent="0.25">
      <c r="A49" s="6" t="s">
        <v>23</v>
      </c>
      <c r="C49" s="19">
        <f>C9*C10</f>
        <v>51161.079798279454</v>
      </c>
      <c r="D49" s="4"/>
      <c r="E49" s="19">
        <f>C49*(1+$C$40)</f>
        <v>54394.819523171289</v>
      </c>
      <c r="F49" s="19"/>
      <c r="G49" s="19">
        <f>E49*(1+$C$40)</f>
        <v>57832.954320441859</v>
      </c>
      <c r="H49" s="19"/>
      <c r="I49" s="19">
        <f>G49*(1+$C$40)</f>
        <v>61488.403394840738</v>
      </c>
      <c r="J49" s="19"/>
      <c r="K49" s="19">
        <f>I49*(1+$C$40)</f>
        <v>65374.902535634043</v>
      </c>
      <c r="L49" s="19"/>
      <c r="M49" s="19">
        <f>K49*(1+$C$40)</f>
        <v>69507.055730483567</v>
      </c>
      <c r="N49" s="19"/>
      <c r="O49" s="19">
        <f>M49*(1+$C$40)</f>
        <v>73900.39004168578</v>
      </c>
      <c r="P49" s="19"/>
      <c r="Q49" s="19">
        <f>O49*(1+$C$40)</f>
        <v>78571.413950974675</v>
      </c>
      <c r="R49" s="19"/>
      <c r="S49" s="19"/>
    </row>
    <row r="50" spans="1:19" x14ac:dyDescent="0.25">
      <c r="A50" s="6" t="s">
        <v>24</v>
      </c>
      <c r="C50" s="7">
        <f>C48-C49</f>
        <v>223829.72411747259</v>
      </c>
      <c r="D50" s="5"/>
      <c r="E50" s="7">
        <f>E48-E49</f>
        <v>237977.33541387436</v>
      </c>
      <c r="F50" s="7"/>
      <c r="G50" s="7">
        <f t="shared" ref="G50:Q50" si="0">G48-G49</f>
        <v>253019.1751519331</v>
      </c>
      <c r="H50" s="7"/>
      <c r="I50" s="7">
        <f t="shared" si="0"/>
        <v>269011.76485242823</v>
      </c>
      <c r="J50" s="7"/>
      <c r="K50" s="7">
        <f t="shared" si="0"/>
        <v>286015.19859339891</v>
      </c>
      <c r="L50" s="7"/>
      <c r="M50" s="7">
        <f t="shared" si="0"/>
        <v>304093.36882086558</v>
      </c>
      <c r="N50" s="7"/>
      <c r="O50" s="7">
        <f t="shared" si="0"/>
        <v>323314.20643237524</v>
      </c>
      <c r="P50" s="7"/>
      <c r="Q50" s="7">
        <f t="shared" si="0"/>
        <v>343749.93603551411</v>
      </c>
      <c r="R50" s="7"/>
      <c r="S50" s="7"/>
    </row>
    <row r="52" spans="1:19" x14ac:dyDescent="0.25">
      <c r="A52" s="6" t="s">
        <v>3</v>
      </c>
      <c r="C52" s="7"/>
      <c r="D52" s="7"/>
      <c r="E52" s="7"/>
      <c r="F52" s="7"/>
      <c r="G52" s="7"/>
      <c r="H52" s="7"/>
      <c r="I52" s="7"/>
      <c r="J52" s="7"/>
    </row>
    <row r="53" spans="1:19" x14ac:dyDescent="0.25">
      <c r="A53" s="1" t="s">
        <v>4</v>
      </c>
      <c r="C53" s="7"/>
      <c r="D53" s="7"/>
      <c r="E53" s="7"/>
      <c r="F53" s="7"/>
      <c r="G53" s="7"/>
      <c r="H53" s="7"/>
      <c r="I53" s="7"/>
      <c r="J53" s="7"/>
    </row>
    <row r="54" spans="1:19" x14ac:dyDescent="0.25">
      <c r="B54" s="6" t="s">
        <v>25</v>
      </c>
      <c r="C54" s="7">
        <f>$C$16</f>
        <v>125580</v>
      </c>
      <c r="D54" s="7"/>
      <c r="E54" s="7">
        <f>C54*(1+$C$24)</f>
        <v>129347.40000000001</v>
      </c>
      <c r="F54" s="7"/>
      <c r="G54" s="7">
        <f>E54*(1+$C$24)</f>
        <v>133227.82200000001</v>
      </c>
      <c r="H54" s="7"/>
      <c r="I54" s="7">
        <f>G54*(1+$C$24)</f>
        <v>137224.65666000001</v>
      </c>
      <c r="J54" s="7"/>
      <c r="K54" s="7">
        <f>I54*(1+$C$24)</f>
        <v>141341.39635980001</v>
      </c>
      <c r="L54" s="7"/>
      <c r="M54" s="7">
        <f>K54*(1+$C$24)</f>
        <v>145581.63825059403</v>
      </c>
      <c r="N54" s="7"/>
      <c r="O54" s="7">
        <f>M54*(1+$C$24)</f>
        <v>149949.08739811185</v>
      </c>
      <c r="P54" s="7"/>
      <c r="Q54" s="7">
        <f>O54*(1+$C$24)</f>
        <v>154447.56002005521</v>
      </c>
      <c r="R54" s="7"/>
      <c r="S54" s="7"/>
    </row>
    <row r="55" spans="1:19" x14ac:dyDescent="0.25">
      <c r="B55" s="6" t="s">
        <v>26</v>
      </c>
      <c r="C55" s="7">
        <f>$C$25/$C$29+$C$26/$C$29</f>
        <v>31000</v>
      </c>
      <c r="D55" s="7"/>
      <c r="E55" s="7">
        <f>$C$25/$C$29+$C$26/$C$29</f>
        <v>31000</v>
      </c>
      <c r="F55" s="7"/>
      <c r="G55" s="7">
        <f>$C$25/$C$29+$C$26/$C$29</f>
        <v>31000</v>
      </c>
      <c r="H55" s="7"/>
      <c r="I55" s="7">
        <f>$C$25/$C$29+$C$26/$C$29</f>
        <v>31000</v>
      </c>
      <c r="J55" s="7"/>
      <c r="K55" s="7">
        <f>($C$25/$C$29)+($C$26/$C$29)+($C$28/$C$29)+($C$27/$C$29)</f>
        <v>44000</v>
      </c>
      <c r="L55" s="7">
        <f t="shared" ref="L55" si="1">($C$26/$C$29)+($C$28/$C$29)</f>
        <v>27000</v>
      </c>
      <c r="M55" s="7">
        <f>($C$28/$C$29)+($C$27/$C$29)</f>
        <v>13000</v>
      </c>
      <c r="N55" s="7"/>
      <c r="O55" s="7">
        <f t="shared" ref="O55:Q55" si="2">($C$28/$C$29)+($C$27/$C$29)</f>
        <v>13000</v>
      </c>
      <c r="P55" s="7"/>
      <c r="Q55" s="7">
        <f t="shared" si="2"/>
        <v>13000</v>
      </c>
      <c r="R55" s="16"/>
      <c r="S55" s="16"/>
    </row>
    <row r="56" spans="1:19" x14ac:dyDescent="0.25">
      <c r="B56" s="6" t="s">
        <v>112</v>
      </c>
      <c r="C56" s="22">
        <f>C48*$C$42</f>
        <v>5499.8160783150406</v>
      </c>
      <c r="D56" s="22"/>
      <c r="E56" s="22">
        <f>E48*$C$42</f>
        <v>5847.4430987409132</v>
      </c>
      <c r="F56" s="22"/>
      <c r="G56" s="22">
        <f>G48*$C$42</f>
        <v>6217.0425894474993</v>
      </c>
      <c r="H56" s="22"/>
      <c r="I56" s="22">
        <f>I48*$C$42</f>
        <v>6610.003364945379</v>
      </c>
      <c r="J56" s="22"/>
      <c r="K56" s="22">
        <f>K48*$C$42</f>
        <v>7027.8020225806595</v>
      </c>
      <c r="L56" s="22"/>
      <c r="M56" s="22">
        <f>M48*$C$42</f>
        <v>7472.0084910269825</v>
      </c>
      <c r="N56" s="22"/>
      <c r="O56" s="22">
        <f>O48*$C$42</f>
        <v>7944.2919294812209</v>
      </c>
      <c r="P56" s="22"/>
      <c r="Q56" s="22">
        <f>Q48*$C$42</f>
        <v>8446.4269997297761</v>
      </c>
      <c r="R56" s="10"/>
      <c r="S56" s="10"/>
    </row>
    <row r="57" spans="1:19" x14ac:dyDescent="0.25">
      <c r="B57" s="6" t="s">
        <v>28</v>
      </c>
      <c r="C57" s="22">
        <f>$C$14</f>
        <v>20000</v>
      </c>
      <c r="D57" s="22"/>
      <c r="E57" s="22">
        <f>$C$14</f>
        <v>20000</v>
      </c>
      <c r="F57" s="22"/>
      <c r="G57" s="22">
        <f>$C$14</f>
        <v>20000</v>
      </c>
      <c r="H57" s="22"/>
      <c r="I57" s="22">
        <f>$C$14</f>
        <v>20000</v>
      </c>
      <c r="J57" s="22"/>
      <c r="K57" s="22">
        <f>$C$14</f>
        <v>20000</v>
      </c>
      <c r="L57" s="22"/>
      <c r="M57" s="22">
        <f>$C$14</f>
        <v>20000</v>
      </c>
      <c r="N57" s="22"/>
      <c r="O57" s="22">
        <f>$C$14</f>
        <v>20000</v>
      </c>
      <c r="P57" s="22"/>
      <c r="Q57" s="22">
        <f>$C$14</f>
        <v>20000</v>
      </c>
      <c r="R57" s="10"/>
      <c r="S57" s="10"/>
    </row>
    <row r="58" spans="1:19" x14ac:dyDescent="0.25">
      <c r="B58" s="6" t="s">
        <v>27</v>
      </c>
      <c r="C58" s="7">
        <f>$C$15</f>
        <v>3000</v>
      </c>
      <c r="D58" s="7"/>
      <c r="E58" s="7">
        <f>$C$15</f>
        <v>3000</v>
      </c>
      <c r="F58" s="7"/>
      <c r="G58" s="7">
        <f>$C$15</f>
        <v>3000</v>
      </c>
      <c r="H58" s="7"/>
      <c r="I58" s="7">
        <f>$C$15</f>
        <v>3000</v>
      </c>
      <c r="J58" s="7"/>
      <c r="K58" s="7">
        <f>$C$15</f>
        <v>3000</v>
      </c>
      <c r="L58" s="7"/>
      <c r="M58" s="7">
        <f>$C$15</f>
        <v>3000</v>
      </c>
      <c r="N58" s="7"/>
      <c r="O58" s="7">
        <f>$C$15</f>
        <v>3000</v>
      </c>
      <c r="P58" s="7"/>
      <c r="Q58" s="7">
        <f>$C$15</f>
        <v>3000</v>
      </c>
      <c r="R58" s="7"/>
      <c r="S58" s="7"/>
    </row>
    <row r="59" spans="1:19" x14ac:dyDescent="0.25">
      <c r="B59" s="1" t="s">
        <v>5</v>
      </c>
      <c r="C59" s="7">
        <f>$C$13</f>
        <v>26400</v>
      </c>
      <c r="D59" s="7"/>
      <c r="E59" s="7">
        <f>$C$13</f>
        <v>26400</v>
      </c>
      <c r="F59" s="7"/>
      <c r="G59" s="7">
        <f>$C$13</f>
        <v>26400</v>
      </c>
      <c r="H59" s="7"/>
      <c r="I59" s="7">
        <f>$C$13</f>
        <v>26400</v>
      </c>
      <c r="J59" s="7"/>
      <c r="K59" s="7">
        <f>$C$13</f>
        <v>26400</v>
      </c>
      <c r="L59" s="7"/>
      <c r="M59" s="7">
        <f>$C$13</f>
        <v>26400</v>
      </c>
      <c r="N59" s="7"/>
      <c r="O59" s="7">
        <f>$C$13</f>
        <v>26400</v>
      </c>
      <c r="P59" s="7"/>
      <c r="Q59" s="7">
        <f>$C$13</f>
        <v>26400</v>
      </c>
      <c r="R59" s="7"/>
      <c r="S59" s="7"/>
    </row>
    <row r="60" spans="1:19" x14ac:dyDescent="0.25">
      <c r="B60" s="6" t="s">
        <v>29</v>
      </c>
      <c r="C60" s="7">
        <f>C48*$C$41</f>
        <v>2749.9080391575203</v>
      </c>
      <c r="D60" s="7"/>
      <c r="E60" s="7">
        <f>E48*$C$41</f>
        <v>2923.7215493704566</v>
      </c>
      <c r="F60" s="7"/>
      <c r="G60" s="7">
        <f>G48*$C$41</f>
        <v>3108.5212947237496</v>
      </c>
      <c r="H60" s="7"/>
      <c r="I60" s="7">
        <f>I48*$C$41</f>
        <v>3305.0016824726895</v>
      </c>
      <c r="J60" s="7"/>
      <c r="K60" s="7">
        <f>K48*$C$41</f>
        <v>3513.9010112903297</v>
      </c>
      <c r="L60" s="7"/>
      <c r="M60" s="7">
        <f>M48*$C$41</f>
        <v>3736.0042455134912</v>
      </c>
      <c r="N60" s="7"/>
      <c r="O60" s="7">
        <f>O48*$C$41</f>
        <v>3972.1459647406105</v>
      </c>
      <c r="P60" s="7"/>
      <c r="Q60" s="7">
        <f>Q48*$C$41</f>
        <v>4223.213499864888</v>
      </c>
      <c r="R60" s="7"/>
      <c r="S60" s="7"/>
    </row>
    <row r="61" spans="1:19" x14ac:dyDescent="0.25">
      <c r="B61" s="6" t="s">
        <v>30</v>
      </c>
      <c r="C61" s="45">
        <f>$C$30*12</f>
        <v>9600</v>
      </c>
      <c r="D61" s="45"/>
      <c r="E61" s="45">
        <f>C61*(1+$C$31)</f>
        <v>9984</v>
      </c>
      <c r="F61" s="45"/>
      <c r="G61" s="45">
        <f>E61*(1+$C$31)</f>
        <v>10383.36</v>
      </c>
      <c r="H61" s="45"/>
      <c r="I61" s="45">
        <f>G61*(1+$C$31)</f>
        <v>10798.6944</v>
      </c>
      <c r="J61" s="45"/>
      <c r="K61" s="45">
        <f>I61*(1+$C$31)</f>
        <v>11230.642176000001</v>
      </c>
      <c r="L61" s="45"/>
      <c r="M61" s="45">
        <f>K61*(1+$C$31)</f>
        <v>11679.867863040001</v>
      </c>
      <c r="N61" s="45"/>
      <c r="O61" s="45">
        <f>M61*(1+$C$31)</f>
        <v>12147.062577561601</v>
      </c>
      <c r="P61" s="45"/>
      <c r="Q61" s="45">
        <f>O61*(1+$C$31)</f>
        <v>12632.945080664065</v>
      </c>
      <c r="R61" s="11"/>
      <c r="S61" s="11"/>
    </row>
    <row r="62" spans="1:19" x14ac:dyDescent="0.25">
      <c r="A62" s="6" t="s">
        <v>31</v>
      </c>
      <c r="C62" s="8">
        <f>SUM(C54:C61)</f>
        <v>223829.72411747256</v>
      </c>
      <c r="D62" s="8"/>
      <c r="E62" s="8">
        <f t="shared" ref="E62" si="3">SUM(E54:E61)</f>
        <v>228502.56464811138</v>
      </c>
      <c r="F62" s="8"/>
      <c r="G62" s="8">
        <f t="shared" ref="G62" si="4">SUM(G54:G61)</f>
        <v>233336.74588417128</v>
      </c>
      <c r="H62" s="8"/>
      <c r="I62" s="8">
        <f t="shared" ref="I62" si="5">SUM(I54:I61)</f>
        <v>238338.35610741808</v>
      </c>
      <c r="J62" s="8"/>
      <c r="K62" s="8">
        <f t="shared" ref="K62" si="6">SUM(K54:K61)</f>
        <v>256513.74156967099</v>
      </c>
      <c r="L62" s="8"/>
      <c r="M62" s="8">
        <f t="shared" ref="M62" si="7">SUM(M54:M61)</f>
        <v>230869.51885017453</v>
      </c>
      <c r="N62" s="8"/>
      <c r="O62" s="8">
        <f t="shared" ref="O62" si="8">SUM(O54:O61)</f>
        <v>236412.58786989527</v>
      </c>
      <c r="P62" s="8"/>
      <c r="Q62" s="8">
        <f t="shared" ref="Q62" si="9">SUM(Q54:Q61)</f>
        <v>242150.14560031393</v>
      </c>
      <c r="R62" s="8"/>
      <c r="S62" s="8"/>
    </row>
    <row r="63" spans="1:19" x14ac:dyDescent="0.25">
      <c r="D63" s="7"/>
      <c r="E63" s="7"/>
      <c r="F63" s="7"/>
      <c r="G63" s="7"/>
      <c r="H63" s="7"/>
      <c r="I63" s="7"/>
      <c r="J63" s="7"/>
    </row>
    <row r="64" spans="1:19" x14ac:dyDescent="0.25">
      <c r="A64" s="6" t="s">
        <v>0</v>
      </c>
      <c r="C64" s="7">
        <f>C50-C62</f>
        <v>0</v>
      </c>
      <c r="D64" s="7"/>
      <c r="E64" s="7">
        <f>E50-E62</f>
        <v>9474.7707657629799</v>
      </c>
      <c r="F64" s="7"/>
      <c r="G64" s="7">
        <f t="shared" ref="G64:Q64" si="10">G50-G62</f>
        <v>19682.429267761821</v>
      </c>
      <c r="H64" s="7"/>
      <c r="I64" s="7">
        <f t="shared" si="10"/>
        <v>30673.408745010151</v>
      </c>
      <c r="J64" s="7"/>
      <c r="K64" s="7">
        <f t="shared" si="10"/>
        <v>29501.457023727911</v>
      </c>
      <c r="L64" s="7"/>
      <c r="M64" s="7">
        <f t="shared" si="10"/>
        <v>73223.849970691052</v>
      </c>
      <c r="N64" s="7"/>
      <c r="O64" s="7">
        <f t="shared" si="10"/>
        <v>86901.618562479969</v>
      </c>
      <c r="P64" s="7"/>
      <c r="Q64" s="7">
        <f t="shared" si="10"/>
        <v>101599.79043520018</v>
      </c>
      <c r="R64" s="7"/>
      <c r="S64" s="7"/>
    </row>
    <row r="65" spans="1:19" x14ac:dyDescent="0.25">
      <c r="C65" s="7"/>
      <c r="D65" s="7"/>
      <c r="E65" s="7"/>
      <c r="F65" s="7"/>
      <c r="G65" s="7"/>
      <c r="H65" s="7"/>
      <c r="I65" s="7"/>
      <c r="J65" s="7"/>
    </row>
    <row r="66" spans="1:19" x14ac:dyDescent="0.25">
      <c r="A66" s="1" t="s">
        <v>6</v>
      </c>
      <c r="C66" s="19">
        <f>IF('Installment Loan'!D14&lt;0,0,'Installment Loan'!D14)</f>
        <v>11834.171521372919</v>
      </c>
      <c r="D66" s="19"/>
      <c r="E66" s="19">
        <f>IF('Installment Loan'!D28&lt;0,0,'Installment Loan'!D28)</f>
        <v>9746.5343858206215</v>
      </c>
      <c r="F66" s="19"/>
      <c r="G66" s="19">
        <f>IF('Installment Loan'!D42&lt;0,0,'Installment Loan'!D42)</f>
        <v>7394.1326076472888</v>
      </c>
      <c r="H66" s="19"/>
      <c r="I66" s="19">
        <f>IF('Installment Loan'!D56&lt;0,0,'Installment Loan'!D56)</f>
        <v>4743.3874030746219</v>
      </c>
      <c r="J66" s="19"/>
      <c r="K66" s="19">
        <f>IF('Installment Loan'!D70&lt;0,0,'Installment Loan'!D70)</f>
        <v>1756.461358059855</v>
      </c>
      <c r="L66" s="19"/>
      <c r="M66" s="19">
        <f>IF('Installment Loan'!D84&lt;0,0,'Installment Loan'!D84)</f>
        <v>0</v>
      </c>
      <c r="N66" s="19"/>
      <c r="O66" s="19">
        <f>IF('Installment Loan'!D98&lt;0,0,'Installment Loan'!D98)</f>
        <v>0</v>
      </c>
      <c r="P66" s="19"/>
      <c r="Q66" s="19">
        <f>IF('Installment Loan'!D112&lt;0,0,'Installment Loan'!D112)</f>
        <v>0</v>
      </c>
    </row>
    <row r="67" spans="1:19" x14ac:dyDescent="0.25">
      <c r="A67" s="1" t="s">
        <v>7</v>
      </c>
      <c r="C67" s="8">
        <f>C64-C66</f>
        <v>-11834.171521372919</v>
      </c>
      <c r="D67" s="8"/>
      <c r="E67" s="8">
        <f t="shared" ref="E67" si="11">E64-E66</f>
        <v>-271.76362005764167</v>
      </c>
      <c r="F67" s="8"/>
      <c r="G67" s="8">
        <f t="shared" ref="G67" si="12">G64-G66</f>
        <v>12288.296660114533</v>
      </c>
      <c r="H67" s="8"/>
      <c r="I67" s="8">
        <f t="shared" ref="I67" si="13">I64-I66</f>
        <v>25930.021341935528</v>
      </c>
      <c r="J67" s="8"/>
      <c r="K67" s="8">
        <f t="shared" ref="K67" si="14">K64-K66</f>
        <v>27744.995665668055</v>
      </c>
      <c r="L67" s="8"/>
      <c r="M67" s="8">
        <f t="shared" ref="M67" si="15">M64-M66</f>
        <v>73223.849970691052</v>
      </c>
      <c r="N67" s="8"/>
      <c r="O67" s="8">
        <f t="shared" ref="O67" si="16">O64-O66</f>
        <v>86901.618562479969</v>
      </c>
      <c r="P67" s="8"/>
      <c r="Q67" s="8">
        <f t="shared" ref="Q67" si="17">Q64-Q66</f>
        <v>101599.79043520018</v>
      </c>
    </row>
    <row r="68" spans="1:19" x14ac:dyDescent="0.25">
      <c r="A68" s="1" t="s">
        <v>8</v>
      </c>
      <c r="C68" s="19">
        <f>IF(C67&lt;0,0,C67*$C$33)</f>
        <v>0</v>
      </c>
      <c r="D68" s="19"/>
      <c r="E68" s="19">
        <f t="shared" ref="E68" si="18">IF(E67&lt;0,0,E67*$C$33)</f>
        <v>0</v>
      </c>
      <c r="F68" s="19"/>
      <c r="G68" s="19">
        <f t="shared" ref="G68" si="19">IF(G67&lt;0,0,G67*$C$33)</f>
        <v>2826.3082318263428</v>
      </c>
      <c r="H68" s="19"/>
      <c r="I68" s="19">
        <f t="shared" ref="I68" si="20">IF(I67&lt;0,0,I67*$C$33)</f>
        <v>5963.9049086451714</v>
      </c>
      <c r="J68" s="19"/>
      <c r="K68" s="19">
        <f t="shared" ref="K68" si="21">IF(K67&lt;0,0,K67*$C$33)</f>
        <v>6381.3490031036526</v>
      </c>
      <c r="L68" s="19"/>
      <c r="M68" s="19">
        <f t="shared" ref="M68" si="22">IF(M67&lt;0,0,M67*$C$33)</f>
        <v>16841.485493258944</v>
      </c>
      <c r="N68" s="19"/>
      <c r="O68" s="19">
        <f t="shared" ref="O68" si="23">IF(O67&lt;0,0,O67*$C$33)</f>
        <v>19987.372269370393</v>
      </c>
      <c r="P68" s="19"/>
      <c r="Q68" s="19">
        <f t="shared" ref="Q68" si="24">IF(Q67&lt;0,0,Q67*$C$33)</f>
        <v>23367.951800096042</v>
      </c>
    </row>
    <row r="69" spans="1:19" x14ac:dyDescent="0.25">
      <c r="A69" s="3" t="s">
        <v>1</v>
      </c>
      <c r="C69" s="8">
        <f>C67-C68</f>
        <v>-11834.171521372919</v>
      </c>
      <c r="D69" s="8"/>
      <c r="E69" s="8">
        <f t="shared" ref="E69" si="25">E67-E68</f>
        <v>-271.76362005764167</v>
      </c>
      <c r="F69" s="8"/>
      <c r="G69" s="8">
        <f t="shared" ref="G69" si="26">G67-G68</f>
        <v>9461.9884282881903</v>
      </c>
      <c r="H69" s="8"/>
      <c r="I69" s="8">
        <f t="shared" ref="I69" si="27">I67-I68</f>
        <v>19966.116433290357</v>
      </c>
      <c r="J69" s="8"/>
      <c r="K69" s="8">
        <f t="shared" ref="K69" si="28">K67-K68</f>
        <v>21363.646662564403</v>
      </c>
      <c r="L69" s="8"/>
      <c r="M69" s="8">
        <f t="shared" ref="M69" si="29">M67-M68</f>
        <v>56382.364477432107</v>
      </c>
      <c r="N69" s="8"/>
      <c r="O69" s="8">
        <f t="shared" ref="O69" si="30">O67-O68</f>
        <v>66914.24629310958</v>
      </c>
      <c r="P69" s="8"/>
      <c r="Q69" s="8">
        <f t="shared" ref="Q69" si="31">Q67-Q68</f>
        <v>78231.838635104141</v>
      </c>
    </row>
    <row r="70" spans="1:19" x14ac:dyDescent="0.25">
      <c r="D70" s="7"/>
      <c r="E70" s="7"/>
      <c r="F70" s="7"/>
      <c r="G70" s="7"/>
      <c r="H70" s="7"/>
      <c r="I70" s="7"/>
      <c r="J70" s="7"/>
    </row>
    <row r="71" spans="1:19" x14ac:dyDescent="0.25">
      <c r="D71" s="7"/>
      <c r="E71" s="7"/>
      <c r="F71" s="7"/>
      <c r="G71" s="7"/>
      <c r="H71" s="7"/>
      <c r="I71" s="7"/>
      <c r="J71" s="7"/>
    </row>
    <row r="72" spans="1:19" ht="18.75" x14ac:dyDescent="0.3">
      <c r="A72" s="35" t="s">
        <v>9</v>
      </c>
    </row>
    <row r="73" spans="1:19" x14ac:dyDescent="0.25">
      <c r="A73" s="3" t="s">
        <v>10</v>
      </c>
      <c r="E73" s="8"/>
      <c r="G73" s="8"/>
      <c r="I73" s="8"/>
    </row>
    <row r="74" spans="1:19" x14ac:dyDescent="0.25">
      <c r="A74" s="1" t="s">
        <v>11</v>
      </c>
      <c r="C74" s="19">
        <v>33705.062544804969</v>
      </c>
      <c r="D74" s="19"/>
      <c r="E74" s="19">
        <v>45884.895855372844</v>
      </c>
      <c r="F74" s="19"/>
      <c r="G74" s="19">
        <v>65446.07943611333</v>
      </c>
      <c r="H74" s="19"/>
      <c r="I74" s="19">
        <v>92860.645817283075</v>
      </c>
      <c r="J74" s="19"/>
      <c r="K74" s="19">
        <v>66685.816382712394</v>
      </c>
      <c r="L74" s="19"/>
      <c r="M74" s="19">
        <v>136068.18086014449</v>
      </c>
      <c r="N74" s="19"/>
      <c r="O74" s="19">
        <v>215982.42715325407</v>
      </c>
      <c r="P74" s="19"/>
      <c r="Q74" s="19">
        <v>307214.26578835823</v>
      </c>
      <c r="R74" s="12"/>
      <c r="S74" s="12"/>
    </row>
    <row r="75" spans="1:19" x14ac:dyDescent="0.25">
      <c r="A75" s="6" t="s">
        <v>17</v>
      </c>
      <c r="C75" s="19">
        <f>C49/(360/$C$32)</f>
        <v>4263.4233165232881</v>
      </c>
      <c r="D75" s="19"/>
      <c r="E75" s="19">
        <f>E49/(360/$C$32)</f>
        <v>4532.9016269309404</v>
      </c>
      <c r="F75" s="19"/>
      <c r="G75" s="19">
        <f>G49/(360/$C$32)</f>
        <v>4819.4128600368213</v>
      </c>
      <c r="H75" s="19"/>
      <c r="I75" s="19">
        <f>I49/(360/$C$32)</f>
        <v>5124.0336162367284</v>
      </c>
      <c r="J75" s="19"/>
      <c r="K75" s="19">
        <f>K49/(360/$C$32)</f>
        <v>5447.9085446361705</v>
      </c>
      <c r="L75" s="19"/>
      <c r="M75" s="19">
        <f>M49/(360/$C$32)</f>
        <v>5792.2546442069643</v>
      </c>
      <c r="N75" s="19"/>
      <c r="O75" s="19">
        <f>O49/(360/$C$32)</f>
        <v>6158.3658368071483</v>
      </c>
      <c r="P75" s="19"/>
      <c r="Q75" s="19">
        <f>Q49/(360/$C$32)</f>
        <v>6547.6178292478899</v>
      </c>
      <c r="R75" s="19"/>
    </row>
    <row r="76" spans="1:19" x14ac:dyDescent="0.25">
      <c r="A76" s="6" t="s">
        <v>18</v>
      </c>
      <c r="C76" s="7">
        <f>SUM(C74:C75)</f>
        <v>37968.485861328256</v>
      </c>
      <c r="D76" s="13"/>
      <c r="E76" s="7">
        <f>SUM(E74:E75)</f>
        <v>50417.797482303788</v>
      </c>
      <c r="F76" s="7"/>
      <c r="G76" s="7">
        <f>SUM(G74:G75)</f>
        <v>70265.492296150158</v>
      </c>
      <c r="H76" s="7"/>
      <c r="I76" s="7">
        <f>SUM(I74:I75)</f>
        <v>97984.679433519806</v>
      </c>
      <c r="J76" s="7"/>
      <c r="K76" s="7">
        <f>SUM(K74:K75)</f>
        <v>72133.724927348565</v>
      </c>
      <c r="L76" s="7"/>
      <c r="M76" s="7">
        <f>SUM(M74:M75)</f>
        <v>141860.43550435145</v>
      </c>
      <c r="N76" s="7"/>
      <c r="O76" s="7">
        <f>SUM(O74:O75)</f>
        <v>222140.79299006122</v>
      </c>
      <c r="P76" s="7"/>
      <c r="Q76" s="7">
        <f>SUM(Q74:Q75)</f>
        <v>313761.88361760613</v>
      </c>
      <c r="R76" s="7"/>
      <c r="S76" s="7"/>
    </row>
    <row r="77" spans="1:19" x14ac:dyDescent="0.25">
      <c r="A77" s="6"/>
      <c r="C77" s="7"/>
      <c r="D77" s="13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25">
      <c r="A78" s="1" t="s">
        <v>119</v>
      </c>
      <c r="C78" s="22">
        <f>$C$26+$C$25</f>
        <v>155000</v>
      </c>
      <c r="D78" s="22"/>
      <c r="E78" s="22">
        <f t="shared" ref="E78:I78" si="32">$C$26+$C$25</f>
        <v>155000</v>
      </c>
      <c r="F78" s="22"/>
      <c r="G78" s="22">
        <f t="shared" si="32"/>
        <v>155000</v>
      </c>
      <c r="H78" s="22"/>
      <c r="I78" s="22">
        <f t="shared" si="32"/>
        <v>155000</v>
      </c>
      <c r="J78" s="22"/>
      <c r="K78" s="22">
        <f>$C$26+$C$28+$C$25+$C$27</f>
        <v>220000</v>
      </c>
      <c r="L78" s="22"/>
      <c r="M78" s="22">
        <f t="shared" ref="M78:Q78" si="33">$C$26+$C$28+$C$25+$C$27</f>
        <v>220000</v>
      </c>
      <c r="N78" s="22"/>
      <c r="O78" s="22">
        <f t="shared" si="33"/>
        <v>220000</v>
      </c>
      <c r="P78" s="22"/>
      <c r="Q78" s="22">
        <f t="shared" si="33"/>
        <v>220000</v>
      </c>
      <c r="R78" s="22"/>
      <c r="S78" s="22"/>
    </row>
    <row r="79" spans="1:19" x14ac:dyDescent="0.25">
      <c r="A79" s="1" t="s">
        <v>12</v>
      </c>
      <c r="C79" s="7">
        <f>C55</f>
        <v>31000</v>
      </c>
      <c r="D79" s="13"/>
      <c r="E79" s="7">
        <f>C79+E55</f>
        <v>62000</v>
      </c>
      <c r="F79" s="7"/>
      <c r="G79" s="7">
        <f>E79+G55</f>
        <v>93000</v>
      </c>
      <c r="H79" s="7"/>
      <c r="I79" s="7">
        <f>G79+I55</f>
        <v>124000</v>
      </c>
      <c r="J79" s="7"/>
      <c r="K79" s="7">
        <f>I79+K55</f>
        <v>168000</v>
      </c>
      <c r="L79" s="7"/>
      <c r="M79" s="7">
        <f>K79+M55</f>
        <v>181000</v>
      </c>
      <c r="N79" s="7"/>
      <c r="O79" s="7">
        <f>M79+O55</f>
        <v>194000</v>
      </c>
      <c r="P79" s="7"/>
      <c r="Q79" s="7">
        <f>O79+Q55</f>
        <v>207000</v>
      </c>
      <c r="R79" s="7"/>
      <c r="S79" s="7"/>
    </row>
    <row r="80" spans="1:19" x14ac:dyDescent="0.25">
      <c r="B80" s="1" t="s">
        <v>118</v>
      </c>
      <c r="C80" s="8">
        <f>C78-C79</f>
        <v>124000</v>
      </c>
      <c r="D80" s="14"/>
      <c r="E80" s="8">
        <f>E78-E79</f>
        <v>93000</v>
      </c>
      <c r="F80" s="8"/>
      <c r="G80" s="8">
        <f t="shared" ref="G80:Q80" si="34">G78-G79</f>
        <v>62000</v>
      </c>
      <c r="H80" s="8"/>
      <c r="I80" s="8">
        <f t="shared" si="34"/>
        <v>31000</v>
      </c>
      <c r="J80" s="8"/>
      <c r="K80" s="8">
        <f t="shared" si="34"/>
        <v>52000</v>
      </c>
      <c r="L80" s="8"/>
      <c r="M80" s="8">
        <f t="shared" si="34"/>
        <v>39000</v>
      </c>
      <c r="N80" s="8"/>
      <c r="O80" s="8">
        <f t="shared" si="34"/>
        <v>26000</v>
      </c>
      <c r="P80" s="8"/>
      <c r="Q80" s="8">
        <f t="shared" si="34"/>
        <v>13000</v>
      </c>
      <c r="R80" s="8"/>
      <c r="S80" s="8"/>
    </row>
    <row r="81" spans="1:19" x14ac:dyDescent="0.25">
      <c r="C81" s="8"/>
      <c r="D81" s="1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5">
      <c r="A82" s="3" t="s">
        <v>13</v>
      </c>
      <c r="C82" s="36">
        <f>C76+C80</f>
        <v>161968.48586132826</v>
      </c>
      <c r="D82" s="9"/>
      <c r="E82" s="9">
        <f>E76+E80</f>
        <v>143417.79748230378</v>
      </c>
      <c r="F82" s="9"/>
      <c r="G82" s="9">
        <f>G76+G80</f>
        <v>132265.49229615016</v>
      </c>
      <c r="H82" s="9"/>
      <c r="I82" s="9">
        <f>I76+I80</f>
        <v>128984.67943351981</v>
      </c>
      <c r="J82" s="9"/>
      <c r="K82" s="9">
        <f>K76+K80</f>
        <v>124133.72492734856</v>
      </c>
      <c r="L82" s="9"/>
      <c r="M82" s="9">
        <f>M76+M80</f>
        <v>180860.43550435145</v>
      </c>
      <c r="N82" s="9"/>
      <c r="O82" s="9">
        <f>O76+O80</f>
        <v>248140.79299006122</v>
      </c>
      <c r="P82" s="9"/>
      <c r="Q82" s="9">
        <f>Q76+Q80</f>
        <v>326761.88361760613</v>
      </c>
      <c r="R82" s="9"/>
      <c r="S82" s="9"/>
    </row>
    <row r="83" spans="1:19" x14ac:dyDescent="0.25">
      <c r="B83" s="6"/>
      <c r="D83" s="7"/>
      <c r="E83" s="7"/>
      <c r="F83" s="7"/>
      <c r="G83" s="7"/>
      <c r="H83" s="7"/>
      <c r="I83" s="7"/>
      <c r="J83" s="7"/>
    </row>
    <row r="84" spans="1:19" x14ac:dyDescent="0.25">
      <c r="A84" s="3" t="s">
        <v>14</v>
      </c>
      <c r="C84" s="7"/>
      <c r="D84" s="7"/>
      <c r="E84" s="7"/>
      <c r="F84" s="7"/>
      <c r="G84" s="7"/>
      <c r="H84" s="7"/>
      <c r="I84" s="7"/>
      <c r="J84" s="7"/>
    </row>
    <row r="85" spans="1:19" x14ac:dyDescent="0.25">
      <c r="A85" s="1" t="s">
        <v>15</v>
      </c>
      <c r="C85" s="7">
        <f>C49/(360/$C$34)</f>
        <v>4263.4233165232881</v>
      </c>
      <c r="D85" s="7"/>
      <c r="E85" s="7">
        <f t="shared" ref="E85:Q85" si="35">E49/(360/$C$34)</f>
        <v>4532.9016269309404</v>
      </c>
      <c r="F85" s="7"/>
      <c r="G85" s="7">
        <f t="shared" si="35"/>
        <v>4819.4128600368213</v>
      </c>
      <c r="H85" s="7"/>
      <c r="I85" s="7">
        <f t="shared" si="35"/>
        <v>5124.0336162367284</v>
      </c>
      <c r="J85" s="7"/>
      <c r="K85" s="7">
        <f t="shared" si="35"/>
        <v>5447.9085446361705</v>
      </c>
      <c r="L85" s="7"/>
      <c r="M85" s="7">
        <f t="shared" si="35"/>
        <v>5792.2546442069643</v>
      </c>
      <c r="N85" s="7"/>
      <c r="O85" s="7">
        <f t="shared" si="35"/>
        <v>6158.3658368071483</v>
      </c>
      <c r="P85" s="7"/>
      <c r="Q85" s="7">
        <f t="shared" si="35"/>
        <v>6547.6178292478899</v>
      </c>
      <c r="R85" s="7"/>
      <c r="S85" s="7"/>
    </row>
    <row r="86" spans="1:19" x14ac:dyDescent="0.25">
      <c r="A86" s="1" t="s">
        <v>120</v>
      </c>
      <c r="C86" s="7">
        <v>0</v>
      </c>
      <c r="D86" s="14"/>
      <c r="E86" s="8">
        <v>0</v>
      </c>
      <c r="F86" s="8"/>
      <c r="G86" s="8">
        <v>0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0</v>
      </c>
      <c r="R86" s="8"/>
      <c r="S86" s="8"/>
    </row>
    <row r="87" spans="1:19" x14ac:dyDescent="0.25">
      <c r="A87" s="1" t="s">
        <v>259</v>
      </c>
      <c r="C87" s="7">
        <f>SUM(C85:C86)</f>
        <v>4263.4233165232881</v>
      </c>
      <c r="D87" s="14"/>
      <c r="E87" s="7">
        <f>SUM(E85:E86)</f>
        <v>4532.9016269309404</v>
      </c>
      <c r="F87" s="8"/>
      <c r="G87" s="7">
        <f>SUM(G85:G86)</f>
        <v>4819.4128600368213</v>
      </c>
      <c r="H87" s="8"/>
      <c r="I87" s="7">
        <f>SUM(I85:I86)</f>
        <v>5124.0336162367284</v>
      </c>
      <c r="J87" s="8"/>
      <c r="K87" s="7">
        <f>SUM(K85:K86)</f>
        <v>5447.9085446361705</v>
      </c>
      <c r="L87" s="8"/>
      <c r="M87" s="7">
        <f>SUM(M85:M86)</f>
        <v>5792.2546442069643</v>
      </c>
      <c r="N87" s="8"/>
      <c r="O87" s="7">
        <f>SUM(O85:O86)</f>
        <v>6158.3658368071483</v>
      </c>
      <c r="P87" s="8"/>
      <c r="Q87" s="7">
        <f>SUM(Q85:Q86)</f>
        <v>6547.6178292478899</v>
      </c>
      <c r="R87" s="8"/>
      <c r="S87" s="8"/>
    </row>
    <row r="88" spans="1:19" s="41" customFormat="1" x14ac:dyDescent="0.25">
      <c r="C88" s="7"/>
    </row>
    <row r="89" spans="1:19" x14ac:dyDescent="0.25">
      <c r="A89" s="6" t="s">
        <v>19</v>
      </c>
      <c r="B89" s="6"/>
      <c r="C89" s="19">
        <f>IF('Installment Loan'!F13&lt;0,0,'Installment Loan'!F13)</f>
        <v>89539.234066177873</v>
      </c>
      <c r="D89" s="19"/>
      <c r="E89" s="19">
        <f>IF('Installment Loan'!F27&lt;0,0,'Installment Loan'!F27)</f>
        <v>70990.830996803415</v>
      </c>
      <c r="F89" s="19"/>
      <c r="G89" s="19">
        <f>IF('Installment Loan'!F41&lt;0,0,'Installment Loan'!F41)</f>
        <v>50090.026149255646</v>
      </c>
      <c r="H89" s="19"/>
      <c r="I89" s="19">
        <f>IF('Installment Loan'!F55&lt;0,0,'Installment Loan'!F55)</f>
        <v>26538.476097135193</v>
      </c>
      <c r="J89" s="19"/>
      <c r="K89" s="19">
        <f>IF('Installment Loan'!F69&lt;0,0,'Installment Loan'!F69)</f>
        <v>0</v>
      </c>
      <c r="L89" s="19"/>
      <c r="M89" s="19">
        <f>IF('Installment Loan'!F83&lt;0,0,'Installment Loan'!F83)</f>
        <v>0</v>
      </c>
      <c r="N89" s="19"/>
      <c r="O89" s="19">
        <f>IF('Installment Loan'!F97&lt;0,0,'Installment Loan'!F97)</f>
        <v>0</v>
      </c>
      <c r="P89" s="19"/>
      <c r="Q89" s="19">
        <f>IF('Installment Loan'!F111&lt;0,0,'Installment Loan'!F111)</f>
        <v>0</v>
      </c>
    </row>
    <row r="90" spans="1:19" x14ac:dyDescent="0.25">
      <c r="A90" s="6" t="s">
        <v>174</v>
      </c>
      <c r="C90" s="7">
        <f>SUM(C87:C89)</f>
        <v>93802.65738270116</v>
      </c>
      <c r="D90" s="7"/>
      <c r="E90" s="7">
        <f>SUM(E87:E89)</f>
        <v>75523.732623734351</v>
      </c>
      <c r="F90" s="7"/>
      <c r="G90" s="7">
        <f>SUM(G87:G89)</f>
        <v>54909.439009292466</v>
      </c>
      <c r="H90" s="7"/>
      <c r="I90" s="7">
        <f>SUM(I87:I89)</f>
        <v>31662.509713371921</v>
      </c>
      <c r="J90" s="7"/>
      <c r="K90" s="7">
        <f>SUM(K87:K89)</f>
        <v>5447.9085446361705</v>
      </c>
      <c r="L90" s="7"/>
      <c r="M90" s="7">
        <f>SUM(M87:M89)</f>
        <v>5792.2546442069643</v>
      </c>
      <c r="N90" s="7"/>
      <c r="O90" s="7">
        <f>SUM(O87:O89)</f>
        <v>6158.3658368071483</v>
      </c>
      <c r="P90" s="7"/>
      <c r="Q90" s="7">
        <f>SUM(Q87:Q89)</f>
        <v>6547.6178292478899</v>
      </c>
    </row>
    <row r="91" spans="1:19" x14ac:dyDescent="0.25">
      <c r="C91" s="7"/>
    </row>
    <row r="92" spans="1:19" x14ac:dyDescent="0.25">
      <c r="A92" s="6" t="s">
        <v>20</v>
      </c>
      <c r="C92" s="7">
        <f>$C$35</f>
        <v>80000</v>
      </c>
      <c r="D92" s="7"/>
      <c r="E92" s="7">
        <f t="shared" ref="E92:Q92" si="36">$C$35</f>
        <v>80000</v>
      </c>
      <c r="F92" s="7"/>
      <c r="G92" s="7">
        <f t="shared" si="36"/>
        <v>80000</v>
      </c>
      <c r="H92" s="7"/>
      <c r="I92" s="7">
        <f t="shared" si="36"/>
        <v>80000</v>
      </c>
      <c r="J92" s="7"/>
      <c r="K92" s="7">
        <f t="shared" si="36"/>
        <v>80000</v>
      </c>
      <c r="L92" s="7"/>
      <c r="M92" s="7">
        <f t="shared" si="36"/>
        <v>80000</v>
      </c>
      <c r="N92" s="7"/>
      <c r="O92" s="7">
        <f t="shared" si="36"/>
        <v>80000</v>
      </c>
      <c r="P92" s="7"/>
      <c r="Q92" s="7">
        <f t="shared" si="36"/>
        <v>80000</v>
      </c>
    </row>
    <row r="93" spans="1:19" x14ac:dyDescent="0.25">
      <c r="A93" s="6" t="s">
        <v>21</v>
      </c>
      <c r="C93" s="8">
        <f>C69</f>
        <v>-11834.171521372919</v>
      </c>
      <c r="E93" s="8">
        <f>C93+E69</f>
        <v>-12105.93514143056</v>
      </c>
      <c r="F93" s="8"/>
      <c r="G93" s="8">
        <f>E93+G69</f>
        <v>-2643.9467131423698</v>
      </c>
      <c r="H93" s="8"/>
      <c r="I93" s="8">
        <f>G93+I69</f>
        <v>17322.169720147987</v>
      </c>
      <c r="J93" s="8"/>
      <c r="K93" s="8">
        <f>I93+K69</f>
        <v>38685.816382712394</v>
      </c>
      <c r="L93" s="8"/>
      <c r="M93" s="8">
        <f>K93+M69</f>
        <v>95068.180860144494</v>
      </c>
      <c r="N93" s="8"/>
      <c r="O93" s="8">
        <f>M93+O69</f>
        <v>161982.42715325407</v>
      </c>
      <c r="P93" s="8"/>
      <c r="Q93" s="8">
        <f>O93+Q69</f>
        <v>240214.26578835823</v>
      </c>
    </row>
    <row r="94" spans="1:19" x14ac:dyDescent="0.25">
      <c r="A94" s="1" t="s">
        <v>163</v>
      </c>
      <c r="C94" s="8">
        <f>SUM(C92:C93)</f>
        <v>68165.828478627081</v>
      </c>
      <c r="E94" s="8">
        <f>SUM(E92:E93)</f>
        <v>67894.064858569443</v>
      </c>
      <c r="G94" s="8">
        <f>SUM(G92:G93)</f>
        <v>77356.053286857627</v>
      </c>
      <c r="I94" s="8">
        <f>SUM(I92:I93)</f>
        <v>97322.169720147984</v>
      </c>
      <c r="K94" s="8">
        <f>SUM(K92:K93)</f>
        <v>118685.81638271239</v>
      </c>
      <c r="M94" s="8">
        <f>SUM(M92:M93)</f>
        <v>175068.18086014449</v>
      </c>
      <c r="O94" s="8">
        <f>SUM(O92:O93)</f>
        <v>241982.42715325407</v>
      </c>
      <c r="Q94" s="8">
        <f>SUM(Q92:Q93)</f>
        <v>320214.26578835823</v>
      </c>
    </row>
    <row r="96" spans="1:19" s="41" customFormat="1" x14ac:dyDescent="0.25">
      <c r="A96" s="42" t="s">
        <v>16</v>
      </c>
      <c r="C96" s="43">
        <f>C90+C93+C92</f>
        <v>161968.48586132826</v>
      </c>
      <c r="D96" s="43"/>
      <c r="E96" s="43">
        <f t="shared" ref="E96:Q96" si="37">E90+E93+E92</f>
        <v>143417.79748230381</v>
      </c>
      <c r="F96" s="43"/>
      <c r="G96" s="43">
        <f t="shared" si="37"/>
        <v>132265.4922961501</v>
      </c>
      <c r="H96" s="43"/>
      <c r="I96" s="43">
        <f t="shared" si="37"/>
        <v>128984.67943351991</v>
      </c>
      <c r="J96" s="43"/>
      <c r="K96" s="43">
        <f t="shared" si="37"/>
        <v>124133.72492734856</v>
      </c>
      <c r="L96" s="43"/>
      <c r="M96" s="43">
        <f t="shared" si="37"/>
        <v>180860.43550435145</v>
      </c>
      <c r="N96" s="43"/>
      <c r="O96" s="43">
        <f t="shared" si="37"/>
        <v>248140.79299006122</v>
      </c>
      <c r="P96" s="43"/>
      <c r="Q96" s="43">
        <f t="shared" si="37"/>
        <v>326761.88361760613</v>
      </c>
    </row>
    <row r="98" spans="1:17" x14ac:dyDescent="0.25">
      <c r="B98" s="1" t="s">
        <v>121</v>
      </c>
      <c r="C98" s="8">
        <f>C96-C82</f>
        <v>0</v>
      </c>
      <c r="D98" s="8"/>
      <c r="E98" s="8">
        <f t="shared" ref="E98:Q98" si="38">E96-E82</f>
        <v>0</v>
      </c>
      <c r="F98" s="8"/>
      <c r="G98" s="8">
        <f t="shared" si="38"/>
        <v>0</v>
      </c>
      <c r="H98" s="8"/>
      <c r="I98" s="8">
        <f t="shared" si="38"/>
        <v>0</v>
      </c>
      <c r="J98" s="8"/>
      <c r="K98" s="8">
        <f t="shared" si="38"/>
        <v>0</v>
      </c>
      <c r="L98" s="8"/>
      <c r="M98" s="8">
        <f t="shared" si="38"/>
        <v>0</v>
      </c>
      <c r="N98" s="8"/>
      <c r="O98" s="8">
        <f t="shared" si="38"/>
        <v>0</v>
      </c>
      <c r="P98" s="8"/>
      <c r="Q98" s="8">
        <f t="shared" si="38"/>
        <v>0</v>
      </c>
    </row>
    <row r="99" spans="1:17" x14ac:dyDescent="0.25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s="60" customFormat="1" ht="18.75" x14ac:dyDescent="0.3">
      <c r="A100" s="170" t="s">
        <v>249</v>
      </c>
      <c r="C100" s="49"/>
      <c r="D100" s="49"/>
      <c r="E100" s="49"/>
      <c r="F100" s="171"/>
      <c r="G100" s="171"/>
    </row>
    <row r="101" spans="1:17" s="41" customFormat="1" ht="18.75" x14ac:dyDescent="0.3">
      <c r="A101" s="167"/>
      <c r="C101" s="99">
        <v>2012</v>
      </c>
      <c r="D101" s="99"/>
      <c r="E101" s="99">
        <v>2013</v>
      </c>
      <c r="F101" s="99"/>
      <c r="G101" s="99">
        <v>2014</v>
      </c>
      <c r="H101" s="99"/>
      <c r="I101" s="99">
        <v>2015</v>
      </c>
      <c r="J101" s="99"/>
      <c r="K101" s="99">
        <v>2016</v>
      </c>
      <c r="L101" s="99"/>
      <c r="M101" s="99">
        <v>2017</v>
      </c>
      <c r="N101" s="99"/>
      <c r="O101" s="99">
        <v>2018</v>
      </c>
      <c r="P101" s="99"/>
      <c r="Q101" s="99">
        <v>2019</v>
      </c>
    </row>
    <row r="102" spans="1:17" s="41" customFormat="1" ht="18.75" x14ac:dyDescent="0.3">
      <c r="A102" s="167"/>
      <c r="B102" s="41" t="s">
        <v>250</v>
      </c>
      <c r="C102" s="173">
        <f>C76/C87</f>
        <v>8.9056335818631727</v>
      </c>
      <c r="D102" s="173"/>
      <c r="E102" s="173">
        <f>E76/E87</f>
        <v>11.12263217510851</v>
      </c>
      <c r="F102" s="174"/>
      <c r="G102" s="173">
        <f>G76/G87</f>
        <v>14.57967896438184</v>
      </c>
      <c r="H102" s="175"/>
      <c r="I102" s="173">
        <f>I76/I87</f>
        <v>19.122567643395598</v>
      </c>
      <c r="J102" s="175"/>
      <c r="K102" s="173">
        <f>K76/K87</f>
        <v>13.240626992237054</v>
      </c>
      <c r="L102" s="175"/>
      <c r="M102" s="173">
        <f>M76/M87</f>
        <v>24.491401745645113</v>
      </c>
      <c r="N102" s="175"/>
      <c r="O102" s="173">
        <f>O76/O87</f>
        <v>36.071386286013791</v>
      </c>
      <c r="P102" s="175"/>
      <c r="Q102" s="173">
        <f>Q76/Q87</f>
        <v>47.920005687571908</v>
      </c>
    </row>
    <row r="103" spans="1:17" s="41" customFormat="1" ht="18.75" x14ac:dyDescent="0.3">
      <c r="A103" s="167"/>
      <c r="B103" s="41" t="s">
        <v>251</v>
      </c>
      <c r="C103" s="173">
        <f>C74/C87</f>
        <v>7.9056335818631727</v>
      </c>
      <c r="D103" s="173"/>
      <c r="E103" s="173">
        <f>E74/E87</f>
        <v>10.122632175108508</v>
      </c>
      <c r="F103" s="174"/>
      <c r="G103" s="173">
        <f>G74/G87</f>
        <v>13.579678964381838</v>
      </c>
      <c r="H103" s="175"/>
      <c r="I103" s="173">
        <f>I74/I87</f>
        <v>18.122567643395598</v>
      </c>
      <c r="J103" s="175"/>
      <c r="K103" s="173">
        <f>K74/K87</f>
        <v>12.240626992237054</v>
      </c>
      <c r="L103" s="175"/>
      <c r="M103" s="173">
        <f>M74/M87</f>
        <v>23.491401745645113</v>
      </c>
      <c r="N103" s="175"/>
      <c r="O103" s="173">
        <f>O74/O87</f>
        <v>35.071386286013791</v>
      </c>
      <c r="P103" s="175"/>
      <c r="Q103" s="173">
        <f>Q74/Q87</f>
        <v>46.920005687571908</v>
      </c>
    </row>
    <row r="104" spans="1:17" s="41" customFormat="1" ht="18.75" x14ac:dyDescent="0.3">
      <c r="A104" s="167"/>
      <c r="B104" s="41" t="s">
        <v>252</v>
      </c>
      <c r="C104" s="173">
        <f>C89/C94</f>
        <v>1.3135501476997713</v>
      </c>
      <c r="D104" s="173"/>
      <c r="E104" s="173">
        <f>E89/E94</f>
        <v>1.0456117356455954</v>
      </c>
      <c r="F104" s="174"/>
      <c r="G104" s="173">
        <f>G89/G94</f>
        <v>0.64752561720681356</v>
      </c>
      <c r="H104" s="175"/>
      <c r="I104" s="173">
        <f>I89/I94</f>
        <v>0.27268685206512716</v>
      </c>
      <c r="J104" s="175"/>
      <c r="K104" s="173">
        <f>K89/K94</f>
        <v>0</v>
      </c>
      <c r="L104" s="175"/>
      <c r="M104" s="173">
        <f>M89/M94</f>
        <v>0</v>
      </c>
      <c r="N104" s="175"/>
      <c r="O104" s="173">
        <f>O89/O94</f>
        <v>0</v>
      </c>
      <c r="P104" s="175"/>
      <c r="Q104" s="173">
        <f>Q89/Q94</f>
        <v>0</v>
      </c>
    </row>
    <row r="105" spans="1:17" s="41" customFormat="1" ht="18.75" x14ac:dyDescent="0.3">
      <c r="A105" s="167"/>
      <c r="B105" s="41" t="s">
        <v>253</v>
      </c>
      <c r="C105" s="173" t="s">
        <v>260</v>
      </c>
      <c r="D105" s="173"/>
      <c r="E105" s="173" t="s">
        <v>260</v>
      </c>
      <c r="F105" s="174"/>
      <c r="G105" s="173" t="s">
        <v>260</v>
      </c>
      <c r="H105" s="175"/>
      <c r="I105" s="173" t="s">
        <v>260</v>
      </c>
      <c r="J105" s="175"/>
      <c r="K105" s="173" t="s">
        <v>260</v>
      </c>
      <c r="L105" s="175"/>
      <c r="M105" s="173" t="s">
        <v>260</v>
      </c>
      <c r="N105" s="175"/>
      <c r="O105" s="173" t="s">
        <v>260</v>
      </c>
      <c r="P105" s="175"/>
      <c r="Q105" s="173" t="s">
        <v>260</v>
      </c>
    </row>
    <row r="106" spans="1:17" s="41" customFormat="1" ht="18.75" x14ac:dyDescent="0.3">
      <c r="A106" s="167"/>
      <c r="B106" s="41" t="s">
        <v>254</v>
      </c>
      <c r="C106" s="173">
        <f>C85/(C49/360)</f>
        <v>30</v>
      </c>
      <c r="D106" s="173"/>
      <c r="E106" s="173">
        <f>E85/(E49/360)</f>
        <v>30</v>
      </c>
      <c r="F106" s="174"/>
      <c r="G106" s="173">
        <f>G85/(G49/360)</f>
        <v>29.999999999999996</v>
      </c>
      <c r="H106" s="175"/>
      <c r="I106" s="173">
        <f>I85/(I49/360)</f>
        <v>30.000000000000004</v>
      </c>
      <c r="J106" s="175"/>
      <c r="K106" s="173">
        <f>K85/(K49/360)</f>
        <v>30.000000000000004</v>
      </c>
      <c r="L106" s="175"/>
      <c r="M106" s="173">
        <f>M85/(M49/360)</f>
        <v>30</v>
      </c>
      <c r="N106" s="175"/>
      <c r="O106" s="173">
        <f>O85/(O49/360)</f>
        <v>30</v>
      </c>
      <c r="P106" s="175"/>
      <c r="Q106" s="173">
        <f>Q85/(Q49/360)</f>
        <v>30.000000000000004</v>
      </c>
    </row>
    <row r="107" spans="1:17" s="41" customFormat="1" ht="18.75" x14ac:dyDescent="0.3">
      <c r="A107" s="167"/>
      <c r="B107" s="41" t="s">
        <v>255</v>
      </c>
      <c r="C107" s="173">
        <f>C49/C75</f>
        <v>12</v>
      </c>
      <c r="D107" s="173"/>
      <c r="E107" s="173">
        <f>E49/E75</f>
        <v>12</v>
      </c>
      <c r="F107" s="174"/>
      <c r="G107" s="173">
        <f>G49/G75</f>
        <v>12</v>
      </c>
      <c r="H107" s="175"/>
      <c r="I107" s="173">
        <f>I49/I75</f>
        <v>12</v>
      </c>
      <c r="J107" s="175"/>
      <c r="K107" s="173">
        <f>K49/K75</f>
        <v>12</v>
      </c>
      <c r="L107" s="175"/>
      <c r="M107" s="173">
        <f>M49/M75</f>
        <v>12</v>
      </c>
      <c r="N107" s="175"/>
      <c r="O107" s="173">
        <f>O49/O75</f>
        <v>12</v>
      </c>
      <c r="P107" s="175"/>
      <c r="Q107" s="173">
        <f>Q49/Q75</f>
        <v>12</v>
      </c>
    </row>
    <row r="108" spans="1:17" s="41" customFormat="1" ht="18.75" x14ac:dyDescent="0.3">
      <c r="A108" s="167"/>
      <c r="B108" s="41" t="s">
        <v>256</v>
      </c>
      <c r="C108" s="176">
        <f>C69/C82</f>
        <v>-7.3064654882956187E-2</v>
      </c>
      <c r="D108" s="176"/>
      <c r="E108" s="176">
        <f>E69/E82</f>
        <v>-1.8949086154469385E-3</v>
      </c>
      <c r="F108" s="177"/>
      <c r="G108" s="176">
        <f>G69/G82</f>
        <v>7.153784607025275E-2</v>
      </c>
      <c r="H108" s="178"/>
      <c r="I108" s="176">
        <f>I69/I82</f>
        <v>0.15479448040634256</v>
      </c>
      <c r="J108" s="178"/>
      <c r="K108" s="176">
        <f>K69/K82</f>
        <v>0.17210187380639588</v>
      </c>
      <c r="L108" s="178"/>
      <c r="M108" s="176">
        <f>M69/M82</f>
        <v>0.31174515487703536</v>
      </c>
      <c r="N108" s="178"/>
      <c r="O108" s="176">
        <f>O69/O82</f>
        <v>0.26966241820541653</v>
      </c>
      <c r="P108" s="178"/>
      <c r="Q108" s="176">
        <f>Q69/Q82</f>
        <v>0.23941543538981166</v>
      </c>
    </row>
    <row r="109" spans="1:17" s="41" customFormat="1" ht="18.75" x14ac:dyDescent="0.3">
      <c r="A109" s="167"/>
      <c r="B109" s="41" t="s">
        <v>257</v>
      </c>
      <c r="C109" s="176">
        <f>C69/C48</f>
        <v>-4.3034790083374977E-2</v>
      </c>
      <c r="D109" s="176"/>
      <c r="E109" s="176">
        <f>E69/E48</f>
        <v>-9.2951266209382536E-4</v>
      </c>
      <c r="F109" s="177"/>
      <c r="G109" s="176">
        <f>G69/G48</f>
        <v>3.0438872798936593E-2</v>
      </c>
      <c r="H109" s="178"/>
      <c r="I109" s="176">
        <f>I69/I48</f>
        <v>6.0411819271306365E-2</v>
      </c>
      <c r="J109" s="178"/>
      <c r="K109" s="176">
        <f>K69/K48</f>
        <v>6.0797519890065196E-2</v>
      </c>
      <c r="L109" s="178"/>
      <c r="M109" s="176">
        <f>M69/M48</f>
        <v>0.1509162216427907</v>
      </c>
      <c r="N109" s="178"/>
      <c r="O109" s="176">
        <f>O69/O48</f>
        <v>0.16845867923053331</v>
      </c>
      <c r="P109" s="178"/>
      <c r="Q109" s="176">
        <f>Q69/Q48</f>
        <v>0.18524244307707149</v>
      </c>
    </row>
    <row r="110" spans="1:17" s="41" customFormat="1" ht="18.75" x14ac:dyDescent="0.3">
      <c r="A110" s="167"/>
      <c r="B110" s="41" t="s">
        <v>258</v>
      </c>
      <c r="C110" s="176">
        <f>C69/C94</f>
        <v>-0.1736085629045562</v>
      </c>
      <c r="D110" s="176"/>
      <c r="E110" s="176">
        <f>E69/E94</f>
        <v>-4.0027596023857782E-3</v>
      </c>
      <c r="F110" s="177"/>
      <c r="G110" s="176">
        <f>G69/G94</f>
        <v>0.12231736271756939</v>
      </c>
      <c r="H110" s="178"/>
      <c r="I110" s="176">
        <f>I69/I94</f>
        <v>0.2051548633852221</v>
      </c>
      <c r="J110" s="178"/>
      <c r="K110" s="176">
        <f>K69/K94</f>
        <v>0.18000168270887171</v>
      </c>
      <c r="L110" s="178"/>
      <c r="M110" s="176">
        <f>M69/M94</f>
        <v>0.32205946392093887</v>
      </c>
      <c r="N110" s="178"/>
      <c r="O110" s="176">
        <f>O69/O94</f>
        <v>0.27652522987022921</v>
      </c>
      <c r="P110" s="178"/>
      <c r="Q110" s="176">
        <f>Q69/Q94</f>
        <v>0.24431090989184889</v>
      </c>
    </row>
    <row r="111" spans="1:17" s="41" customFormat="1" ht="18.75" x14ac:dyDescent="0.3">
      <c r="A111" s="167"/>
      <c r="C111" s="46"/>
      <c r="D111" s="46"/>
      <c r="E111" s="46"/>
      <c r="F111" s="168"/>
      <c r="G111" s="168"/>
    </row>
    <row r="112" spans="1:17" s="41" customFormat="1" ht="18.75" x14ac:dyDescent="0.3">
      <c r="A112" s="167"/>
      <c r="C112" s="46"/>
      <c r="D112" s="46"/>
      <c r="E112" s="46"/>
      <c r="F112" s="168"/>
      <c r="G112" s="168"/>
    </row>
    <row r="114" spans="1:7" s="60" customFormat="1" ht="18.75" x14ac:dyDescent="0.3">
      <c r="A114" s="170" t="s">
        <v>123</v>
      </c>
      <c r="C114" s="49"/>
      <c r="D114" s="49"/>
      <c r="E114" s="49"/>
      <c r="F114" s="171"/>
      <c r="G114" s="171"/>
    </row>
    <row r="115" spans="1:7" x14ac:dyDescent="0.25">
      <c r="C115" s="53" t="s">
        <v>134</v>
      </c>
      <c r="F115" s="47"/>
      <c r="G115" s="47"/>
    </row>
    <row r="116" spans="1:7" x14ac:dyDescent="0.25">
      <c r="A116" s="38"/>
      <c r="B116" s="38" t="s">
        <v>125</v>
      </c>
      <c r="C116" s="46">
        <f>C8</f>
        <v>6.02</v>
      </c>
      <c r="D116" s="46">
        <f>C72+0.5*C73</f>
        <v>0</v>
      </c>
      <c r="F116" s="47"/>
      <c r="G116" s="47"/>
    </row>
    <row r="117" spans="1:7" x14ac:dyDescent="0.25">
      <c r="A117" s="38"/>
      <c r="C117" s="46"/>
      <c r="D117" s="46"/>
      <c r="F117" s="47"/>
      <c r="G117" s="47"/>
    </row>
    <row r="118" spans="1:7" x14ac:dyDescent="0.25">
      <c r="A118" s="38"/>
      <c r="B118" s="38" t="s">
        <v>126</v>
      </c>
      <c r="C118" s="46"/>
      <c r="D118" s="46"/>
      <c r="F118" s="47"/>
      <c r="G118" s="47"/>
    </row>
    <row r="119" spans="1:7" x14ac:dyDescent="0.25">
      <c r="A119" s="38"/>
      <c r="B119" s="1" t="s">
        <v>127</v>
      </c>
      <c r="C119" s="46">
        <f>C10</f>
        <v>1.1200000000000001</v>
      </c>
      <c r="D119" s="46">
        <f>C74+0.5*C75</f>
        <v>35836.774203066612</v>
      </c>
      <c r="F119" s="47"/>
      <c r="G119" s="47"/>
    </row>
    <row r="120" spans="1:7" x14ac:dyDescent="0.25">
      <c r="A120" s="38"/>
      <c r="B120" s="6" t="s">
        <v>29</v>
      </c>
      <c r="C120" s="46">
        <f>C116*C41</f>
        <v>6.0199999999999997E-2</v>
      </c>
      <c r="D120" s="46"/>
      <c r="F120" s="47"/>
      <c r="G120" s="47"/>
    </row>
    <row r="121" spans="1:7" x14ac:dyDescent="0.25">
      <c r="A121" s="38"/>
      <c r="B121" s="6" t="s">
        <v>112</v>
      </c>
      <c r="C121" s="46">
        <f>C116*C42</f>
        <v>0.12039999999999999</v>
      </c>
      <c r="D121" s="46"/>
      <c r="F121" s="47"/>
      <c r="G121" s="47"/>
    </row>
    <row r="122" spans="1:7" x14ac:dyDescent="0.25">
      <c r="A122" s="38"/>
      <c r="B122" s="38" t="s">
        <v>128</v>
      </c>
      <c r="C122" s="49">
        <f>C116-C119-C120-C121</f>
        <v>4.7193999999999994</v>
      </c>
      <c r="D122" s="46">
        <f>D116-D119</f>
        <v>-35836.774203066612</v>
      </c>
      <c r="F122" s="47"/>
      <c r="G122" s="47"/>
    </row>
    <row r="123" spans="1:7" x14ac:dyDescent="0.25">
      <c r="A123" s="38"/>
      <c r="C123" s="46"/>
      <c r="D123" s="46"/>
      <c r="E123" s="46"/>
      <c r="F123" s="47"/>
      <c r="G123" s="47"/>
    </row>
    <row r="124" spans="1:7" x14ac:dyDescent="0.25">
      <c r="B124" s="38" t="s">
        <v>129</v>
      </c>
      <c r="C124" s="50" t="s">
        <v>124</v>
      </c>
      <c r="D124" s="46"/>
      <c r="E124" s="46"/>
      <c r="F124" s="47"/>
      <c r="G124" s="47"/>
    </row>
    <row r="125" spans="1:7" x14ac:dyDescent="0.25">
      <c r="A125" s="48"/>
      <c r="B125" s="6" t="s">
        <v>25</v>
      </c>
      <c r="C125" s="51">
        <f>C54</f>
        <v>125580</v>
      </c>
      <c r="D125" s="46"/>
      <c r="E125" s="46"/>
      <c r="F125" s="47"/>
      <c r="G125" s="47"/>
    </row>
    <row r="126" spans="1:7" x14ac:dyDescent="0.25">
      <c r="A126" s="48"/>
      <c r="B126" s="6" t="s">
        <v>26</v>
      </c>
      <c r="C126" s="51">
        <f>C55</f>
        <v>31000</v>
      </c>
      <c r="D126" s="46"/>
      <c r="E126" s="46"/>
      <c r="F126" s="47"/>
      <c r="G126" s="47"/>
    </row>
    <row r="127" spans="1:7" x14ac:dyDescent="0.25">
      <c r="B127" s="6" t="s">
        <v>28</v>
      </c>
      <c r="C127" s="51">
        <f>C57</f>
        <v>20000</v>
      </c>
      <c r="D127" s="46"/>
      <c r="E127" s="46"/>
      <c r="F127" s="47"/>
      <c r="G127" s="47"/>
    </row>
    <row r="128" spans="1:7" x14ac:dyDescent="0.25">
      <c r="B128" s="6" t="s">
        <v>27</v>
      </c>
      <c r="C128" s="51">
        <f>C58</f>
        <v>3000</v>
      </c>
      <c r="D128" s="46"/>
      <c r="E128" s="46"/>
      <c r="F128" s="47"/>
      <c r="G128" s="47"/>
    </row>
    <row r="129" spans="1:7" x14ac:dyDescent="0.25">
      <c r="B129" s="1" t="s">
        <v>5</v>
      </c>
      <c r="C129" s="51">
        <f>C59</f>
        <v>26400</v>
      </c>
    </row>
    <row r="130" spans="1:7" x14ac:dyDescent="0.25">
      <c r="B130" s="6" t="s">
        <v>30</v>
      </c>
      <c r="C130" s="52">
        <f>C61</f>
        <v>9600</v>
      </c>
    </row>
    <row r="131" spans="1:7" x14ac:dyDescent="0.25">
      <c r="C131" s="8">
        <f>SUM(C125:C130)</f>
        <v>215580</v>
      </c>
    </row>
    <row r="133" spans="1:7" x14ac:dyDescent="0.25">
      <c r="B133" s="38" t="s">
        <v>130</v>
      </c>
      <c r="C133" s="54" t="s">
        <v>131</v>
      </c>
    </row>
    <row r="134" spans="1:7" x14ac:dyDescent="0.25">
      <c r="C134" s="57">
        <f>C131/C122</f>
        <v>45679.535534178081</v>
      </c>
    </row>
    <row r="135" spans="1:7" x14ac:dyDescent="0.25">
      <c r="C135" s="54"/>
    </row>
    <row r="136" spans="1:7" x14ac:dyDescent="0.25">
      <c r="C136" s="54" t="s">
        <v>132</v>
      </c>
    </row>
    <row r="137" spans="1:7" x14ac:dyDescent="0.25">
      <c r="C137" s="55">
        <f>C134/12</f>
        <v>3806.6279611815066</v>
      </c>
    </row>
    <row r="138" spans="1:7" x14ac:dyDescent="0.25">
      <c r="C138" s="54"/>
    </row>
    <row r="139" spans="1:7" x14ac:dyDescent="0.25">
      <c r="C139" s="54" t="s">
        <v>133</v>
      </c>
    </row>
    <row r="140" spans="1:7" x14ac:dyDescent="0.25">
      <c r="C140" s="56">
        <f>C137/30</f>
        <v>126.88759870605023</v>
      </c>
    </row>
    <row r="142" spans="1:7" s="60" customFormat="1" ht="21" x14ac:dyDescent="0.35">
      <c r="A142" s="59" t="s">
        <v>155</v>
      </c>
    </row>
    <row r="144" spans="1:7" ht="21" x14ac:dyDescent="0.35">
      <c r="C144" s="199">
        <v>2019</v>
      </c>
      <c r="D144" s="200"/>
      <c r="E144" s="200"/>
      <c r="F144" s="201"/>
      <c r="G144" s="61" t="s">
        <v>156</v>
      </c>
    </row>
    <row r="145" spans="1:22" x14ac:dyDescent="0.25">
      <c r="C145" s="204" t="s">
        <v>157</v>
      </c>
      <c r="D145" s="205"/>
      <c r="E145" s="197" t="s">
        <v>158</v>
      </c>
      <c r="F145" s="198"/>
    </row>
    <row r="146" spans="1:22" x14ac:dyDescent="0.25">
      <c r="B146" s="62" t="s">
        <v>190</v>
      </c>
      <c r="C146" s="185">
        <v>1.1499999999999999</v>
      </c>
      <c r="D146" s="186"/>
      <c r="E146" s="191">
        <f>Q156</f>
        <v>1.3577098765432098</v>
      </c>
      <c r="F146" s="192"/>
      <c r="G146" s="63" t="s">
        <v>172</v>
      </c>
      <c r="H146" s="60"/>
      <c r="I146" s="60"/>
      <c r="J146" s="81"/>
      <c r="K146" s="64">
        <f>C37</f>
        <v>0.12</v>
      </c>
      <c r="M146" s="65" t="s">
        <v>159</v>
      </c>
      <c r="N146" s="60"/>
      <c r="O146" s="60"/>
      <c r="P146" s="81"/>
      <c r="Q146" s="65">
        <f>C146</f>
        <v>1.1499999999999999</v>
      </c>
    </row>
    <row r="147" spans="1:22" x14ac:dyDescent="0.25">
      <c r="B147" s="66" t="s">
        <v>189</v>
      </c>
      <c r="C147" s="187">
        <v>1.7500000000000002E-2</v>
      </c>
      <c r="D147" s="188"/>
      <c r="E147" s="193">
        <f>C147</f>
        <v>1.7500000000000002E-2</v>
      </c>
      <c r="F147" s="194"/>
      <c r="G147" s="67" t="s">
        <v>173</v>
      </c>
      <c r="H147" s="41"/>
      <c r="I147" s="41"/>
      <c r="J147" s="82"/>
      <c r="K147" s="68">
        <f>C38</f>
        <v>0.18</v>
      </c>
      <c r="M147" s="69" t="s">
        <v>160</v>
      </c>
      <c r="N147" s="41"/>
      <c r="O147" s="41"/>
      <c r="P147" s="82"/>
      <c r="Q147" s="70">
        <f>C155</f>
        <v>0</v>
      </c>
    </row>
    <row r="148" spans="1:22" x14ac:dyDescent="0.25">
      <c r="B148" s="71" t="s">
        <v>191</v>
      </c>
      <c r="C148" s="189">
        <v>6.9500000000000006E-2</v>
      </c>
      <c r="D148" s="190"/>
      <c r="E148" s="195">
        <f>C148</f>
        <v>6.9500000000000006E-2</v>
      </c>
      <c r="F148" s="196"/>
      <c r="G148" s="67" t="s">
        <v>175</v>
      </c>
      <c r="H148" s="41"/>
      <c r="I148" s="41"/>
      <c r="J148" s="82"/>
      <c r="K148" s="72">
        <f>Q89</f>
        <v>0</v>
      </c>
      <c r="M148" s="69" t="s">
        <v>161</v>
      </c>
      <c r="N148" s="41"/>
      <c r="O148" s="41"/>
      <c r="P148" s="82"/>
      <c r="Q148" s="70">
        <f>1-Q147</f>
        <v>1</v>
      </c>
      <c r="V148" s="163"/>
    </row>
    <row r="149" spans="1:22" x14ac:dyDescent="0.25">
      <c r="C149" s="41"/>
      <c r="D149" s="73"/>
      <c r="G149" s="74" t="s">
        <v>176</v>
      </c>
      <c r="H149" s="40"/>
      <c r="I149" s="40"/>
      <c r="J149" s="83"/>
      <c r="K149" s="75">
        <f>Q86</f>
        <v>0</v>
      </c>
      <c r="M149" s="89"/>
      <c r="N149" s="41"/>
      <c r="O149" s="41"/>
      <c r="P149" s="82"/>
      <c r="Q149" s="70"/>
    </row>
    <row r="150" spans="1:22" x14ac:dyDescent="0.25">
      <c r="C150" s="41"/>
      <c r="D150" s="41"/>
      <c r="M150" s="89" t="s">
        <v>45</v>
      </c>
      <c r="N150" s="41"/>
      <c r="O150" s="41"/>
      <c r="P150" s="82"/>
      <c r="Q150" s="76">
        <f>C33</f>
        <v>0.23</v>
      </c>
    </row>
    <row r="151" spans="1:22" x14ac:dyDescent="0.25">
      <c r="B151" s="62" t="s">
        <v>162</v>
      </c>
      <c r="C151" s="202">
        <f>IF(C153&gt;0,((K148/(C153))*K146)+((K149/(C153))*K147),0)</f>
        <v>0</v>
      </c>
      <c r="D151" s="203"/>
      <c r="E151" s="181">
        <f>C151</f>
        <v>0</v>
      </c>
      <c r="F151" s="182"/>
      <c r="G151" s="87" t="s">
        <v>163</v>
      </c>
      <c r="H151" s="87"/>
      <c r="I151" s="87"/>
      <c r="J151" s="88"/>
      <c r="K151" s="86">
        <f>SUM(Q92:Q93)</f>
        <v>320214.26578835823</v>
      </c>
      <c r="M151" s="89"/>
      <c r="N151" s="41"/>
      <c r="O151" s="41"/>
      <c r="P151" s="82"/>
      <c r="Q151" s="69"/>
    </row>
    <row r="152" spans="1:22" x14ac:dyDescent="0.25">
      <c r="B152" s="66" t="s">
        <v>164</v>
      </c>
      <c r="C152" s="179">
        <f>C147+C146*(C148-C147)</f>
        <v>7.7300000000000008E-2</v>
      </c>
      <c r="D152" s="180"/>
      <c r="E152" s="183">
        <f>E147+E146*(E148-E147)</f>
        <v>8.8100913580246923E-2</v>
      </c>
      <c r="F152" s="184"/>
      <c r="M152" s="89" t="s">
        <v>165</v>
      </c>
      <c r="N152" s="41"/>
      <c r="O152" s="41"/>
      <c r="P152" s="82"/>
      <c r="Q152" s="76">
        <v>0.19</v>
      </c>
      <c r="R152" s="1" t="s">
        <v>238</v>
      </c>
    </row>
    <row r="153" spans="1:22" x14ac:dyDescent="0.25">
      <c r="B153" s="66" t="s">
        <v>166</v>
      </c>
      <c r="C153" s="208">
        <f>SUM(K148:K149)</f>
        <v>0</v>
      </c>
      <c r="D153" s="209"/>
      <c r="E153" s="210">
        <f>E155*C154</f>
        <v>60840.710499788067</v>
      </c>
      <c r="F153" s="211"/>
      <c r="M153" s="89" t="s">
        <v>239</v>
      </c>
      <c r="N153" s="41"/>
      <c r="O153" s="41"/>
      <c r="P153" s="82"/>
      <c r="Q153" s="76">
        <v>0.81</v>
      </c>
      <c r="R153" s="1" t="s">
        <v>240</v>
      </c>
    </row>
    <row r="154" spans="1:22" x14ac:dyDescent="0.25">
      <c r="B154" s="66" t="s">
        <v>178</v>
      </c>
      <c r="C154" s="208">
        <f>K148+K149+K151</f>
        <v>320214.26578835823</v>
      </c>
      <c r="D154" s="209"/>
      <c r="E154" s="210">
        <f>C154</f>
        <v>320214.26578835823</v>
      </c>
      <c r="F154" s="211"/>
      <c r="H154" s="8"/>
      <c r="M154" s="89" t="s">
        <v>167</v>
      </c>
      <c r="N154" s="41"/>
      <c r="O154" s="41"/>
      <c r="P154" s="82"/>
      <c r="Q154" s="77">
        <f>Q146/(1+(1-Q150)*(Q147/Q148))</f>
        <v>1.1499999999999999</v>
      </c>
    </row>
    <row r="155" spans="1:22" x14ac:dyDescent="0.25">
      <c r="B155" s="66" t="s">
        <v>177</v>
      </c>
      <c r="C155" s="179">
        <f>C153/C154</f>
        <v>0</v>
      </c>
      <c r="D155" s="180"/>
      <c r="E155" s="183">
        <f>Q152</f>
        <v>0.19</v>
      </c>
      <c r="F155" s="184"/>
      <c r="M155" s="89"/>
      <c r="N155" s="41"/>
      <c r="O155" s="41"/>
      <c r="P155" s="82"/>
      <c r="Q155" s="69"/>
    </row>
    <row r="156" spans="1:22" x14ac:dyDescent="0.25">
      <c r="B156" s="66" t="s">
        <v>168</v>
      </c>
      <c r="C156" s="193">
        <f>C155*C151*(1-Q150)</f>
        <v>0</v>
      </c>
      <c r="D156" s="194"/>
      <c r="E156" s="212">
        <f>E155*E151*(1-Q150)</f>
        <v>0</v>
      </c>
      <c r="F156" s="213"/>
      <c r="M156" s="78" t="s">
        <v>169</v>
      </c>
      <c r="N156" s="40"/>
      <c r="O156" s="40"/>
      <c r="P156" s="83"/>
      <c r="Q156" s="79">
        <f>Q154*(1+(1-Q150)*(Q152/Q153))</f>
        <v>1.3577098765432098</v>
      </c>
    </row>
    <row r="157" spans="1:22" x14ac:dyDescent="0.25">
      <c r="B157" s="66" t="s">
        <v>170</v>
      </c>
      <c r="C157" s="193">
        <f>(1-C155)*C152</f>
        <v>7.7300000000000008E-2</v>
      </c>
      <c r="D157" s="194"/>
      <c r="E157" s="212">
        <f>(1-E155)*E152</f>
        <v>7.1361740000000007E-2</v>
      </c>
      <c r="F157" s="213"/>
    </row>
    <row r="158" spans="1:22" x14ac:dyDescent="0.25">
      <c r="B158" s="71" t="s">
        <v>155</v>
      </c>
      <c r="C158" s="206">
        <f>C156+C157</f>
        <v>7.7300000000000008E-2</v>
      </c>
      <c r="D158" s="207"/>
      <c r="E158" s="206">
        <f>E156+E157</f>
        <v>7.1361740000000007E-2</v>
      </c>
      <c r="F158" s="207"/>
      <c r="N158" s="80"/>
    </row>
    <row r="159" spans="1:22" s="40" customFormat="1" x14ac:dyDescent="0.25"/>
    <row r="160" spans="1:22" s="41" customFormat="1" ht="18.75" x14ac:dyDescent="0.3">
      <c r="A160" s="169" t="s">
        <v>192</v>
      </c>
    </row>
    <row r="161" spans="2:19" x14ac:dyDescent="0.25">
      <c r="B161" s="38" t="s">
        <v>108</v>
      </c>
    </row>
    <row r="162" spans="2:19" x14ac:dyDescent="0.25">
      <c r="B162" s="98" t="s">
        <v>193</v>
      </c>
      <c r="C162" s="99" t="s">
        <v>194</v>
      </c>
      <c r="E162" s="99" t="s">
        <v>195</v>
      </c>
      <c r="G162" s="99" t="s">
        <v>196</v>
      </c>
      <c r="I162" s="99" t="s">
        <v>197</v>
      </c>
      <c r="K162" s="99" t="s">
        <v>198</v>
      </c>
      <c r="M162" s="99" t="s">
        <v>228</v>
      </c>
      <c r="O162" s="99" t="s">
        <v>229</v>
      </c>
      <c r="Q162" s="99" t="s">
        <v>230</v>
      </c>
      <c r="S162" s="99" t="s">
        <v>231</v>
      </c>
    </row>
    <row r="163" spans="2:19" x14ac:dyDescent="0.25">
      <c r="B163" s="62" t="s">
        <v>199</v>
      </c>
      <c r="C163" s="62"/>
      <c r="D163" s="60"/>
      <c r="E163" s="100">
        <f>C64</f>
        <v>0</v>
      </c>
      <c r="F163" s="100"/>
      <c r="G163" s="100">
        <f>E64</f>
        <v>9474.7707657629799</v>
      </c>
      <c r="H163" s="100"/>
      <c r="I163" s="100">
        <f>G64</f>
        <v>19682.429267761821</v>
      </c>
      <c r="J163" s="100"/>
      <c r="K163" s="100">
        <f>I64</f>
        <v>30673.408745010151</v>
      </c>
      <c r="L163" s="100"/>
      <c r="M163" s="100">
        <f>K64</f>
        <v>29501.457023727911</v>
      </c>
      <c r="N163" s="100"/>
      <c r="O163" s="100">
        <f>M64</f>
        <v>73223.849970691052</v>
      </c>
      <c r="P163" s="100"/>
      <c r="Q163" s="100">
        <f t="shared" ref="Q163:S163" si="39">O64</f>
        <v>86901.618562479969</v>
      </c>
      <c r="R163" s="100"/>
      <c r="S163" s="101">
        <f t="shared" si="39"/>
        <v>101599.79043520018</v>
      </c>
    </row>
    <row r="164" spans="2:19" x14ac:dyDescent="0.25">
      <c r="B164" s="66" t="s">
        <v>200</v>
      </c>
      <c r="C164" s="66"/>
      <c r="D164" s="41"/>
      <c r="E164" s="44">
        <f>C55</f>
        <v>31000</v>
      </c>
      <c r="F164" s="44"/>
      <c r="G164" s="44">
        <f>E55</f>
        <v>31000</v>
      </c>
      <c r="H164" s="44"/>
      <c r="I164" s="44">
        <f>G55</f>
        <v>31000</v>
      </c>
      <c r="J164" s="44"/>
      <c r="K164" s="44">
        <f>I55</f>
        <v>31000</v>
      </c>
      <c r="L164" s="44"/>
      <c r="M164" s="44">
        <f>K55</f>
        <v>44000</v>
      </c>
      <c r="N164" s="44"/>
      <c r="O164" s="44">
        <f>M55</f>
        <v>13000</v>
      </c>
      <c r="P164" s="44"/>
      <c r="Q164" s="44">
        <f t="shared" ref="Q164:S164" si="40">O55</f>
        <v>13000</v>
      </c>
      <c r="R164" s="44"/>
      <c r="S164" s="102">
        <f t="shared" si="40"/>
        <v>13000</v>
      </c>
    </row>
    <row r="165" spans="2:19" x14ac:dyDescent="0.25">
      <c r="B165" s="103" t="s">
        <v>201</v>
      </c>
      <c r="C165" s="66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82"/>
    </row>
    <row r="166" spans="2:19" x14ac:dyDescent="0.25">
      <c r="B166" s="66" t="s">
        <v>202</v>
      </c>
      <c r="C166" s="66"/>
      <c r="D166" s="41"/>
      <c r="E166" s="44">
        <f>E163-E164</f>
        <v>-31000</v>
      </c>
      <c r="F166" s="44"/>
      <c r="G166" s="44">
        <f t="shared" ref="G166:S166" si="41">G163-G164</f>
        <v>-21525.22923423702</v>
      </c>
      <c r="H166" s="44"/>
      <c r="I166" s="44">
        <f t="shared" si="41"/>
        <v>-11317.570732238179</v>
      </c>
      <c r="J166" s="44"/>
      <c r="K166" s="44">
        <f t="shared" si="41"/>
        <v>-326.5912549898494</v>
      </c>
      <c r="L166" s="44"/>
      <c r="M166" s="44">
        <f t="shared" si="41"/>
        <v>-14498.542976272089</v>
      </c>
      <c r="N166" s="44"/>
      <c r="O166" s="44">
        <f t="shared" si="41"/>
        <v>60223.849970691052</v>
      </c>
      <c r="P166" s="44"/>
      <c r="Q166" s="44">
        <f t="shared" si="41"/>
        <v>73901.618562479969</v>
      </c>
      <c r="R166" s="44"/>
      <c r="S166" s="102">
        <f t="shared" si="41"/>
        <v>88599.790435200179</v>
      </c>
    </row>
    <row r="167" spans="2:19" x14ac:dyDescent="0.25">
      <c r="B167" s="66" t="s">
        <v>203</v>
      </c>
      <c r="C167" s="66"/>
      <c r="D167" s="41"/>
      <c r="E167" s="104">
        <f>IF(E166&lt;0,0,$C$33*E166)</f>
        <v>0</v>
      </c>
      <c r="F167" s="104"/>
      <c r="G167" s="104">
        <f t="shared" ref="G167:S167" si="42">IF(G166&lt;0,0,$C$33*G166)</f>
        <v>0</v>
      </c>
      <c r="H167" s="104"/>
      <c r="I167" s="104">
        <f t="shared" si="42"/>
        <v>0</v>
      </c>
      <c r="J167" s="104"/>
      <c r="K167" s="104">
        <f t="shared" si="42"/>
        <v>0</v>
      </c>
      <c r="L167" s="104"/>
      <c r="M167" s="104">
        <f t="shared" si="42"/>
        <v>0</v>
      </c>
      <c r="N167" s="104"/>
      <c r="O167" s="104">
        <f t="shared" si="42"/>
        <v>13851.485493258942</v>
      </c>
      <c r="P167" s="104"/>
      <c r="Q167" s="104">
        <f t="shared" si="42"/>
        <v>16997.372269370393</v>
      </c>
      <c r="R167" s="104"/>
      <c r="S167" s="105">
        <f t="shared" si="42"/>
        <v>20377.951800096042</v>
      </c>
    </row>
    <row r="168" spans="2:19" x14ac:dyDescent="0.25">
      <c r="B168" s="66" t="s">
        <v>204</v>
      </c>
      <c r="C168" s="66"/>
      <c r="D168" s="41"/>
      <c r="E168" s="44">
        <f>E166-E167</f>
        <v>-31000</v>
      </c>
      <c r="F168" s="44"/>
      <c r="G168" s="44">
        <f t="shared" ref="G168:S168" si="43">G166-G167</f>
        <v>-21525.22923423702</v>
      </c>
      <c r="H168" s="44"/>
      <c r="I168" s="44">
        <f t="shared" si="43"/>
        <v>-11317.570732238179</v>
      </c>
      <c r="J168" s="44"/>
      <c r="K168" s="44">
        <f t="shared" si="43"/>
        <v>-326.5912549898494</v>
      </c>
      <c r="L168" s="44"/>
      <c r="M168" s="44">
        <f t="shared" si="43"/>
        <v>-14498.542976272089</v>
      </c>
      <c r="N168" s="44"/>
      <c r="O168" s="44">
        <f t="shared" si="43"/>
        <v>46372.364477432107</v>
      </c>
      <c r="P168" s="44"/>
      <c r="Q168" s="44">
        <f t="shared" si="43"/>
        <v>56904.24629310958</v>
      </c>
      <c r="R168" s="44"/>
      <c r="S168" s="102">
        <f t="shared" si="43"/>
        <v>68221.838635104141</v>
      </c>
    </row>
    <row r="169" spans="2:19" x14ac:dyDescent="0.25">
      <c r="B169" s="66"/>
      <c r="C169" s="66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82"/>
    </row>
    <row r="170" spans="2:19" x14ac:dyDescent="0.25">
      <c r="B170" s="66" t="s">
        <v>205</v>
      </c>
      <c r="C170" s="66"/>
      <c r="D170" s="41"/>
      <c r="E170" s="44">
        <f>E164</f>
        <v>31000</v>
      </c>
      <c r="F170" s="44"/>
      <c r="G170" s="44">
        <f t="shared" ref="G170:S170" si="44">G164</f>
        <v>31000</v>
      </c>
      <c r="H170" s="44"/>
      <c r="I170" s="44">
        <f t="shared" si="44"/>
        <v>31000</v>
      </c>
      <c r="J170" s="44"/>
      <c r="K170" s="44">
        <f t="shared" si="44"/>
        <v>31000</v>
      </c>
      <c r="L170" s="44"/>
      <c r="M170" s="44">
        <f t="shared" si="44"/>
        <v>44000</v>
      </c>
      <c r="N170" s="44"/>
      <c r="O170" s="44">
        <f t="shared" si="44"/>
        <v>13000</v>
      </c>
      <c r="P170" s="44"/>
      <c r="Q170" s="44">
        <f t="shared" si="44"/>
        <v>13000</v>
      </c>
      <c r="R170" s="44"/>
      <c r="S170" s="102">
        <f t="shared" si="44"/>
        <v>13000</v>
      </c>
    </row>
    <row r="171" spans="2:19" x14ac:dyDescent="0.25">
      <c r="B171" s="71" t="s">
        <v>193</v>
      </c>
      <c r="C171" s="71"/>
      <c r="D171" s="40"/>
      <c r="E171" s="106">
        <f>E168+E170</f>
        <v>0</v>
      </c>
      <c r="F171" s="106"/>
      <c r="G171" s="106">
        <f t="shared" ref="G171:S171" si="45">G168+G170</f>
        <v>9474.7707657629799</v>
      </c>
      <c r="H171" s="106"/>
      <c r="I171" s="106">
        <f t="shared" si="45"/>
        <v>19682.429267761821</v>
      </c>
      <c r="J171" s="106"/>
      <c r="K171" s="106">
        <f t="shared" si="45"/>
        <v>30673.408745010151</v>
      </c>
      <c r="L171" s="106"/>
      <c r="M171" s="106">
        <f t="shared" si="45"/>
        <v>29501.457023727911</v>
      </c>
      <c r="N171" s="106"/>
      <c r="O171" s="106">
        <f t="shared" si="45"/>
        <v>59372.364477432107</v>
      </c>
      <c r="P171" s="106"/>
      <c r="Q171" s="106">
        <f t="shared" si="45"/>
        <v>69904.24629310958</v>
      </c>
      <c r="R171" s="106"/>
      <c r="S171" s="107">
        <f t="shared" si="45"/>
        <v>81221.838635104141</v>
      </c>
    </row>
    <row r="174" spans="2:19" x14ac:dyDescent="0.25">
      <c r="B174" s="38" t="s">
        <v>206</v>
      </c>
    </row>
    <row r="175" spans="2:19" x14ac:dyDescent="0.25">
      <c r="B175" s="98" t="s">
        <v>207</v>
      </c>
    </row>
    <row r="176" spans="2:19" x14ac:dyDescent="0.25">
      <c r="B176" s="62" t="s">
        <v>208</v>
      </c>
      <c r="C176" s="139"/>
      <c r="D176" s="140"/>
      <c r="E176" s="140">
        <f>C80</f>
        <v>124000</v>
      </c>
      <c r="F176" s="140"/>
      <c r="G176" s="140">
        <f>E80</f>
        <v>93000</v>
      </c>
      <c r="H176" s="140"/>
      <c r="I176" s="140">
        <f>G80</f>
        <v>62000</v>
      </c>
      <c r="J176" s="140"/>
      <c r="K176" s="140">
        <f>I80</f>
        <v>31000</v>
      </c>
      <c r="L176" s="140"/>
      <c r="M176" s="140">
        <f>K80</f>
        <v>52000</v>
      </c>
      <c r="N176" s="140"/>
      <c r="O176" s="140">
        <f>M80</f>
        <v>39000</v>
      </c>
      <c r="P176" s="140"/>
      <c r="Q176" s="140">
        <f t="shared" ref="Q176:S176" si="46">O80</f>
        <v>26000</v>
      </c>
      <c r="R176" s="140"/>
      <c r="S176" s="141">
        <f t="shared" si="46"/>
        <v>13000</v>
      </c>
    </row>
    <row r="177" spans="2:21" x14ac:dyDescent="0.25">
      <c r="B177" s="66" t="s">
        <v>243</v>
      </c>
      <c r="C177" s="142">
        <f>-C26</f>
        <v>-95000</v>
      </c>
      <c r="D177" s="104"/>
      <c r="E177" s="104">
        <v>0</v>
      </c>
      <c r="F177" s="104"/>
      <c r="G177" s="104">
        <v>0</v>
      </c>
      <c r="H177" s="104"/>
      <c r="I177" s="104">
        <v>0</v>
      </c>
      <c r="J177" s="104"/>
      <c r="K177" s="104">
        <v>0</v>
      </c>
      <c r="L177" s="104"/>
      <c r="M177" s="104">
        <f>-C28</f>
        <v>-40000</v>
      </c>
      <c r="N177" s="104"/>
      <c r="O177" s="104">
        <v>0</v>
      </c>
      <c r="P177" s="104"/>
      <c r="Q177" s="104">
        <v>0</v>
      </c>
      <c r="R177" s="104"/>
      <c r="S177" s="105">
        <v>8000</v>
      </c>
      <c r="T177" s="21">
        <v>1</v>
      </c>
      <c r="U177" s="1" t="s">
        <v>209</v>
      </c>
    </row>
    <row r="178" spans="2:21" x14ac:dyDescent="0.25">
      <c r="B178" s="66" t="s">
        <v>244</v>
      </c>
      <c r="C178" s="142">
        <f>-C25</f>
        <v>-60000</v>
      </c>
      <c r="D178" s="104"/>
      <c r="E178" s="104">
        <v>0</v>
      </c>
      <c r="F178" s="104"/>
      <c r="G178" s="104">
        <v>0</v>
      </c>
      <c r="H178" s="104"/>
      <c r="I178" s="104">
        <v>0</v>
      </c>
      <c r="J178" s="104"/>
      <c r="K178" s="104">
        <v>0</v>
      </c>
      <c r="L178" s="104"/>
      <c r="M178" s="104">
        <f>-C27</f>
        <v>-25000</v>
      </c>
      <c r="N178" s="104"/>
      <c r="O178" s="104">
        <v>0</v>
      </c>
      <c r="P178" s="104"/>
      <c r="Q178" s="104">
        <v>0</v>
      </c>
      <c r="R178" s="104"/>
      <c r="S178" s="105">
        <v>5000</v>
      </c>
      <c r="T178" s="21"/>
    </row>
    <row r="179" spans="2:21" x14ac:dyDescent="0.25">
      <c r="B179" s="71" t="s">
        <v>232</v>
      </c>
      <c r="C179" s="138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08">
        <f>IF((S177-S176-S178)*C33&lt;0,0,(S177-S176-S178)*C33)</f>
        <v>0</v>
      </c>
    </row>
    <row r="181" spans="2:21" x14ac:dyDescent="0.25">
      <c r="B181" s="109" t="s">
        <v>210</v>
      </c>
    </row>
    <row r="182" spans="2:21" x14ac:dyDescent="0.25">
      <c r="B182" s="62" t="s">
        <v>211</v>
      </c>
      <c r="C182" s="110"/>
      <c r="D182" s="60"/>
      <c r="E182" s="100"/>
      <c r="F182" s="60"/>
      <c r="G182" s="100"/>
      <c r="H182" s="60"/>
      <c r="I182" s="100"/>
      <c r="J182" s="60"/>
      <c r="K182" s="100"/>
      <c r="L182" s="60"/>
      <c r="M182" s="60"/>
      <c r="N182" s="60"/>
      <c r="O182" s="60"/>
      <c r="P182" s="60"/>
      <c r="Q182" s="60"/>
      <c r="R182" s="60"/>
      <c r="S182" s="81"/>
    </row>
    <row r="183" spans="2:21" x14ac:dyDescent="0.25">
      <c r="B183" s="67" t="s">
        <v>212</v>
      </c>
      <c r="C183" s="19">
        <v>0</v>
      </c>
      <c r="D183" s="19"/>
      <c r="E183" s="19">
        <f>C75</f>
        <v>4263.4233165232881</v>
      </c>
      <c r="F183" s="19"/>
      <c r="G183" s="19">
        <f>E75</f>
        <v>4532.9016269309404</v>
      </c>
      <c r="H183" s="19"/>
      <c r="I183" s="19">
        <f>G75</f>
        <v>4819.4128600368213</v>
      </c>
      <c r="J183" s="19"/>
      <c r="K183" s="19">
        <f>I75</f>
        <v>5124.0336162367284</v>
      </c>
      <c r="L183" s="19"/>
      <c r="M183" s="19">
        <f>K75</f>
        <v>5447.9085446361705</v>
      </c>
      <c r="N183" s="19"/>
      <c r="O183" s="19">
        <f>M75</f>
        <v>5792.2546442069643</v>
      </c>
      <c r="P183" s="19"/>
      <c r="Q183" s="19">
        <f t="shared" ref="Q183:S183" si="47">O75</f>
        <v>6158.3658368071483</v>
      </c>
      <c r="R183" s="19"/>
      <c r="S183" s="105">
        <f t="shared" si="47"/>
        <v>6547.6178292478899</v>
      </c>
    </row>
    <row r="184" spans="2:21" x14ac:dyDescent="0.25">
      <c r="B184" s="67" t="s">
        <v>15</v>
      </c>
      <c r="C184" s="19">
        <v>0</v>
      </c>
      <c r="D184" s="19"/>
      <c r="E184" s="19">
        <f>C85</f>
        <v>4263.4233165232881</v>
      </c>
      <c r="F184" s="19"/>
      <c r="G184" s="19">
        <f>E85</f>
        <v>4532.9016269309404</v>
      </c>
      <c r="H184" s="19"/>
      <c r="I184" s="19">
        <f>G85</f>
        <v>4819.4128600368213</v>
      </c>
      <c r="J184" s="19"/>
      <c r="K184" s="19">
        <f>I85</f>
        <v>5124.0336162367284</v>
      </c>
      <c r="L184" s="19"/>
      <c r="M184" s="19">
        <f>K85</f>
        <v>5447.9085446361705</v>
      </c>
      <c r="N184" s="19"/>
      <c r="O184" s="19">
        <f>M85</f>
        <v>5792.2546442069643</v>
      </c>
      <c r="P184" s="19"/>
      <c r="Q184" s="19">
        <f t="shared" ref="Q184:S184" si="48">O85</f>
        <v>6158.3658368071483</v>
      </c>
      <c r="R184" s="19"/>
      <c r="S184" s="105">
        <f t="shared" si="48"/>
        <v>6547.6178292478899</v>
      </c>
    </row>
    <row r="185" spans="2:21" x14ac:dyDescent="0.25">
      <c r="B185" s="74" t="s">
        <v>213</v>
      </c>
      <c r="C185" s="19">
        <v>0</v>
      </c>
      <c r="D185" s="19"/>
      <c r="E185" s="19">
        <f>E167</f>
        <v>0</v>
      </c>
      <c r="F185" s="19"/>
      <c r="G185" s="19">
        <f>G167</f>
        <v>0</v>
      </c>
      <c r="H185" s="19"/>
      <c r="I185" s="19">
        <f>I167</f>
        <v>0</v>
      </c>
      <c r="J185" s="19"/>
      <c r="K185" s="19">
        <f>K167</f>
        <v>0</v>
      </c>
      <c r="L185" s="19"/>
      <c r="M185" s="19">
        <f t="shared" ref="M185:S185" si="49">M167</f>
        <v>0</v>
      </c>
      <c r="N185" s="19"/>
      <c r="O185" s="19">
        <f t="shared" si="49"/>
        <v>13851.485493258942</v>
      </c>
      <c r="P185" s="19"/>
      <c r="Q185" s="19">
        <f t="shared" si="49"/>
        <v>16997.372269370393</v>
      </c>
      <c r="R185" s="19"/>
      <c r="S185" s="108">
        <f t="shared" si="49"/>
        <v>20377.951800096042</v>
      </c>
    </row>
    <row r="186" spans="2:21" x14ac:dyDescent="0.25">
      <c r="B186" s="111" t="s">
        <v>214</v>
      </c>
      <c r="C186" s="111"/>
      <c r="D186" s="131"/>
      <c r="E186" s="112"/>
      <c r="F186" s="131"/>
      <c r="G186" s="112"/>
      <c r="H186" s="131"/>
      <c r="I186" s="112"/>
      <c r="J186" s="131"/>
      <c r="K186" s="112"/>
      <c r="L186" s="131"/>
      <c r="M186" s="131"/>
      <c r="N186" s="131"/>
      <c r="O186" s="131"/>
      <c r="P186" s="131"/>
      <c r="Q186" s="131"/>
      <c r="R186" s="131"/>
      <c r="S186" s="132"/>
      <c r="T186" s="1" t="s">
        <v>215</v>
      </c>
    </row>
    <row r="187" spans="2:21" x14ac:dyDescent="0.25">
      <c r="B187" s="113" t="s">
        <v>216</v>
      </c>
      <c r="C187" s="114"/>
      <c r="D187" s="133"/>
      <c r="E187" s="115">
        <f>C183-E183</f>
        <v>-4263.4233165232881</v>
      </c>
      <c r="F187" s="133"/>
      <c r="G187" s="115">
        <f>E183-G183</f>
        <v>-269.47831040765232</v>
      </c>
      <c r="H187" s="133"/>
      <c r="I187" s="115">
        <f>G183-I183</f>
        <v>-286.51123310588082</v>
      </c>
      <c r="J187" s="133"/>
      <c r="K187" s="115">
        <f>I183-K183</f>
        <v>-304.62075619990719</v>
      </c>
      <c r="L187" s="133"/>
      <c r="M187" s="143">
        <f t="shared" ref="M187:S187" si="50">K183-M183</f>
        <v>-323.87492839944207</v>
      </c>
      <c r="N187" s="143"/>
      <c r="O187" s="143">
        <f t="shared" si="50"/>
        <v>-344.34609957079374</v>
      </c>
      <c r="P187" s="143"/>
      <c r="Q187" s="143">
        <f>O183-Q183</f>
        <v>-366.11119260018404</v>
      </c>
      <c r="R187" s="143"/>
      <c r="S187" s="144">
        <f t="shared" si="50"/>
        <v>-389.25199244074156</v>
      </c>
      <c r="T187" s="1" t="s">
        <v>215</v>
      </c>
    </row>
    <row r="188" spans="2:21" x14ac:dyDescent="0.25">
      <c r="B188" s="116" t="s">
        <v>217</v>
      </c>
      <c r="C188" s="130"/>
      <c r="D188" s="134"/>
      <c r="E188" s="128">
        <f>E184-C184</f>
        <v>4263.4233165232881</v>
      </c>
      <c r="F188" s="134"/>
      <c r="G188" s="128">
        <f>G184-E184</f>
        <v>269.47831040765232</v>
      </c>
      <c r="H188" s="134"/>
      <c r="I188" s="128">
        <f>I184-G184</f>
        <v>286.51123310588082</v>
      </c>
      <c r="J188" s="134"/>
      <c r="K188" s="128">
        <f>K184-I184</f>
        <v>304.62075619990719</v>
      </c>
      <c r="L188" s="134"/>
      <c r="M188" s="145">
        <f t="shared" ref="M188:S188" si="51">M184-K184</f>
        <v>323.87492839944207</v>
      </c>
      <c r="N188" s="145"/>
      <c r="O188" s="145">
        <f t="shared" si="51"/>
        <v>344.34609957079374</v>
      </c>
      <c r="P188" s="145"/>
      <c r="Q188" s="145">
        <f>Q184-O184</f>
        <v>366.11119260018404</v>
      </c>
      <c r="R188" s="145"/>
      <c r="S188" s="146">
        <f t="shared" si="51"/>
        <v>389.25199244074156</v>
      </c>
      <c r="T188" s="1" t="s">
        <v>218</v>
      </c>
    </row>
    <row r="189" spans="2:21" x14ac:dyDescent="0.25">
      <c r="B189" s="117" t="s">
        <v>219</v>
      </c>
      <c r="C189" s="117"/>
      <c r="D189" s="135"/>
      <c r="E189" s="118">
        <f>E185-C185</f>
        <v>0</v>
      </c>
      <c r="F189" s="135"/>
      <c r="G189" s="118">
        <f>G185-E185</f>
        <v>0</v>
      </c>
      <c r="H189" s="135"/>
      <c r="I189" s="118">
        <f>I185-G185</f>
        <v>0</v>
      </c>
      <c r="J189" s="135"/>
      <c r="K189" s="118">
        <f>K185-I185</f>
        <v>0</v>
      </c>
      <c r="L189" s="135"/>
      <c r="M189" s="147">
        <f t="shared" ref="M189:S189" si="52">M185-K185</f>
        <v>0</v>
      </c>
      <c r="N189" s="147"/>
      <c r="O189" s="147">
        <f t="shared" si="52"/>
        <v>13851.485493258942</v>
      </c>
      <c r="P189" s="147"/>
      <c r="Q189" s="147">
        <f>Q185-O185</f>
        <v>3145.8867761114507</v>
      </c>
      <c r="R189" s="147"/>
      <c r="S189" s="148">
        <f t="shared" si="52"/>
        <v>3380.5795307256485</v>
      </c>
      <c r="T189" s="1" t="s">
        <v>218</v>
      </c>
    </row>
    <row r="190" spans="2:21" s="119" customFormat="1" x14ac:dyDescent="0.25">
      <c r="B190" s="120" t="s">
        <v>220</v>
      </c>
      <c r="C190" s="120"/>
      <c r="D190" s="129"/>
      <c r="E190" s="122">
        <f>SUM(E186:E189)</f>
        <v>0</v>
      </c>
      <c r="F190" s="129"/>
      <c r="G190" s="122">
        <f t="shared" ref="G190" si="53">SUM(G186:G189)</f>
        <v>0</v>
      </c>
      <c r="H190" s="129"/>
      <c r="I190" s="122">
        <f>SUM(I186:I189)</f>
        <v>0</v>
      </c>
      <c r="J190" s="129"/>
      <c r="K190" s="122">
        <f>SUM(K186:K189)</f>
        <v>0</v>
      </c>
      <c r="L190" s="129"/>
      <c r="M190" s="149">
        <f t="shared" ref="M190:S190" si="54">SUM(M186:M189)</f>
        <v>0</v>
      </c>
      <c r="N190" s="149"/>
      <c r="O190" s="149">
        <f t="shared" si="54"/>
        <v>13851.485493258942</v>
      </c>
      <c r="P190" s="149"/>
      <c r="Q190" s="149">
        <f t="shared" si="54"/>
        <v>3145.8867761114507</v>
      </c>
      <c r="R190" s="149"/>
      <c r="S190" s="150">
        <f t="shared" si="54"/>
        <v>3380.5795307256485</v>
      </c>
    </row>
    <row r="192" spans="2:21" x14ac:dyDescent="0.25">
      <c r="B192" s="109" t="s">
        <v>221</v>
      </c>
    </row>
    <row r="193" spans="2:19" x14ac:dyDescent="0.25">
      <c r="B193" s="62" t="s">
        <v>211</v>
      </c>
      <c r="C193" s="6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101">
        <f>S182</f>
        <v>0</v>
      </c>
    </row>
    <row r="194" spans="2:19" x14ac:dyDescent="0.25">
      <c r="B194" s="66" t="s">
        <v>212</v>
      </c>
      <c r="C194" s="66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102">
        <f>S183</f>
        <v>6547.6178292478899</v>
      </c>
    </row>
    <row r="195" spans="2:19" x14ac:dyDescent="0.25">
      <c r="B195" s="66" t="s">
        <v>15</v>
      </c>
      <c r="C195" s="66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102">
        <f>-S184</f>
        <v>-6547.6178292478899</v>
      </c>
    </row>
    <row r="196" spans="2:19" x14ac:dyDescent="0.25">
      <c r="B196" s="66" t="s">
        <v>222</v>
      </c>
      <c r="C196" s="66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102">
        <f>-S185</f>
        <v>-20377.951800096042</v>
      </c>
    </row>
    <row r="197" spans="2:19" x14ac:dyDescent="0.25">
      <c r="B197" s="164" t="s">
        <v>221</v>
      </c>
      <c r="C197" s="164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165">
        <f>SUM(S193:S196)</f>
        <v>-20377.951800096042</v>
      </c>
    </row>
    <row r="198" spans="2:19" x14ac:dyDescent="0.25">
      <c r="C198" s="157">
        <v>0</v>
      </c>
      <c r="D198" s="157"/>
      <c r="E198" s="157">
        <v>1</v>
      </c>
      <c r="F198" s="157"/>
      <c r="G198" s="157">
        <v>2</v>
      </c>
      <c r="H198" s="157"/>
      <c r="I198" s="157">
        <v>3</v>
      </c>
      <c r="J198" s="157"/>
      <c r="K198" s="157">
        <v>4</v>
      </c>
      <c r="L198" s="157"/>
      <c r="M198" s="157">
        <v>5</v>
      </c>
      <c r="N198" s="157"/>
      <c r="O198" s="157">
        <v>6</v>
      </c>
      <c r="P198" s="157"/>
      <c r="Q198" s="157">
        <v>7</v>
      </c>
      <c r="R198" s="157"/>
      <c r="S198" s="157">
        <v>8</v>
      </c>
    </row>
    <row r="199" spans="2:19" x14ac:dyDescent="0.25">
      <c r="B199" s="63"/>
      <c r="C199" s="84" t="s">
        <v>194</v>
      </c>
      <c r="D199" s="87"/>
      <c r="E199" s="121" t="s">
        <v>195</v>
      </c>
      <c r="F199" s="87"/>
      <c r="G199" s="121" t="s">
        <v>196</v>
      </c>
      <c r="H199" s="87"/>
      <c r="I199" s="121" t="s">
        <v>197</v>
      </c>
      <c r="J199" s="87"/>
      <c r="K199" s="121" t="s">
        <v>198</v>
      </c>
      <c r="L199" s="87"/>
      <c r="M199" s="121" t="s">
        <v>228</v>
      </c>
      <c r="N199" s="87"/>
      <c r="O199" s="121" t="s">
        <v>229</v>
      </c>
      <c r="P199" s="87"/>
      <c r="Q199" s="121" t="s">
        <v>230</v>
      </c>
      <c r="R199" s="87"/>
      <c r="S199" s="85" t="s">
        <v>231</v>
      </c>
    </row>
    <row r="200" spans="2:19" x14ac:dyDescent="0.25">
      <c r="B200" s="63" t="s">
        <v>193</v>
      </c>
      <c r="C200" s="62"/>
      <c r="D200" s="60"/>
      <c r="E200" s="100">
        <f>E171</f>
        <v>0</v>
      </c>
      <c r="F200" s="60"/>
      <c r="G200" s="100">
        <f>G171</f>
        <v>9474.7707657629799</v>
      </c>
      <c r="H200" s="60"/>
      <c r="I200" s="100">
        <f>I171</f>
        <v>19682.429267761821</v>
      </c>
      <c r="J200" s="100">
        <f t="shared" ref="J200:Q200" si="55">J171</f>
        <v>0</v>
      </c>
      <c r="K200" s="100">
        <f t="shared" si="55"/>
        <v>30673.408745010151</v>
      </c>
      <c r="L200" s="100">
        <f t="shared" si="55"/>
        <v>0</v>
      </c>
      <c r="M200" s="100">
        <f t="shared" si="55"/>
        <v>29501.457023727911</v>
      </c>
      <c r="N200" s="100">
        <f t="shared" si="55"/>
        <v>0</v>
      </c>
      <c r="O200" s="100">
        <f t="shared" si="55"/>
        <v>59372.364477432107</v>
      </c>
      <c r="P200" s="100">
        <f t="shared" si="55"/>
        <v>0</v>
      </c>
      <c r="Q200" s="100">
        <f t="shared" si="55"/>
        <v>69904.24629310958</v>
      </c>
      <c r="R200" s="60"/>
      <c r="S200" s="101">
        <f>S171</f>
        <v>81221.838635104141</v>
      </c>
    </row>
    <row r="201" spans="2:19" x14ac:dyDescent="0.25">
      <c r="B201" s="67" t="s">
        <v>210</v>
      </c>
      <c r="C201" s="66"/>
      <c r="D201" s="41"/>
      <c r="E201" s="104">
        <f>E190</f>
        <v>0</v>
      </c>
      <c r="F201" s="41"/>
      <c r="G201" s="104">
        <f>G190</f>
        <v>0</v>
      </c>
      <c r="H201" s="41"/>
      <c r="I201" s="104">
        <f>I190</f>
        <v>0</v>
      </c>
      <c r="J201" s="104">
        <f t="shared" ref="J201:Q201" si="56">J190</f>
        <v>0</v>
      </c>
      <c r="K201" s="104">
        <f t="shared" si="56"/>
        <v>0</v>
      </c>
      <c r="L201" s="104">
        <f t="shared" si="56"/>
        <v>0</v>
      </c>
      <c r="M201" s="104">
        <f t="shared" si="56"/>
        <v>0</v>
      </c>
      <c r="N201" s="104">
        <f t="shared" si="56"/>
        <v>0</v>
      </c>
      <c r="O201" s="104">
        <f t="shared" si="56"/>
        <v>13851.485493258942</v>
      </c>
      <c r="P201" s="104">
        <f t="shared" si="56"/>
        <v>0</v>
      </c>
      <c r="Q201" s="104">
        <f t="shared" si="56"/>
        <v>3145.8867761114507</v>
      </c>
      <c r="R201" s="41"/>
      <c r="S201" s="105">
        <f>S190</f>
        <v>3380.5795307256485</v>
      </c>
    </row>
    <row r="202" spans="2:19" x14ac:dyDescent="0.25">
      <c r="B202" s="67" t="s">
        <v>221</v>
      </c>
      <c r="C202" s="66"/>
      <c r="D202" s="41"/>
      <c r="E202" s="41"/>
      <c r="F202" s="41"/>
      <c r="G202" s="41"/>
      <c r="H202" s="41"/>
      <c r="I202" s="41"/>
      <c r="J202" s="41"/>
      <c r="L202" s="41"/>
      <c r="M202" s="41"/>
      <c r="N202" s="41"/>
      <c r="O202" s="41"/>
      <c r="P202" s="41"/>
      <c r="Q202" s="41"/>
      <c r="R202" s="41"/>
      <c r="S202" s="102">
        <f>S197</f>
        <v>-20377.951800096042</v>
      </c>
    </row>
    <row r="203" spans="2:19" x14ac:dyDescent="0.25">
      <c r="B203" s="67" t="s">
        <v>243</v>
      </c>
      <c r="C203" s="151">
        <f>C177+C178</f>
        <v>-155000</v>
      </c>
      <c r="D203" s="152"/>
      <c r="E203" s="152">
        <f>E177</f>
        <v>0</v>
      </c>
      <c r="F203" s="152"/>
      <c r="G203" s="152">
        <f>G177</f>
        <v>0</v>
      </c>
      <c r="H203" s="152"/>
      <c r="I203" s="152">
        <f>I177</f>
        <v>0</v>
      </c>
      <c r="J203" s="152"/>
      <c r="K203" s="22">
        <f>K177</f>
        <v>0</v>
      </c>
      <c r="L203" s="152"/>
      <c r="M203" s="152">
        <f>M177+M178</f>
        <v>-65000</v>
      </c>
      <c r="N203" s="152"/>
      <c r="O203" s="152">
        <f>O177</f>
        <v>0</v>
      </c>
      <c r="P203" s="152"/>
      <c r="Q203" s="152">
        <f>Q177</f>
        <v>0</v>
      </c>
      <c r="R203" s="152"/>
      <c r="S203" s="153">
        <f>S177+S178</f>
        <v>13000</v>
      </c>
    </row>
    <row r="204" spans="2:19" x14ac:dyDescent="0.25">
      <c r="B204" s="74" t="s">
        <v>232</v>
      </c>
      <c r="C204" s="136"/>
      <c r="D204" s="40"/>
      <c r="E204" s="40"/>
      <c r="F204" s="40"/>
      <c r="G204" s="40"/>
      <c r="H204" s="40"/>
      <c r="I204" s="40"/>
      <c r="J204" s="40"/>
      <c r="L204" s="40"/>
      <c r="M204" s="40"/>
      <c r="N204" s="40"/>
      <c r="O204" s="40"/>
      <c r="P204" s="40"/>
      <c r="Q204" s="40"/>
      <c r="R204" s="40"/>
      <c r="S204" s="107">
        <f>S179</f>
        <v>0</v>
      </c>
    </row>
    <row r="205" spans="2:19" ht="15.75" thickBot="1" x14ac:dyDescent="0.3">
      <c r="B205" s="67" t="s">
        <v>223</v>
      </c>
      <c r="C205" s="154">
        <f>SUM(C200:C204)</f>
        <v>-155000</v>
      </c>
      <c r="D205" s="155"/>
      <c r="E205" s="155">
        <f t="shared" ref="E205:S205" si="57">SUM(E200:E204)</f>
        <v>0</v>
      </c>
      <c r="F205" s="155"/>
      <c r="G205" s="155">
        <f t="shared" si="57"/>
        <v>9474.7707657629799</v>
      </c>
      <c r="H205" s="155"/>
      <c r="I205" s="155">
        <f t="shared" si="57"/>
        <v>19682.429267761821</v>
      </c>
      <c r="J205" s="155"/>
      <c r="K205" s="155">
        <f t="shared" si="57"/>
        <v>30673.408745010151</v>
      </c>
      <c r="L205" s="155"/>
      <c r="M205" s="155">
        <f t="shared" si="57"/>
        <v>-35498.542976272089</v>
      </c>
      <c r="N205" s="155"/>
      <c r="O205" s="155">
        <f t="shared" si="57"/>
        <v>73223.849970691052</v>
      </c>
      <c r="P205" s="155"/>
      <c r="Q205" s="155">
        <f t="shared" si="57"/>
        <v>73050.133069221032</v>
      </c>
      <c r="R205" s="155"/>
      <c r="S205" s="156">
        <f t="shared" si="57"/>
        <v>77224.466365733751</v>
      </c>
    </row>
    <row r="206" spans="2:19" ht="15.75" thickTop="1" x14ac:dyDescent="0.25">
      <c r="B206" s="74" t="s">
        <v>224</v>
      </c>
      <c r="C206" s="158">
        <f>PV($C$158,C198,,-C205)</f>
        <v>-155000</v>
      </c>
      <c r="D206" s="159"/>
      <c r="E206" s="160">
        <f>PV($C$158,E198,,-E205)</f>
        <v>0</v>
      </c>
      <c r="F206" s="159"/>
      <c r="G206" s="160">
        <f>PV($C$158,G198,,-G205)</f>
        <v>8163.8570521029969</v>
      </c>
      <c r="H206" s="159"/>
      <c r="I206" s="160">
        <f>PV($C$158,I198,,-I205)</f>
        <v>15742.319407388612</v>
      </c>
      <c r="J206" s="159"/>
      <c r="K206" s="160">
        <f>PV($C$158,K198,,-K205)</f>
        <v>22772.746019233946</v>
      </c>
      <c r="L206" s="159"/>
      <c r="M206" s="159">
        <f>PV($C$158,M198,,-M205)</f>
        <v>-24463.986518882102</v>
      </c>
      <c r="N206" s="159"/>
      <c r="O206" s="159">
        <f>PV($C$158,O198,,-O205)</f>
        <v>46841.694839283671</v>
      </c>
      <c r="P206" s="159"/>
      <c r="Q206" s="159">
        <f>PV($C$158,Q198,,-Q205)</f>
        <v>43377.487415913587</v>
      </c>
      <c r="R206" s="159"/>
      <c r="S206" s="161">
        <f>PV($C$158,S198,,-S205)</f>
        <v>42565.8820401087</v>
      </c>
    </row>
    <row r="207" spans="2:19" x14ac:dyDescent="0.25">
      <c r="B207" s="123" t="s">
        <v>225</v>
      </c>
      <c r="C207" s="137">
        <f>C158</f>
        <v>7.7300000000000008E-2</v>
      </c>
    </row>
    <row r="208" spans="2:19" x14ac:dyDescent="0.25">
      <c r="B208" s="124" t="s">
        <v>226</v>
      </c>
      <c r="C208" s="125">
        <f>SUM(C206:S206)</f>
        <v>2.5514941808069125E-4</v>
      </c>
      <c r="D208" s="19"/>
      <c r="E208" s="19"/>
      <c r="F208" s="19"/>
      <c r="G208" s="19"/>
    </row>
    <row r="209" spans="2:5" x14ac:dyDescent="0.25">
      <c r="B209" s="126" t="s">
        <v>227</v>
      </c>
      <c r="C209" s="127">
        <f>IRR(C205:S205)</f>
        <v>7.7300000287059412E-2</v>
      </c>
      <c r="E209" s="1" t="s">
        <v>248</v>
      </c>
    </row>
    <row r="211" spans="2:5" x14ac:dyDescent="0.25">
      <c r="B211" s="1" t="s">
        <v>242</v>
      </c>
    </row>
    <row r="213" spans="2:5" x14ac:dyDescent="0.25">
      <c r="B213" s="1" t="s">
        <v>261</v>
      </c>
      <c r="C213" s="21">
        <v>0.03</v>
      </c>
    </row>
    <row r="214" spans="2:5" x14ac:dyDescent="0.25">
      <c r="B214" s="1" t="s">
        <v>233</v>
      </c>
      <c r="C214" s="19">
        <f>(SUM(S200:S201)*(1+C213))/(C207-C213)</f>
        <v>1842293.6725328683</v>
      </c>
      <c r="D214" s="1" t="s">
        <v>237</v>
      </c>
    </row>
    <row r="215" spans="2:5" x14ac:dyDescent="0.25">
      <c r="B215" s="1" t="s">
        <v>234</v>
      </c>
      <c r="C215" s="162">
        <v>0.39600000000000002</v>
      </c>
    </row>
    <row r="216" spans="2:5" x14ac:dyDescent="0.25">
      <c r="B216" s="1" t="s">
        <v>235</v>
      </c>
      <c r="C216" s="19">
        <f>C214*C215</f>
        <v>729548.29432301584</v>
      </c>
    </row>
    <row r="217" spans="2:5" x14ac:dyDescent="0.25">
      <c r="B217" s="1" t="s">
        <v>236</v>
      </c>
      <c r="C217" s="8">
        <f>C214-C216</f>
        <v>1112745.3782098526</v>
      </c>
      <c r="D217" s="1" t="s">
        <v>241</v>
      </c>
    </row>
    <row r="219" spans="2:5" x14ac:dyDescent="0.25">
      <c r="B219" s="1" t="s">
        <v>262</v>
      </c>
      <c r="C219" s="15">
        <f>(C217/9-C35)/C35</f>
        <v>0.54547969195812862</v>
      </c>
      <c r="E219" s="19"/>
    </row>
  </sheetData>
  <mergeCells count="25">
    <mergeCell ref="E145:F145"/>
    <mergeCell ref="C144:F144"/>
    <mergeCell ref="C151:D151"/>
    <mergeCell ref="C145:D145"/>
    <mergeCell ref="E158:F158"/>
    <mergeCell ref="C153:D153"/>
    <mergeCell ref="C154:D154"/>
    <mergeCell ref="C155:D155"/>
    <mergeCell ref="C156:D156"/>
    <mergeCell ref="C157:D157"/>
    <mergeCell ref="C158:D158"/>
    <mergeCell ref="E153:F153"/>
    <mergeCell ref="E154:F154"/>
    <mergeCell ref="E155:F155"/>
    <mergeCell ref="E156:F156"/>
    <mergeCell ref="E157:F157"/>
    <mergeCell ref="C152:D152"/>
    <mergeCell ref="E151:F151"/>
    <mergeCell ref="E152:F152"/>
    <mergeCell ref="C146:D146"/>
    <mergeCell ref="C147:D147"/>
    <mergeCell ref="C148:D148"/>
    <mergeCell ref="E146:F146"/>
    <mergeCell ref="E147:F147"/>
    <mergeCell ref="E148:F148"/>
  </mergeCells>
  <phoneticPr fontId="3" type="noConversion"/>
  <pageMargins left="0.7" right="0.7" top="0.75" bottom="0.75" header="0.51180555555555551" footer="0.51180555555555551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workbookViewId="0">
      <selection activeCell="J4" sqref="J4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</cols>
  <sheetData>
    <row r="1" spans="1:12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I1" t="s">
        <v>48</v>
      </c>
      <c r="J1" s="24">
        <v>106000</v>
      </c>
      <c r="L1" t="s">
        <v>52</v>
      </c>
    </row>
    <row r="2" spans="1:12" x14ac:dyDescent="0.2">
      <c r="A2" s="25" t="s">
        <v>53</v>
      </c>
      <c r="B2" s="26">
        <f>J1</f>
        <v>106000</v>
      </c>
      <c r="C2" s="26">
        <f>+E2-D2</f>
        <v>1297.9114545995881</v>
      </c>
      <c r="D2" s="26">
        <f>+B2*$J$2/12</f>
        <v>1060</v>
      </c>
      <c r="E2" s="26">
        <f>$L$5</f>
        <v>2357.9114545995881</v>
      </c>
      <c r="F2" s="26">
        <f>+B2-C2</f>
        <v>104702.08854540042</v>
      </c>
      <c r="G2">
        <v>1</v>
      </c>
      <c r="I2" t="s">
        <v>54</v>
      </c>
      <c r="J2" s="27">
        <v>0.12</v>
      </c>
      <c r="L2">
        <f>J2/12</f>
        <v>0.01</v>
      </c>
    </row>
    <row r="3" spans="1:12" x14ac:dyDescent="0.2">
      <c r="A3" s="25" t="s">
        <v>55</v>
      </c>
      <c r="B3" s="26">
        <f t="shared" ref="B3:B13" si="0">+F2</f>
        <v>104702.08854540042</v>
      </c>
      <c r="C3" s="26">
        <f t="shared" ref="C3:C13" si="1">+E3-D3</f>
        <v>1310.8905691455839</v>
      </c>
      <c r="D3" s="26">
        <f t="shared" ref="D3:D13" si="2">+B3*$J$2/12</f>
        <v>1047.0208854540042</v>
      </c>
      <c r="E3" s="26">
        <f t="shared" ref="E3:E13" si="3">$L$5</f>
        <v>2357.9114545995881</v>
      </c>
      <c r="F3" s="26">
        <f t="shared" ref="F3:F13" si="4">+B3-C3</f>
        <v>103391.19797625483</v>
      </c>
      <c r="G3">
        <v>2</v>
      </c>
      <c r="I3" t="s">
        <v>56</v>
      </c>
      <c r="J3">
        <v>5</v>
      </c>
      <c r="L3">
        <f>J3*12</f>
        <v>60</v>
      </c>
    </row>
    <row r="4" spans="1:12" x14ac:dyDescent="0.2">
      <c r="A4" s="25" t="s">
        <v>57</v>
      </c>
      <c r="B4" s="26">
        <f t="shared" si="0"/>
        <v>103391.19797625483</v>
      </c>
      <c r="C4" s="26">
        <f t="shared" si="1"/>
        <v>1323.9994748370398</v>
      </c>
      <c r="D4" s="26">
        <f t="shared" si="2"/>
        <v>1033.9119797625483</v>
      </c>
      <c r="E4" s="26">
        <f t="shared" si="3"/>
        <v>2357.9114545995881</v>
      </c>
      <c r="F4" s="26">
        <f t="shared" si="4"/>
        <v>102067.19850141779</v>
      </c>
      <c r="G4">
        <v>3</v>
      </c>
    </row>
    <row r="5" spans="1:12" x14ac:dyDescent="0.2">
      <c r="A5" s="25" t="s">
        <v>58</v>
      </c>
      <c r="B5" s="26">
        <f t="shared" si="0"/>
        <v>102067.19850141779</v>
      </c>
      <c r="C5" s="26">
        <f t="shared" si="1"/>
        <v>1337.23946958541</v>
      </c>
      <c r="D5" s="26">
        <f t="shared" si="2"/>
        <v>1020.6719850141779</v>
      </c>
      <c r="E5" s="26">
        <f t="shared" si="3"/>
        <v>2357.9114545995881</v>
      </c>
      <c r="F5" s="26">
        <f t="shared" si="4"/>
        <v>100729.95903183238</v>
      </c>
      <c r="G5">
        <v>4</v>
      </c>
      <c r="I5" t="s">
        <v>50</v>
      </c>
      <c r="L5" s="28">
        <f>PMT(L2,L3,-J1,,0)</f>
        <v>2357.9114545995881</v>
      </c>
    </row>
    <row r="6" spans="1:12" x14ac:dyDescent="0.2">
      <c r="A6" s="25" t="s">
        <v>59</v>
      </c>
      <c r="B6" s="26">
        <f t="shared" si="0"/>
        <v>100729.95903183238</v>
      </c>
      <c r="C6" s="26">
        <f t="shared" si="1"/>
        <v>1350.6118642812644</v>
      </c>
      <c r="D6" s="26">
        <f t="shared" si="2"/>
        <v>1007.2995903183237</v>
      </c>
      <c r="E6" s="26">
        <f t="shared" si="3"/>
        <v>2357.9114545995881</v>
      </c>
      <c r="F6" s="26">
        <f t="shared" si="4"/>
        <v>99379.34716755111</v>
      </c>
      <c r="G6">
        <v>5</v>
      </c>
    </row>
    <row r="7" spans="1:12" x14ac:dyDescent="0.2">
      <c r="A7" s="25" t="s">
        <v>60</v>
      </c>
      <c r="B7" s="26">
        <f t="shared" si="0"/>
        <v>99379.34716755111</v>
      </c>
      <c r="C7" s="26">
        <f t="shared" si="1"/>
        <v>1364.1179829240768</v>
      </c>
      <c r="D7" s="26">
        <f t="shared" si="2"/>
        <v>993.79347167551111</v>
      </c>
      <c r="E7" s="26">
        <f t="shared" si="3"/>
        <v>2357.9114545995881</v>
      </c>
      <c r="F7" s="26">
        <f t="shared" si="4"/>
        <v>98015.229184627038</v>
      </c>
      <c r="G7">
        <v>6</v>
      </c>
    </row>
    <row r="8" spans="1:12" x14ac:dyDescent="0.2">
      <c r="A8" s="25" t="s">
        <v>61</v>
      </c>
      <c r="B8" s="26">
        <f t="shared" si="0"/>
        <v>98015.229184627038</v>
      </c>
      <c r="C8" s="26">
        <f t="shared" si="1"/>
        <v>1377.7591627533179</v>
      </c>
      <c r="D8" s="26">
        <f t="shared" si="2"/>
        <v>980.15229184627026</v>
      </c>
      <c r="E8" s="26">
        <f t="shared" si="3"/>
        <v>2357.9114545995881</v>
      </c>
      <c r="F8" s="26">
        <f t="shared" si="4"/>
        <v>96637.470021873727</v>
      </c>
      <c r="G8">
        <v>7</v>
      </c>
    </row>
    <row r="9" spans="1:12" x14ac:dyDescent="0.2">
      <c r="A9" s="25" t="s">
        <v>62</v>
      </c>
      <c r="B9" s="26">
        <f t="shared" si="0"/>
        <v>96637.470021873727</v>
      </c>
      <c r="C9" s="26">
        <f t="shared" si="1"/>
        <v>1391.5367543808507</v>
      </c>
      <c r="D9" s="26">
        <f t="shared" si="2"/>
        <v>966.3747002187373</v>
      </c>
      <c r="E9" s="26">
        <f t="shared" si="3"/>
        <v>2357.9114545995881</v>
      </c>
      <c r="F9" s="26">
        <f t="shared" si="4"/>
        <v>95245.933267492874</v>
      </c>
      <c r="G9">
        <v>8</v>
      </c>
    </row>
    <row r="10" spans="1:12" x14ac:dyDescent="0.2">
      <c r="A10" s="25" t="s">
        <v>63</v>
      </c>
      <c r="B10" s="26">
        <f t="shared" si="0"/>
        <v>95245.933267492874</v>
      </c>
      <c r="C10" s="26">
        <f t="shared" si="1"/>
        <v>1405.4521219246594</v>
      </c>
      <c r="D10" s="26">
        <f t="shared" si="2"/>
        <v>952.45933267492865</v>
      </c>
      <c r="E10" s="26">
        <f t="shared" si="3"/>
        <v>2357.9114545995881</v>
      </c>
      <c r="F10" s="26">
        <f t="shared" si="4"/>
        <v>93840.481145568221</v>
      </c>
      <c r="G10">
        <v>9</v>
      </c>
      <c r="I10" s="29" t="s">
        <v>64</v>
      </c>
    </row>
    <row r="11" spans="1:12" x14ac:dyDescent="0.2">
      <c r="A11" s="25" t="s">
        <v>65</v>
      </c>
      <c r="B11" s="26">
        <f t="shared" si="0"/>
        <v>93840.481145568221</v>
      </c>
      <c r="C11" s="26">
        <f t="shared" si="1"/>
        <v>1419.5066431439059</v>
      </c>
      <c r="D11" s="26">
        <f t="shared" si="2"/>
        <v>938.40481145568219</v>
      </c>
      <c r="E11" s="26">
        <f t="shared" si="3"/>
        <v>2357.9114545995881</v>
      </c>
      <c r="F11" s="26">
        <f t="shared" si="4"/>
        <v>92420.974502424317</v>
      </c>
      <c r="G11">
        <v>10</v>
      </c>
    </row>
    <row r="12" spans="1:12" x14ac:dyDescent="0.2">
      <c r="A12" s="25" t="s">
        <v>66</v>
      </c>
      <c r="B12" s="26">
        <f t="shared" si="0"/>
        <v>92420.974502424317</v>
      </c>
      <c r="C12" s="26">
        <f t="shared" si="1"/>
        <v>1433.7017095753449</v>
      </c>
      <c r="D12" s="26">
        <f t="shared" si="2"/>
        <v>924.20974502424315</v>
      </c>
      <c r="E12" s="26">
        <f t="shared" si="3"/>
        <v>2357.9114545995881</v>
      </c>
      <c r="F12" s="26">
        <f t="shared" si="4"/>
        <v>90987.272792848977</v>
      </c>
      <c r="G12">
        <v>11</v>
      </c>
      <c r="I12" t="s">
        <v>48</v>
      </c>
      <c r="J12" t="s">
        <v>67</v>
      </c>
    </row>
    <row r="13" spans="1:12" ht="15" x14ac:dyDescent="0.25">
      <c r="A13" s="25" t="s">
        <v>68</v>
      </c>
      <c r="B13" s="26">
        <f t="shared" si="0"/>
        <v>90987.272792848977</v>
      </c>
      <c r="C13" s="26">
        <f t="shared" si="1"/>
        <v>1448.0387266710982</v>
      </c>
      <c r="D13" s="26">
        <f t="shared" si="2"/>
        <v>909.87272792848978</v>
      </c>
      <c r="E13" s="26">
        <f t="shared" si="3"/>
        <v>2357.9114545995881</v>
      </c>
      <c r="F13" s="30">
        <f t="shared" si="4"/>
        <v>89539.234066177873</v>
      </c>
      <c r="G13">
        <v>12</v>
      </c>
      <c r="I13" s="31">
        <f>$B$2+CUMPRINC($L$2,$L$3,$B$2,G2,G13,0)</f>
        <v>89539.234066177858</v>
      </c>
      <c r="J13" s="32">
        <f>-CUMIPMT($L$2,$L$3,$B$2,G2,G13,0)</f>
        <v>11834.171521372915</v>
      </c>
    </row>
    <row r="14" spans="1:12" x14ac:dyDescent="0.2">
      <c r="A14" s="33" t="s">
        <v>69</v>
      </c>
      <c r="B14" s="33"/>
      <c r="C14" s="34">
        <f>SUM(C2:C13)</f>
        <v>16460.765933822142</v>
      </c>
      <c r="D14" s="30">
        <f>SUM(D2:D13)</f>
        <v>11834.171521372919</v>
      </c>
      <c r="E14" s="26">
        <f>SUM(E2:E13)</f>
        <v>28294.93745519505</v>
      </c>
      <c r="F14" s="26"/>
    </row>
    <row r="15" spans="1:12" x14ac:dyDescent="0.2">
      <c r="A15" s="25"/>
      <c r="B15" s="25"/>
      <c r="C15" s="26"/>
      <c r="D15" s="26"/>
      <c r="E15" s="26"/>
      <c r="F15" s="26"/>
    </row>
    <row r="16" spans="1:12" x14ac:dyDescent="0.2">
      <c r="A16" s="25" t="s">
        <v>70</v>
      </c>
      <c r="B16" s="26">
        <f>+F13</f>
        <v>89539.234066177873</v>
      </c>
      <c r="C16" s="26">
        <f t="shared" ref="C16:C27" si="5">+E16-D16</f>
        <v>1462.5191139378094</v>
      </c>
      <c r="D16" s="26">
        <f>+B16*$J$2/12</f>
        <v>895.39234066177869</v>
      </c>
      <c r="E16" s="26">
        <f>$L$5</f>
        <v>2357.9114545995881</v>
      </c>
      <c r="F16" s="26">
        <f t="shared" ref="F16:F27" si="6">+B16-C16</f>
        <v>88076.714952240058</v>
      </c>
      <c r="G16">
        <v>13</v>
      </c>
    </row>
    <row r="17" spans="1:10" x14ac:dyDescent="0.2">
      <c r="A17" s="25" t="s">
        <v>71</v>
      </c>
      <c r="B17" s="26">
        <f t="shared" ref="B17:B27" si="7">+F16</f>
        <v>88076.714952240058</v>
      </c>
      <c r="C17" s="26">
        <f t="shared" si="5"/>
        <v>1477.1443050771877</v>
      </c>
      <c r="D17" s="26">
        <f t="shared" ref="D17:D27" si="8">+B17*$J$2/12</f>
        <v>880.76714952240047</v>
      </c>
      <c r="E17" s="26">
        <f t="shared" ref="E17:E27" si="9">$L$5</f>
        <v>2357.9114545995881</v>
      </c>
      <c r="F17" s="26">
        <f t="shared" si="6"/>
        <v>86599.570647162865</v>
      </c>
      <c r="G17">
        <v>14</v>
      </c>
      <c r="J17" s="24"/>
    </row>
    <row r="18" spans="1:10" x14ac:dyDescent="0.2">
      <c r="A18" s="25" t="s">
        <v>72</v>
      </c>
      <c r="B18" s="26">
        <f t="shared" si="7"/>
        <v>86599.570647162865</v>
      </c>
      <c r="C18" s="26">
        <f t="shared" si="5"/>
        <v>1491.9157481279594</v>
      </c>
      <c r="D18" s="26">
        <f t="shared" si="8"/>
        <v>865.99570647162864</v>
      </c>
      <c r="E18" s="26">
        <f t="shared" si="9"/>
        <v>2357.9114545995881</v>
      </c>
      <c r="F18" s="26">
        <f t="shared" si="6"/>
        <v>85107.654899034911</v>
      </c>
      <c r="G18">
        <v>15</v>
      </c>
    </row>
    <row r="19" spans="1:10" x14ac:dyDescent="0.2">
      <c r="A19" s="25" t="s">
        <v>73</v>
      </c>
      <c r="B19" s="26">
        <f t="shared" si="7"/>
        <v>85107.654899034911</v>
      </c>
      <c r="C19" s="26">
        <f t="shared" si="5"/>
        <v>1506.8349056092388</v>
      </c>
      <c r="D19" s="26">
        <f t="shared" si="8"/>
        <v>851.07654899034912</v>
      </c>
      <c r="E19" s="26">
        <f t="shared" si="9"/>
        <v>2357.9114545995881</v>
      </c>
      <c r="F19" s="26">
        <f t="shared" si="6"/>
        <v>83600.81999342567</v>
      </c>
      <c r="G19">
        <v>16</v>
      </c>
    </row>
    <row r="20" spans="1:10" x14ac:dyDescent="0.2">
      <c r="A20" s="25" t="s">
        <v>74</v>
      </c>
      <c r="B20" s="26">
        <f t="shared" si="7"/>
        <v>83600.81999342567</v>
      </c>
      <c r="C20" s="26">
        <f t="shared" si="5"/>
        <v>1521.9032546653316</v>
      </c>
      <c r="D20" s="26">
        <f t="shared" si="8"/>
        <v>836.0081999342566</v>
      </c>
      <c r="E20" s="26">
        <f t="shared" si="9"/>
        <v>2357.9114545995881</v>
      </c>
      <c r="F20" s="26">
        <f t="shared" si="6"/>
        <v>82078.916738760337</v>
      </c>
      <c r="G20">
        <v>17</v>
      </c>
    </row>
    <row r="21" spans="1:10" x14ac:dyDescent="0.2">
      <c r="A21" s="25" t="s">
        <v>75</v>
      </c>
      <c r="B21" s="26">
        <f t="shared" si="7"/>
        <v>82078.916738760337</v>
      </c>
      <c r="C21" s="26">
        <f t="shared" si="5"/>
        <v>1537.1222872119847</v>
      </c>
      <c r="D21" s="26">
        <f t="shared" si="8"/>
        <v>820.78916738760336</v>
      </c>
      <c r="E21" s="26">
        <f t="shared" si="9"/>
        <v>2357.9114545995881</v>
      </c>
      <c r="F21" s="26">
        <f t="shared" si="6"/>
        <v>80541.794451548354</v>
      </c>
      <c r="G21">
        <v>18</v>
      </c>
    </row>
    <row r="22" spans="1:10" x14ac:dyDescent="0.2">
      <c r="A22" s="25" t="s">
        <v>76</v>
      </c>
      <c r="B22" s="26">
        <f t="shared" si="7"/>
        <v>80541.794451548354</v>
      </c>
      <c r="C22" s="26">
        <f t="shared" si="5"/>
        <v>1552.4935100841044</v>
      </c>
      <c r="D22" s="26">
        <f t="shared" si="8"/>
        <v>805.41794451548355</v>
      </c>
      <c r="E22" s="26">
        <f t="shared" si="9"/>
        <v>2357.9114545995881</v>
      </c>
      <c r="F22" s="26">
        <f t="shared" si="6"/>
        <v>78989.300941464244</v>
      </c>
      <c r="G22">
        <v>19</v>
      </c>
    </row>
    <row r="23" spans="1:10" x14ac:dyDescent="0.2">
      <c r="A23" s="25" t="s">
        <v>77</v>
      </c>
      <c r="B23" s="26">
        <f t="shared" si="7"/>
        <v>78989.300941464244</v>
      </c>
      <c r="C23" s="26">
        <f t="shared" si="5"/>
        <v>1568.0184451849454</v>
      </c>
      <c r="D23" s="26">
        <f t="shared" si="8"/>
        <v>789.89300941464251</v>
      </c>
      <c r="E23" s="26">
        <f t="shared" si="9"/>
        <v>2357.9114545995881</v>
      </c>
      <c r="F23" s="26">
        <f t="shared" si="6"/>
        <v>77421.282496279295</v>
      </c>
      <c r="G23">
        <v>20</v>
      </c>
    </row>
    <row r="24" spans="1:10" x14ac:dyDescent="0.2">
      <c r="A24" s="25" t="s">
        <v>78</v>
      </c>
      <c r="B24" s="26">
        <f t="shared" si="7"/>
        <v>77421.282496279295</v>
      </c>
      <c r="C24" s="26">
        <f t="shared" si="5"/>
        <v>1583.698629636795</v>
      </c>
      <c r="D24" s="26">
        <f t="shared" si="8"/>
        <v>774.21282496279298</v>
      </c>
      <c r="E24" s="26">
        <f t="shared" si="9"/>
        <v>2357.9114545995881</v>
      </c>
      <c r="F24" s="26">
        <f t="shared" si="6"/>
        <v>75837.583866642497</v>
      </c>
      <c r="G24">
        <v>21</v>
      </c>
    </row>
    <row r="25" spans="1:10" x14ac:dyDescent="0.2">
      <c r="A25" s="25" t="s">
        <v>79</v>
      </c>
      <c r="B25" s="26">
        <f t="shared" si="7"/>
        <v>75837.583866642497</v>
      </c>
      <c r="C25" s="26">
        <f t="shared" si="5"/>
        <v>1599.5356159331632</v>
      </c>
      <c r="D25" s="26">
        <f t="shared" si="8"/>
        <v>758.3758386664249</v>
      </c>
      <c r="E25" s="26">
        <f t="shared" si="9"/>
        <v>2357.9114545995881</v>
      </c>
      <c r="F25" s="26">
        <f t="shared" si="6"/>
        <v>74238.04825070934</v>
      </c>
      <c r="G25">
        <v>22</v>
      </c>
    </row>
    <row r="26" spans="1:10" x14ac:dyDescent="0.2">
      <c r="A26" s="25" t="s">
        <v>80</v>
      </c>
      <c r="B26" s="26">
        <f t="shared" si="7"/>
        <v>74238.04825070934</v>
      </c>
      <c r="C26" s="26">
        <f t="shared" si="5"/>
        <v>1615.5309720924947</v>
      </c>
      <c r="D26" s="26">
        <f t="shared" si="8"/>
        <v>742.38048250709335</v>
      </c>
      <c r="E26" s="26">
        <f t="shared" si="9"/>
        <v>2357.9114545995881</v>
      </c>
      <c r="F26" s="26">
        <f t="shared" si="6"/>
        <v>72622.51727861684</v>
      </c>
      <c r="G26">
        <v>23</v>
      </c>
      <c r="I26" t="s">
        <v>48</v>
      </c>
      <c r="J26" t="s">
        <v>67</v>
      </c>
    </row>
    <row r="27" spans="1:10" ht="15" x14ac:dyDescent="0.25">
      <c r="A27" s="25" t="s">
        <v>81</v>
      </c>
      <c r="B27" s="26">
        <f t="shared" si="7"/>
        <v>72622.51727861684</v>
      </c>
      <c r="C27" s="26">
        <f t="shared" si="5"/>
        <v>1631.6862818134196</v>
      </c>
      <c r="D27" s="26">
        <f t="shared" si="8"/>
        <v>726.2251727861684</v>
      </c>
      <c r="E27" s="26">
        <f t="shared" si="9"/>
        <v>2357.9114545995881</v>
      </c>
      <c r="F27" s="34">
        <f t="shared" si="6"/>
        <v>70990.830996803415</v>
      </c>
      <c r="G27">
        <v>24</v>
      </c>
      <c r="I27" s="31">
        <f>$B$2+CUMPRINC($L$2,$L$3,$B$2,G2,G27,0)</f>
        <v>70990.830996803415</v>
      </c>
      <c r="J27" s="32">
        <f>-CUMIPMT($L$2,$L$3,$B$2,G16,G27,0)</f>
        <v>9746.5343858206179</v>
      </c>
    </row>
    <row r="28" spans="1:10" x14ac:dyDescent="0.2">
      <c r="A28" s="33" t="s">
        <v>69</v>
      </c>
      <c r="B28" s="33"/>
      <c r="C28" s="34">
        <f>SUM(C16:C27)</f>
        <v>18548.403069374435</v>
      </c>
      <c r="D28" s="34">
        <f>SUM(D16:D27)</f>
        <v>9746.5343858206215</v>
      </c>
      <c r="E28" s="26"/>
      <c r="F28" s="26"/>
    </row>
    <row r="29" spans="1:10" x14ac:dyDescent="0.2">
      <c r="A29" s="25"/>
      <c r="B29" s="25"/>
      <c r="C29" s="26"/>
      <c r="D29" s="26"/>
      <c r="E29" s="26"/>
      <c r="F29" s="26"/>
    </row>
    <row r="30" spans="1:10" x14ac:dyDescent="0.2">
      <c r="A30" s="25" t="s">
        <v>82</v>
      </c>
      <c r="B30" s="26">
        <f>+F27</f>
        <v>70990.830996803415</v>
      </c>
      <c r="C30" s="26">
        <f t="shared" ref="C30:C41" si="10">+E30-D30</f>
        <v>1648.0031446315538</v>
      </c>
      <c r="D30" s="26">
        <f>+B30*$J$2/12</f>
        <v>709.90830996803413</v>
      </c>
      <c r="E30" s="26">
        <f>$L$5</f>
        <v>2357.9114545995881</v>
      </c>
      <c r="F30" s="26">
        <f t="shared" ref="F30:F41" si="11">+B30-C30</f>
        <v>69342.82785217186</v>
      </c>
      <c r="G30">
        <v>25</v>
      </c>
    </row>
    <row r="31" spans="1:10" x14ac:dyDescent="0.2">
      <c r="A31" s="25" t="s">
        <v>83</v>
      </c>
      <c r="B31" s="26">
        <f t="shared" ref="B31:B41" si="12">+F30</f>
        <v>69342.82785217186</v>
      </c>
      <c r="C31" s="26">
        <f t="shared" si="10"/>
        <v>1664.4831760778693</v>
      </c>
      <c r="D31" s="26">
        <f t="shared" ref="D31:D41" si="13">+B31*$J$2/12</f>
        <v>693.42827852171865</v>
      </c>
      <c r="E31" s="26">
        <f t="shared" ref="E31:E41" si="14">$L$5</f>
        <v>2357.9114545995881</v>
      </c>
      <c r="F31" s="26">
        <f t="shared" si="11"/>
        <v>67678.344676093984</v>
      </c>
      <c r="G31">
        <v>26</v>
      </c>
    </row>
    <row r="32" spans="1:10" x14ac:dyDescent="0.2">
      <c r="A32" s="25" t="s">
        <v>84</v>
      </c>
      <c r="B32" s="26">
        <f t="shared" si="12"/>
        <v>67678.344676093984</v>
      </c>
      <c r="C32" s="26">
        <f t="shared" si="10"/>
        <v>1681.1280078386483</v>
      </c>
      <c r="D32" s="26">
        <f t="shared" si="13"/>
        <v>676.7834467609398</v>
      </c>
      <c r="E32" s="26">
        <f t="shared" si="14"/>
        <v>2357.9114545995881</v>
      </c>
      <c r="F32" s="26">
        <f t="shared" si="11"/>
        <v>65997.216668255336</v>
      </c>
      <c r="G32">
        <v>27</v>
      </c>
    </row>
    <row r="33" spans="1:10" x14ac:dyDescent="0.2">
      <c r="A33" s="25" t="s">
        <v>85</v>
      </c>
      <c r="B33" s="26">
        <f t="shared" si="12"/>
        <v>65997.216668255336</v>
      </c>
      <c r="C33" s="26">
        <f t="shared" si="10"/>
        <v>1697.9392879170346</v>
      </c>
      <c r="D33" s="26">
        <f t="shared" si="13"/>
        <v>659.97216668255339</v>
      </c>
      <c r="E33" s="26">
        <f t="shared" si="14"/>
        <v>2357.9114545995881</v>
      </c>
      <c r="F33" s="26">
        <f t="shared" si="11"/>
        <v>64299.277380338302</v>
      </c>
      <c r="G33">
        <v>28</v>
      </c>
    </row>
    <row r="34" spans="1:10" x14ac:dyDescent="0.2">
      <c r="A34" s="25" t="s">
        <v>86</v>
      </c>
      <c r="B34" s="26">
        <f t="shared" si="12"/>
        <v>64299.277380338302</v>
      </c>
      <c r="C34" s="26">
        <f t="shared" si="10"/>
        <v>1714.9186807962051</v>
      </c>
      <c r="D34" s="26">
        <f t="shared" si="13"/>
        <v>642.99277380338299</v>
      </c>
      <c r="E34" s="26">
        <f t="shared" si="14"/>
        <v>2357.9114545995881</v>
      </c>
      <c r="F34" s="26">
        <f t="shared" si="11"/>
        <v>62584.358699542099</v>
      </c>
      <c r="G34">
        <v>29</v>
      </c>
    </row>
    <row r="35" spans="1:10" x14ac:dyDescent="0.2">
      <c r="A35" s="25" t="s">
        <v>87</v>
      </c>
      <c r="B35" s="26">
        <f t="shared" si="12"/>
        <v>62584.358699542099</v>
      </c>
      <c r="C35" s="26">
        <f t="shared" si="10"/>
        <v>1732.0678676041671</v>
      </c>
      <c r="D35" s="26">
        <f t="shared" si="13"/>
        <v>625.84358699542099</v>
      </c>
      <c r="E35" s="26">
        <f t="shared" si="14"/>
        <v>2357.9114545995881</v>
      </c>
      <c r="F35" s="26">
        <f t="shared" si="11"/>
        <v>60852.290831937935</v>
      </c>
      <c r="G35">
        <v>30</v>
      </c>
    </row>
    <row r="36" spans="1:10" x14ac:dyDescent="0.2">
      <c r="A36" s="25" t="s">
        <v>88</v>
      </c>
      <c r="B36" s="26">
        <f t="shared" si="12"/>
        <v>60852.290831937935</v>
      </c>
      <c r="C36" s="26">
        <f t="shared" si="10"/>
        <v>1749.3885462802086</v>
      </c>
      <c r="D36" s="26">
        <f t="shared" si="13"/>
        <v>608.52290831937933</v>
      </c>
      <c r="E36" s="26">
        <f t="shared" si="14"/>
        <v>2357.9114545995881</v>
      </c>
      <c r="F36" s="26">
        <f t="shared" si="11"/>
        <v>59102.902285657728</v>
      </c>
      <c r="G36">
        <v>31</v>
      </c>
    </row>
    <row r="37" spans="1:10" x14ac:dyDescent="0.2">
      <c r="A37" s="25" t="s">
        <v>89</v>
      </c>
      <c r="B37" s="26">
        <f t="shared" si="12"/>
        <v>59102.902285657728</v>
      </c>
      <c r="C37" s="26">
        <f t="shared" si="10"/>
        <v>1766.8824317430108</v>
      </c>
      <c r="D37" s="26">
        <f t="shared" si="13"/>
        <v>591.02902285657728</v>
      </c>
      <c r="E37" s="26">
        <f t="shared" si="14"/>
        <v>2357.9114545995881</v>
      </c>
      <c r="F37" s="26">
        <f t="shared" si="11"/>
        <v>57336.019853914717</v>
      </c>
      <c r="G37">
        <v>32</v>
      </c>
    </row>
    <row r="38" spans="1:10" x14ac:dyDescent="0.2">
      <c r="A38" s="25" t="s">
        <v>90</v>
      </c>
      <c r="B38" s="26">
        <f t="shared" si="12"/>
        <v>57336.019853914717</v>
      </c>
      <c r="C38" s="26">
        <f t="shared" si="10"/>
        <v>1784.5512560604409</v>
      </c>
      <c r="D38" s="26">
        <f t="shared" si="13"/>
        <v>573.36019853914718</v>
      </c>
      <c r="E38" s="26">
        <f t="shared" si="14"/>
        <v>2357.9114545995881</v>
      </c>
      <c r="F38" s="26">
        <f t="shared" si="11"/>
        <v>55551.468597854277</v>
      </c>
      <c r="G38">
        <v>33</v>
      </c>
    </row>
    <row r="39" spans="1:10" x14ac:dyDescent="0.2">
      <c r="A39" s="25" t="s">
        <v>91</v>
      </c>
      <c r="B39" s="26">
        <f t="shared" si="12"/>
        <v>55551.468597854277</v>
      </c>
      <c r="C39" s="26">
        <f t="shared" si="10"/>
        <v>1802.3967686210453</v>
      </c>
      <c r="D39" s="26">
        <f t="shared" si="13"/>
        <v>555.51468597854273</v>
      </c>
      <c r="E39" s="26">
        <f t="shared" si="14"/>
        <v>2357.9114545995881</v>
      </c>
      <c r="F39" s="26">
        <f t="shared" si="11"/>
        <v>53749.071829233231</v>
      </c>
      <c r="G39">
        <v>34</v>
      </c>
    </row>
    <row r="40" spans="1:10" x14ac:dyDescent="0.2">
      <c r="A40" s="25" t="s">
        <v>92</v>
      </c>
      <c r="B40" s="26">
        <f t="shared" si="12"/>
        <v>53749.071829233231</v>
      </c>
      <c r="C40" s="26">
        <f t="shared" si="10"/>
        <v>1820.4207363072558</v>
      </c>
      <c r="D40" s="26">
        <f t="shared" si="13"/>
        <v>537.4907182923323</v>
      </c>
      <c r="E40" s="26">
        <f t="shared" si="14"/>
        <v>2357.9114545995881</v>
      </c>
      <c r="F40" s="26">
        <f t="shared" si="11"/>
        <v>51928.651092925975</v>
      </c>
      <c r="G40">
        <v>35</v>
      </c>
      <c r="I40" t="s">
        <v>48</v>
      </c>
      <c r="J40" t="s">
        <v>67</v>
      </c>
    </row>
    <row r="41" spans="1:10" ht="15" x14ac:dyDescent="0.25">
      <c r="A41" s="25" t="s">
        <v>93</v>
      </c>
      <c r="B41" s="26">
        <f t="shared" si="12"/>
        <v>51928.651092925975</v>
      </c>
      <c r="C41" s="26">
        <f t="shared" si="10"/>
        <v>1838.6249436703283</v>
      </c>
      <c r="D41" s="26">
        <f t="shared" si="13"/>
        <v>519.28651092925975</v>
      </c>
      <c r="E41" s="26">
        <f t="shared" si="14"/>
        <v>2357.9114545995881</v>
      </c>
      <c r="F41" s="34">
        <f t="shared" si="11"/>
        <v>50090.026149255646</v>
      </c>
      <c r="G41">
        <v>36</v>
      </c>
      <c r="I41" s="31">
        <f>$B$2+CUMPRINC($L$2,$L$3,$B$2,G2,G41,0)</f>
        <v>50090.026149255646</v>
      </c>
      <c r="J41" s="32">
        <f>-CUMIPMT($L$2,$L$3,$B$2,G30,G41,0)</f>
        <v>7394.1326076472869</v>
      </c>
    </row>
    <row r="42" spans="1:10" x14ac:dyDescent="0.2">
      <c r="A42" s="33" t="s">
        <v>69</v>
      </c>
      <c r="B42" s="33"/>
      <c r="C42" s="34">
        <f>SUM(C30:C41)</f>
        <v>20900.804847547766</v>
      </c>
      <c r="D42" s="34">
        <f>SUM(D30:D41)</f>
        <v>7394.1326076472888</v>
      </c>
      <c r="E42" s="26"/>
      <c r="F42" s="26"/>
    </row>
    <row r="43" spans="1:10" x14ac:dyDescent="0.2">
      <c r="A43" s="25"/>
      <c r="B43" s="25"/>
      <c r="C43" s="26"/>
      <c r="D43" s="26"/>
      <c r="E43" s="26"/>
      <c r="F43" s="26"/>
    </row>
    <row r="44" spans="1:10" x14ac:dyDescent="0.2">
      <c r="A44" s="25" t="s">
        <v>94</v>
      </c>
      <c r="B44" s="26">
        <f>+F41</f>
        <v>50090.026149255646</v>
      </c>
      <c r="C44" s="26">
        <f t="shared" ref="C44:C55" si="15">+E44-D44</f>
        <v>1857.0111931070317</v>
      </c>
      <c r="D44" s="26">
        <f>+B44*$J$2/12</f>
        <v>500.90026149255641</v>
      </c>
      <c r="E44" s="26">
        <f>$L$5</f>
        <v>2357.9114545995881</v>
      </c>
      <c r="F44" s="26">
        <f t="shared" ref="F44:F55" si="16">+B44-C44</f>
        <v>48233.014956148611</v>
      </c>
      <c r="G44">
        <v>37</v>
      </c>
    </row>
    <row r="45" spans="1:10" x14ac:dyDescent="0.2">
      <c r="A45" s="25" t="s">
        <v>95</v>
      </c>
      <c r="B45" s="26">
        <f t="shared" ref="B45:B55" si="17">+F44</f>
        <v>48233.014956148611</v>
      </c>
      <c r="C45" s="26">
        <f t="shared" si="15"/>
        <v>1875.5813050381021</v>
      </c>
      <c r="D45" s="26">
        <f t="shared" ref="D45:D55" si="18">+B45*$J$2/12</f>
        <v>482.33014956148605</v>
      </c>
      <c r="E45" s="26">
        <f t="shared" ref="E45:E55" si="19">$L$5</f>
        <v>2357.9114545995881</v>
      </c>
      <c r="F45" s="26">
        <f t="shared" si="16"/>
        <v>46357.433651110507</v>
      </c>
      <c r="G45">
        <v>38</v>
      </c>
    </row>
    <row r="46" spans="1:10" x14ac:dyDescent="0.2">
      <c r="A46" s="25" t="s">
        <v>96</v>
      </c>
      <c r="B46" s="26">
        <f t="shared" si="17"/>
        <v>46357.433651110507</v>
      </c>
      <c r="C46" s="26">
        <f t="shared" si="15"/>
        <v>1894.3371180884831</v>
      </c>
      <c r="D46" s="26">
        <f t="shared" si="18"/>
        <v>463.57433651110506</v>
      </c>
      <c r="E46" s="26">
        <f t="shared" si="19"/>
        <v>2357.9114545995881</v>
      </c>
      <c r="F46" s="26">
        <f t="shared" si="16"/>
        <v>44463.096533022021</v>
      </c>
      <c r="G46">
        <v>39</v>
      </c>
    </row>
    <row r="47" spans="1:10" x14ac:dyDescent="0.2">
      <c r="A47" s="25" t="s">
        <v>97</v>
      </c>
      <c r="B47" s="26">
        <f t="shared" si="17"/>
        <v>44463.096533022021</v>
      </c>
      <c r="C47" s="26">
        <f t="shared" si="15"/>
        <v>1913.280489269368</v>
      </c>
      <c r="D47" s="26">
        <f t="shared" si="18"/>
        <v>444.63096533022014</v>
      </c>
      <c r="E47" s="26">
        <f t="shared" si="19"/>
        <v>2357.9114545995881</v>
      </c>
      <c r="F47" s="26">
        <f t="shared" si="16"/>
        <v>42549.816043752653</v>
      </c>
      <c r="G47">
        <v>40</v>
      </c>
    </row>
    <row r="48" spans="1:10" x14ac:dyDescent="0.2">
      <c r="A48" s="25" t="s">
        <v>98</v>
      </c>
      <c r="B48" s="26">
        <f t="shared" si="17"/>
        <v>42549.816043752653</v>
      </c>
      <c r="C48" s="26">
        <f t="shared" si="15"/>
        <v>1932.4132941620614</v>
      </c>
      <c r="D48" s="26">
        <f t="shared" si="18"/>
        <v>425.49816043752656</v>
      </c>
      <c r="E48" s="26">
        <f t="shared" si="19"/>
        <v>2357.9114545995881</v>
      </c>
      <c r="F48" s="26">
        <f t="shared" si="16"/>
        <v>40617.40274959059</v>
      </c>
      <c r="G48">
        <v>41</v>
      </c>
    </row>
    <row r="49" spans="1:10" x14ac:dyDescent="0.2">
      <c r="A49" s="25" t="s">
        <v>99</v>
      </c>
      <c r="B49" s="26">
        <f t="shared" si="17"/>
        <v>40617.40274959059</v>
      </c>
      <c r="C49" s="26">
        <f t="shared" si="15"/>
        <v>1951.7374271036822</v>
      </c>
      <c r="D49" s="26">
        <f t="shared" si="18"/>
        <v>406.17402749590588</v>
      </c>
      <c r="E49" s="26">
        <f t="shared" si="19"/>
        <v>2357.9114545995881</v>
      </c>
      <c r="F49" s="26">
        <f t="shared" si="16"/>
        <v>38665.665322486908</v>
      </c>
      <c r="G49">
        <v>42</v>
      </c>
    </row>
    <row r="50" spans="1:10" x14ac:dyDescent="0.2">
      <c r="A50" s="25" t="s">
        <v>100</v>
      </c>
      <c r="B50" s="26">
        <f t="shared" si="17"/>
        <v>38665.665322486908</v>
      </c>
      <c r="C50" s="26">
        <f t="shared" si="15"/>
        <v>1971.2548013747189</v>
      </c>
      <c r="D50" s="26">
        <f t="shared" si="18"/>
        <v>386.6566532248691</v>
      </c>
      <c r="E50" s="26">
        <f t="shared" si="19"/>
        <v>2357.9114545995881</v>
      </c>
      <c r="F50" s="26">
        <f t="shared" si="16"/>
        <v>36694.410521112186</v>
      </c>
      <c r="G50">
        <v>43</v>
      </c>
    </row>
    <row r="51" spans="1:10" x14ac:dyDescent="0.2">
      <c r="A51" s="25" t="s">
        <v>101</v>
      </c>
      <c r="B51" s="26">
        <f t="shared" si="17"/>
        <v>36694.410521112186</v>
      </c>
      <c r="C51" s="26">
        <f t="shared" si="15"/>
        <v>1990.9673493884661</v>
      </c>
      <c r="D51" s="26">
        <f t="shared" si="18"/>
        <v>366.94410521112189</v>
      </c>
      <c r="E51" s="26">
        <f t="shared" si="19"/>
        <v>2357.9114545995881</v>
      </c>
      <c r="F51" s="26">
        <f t="shared" si="16"/>
        <v>34703.443171723717</v>
      </c>
      <c r="G51">
        <v>44</v>
      </c>
    </row>
    <row r="52" spans="1:10" x14ac:dyDescent="0.2">
      <c r="A52" s="25" t="s">
        <v>102</v>
      </c>
      <c r="B52" s="26">
        <f t="shared" si="17"/>
        <v>34703.443171723717</v>
      </c>
      <c r="C52" s="26">
        <f t="shared" si="15"/>
        <v>2010.877022882351</v>
      </c>
      <c r="D52" s="26">
        <f t="shared" si="18"/>
        <v>347.03443171723717</v>
      </c>
      <c r="E52" s="26">
        <f t="shared" si="19"/>
        <v>2357.9114545995881</v>
      </c>
      <c r="F52" s="26">
        <f t="shared" si="16"/>
        <v>32692.566148841364</v>
      </c>
      <c r="G52">
        <v>45</v>
      </c>
    </row>
    <row r="53" spans="1:10" x14ac:dyDescent="0.2">
      <c r="A53" s="25" t="s">
        <v>103</v>
      </c>
      <c r="B53" s="26">
        <f t="shared" si="17"/>
        <v>32692.566148841364</v>
      </c>
      <c r="C53" s="26">
        <f t="shared" si="15"/>
        <v>2030.9857931111744</v>
      </c>
      <c r="D53" s="26">
        <f t="shared" si="18"/>
        <v>326.9256614884136</v>
      </c>
      <c r="E53" s="26">
        <f t="shared" si="19"/>
        <v>2357.9114545995881</v>
      </c>
      <c r="F53" s="26">
        <f t="shared" si="16"/>
        <v>30661.580355730192</v>
      </c>
      <c r="G53">
        <v>46</v>
      </c>
    </row>
    <row r="54" spans="1:10" x14ac:dyDescent="0.2">
      <c r="A54" s="25" t="s">
        <v>104</v>
      </c>
      <c r="B54" s="26">
        <f t="shared" si="17"/>
        <v>30661.580355730192</v>
      </c>
      <c r="C54" s="26">
        <f t="shared" si="15"/>
        <v>2051.2956510422864</v>
      </c>
      <c r="D54" s="26">
        <f t="shared" si="18"/>
        <v>306.61580355730189</v>
      </c>
      <c r="E54" s="26">
        <f t="shared" si="19"/>
        <v>2357.9114545995881</v>
      </c>
      <c r="F54" s="26">
        <f t="shared" si="16"/>
        <v>28610.284704687903</v>
      </c>
      <c r="G54">
        <v>47</v>
      </c>
      <c r="I54" t="s">
        <v>48</v>
      </c>
      <c r="J54" t="s">
        <v>67</v>
      </c>
    </row>
    <row r="55" spans="1:10" ht="15" x14ac:dyDescent="0.25">
      <c r="A55" s="25" t="s">
        <v>105</v>
      </c>
      <c r="B55" s="26">
        <f t="shared" si="17"/>
        <v>28610.284704687903</v>
      </c>
      <c r="C55" s="26">
        <f t="shared" si="15"/>
        <v>2071.808607552709</v>
      </c>
      <c r="D55" s="26">
        <f t="shared" si="18"/>
        <v>286.10284704687905</v>
      </c>
      <c r="E55" s="26">
        <f t="shared" si="19"/>
        <v>2357.9114545995881</v>
      </c>
      <c r="F55" s="34">
        <f t="shared" si="16"/>
        <v>26538.476097135193</v>
      </c>
      <c r="G55">
        <v>48</v>
      </c>
      <c r="H55" s="26"/>
      <c r="I55" s="31">
        <f>$B$2+CUMPRINC($L$2,$L$3,$B$2,G2,G55,0)</f>
        <v>26538.476097135208</v>
      </c>
      <c r="J55" s="32">
        <f>-CUMIPMT($L$2,$L$3,$B$2,G44,G55,0)</f>
        <v>4743.3874030746192</v>
      </c>
    </row>
    <row r="56" spans="1:10" x14ac:dyDescent="0.2">
      <c r="A56" s="33" t="s">
        <v>69</v>
      </c>
      <c r="B56" s="29"/>
      <c r="C56" s="34">
        <f>SUM(C44:C55)</f>
        <v>23551.55005212043</v>
      </c>
      <c r="D56" s="34">
        <f>SUM(D44:D55)</f>
        <v>4743.3874030746219</v>
      </c>
    </row>
    <row r="58" spans="1:10" x14ac:dyDescent="0.2">
      <c r="A58" s="37">
        <v>42370</v>
      </c>
      <c r="B58" s="26">
        <f>+F55</f>
        <v>26538.476097135193</v>
      </c>
      <c r="C58" s="26">
        <f t="shared" ref="C58:C69" si="20">+E58-D58</f>
        <v>2092.526693628236</v>
      </c>
      <c r="D58" s="26">
        <f>+B58*$J$2/12</f>
        <v>265.38476097135191</v>
      </c>
      <c r="E58" s="26">
        <f>$L$5</f>
        <v>2357.9114545995881</v>
      </c>
      <c r="F58" s="26">
        <f t="shared" ref="F58:F69" si="21">+B58-C58</f>
        <v>24445.949403506958</v>
      </c>
      <c r="G58">
        <f>G55+1</f>
        <v>49</v>
      </c>
    </row>
    <row r="59" spans="1:10" x14ac:dyDescent="0.2">
      <c r="A59" s="37">
        <v>42401</v>
      </c>
      <c r="B59" s="26">
        <f t="shared" ref="B59:B69" si="22">+F58</f>
        <v>24445.949403506958</v>
      </c>
      <c r="C59" s="26">
        <f t="shared" si="20"/>
        <v>2113.4519605645187</v>
      </c>
      <c r="D59" s="26">
        <f t="shared" ref="D59:D69" si="23">+B59*$J$2/12</f>
        <v>244.45949403506958</v>
      </c>
      <c r="E59" s="26">
        <f t="shared" ref="E59:E69" si="24">$L$5</f>
        <v>2357.9114545995881</v>
      </c>
      <c r="F59" s="26">
        <f t="shared" si="21"/>
        <v>22332.49744294244</v>
      </c>
      <c r="G59">
        <f>G58+1</f>
        <v>50</v>
      </c>
    </row>
    <row r="60" spans="1:10" x14ac:dyDescent="0.2">
      <c r="A60" s="37">
        <v>42430</v>
      </c>
      <c r="B60" s="26">
        <f t="shared" si="22"/>
        <v>22332.49744294244</v>
      </c>
      <c r="C60" s="26">
        <f t="shared" si="20"/>
        <v>2134.5864801701637</v>
      </c>
      <c r="D60" s="26">
        <f t="shared" si="23"/>
        <v>223.3249744294244</v>
      </c>
      <c r="E60" s="26">
        <f t="shared" si="24"/>
        <v>2357.9114545995881</v>
      </c>
      <c r="F60" s="26">
        <f t="shared" si="21"/>
        <v>20197.910962772276</v>
      </c>
      <c r="G60">
        <f t="shared" ref="G60:G69" si="25">G59+1</f>
        <v>51</v>
      </c>
    </row>
    <row r="61" spans="1:10" x14ac:dyDescent="0.2">
      <c r="A61" s="37">
        <v>42461</v>
      </c>
      <c r="B61" s="26">
        <f t="shared" si="22"/>
        <v>20197.910962772276</v>
      </c>
      <c r="C61" s="26">
        <f t="shared" si="20"/>
        <v>2155.9323449718654</v>
      </c>
      <c r="D61" s="26">
        <f t="shared" si="23"/>
        <v>201.97910962772275</v>
      </c>
      <c r="E61" s="26">
        <f t="shared" si="24"/>
        <v>2357.9114545995881</v>
      </c>
      <c r="F61" s="26">
        <f t="shared" si="21"/>
        <v>18041.978617800411</v>
      </c>
      <c r="G61">
        <f t="shared" si="25"/>
        <v>52</v>
      </c>
    </row>
    <row r="62" spans="1:10" x14ac:dyDescent="0.2">
      <c r="A62" s="37">
        <v>42491</v>
      </c>
      <c r="B62" s="26">
        <f t="shared" si="22"/>
        <v>18041.978617800411</v>
      </c>
      <c r="C62" s="26">
        <f t="shared" si="20"/>
        <v>2177.4916684215841</v>
      </c>
      <c r="D62" s="26">
        <f t="shared" si="23"/>
        <v>180.4197861780041</v>
      </c>
      <c r="E62" s="26">
        <f t="shared" si="24"/>
        <v>2357.9114545995881</v>
      </c>
      <c r="F62" s="26">
        <f t="shared" si="21"/>
        <v>15864.486949378826</v>
      </c>
      <c r="G62">
        <f t="shared" si="25"/>
        <v>53</v>
      </c>
    </row>
    <row r="63" spans="1:10" x14ac:dyDescent="0.2">
      <c r="A63" s="37">
        <v>42522</v>
      </c>
      <c r="B63" s="26">
        <f t="shared" si="22"/>
        <v>15864.486949378826</v>
      </c>
      <c r="C63" s="26">
        <f t="shared" si="20"/>
        <v>2199.2665851058</v>
      </c>
      <c r="D63" s="26">
        <f t="shared" si="23"/>
        <v>158.64486949378826</v>
      </c>
      <c r="E63" s="26">
        <f t="shared" si="24"/>
        <v>2357.9114545995881</v>
      </c>
      <c r="F63" s="26">
        <f t="shared" si="21"/>
        <v>13665.220364273027</v>
      </c>
      <c r="G63">
        <f t="shared" si="25"/>
        <v>54</v>
      </c>
    </row>
    <row r="64" spans="1:10" x14ac:dyDescent="0.2">
      <c r="A64" s="37">
        <v>42552</v>
      </c>
      <c r="B64" s="26">
        <f t="shared" si="22"/>
        <v>13665.220364273027</v>
      </c>
      <c r="C64" s="26">
        <f t="shared" si="20"/>
        <v>2221.2592509568576</v>
      </c>
      <c r="D64" s="26">
        <f t="shared" si="23"/>
        <v>136.65220364273026</v>
      </c>
      <c r="E64" s="26">
        <f t="shared" si="24"/>
        <v>2357.9114545995881</v>
      </c>
      <c r="F64" s="26">
        <f t="shared" si="21"/>
        <v>11443.961113316171</v>
      </c>
      <c r="G64">
        <f t="shared" si="25"/>
        <v>55</v>
      </c>
    </row>
    <row r="65" spans="1:10" x14ac:dyDescent="0.2">
      <c r="A65" s="37">
        <v>42583</v>
      </c>
      <c r="B65" s="26">
        <f t="shared" si="22"/>
        <v>11443.961113316171</v>
      </c>
      <c r="C65" s="26">
        <f t="shared" si="20"/>
        <v>2243.4718434664264</v>
      </c>
      <c r="D65" s="26">
        <f t="shared" si="23"/>
        <v>114.4396111331617</v>
      </c>
      <c r="E65" s="26">
        <f t="shared" si="24"/>
        <v>2357.9114545995881</v>
      </c>
      <c r="F65" s="26">
        <f t="shared" si="21"/>
        <v>9200.4892698497442</v>
      </c>
      <c r="G65">
        <f t="shared" si="25"/>
        <v>56</v>
      </c>
    </row>
    <row r="66" spans="1:10" x14ac:dyDescent="0.2">
      <c r="A66" s="37">
        <v>42614</v>
      </c>
      <c r="B66" s="26">
        <f t="shared" si="22"/>
        <v>9200.4892698497442</v>
      </c>
      <c r="C66" s="26">
        <f t="shared" si="20"/>
        <v>2265.9065619010908</v>
      </c>
      <c r="D66" s="26">
        <f t="shared" si="23"/>
        <v>92.004892698497443</v>
      </c>
      <c r="E66" s="26">
        <f t="shared" si="24"/>
        <v>2357.9114545995881</v>
      </c>
      <c r="F66" s="26">
        <f t="shared" si="21"/>
        <v>6934.5827079486535</v>
      </c>
      <c r="G66">
        <f t="shared" si="25"/>
        <v>57</v>
      </c>
    </row>
    <row r="67" spans="1:10" x14ac:dyDescent="0.2">
      <c r="A67" s="37">
        <v>42644</v>
      </c>
      <c r="B67" s="26">
        <f t="shared" si="22"/>
        <v>6934.5827079486535</v>
      </c>
      <c r="C67" s="26">
        <f t="shared" si="20"/>
        <v>2288.5656275201013</v>
      </c>
      <c r="D67" s="26">
        <f t="shared" si="23"/>
        <v>69.34582707948654</v>
      </c>
      <c r="E67" s="26">
        <f t="shared" si="24"/>
        <v>2357.9114545995881</v>
      </c>
      <c r="F67" s="26">
        <f t="shared" si="21"/>
        <v>4646.0170804285517</v>
      </c>
      <c r="G67">
        <f t="shared" si="25"/>
        <v>58</v>
      </c>
    </row>
    <row r="68" spans="1:10" x14ac:dyDescent="0.2">
      <c r="A68" s="37">
        <v>42675</v>
      </c>
      <c r="B68" s="26">
        <f t="shared" si="22"/>
        <v>4646.0170804285517</v>
      </c>
      <c r="C68" s="26">
        <f t="shared" si="20"/>
        <v>2311.4512837953025</v>
      </c>
      <c r="D68" s="26">
        <f t="shared" si="23"/>
        <v>46.460170804285518</v>
      </c>
      <c r="E68" s="26">
        <f t="shared" si="24"/>
        <v>2357.9114545995881</v>
      </c>
      <c r="F68" s="26">
        <f t="shared" si="21"/>
        <v>2334.5657966332492</v>
      </c>
      <c r="G68">
        <f t="shared" si="25"/>
        <v>59</v>
      </c>
      <c r="I68" t="s">
        <v>48</v>
      </c>
      <c r="J68" t="s">
        <v>67</v>
      </c>
    </row>
    <row r="69" spans="1:10" ht="15" x14ac:dyDescent="0.25">
      <c r="A69" s="37">
        <v>42705</v>
      </c>
      <c r="B69" s="26">
        <f t="shared" si="22"/>
        <v>2334.5657966332492</v>
      </c>
      <c r="C69" s="26">
        <f t="shared" si="20"/>
        <v>2334.5657966332556</v>
      </c>
      <c r="D69" s="26">
        <f t="shared" si="23"/>
        <v>23.345657966332492</v>
      </c>
      <c r="E69" s="26">
        <f t="shared" si="24"/>
        <v>2357.9114545995881</v>
      </c>
      <c r="F69" s="34">
        <f t="shared" si="21"/>
        <v>-6.3664629124104977E-12</v>
      </c>
      <c r="G69">
        <f t="shared" si="25"/>
        <v>60</v>
      </c>
      <c r="H69" s="26"/>
      <c r="I69" s="31">
        <f>$B$2+CUMPRINC($L$2,$L$3,$B$2,G16,G69,0)</f>
        <v>16460.765933822142</v>
      </c>
      <c r="J69" s="32">
        <f>-CUMIPMT($L$2,$L$3,$B$2,G58,G69,0)</f>
        <v>1756.4613580598525</v>
      </c>
    </row>
    <row r="70" spans="1:10" x14ac:dyDescent="0.2">
      <c r="A70" s="33" t="s">
        <v>69</v>
      </c>
      <c r="B70" s="29"/>
      <c r="C70" s="34">
        <f>SUM(C58:C69)</f>
        <v>26538.476097135197</v>
      </c>
      <c r="D70" s="34">
        <f>SUM(D58:D69)</f>
        <v>1756.461358059855</v>
      </c>
    </row>
    <row r="72" spans="1:10" x14ac:dyDescent="0.2">
      <c r="A72" s="37">
        <v>42736</v>
      </c>
      <c r="B72" s="26">
        <f>+F69</f>
        <v>-6.3664629124104977E-12</v>
      </c>
      <c r="C72" s="26">
        <f t="shared" ref="C72:C83" si="26">+E72-D72</f>
        <v>2357.9114545995881</v>
      </c>
      <c r="D72" s="26">
        <f>+B72*$J$2/12</f>
        <v>-6.366462912410497E-14</v>
      </c>
      <c r="E72" s="26">
        <f>$L$5</f>
        <v>2357.9114545995881</v>
      </c>
      <c r="F72" s="26">
        <f t="shared" ref="F72:F83" si="27">+B72-C72</f>
        <v>-2357.9114545995944</v>
      </c>
      <c r="G72">
        <f>G69+1</f>
        <v>61</v>
      </c>
    </row>
    <row r="73" spans="1:10" x14ac:dyDescent="0.2">
      <c r="A73" s="37">
        <v>42767</v>
      </c>
      <c r="B73" s="26">
        <f t="shared" ref="B73:B83" si="28">+F72</f>
        <v>-2357.9114545995944</v>
      </c>
      <c r="C73" s="26">
        <f t="shared" si="26"/>
        <v>2381.4905691455842</v>
      </c>
      <c r="D73" s="26">
        <f t="shared" ref="D73:D83" si="29">+B73*$J$2/12</f>
        <v>-23.579114545995946</v>
      </c>
      <c r="E73" s="26">
        <f t="shared" ref="E73:E83" si="30">$L$5</f>
        <v>2357.9114545995881</v>
      </c>
      <c r="F73" s="26">
        <f t="shared" si="27"/>
        <v>-4739.4020237451787</v>
      </c>
      <c r="G73">
        <f>G72+1</f>
        <v>62</v>
      </c>
    </row>
    <row r="74" spans="1:10" x14ac:dyDescent="0.2">
      <c r="A74" s="37">
        <v>42795</v>
      </c>
      <c r="B74" s="26">
        <f t="shared" si="28"/>
        <v>-4739.4020237451787</v>
      </c>
      <c r="C74" s="26">
        <f t="shared" si="26"/>
        <v>2405.30547483704</v>
      </c>
      <c r="D74" s="26">
        <f t="shared" si="29"/>
        <v>-47.394020237451791</v>
      </c>
      <c r="E74" s="26">
        <f t="shared" si="30"/>
        <v>2357.9114545995881</v>
      </c>
      <c r="F74" s="26">
        <f t="shared" si="27"/>
        <v>-7144.7074985822182</v>
      </c>
      <c r="G74">
        <f t="shared" ref="G74:G83" si="31">G73+1</f>
        <v>63</v>
      </c>
    </row>
    <row r="75" spans="1:10" x14ac:dyDescent="0.2">
      <c r="A75" s="37">
        <v>42826</v>
      </c>
      <c r="B75" s="26">
        <f t="shared" si="28"/>
        <v>-7144.7074985822182</v>
      </c>
      <c r="C75" s="26">
        <f t="shared" si="26"/>
        <v>2429.3585295854105</v>
      </c>
      <c r="D75" s="26">
        <f t="shared" si="29"/>
        <v>-71.447074985822184</v>
      </c>
      <c r="E75" s="26">
        <f t="shared" si="30"/>
        <v>2357.9114545995881</v>
      </c>
      <c r="F75" s="26">
        <f t="shared" si="27"/>
        <v>-9574.0660281676282</v>
      </c>
      <c r="G75">
        <f t="shared" si="31"/>
        <v>64</v>
      </c>
    </row>
    <row r="76" spans="1:10" x14ac:dyDescent="0.2">
      <c r="A76" s="37">
        <v>42856</v>
      </c>
      <c r="B76" s="26">
        <f t="shared" si="28"/>
        <v>-9574.0660281676282</v>
      </c>
      <c r="C76" s="26">
        <f t="shared" si="26"/>
        <v>2453.6521148812644</v>
      </c>
      <c r="D76" s="26">
        <f t="shared" si="29"/>
        <v>-95.740660281676284</v>
      </c>
      <c r="E76" s="26">
        <f t="shared" si="30"/>
        <v>2357.9114545995881</v>
      </c>
      <c r="F76" s="26">
        <f t="shared" si="27"/>
        <v>-12027.718143048893</v>
      </c>
      <c r="G76">
        <f t="shared" si="31"/>
        <v>65</v>
      </c>
    </row>
    <row r="77" spans="1:10" x14ac:dyDescent="0.2">
      <c r="A77" s="37">
        <v>42887</v>
      </c>
      <c r="B77" s="26">
        <f t="shared" si="28"/>
        <v>-12027.718143048893</v>
      </c>
      <c r="C77" s="26">
        <f t="shared" si="26"/>
        <v>2478.1886360300769</v>
      </c>
      <c r="D77" s="26">
        <f t="shared" si="29"/>
        <v>-120.27718143048891</v>
      </c>
      <c r="E77" s="26">
        <f t="shared" si="30"/>
        <v>2357.9114545995881</v>
      </c>
      <c r="F77" s="26">
        <f t="shared" si="27"/>
        <v>-14505.90677907897</v>
      </c>
      <c r="G77">
        <f t="shared" si="31"/>
        <v>66</v>
      </c>
    </row>
    <row r="78" spans="1:10" x14ac:dyDescent="0.2">
      <c r="A78" s="37">
        <v>42917</v>
      </c>
      <c r="B78" s="26">
        <f t="shared" si="28"/>
        <v>-14505.90677907897</v>
      </c>
      <c r="C78" s="26">
        <f t="shared" si="26"/>
        <v>2502.9705223903779</v>
      </c>
      <c r="D78" s="26">
        <f t="shared" si="29"/>
        <v>-145.0590677907897</v>
      </c>
      <c r="E78" s="26">
        <f t="shared" si="30"/>
        <v>2357.9114545995881</v>
      </c>
      <c r="F78" s="26">
        <f t="shared" si="27"/>
        <v>-17008.877301469347</v>
      </c>
      <c r="G78">
        <f t="shared" si="31"/>
        <v>67</v>
      </c>
    </row>
    <row r="79" spans="1:10" x14ac:dyDescent="0.2">
      <c r="A79" s="37">
        <v>42948</v>
      </c>
      <c r="B79" s="26">
        <f t="shared" si="28"/>
        <v>-17008.877301469347</v>
      </c>
      <c r="C79" s="26">
        <f t="shared" si="26"/>
        <v>2528.0002276142814</v>
      </c>
      <c r="D79" s="26">
        <f t="shared" si="29"/>
        <v>-170.08877301469346</v>
      </c>
      <c r="E79" s="26">
        <f t="shared" si="30"/>
        <v>2357.9114545995881</v>
      </c>
      <c r="F79" s="26">
        <f t="shared" si="27"/>
        <v>-19536.877529083627</v>
      </c>
      <c r="G79">
        <f t="shared" si="31"/>
        <v>68</v>
      </c>
    </row>
    <row r="80" spans="1:10" x14ac:dyDescent="0.2">
      <c r="A80" s="37">
        <v>42979</v>
      </c>
      <c r="B80" s="26">
        <f t="shared" si="28"/>
        <v>-19536.877529083627</v>
      </c>
      <c r="C80" s="26">
        <f t="shared" si="26"/>
        <v>2553.2802298904244</v>
      </c>
      <c r="D80" s="26">
        <f t="shared" si="29"/>
        <v>-195.36877529083628</v>
      </c>
      <c r="E80" s="26">
        <f t="shared" si="30"/>
        <v>2357.9114545995881</v>
      </c>
      <c r="F80" s="26">
        <f t="shared" si="27"/>
        <v>-22090.157758974052</v>
      </c>
      <c r="G80">
        <f t="shared" si="31"/>
        <v>69</v>
      </c>
    </row>
    <row r="81" spans="1:10" x14ac:dyDescent="0.2">
      <c r="A81" s="37">
        <v>43009</v>
      </c>
      <c r="B81" s="26">
        <f t="shared" si="28"/>
        <v>-22090.157758974052</v>
      </c>
      <c r="C81" s="26">
        <f t="shared" si="26"/>
        <v>2578.8130321893286</v>
      </c>
      <c r="D81" s="26">
        <f t="shared" si="29"/>
        <v>-220.90157758974053</v>
      </c>
      <c r="E81" s="26">
        <f t="shared" si="30"/>
        <v>2357.9114545995881</v>
      </c>
      <c r="F81" s="26">
        <f t="shared" si="27"/>
        <v>-24668.970791163381</v>
      </c>
      <c r="G81">
        <f t="shared" si="31"/>
        <v>70</v>
      </c>
    </row>
    <row r="82" spans="1:10" x14ac:dyDescent="0.2">
      <c r="A82" s="37">
        <v>43040</v>
      </c>
      <c r="B82" s="26">
        <f t="shared" si="28"/>
        <v>-24668.970791163381</v>
      </c>
      <c r="C82" s="26">
        <f t="shared" si="26"/>
        <v>2604.6011625112219</v>
      </c>
      <c r="D82" s="26">
        <f t="shared" si="29"/>
        <v>-246.6897079116338</v>
      </c>
      <c r="E82" s="26">
        <f t="shared" si="30"/>
        <v>2357.9114545995881</v>
      </c>
      <c r="F82" s="26">
        <f t="shared" si="27"/>
        <v>-27273.571953674604</v>
      </c>
      <c r="G82">
        <f t="shared" si="31"/>
        <v>71</v>
      </c>
      <c r="I82" t="s">
        <v>48</v>
      </c>
      <c r="J82" t="s">
        <v>67</v>
      </c>
    </row>
    <row r="83" spans="1:10" ht="15" x14ac:dyDescent="0.25">
      <c r="A83" s="37">
        <v>43070</v>
      </c>
      <c r="B83" s="26">
        <f t="shared" si="28"/>
        <v>-27273.571953674604</v>
      </c>
      <c r="C83" s="26">
        <f t="shared" si="26"/>
        <v>2630.6471741363339</v>
      </c>
      <c r="D83" s="26">
        <f t="shared" si="29"/>
        <v>-272.73571953674599</v>
      </c>
      <c r="E83" s="26">
        <f t="shared" si="30"/>
        <v>2357.9114545995881</v>
      </c>
      <c r="F83" s="34">
        <f t="shared" si="27"/>
        <v>-29904.219127810939</v>
      </c>
      <c r="G83">
        <f t="shared" si="31"/>
        <v>72</v>
      </c>
      <c r="H83" s="26"/>
      <c r="I83" s="31" t="e">
        <f>$B$2+CUMPRINC($L$2,$L$3,$B$2,G30,G83,0)</f>
        <v>#NUM!</v>
      </c>
      <c r="J83" s="32" t="e">
        <f>-CUMIPMT($L$2,$L$3,$B$2,G72,G83,0)</f>
        <v>#NUM!</v>
      </c>
    </row>
    <row r="84" spans="1:10" x14ac:dyDescent="0.2">
      <c r="A84" s="33" t="s">
        <v>69</v>
      </c>
      <c r="B84" s="29"/>
      <c r="C84" s="34">
        <f>SUM(C72:C83)</f>
        <v>29904.219127810931</v>
      </c>
      <c r="D84" s="34">
        <f>SUM(D72:D83)</f>
        <v>-1609.2816726158751</v>
      </c>
    </row>
    <row r="86" spans="1:10" x14ac:dyDescent="0.2">
      <c r="A86" s="37">
        <v>43101</v>
      </c>
      <c r="B86" s="26">
        <f>+F83</f>
        <v>-29904.219127810939</v>
      </c>
      <c r="C86" s="26">
        <f t="shared" ref="C86:C97" si="32">+E86-D86</f>
        <v>2656.9536458776975</v>
      </c>
      <c r="D86" s="26">
        <f>+B86*$J$2/12</f>
        <v>-299.04219127810939</v>
      </c>
      <c r="E86" s="26">
        <f>$L$5</f>
        <v>2357.9114545995881</v>
      </c>
      <c r="F86" s="26">
        <f t="shared" ref="F86:F97" si="33">+B86-C86</f>
        <v>-32561.172773688635</v>
      </c>
      <c r="G86">
        <f>G83+1</f>
        <v>73</v>
      </c>
    </row>
    <row r="87" spans="1:10" x14ac:dyDescent="0.2">
      <c r="A87" s="37">
        <v>43132</v>
      </c>
      <c r="B87" s="26">
        <f t="shared" ref="B87:B97" si="34">+F86</f>
        <v>-32561.172773688635</v>
      </c>
      <c r="C87" s="26">
        <f t="shared" si="32"/>
        <v>2683.5231823364743</v>
      </c>
      <c r="D87" s="26">
        <f t="shared" ref="D87:D97" si="35">+B87*$J$2/12</f>
        <v>-325.61172773688634</v>
      </c>
      <c r="E87" s="26">
        <f t="shared" ref="E87:E97" si="36">$L$5</f>
        <v>2357.9114545995881</v>
      </c>
      <c r="F87" s="26">
        <f t="shared" si="33"/>
        <v>-35244.695956025113</v>
      </c>
      <c r="G87">
        <f>G86+1</f>
        <v>74</v>
      </c>
    </row>
    <row r="88" spans="1:10" x14ac:dyDescent="0.2">
      <c r="A88" s="37">
        <v>43160</v>
      </c>
      <c r="B88" s="26">
        <f t="shared" si="34"/>
        <v>-35244.695956025113</v>
      </c>
      <c r="C88" s="26">
        <f t="shared" si="32"/>
        <v>2710.3584141598394</v>
      </c>
      <c r="D88" s="26">
        <f t="shared" si="35"/>
        <v>-352.44695956025112</v>
      </c>
      <c r="E88" s="26">
        <f t="shared" si="36"/>
        <v>2357.9114545995881</v>
      </c>
      <c r="F88" s="26">
        <f t="shared" si="33"/>
        <v>-37955.054370184953</v>
      </c>
      <c r="G88">
        <f t="shared" ref="G88:G97" si="37">G87+1</f>
        <v>75</v>
      </c>
    </row>
    <row r="89" spans="1:10" x14ac:dyDescent="0.2">
      <c r="A89" s="37">
        <v>43191</v>
      </c>
      <c r="B89" s="26">
        <f t="shared" si="34"/>
        <v>-37955.054370184953</v>
      </c>
      <c r="C89" s="26">
        <f t="shared" si="32"/>
        <v>2737.4619983014377</v>
      </c>
      <c r="D89" s="26">
        <f t="shared" si="35"/>
        <v>-379.55054370184956</v>
      </c>
      <c r="E89" s="26">
        <f t="shared" si="36"/>
        <v>2357.9114545995881</v>
      </c>
      <c r="F89" s="26">
        <f t="shared" si="33"/>
        <v>-40692.516368486387</v>
      </c>
      <c r="G89">
        <f t="shared" si="37"/>
        <v>76</v>
      </c>
    </row>
    <row r="90" spans="1:10" x14ac:dyDescent="0.2">
      <c r="A90" s="37">
        <v>43221</v>
      </c>
      <c r="B90" s="26">
        <f t="shared" si="34"/>
        <v>-40692.516368486387</v>
      </c>
      <c r="C90" s="26">
        <f t="shared" si="32"/>
        <v>2764.836618284452</v>
      </c>
      <c r="D90" s="26">
        <f t="shared" si="35"/>
        <v>-406.92516368486389</v>
      </c>
      <c r="E90" s="26">
        <f t="shared" si="36"/>
        <v>2357.9114545995881</v>
      </c>
      <c r="F90" s="26">
        <f t="shared" si="33"/>
        <v>-43457.352986770842</v>
      </c>
      <c r="G90">
        <f t="shared" si="37"/>
        <v>77</v>
      </c>
    </row>
    <row r="91" spans="1:10" x14ac:dyDescent="0.2">
      <c r="A91" s="37">
        <v>43252</v>
      </c>
      <c r="B91" s="26">
        <f t="shared" si="34"/>
        <v>-43457.352986770842</v>
      </c>
      <c r="C91" s="26">
        <f t="shared" si="32"/>
        <v>2792.4849844672963</v>
      </c>
      <c r="D91" s="26">
        <f t="shared" si="35"/>
        <v>-434.57352986770843</v>
      </c>
      <c r="E91" s="26">
        <f t="shared" si="36"/>
        <v>2357.9114545995881</v>
      </c>
      <c r="F91" s="26">
        <f t="shared" si="33"/>
        <v>-46249.837971238136</v>
      </c>
      <c r="G91">
        <f t="shared" si="37"/>
        <v>78</v>
      </c>
    </row>
    <row r="92" spans="1:10" x14ac:dyDescent="0.2">
      <c r="A92" s="37">
        <v>43282</v>
      </c>
      <c r="B92" s="26">
        <f t="shared" si="34"/>
        <v>-46249.837971238136</v>
      </c>
      <c r="C92" s="26">
        <f t="shared" si="32"/>
        <v>2820.4098343119695</v>
      </c>
      <c r="D92" s="26">
        <f t="shared" si="35"/>
        <v>-462.49837971238134</v>
      </c>
      <c r="E92" s="26">
        <f t="shared" si="36"/>
        <v>2357.9114545995881</v>
      </c>
      <c r="F92" s="26">
        <f t="shared" si="33"/>
        <v>-49070.247805550105</v>
      </c>
      <c r="G92">
        <f t="shared" si="37"/>
        <v>79</v>
      </c>
    </row>
    <row r="93" spans="1:10" x14ac:dyDescent="0.2">
      <c r="A93" s="37">
        <v>43313</v>
      </c>
      <c r="B93" s="26">
        <f t="shared" si="34"/>
        <v>-49070.247805550105</v>
      </c>
      <c r="C93" s="26">
        <f t="shared" si="32"/>
        <v>2848.6139326550892</v>
      </c>
      <c r="D93" s="26">
        <f t="shared" si="35"/>
        <v>-490.70247805550099</v>
      </c>
      <c r="E93" s="26">
        <f t="shared" si="36"/>
        <v>2357.9114545995881</v>
      </c>
      <c r="F93" s="26">
        <f t="shared" si="33"/>
        <v>-51918.861738205196</v>
      </c>
      <c r="G93">
        <f t="shared" si="37"/>
        <v>80</v>
      </c>
    </row>
    <row r="94" spans="1:10" x14ac:dyDescent="0.2">
      <c r="A94" s="37">
        <v>43344</v>
      </c>
      <c r="B94" s="26">
        <f t="shared" si="34"/>
        <v>-51918.861738205196</v>
      </c>
      <c r="C94" s="26">
        <f t="shared" si="32"/>
        <v>2877.1000719816402</v>
      </c>
      <c r="D94" s="26">
        <f t="shared" si="35"/>
        <v>-519.18861738205192</v>
      </c>
      <c r="E94" s="26">
        <f t="shared" si="36"/>
        <v>2357.9114545995881</v>
      </c>
      <c r="F94" s="26">
        <f t="shared" si="33"/>
        <v>-54795.96181018684</v>
      </c>
      <c r="G94">
        <f t="shared" si="37"/>
        <v>81</v>
      </c>
    </row>
    <row r="95" spans="1:10" x14ac:dyDescent="0.2">
      <c r="A95" s="37">
        <v>43374</v>
      </c>
      <c r="B95" s="26">
        <f t="shared" si="34"/>
        <v>-54795.96181018684</v>
      </c>
      <c r="C95" s="26">
        <f t="shared" si="32"/>
        <v>2905.8710727014563</v>
      </c>
      <c r="D95" s="26">
        <f t="shared" si="35"/>
        <v>-547.95961810186839</v>
      </c>
      <c r="E95" s="26">
        <f t="shared" si="36"/>
        <v>2357.9114545995881</v>
      </c>
      <c r="F95" s="26">
        <f t="shared" si="33"/>
        <v>-57701.832882888295</v>
      </c>
      <c r="G95">
        <f t="shared" si="37"/>
        <v>82</v>
      </c>
    </row>
    <row r="96" spans="1:10" x14ac:dyDescent="0.2">
      <c r="A96" s="37">
        <v>43405</v>
      </c>
      <c r="B96" s="26">
        <f t="shared" si="34"/>
        <v>-57701.832882888295</v>
      </c>
      <c r="C96" s="26">
        <f t="shared" si="32"/>
        <v>2934.9297834284712</v>
      </c>
      <c r="D96" s="26">
        <f t="shared" si="35"/>
        <v>-577.018328828883</v>
      </c>
      <c r="E96" s="26">
        <f t="shared" si="36"/>
        <v>2357.9114545995881</v>
      </c>
      <c r="F96" s="26">
        <f t="shared" si="33"/>
        <v>-60636.762666316768</v>
      </c>
      <c r="G96">
        <f t="shared" si="37"/>
        <v>83</v>
      </c>
      <c r="I96" t="s">
        <v>48</v>
      </c>
      <c r="J96" t="s">
        <v>67</v>
      </c>
    </row>
    <row r="97" spans="1:10" ht="15" x14ac:dyDescent="0.25">
      <c r="A97" s="37">
        <v>43435</v>
      </c>
      <c r="B97" s="26">
        <f t="shared" si="34"/>
        <v>-60636.762666316768</v>
      </c>
      <c r="C97" s="26">
        <f t="shared" si="32"/>
        <v>2964.2790812627559</v>
      </c>
      <c r="D97" s="26">
        <f t="shared" si="35"/>
        <v>-606.3676266631677</v>
      </c>
      <c r="E97" s="26">
        <f t="shared" si="36"/>
        <v>2357.9114545995881</v>
      </c>
      <c r="F97" s="34">
        <f t="shared" si="33"/>
        <v>-63601.041747579526</v>
      </c>
      <c r="G97">
        <f t="shared" si="37"/>
        <v>84</v>
      </c>
      <c r="H97" s="26"/>
      <c r="I97" s="31" t="e">
        <f>$B$2+CUMPRINC($L$2,$L$3,$B$2,G44,G97,0)</f>
        <v>#NUM!</v>
      </c>
      <c r="J97" s="32" t="e">
        <f>-CUMIPMT($L$2,$L$3,$B$2,G86,G97,0)</f>
        <v>#NUM!</v>
      </c>
    </row>
    <row r="98" spans="1:10" x14ac:dyDescent="0.2">
      <c r="A98" s="33" t="s">
        <v>69</v>
      </c>
      <c r="B98" s="29"/>
      <c r="C98" s="34">
        <f>SUM(C86:C97)</f>
        <v>33696.82261976858</v>
      </c>
      <c r="D98" s="34">
        <f>SUM(D86:D97)</f>
        <v>-5401.8851645735222</v>
      </c>
    </row>
    <row r="100" spans="1:10" x14ac:dyDescent="0.2">
      <c r="A100" s="37">
        <v>43466</v>
      </c>
      <c r="B100" s="26">
        <f>+F97</f>
        <v>-63601.041747579526</v>
      </c>
      <c r="C100" s="26">
        <f t="shared" ref="C100:C111" si="38">+E100-D100</f>
        <v>2993.9218720753834</v>
      </c>
      <c r="D100" s="26">
        <f>+B100*$J$2/12</f>
        <v>-636.01041747579518</v>
      </c>
      <c r="E100" s="26">
        <f>$L$5</f>
        <v>2357.9114545995881</v>
      </c>
      <c r="F100" s="26">
        <f t="shared" ref="F100:F111" si="39">+B100-C100</f>
        <v>-66594.963619654911</v>
      </c>
      <c r="G100">
        <f>G97+1</f>
        <v>85</v>
      </c>
    </row>
    <row r="101" spans="1:10" x14ac:dyDescent="0.2">
      <c r="A101" s="37">
        <v>43497</v>
      </c>
      <c r="B101" s="26">
        <f t="shared" ref="B101:B111" si="40">+F100</f>
        <v>-66594.963619654911</v>
      </c>
      <c r="C101" s="26">
        <f t="shared" si="38"/>
        <v>3023.861090796137</v>
      </c>
      <c r="D101" s="26">
        <f t="shared" ref="D101:D111" si="41">+B101*$J$2/12</f>
        <v>-665.94963619654902</v>
      </c>
      <c r="E101" s="26">
        <f t="shared" ref="E101:E111" si="42">$L$5</f>
        <v>2357.9114545995881</v>
      </c>
      <c r="F101" s="26">
        <f t="shared" si="39"/>
        <v>-69618.824710451052</v>
      </c>
      <c r="G101">
        <f>G100+1</f>
        <v>86</v>
      </c>
    </row>
    <row r="102" spans="1:10" x14ac:dyDescent="0.2">
      <c r="A102" s="37">
        <v>43525</v>
      </c>
      <c r="B102" s="26">
        <f t="shared" si="40"/>
        <v>-69618.824710451052</v>
      </c>
      <c r="C102" s="26">
        <f t="shared" si="38"/>
        <v>3054.0997017040986</v>
      </c>
      <c r="D102" s="26">
        <f t="shared" si="41"/>
        <v>-696.18824710451054</v>
      </c>
      <c r="E102" s="26">
        <f t="shared" si="42"/>
        <v>2357.9114545995881</v>
      </c>
      <c r="F102" s="26">
        <f t="shared" si="39"/>
        <v>-72672.924412155146</v>
      </c>
      <c r="G102">
        <f t="shared" ref="G102:G111" si="43">G101+1</f>
        <v>87</v>
      </c>
    </row>
    <row r="103" spans="1:10" x14ac:dyDescent="0.2">
      <c r="A103" s="37">
        <v>43556</v>
      </c>
      <c r="B103" s="26">
        <f t="shared" si="40"/>
        <v>-72672.924412155146</v>
      </c>
      <c r="C103" s="26">
        <f t="shared" si="38"/>
        <v>3084.6406987211394</v>
      </c>
      <c r="D103" s="26">
        <f t="shared" si="41"/>
        <v>-726.72924412155146</v>
      </c>
      <c r="E103" s="26">
        <f t="shared" si="42"/>
        <v>2357.9114545995881</v>
      </c>
      <c r="F103" s="26">
        <f t="shared" si="39"/>
        <v>-75757.565110876283</v>
      </c>
      <c r="G103">
        <f t="shared" si="43"/>
        <v>88</v>
      </c>
    </row>
    <row r="104" spans="1:10" x14ac:dyDescent="0.2">
      <c r="A104" s="37">
        <v>43586</v>
      </c>
      <c r="B104" s="26">
        <f t="shared" si="40"/>
        <v>-75757.565110876283</v>
      </c>
      <c r="C104" s="26">
        <f t="shared" si="38"/>
        <v>3115.487105708351</v>
      </c>
      <c r="D104" s="26">
        <f t="shared" si="41"/>
        <v>-757.57565110876283</v>
      </c>
      <c r="E104" s="26">
        <f t="shared" si="42"/>
        <v>2357.9114545995881</v>
      </c>
      <c r="F104" s="26">
        <f t="shared" si="39"/>
        <v>-78873.052216584634</v>
      </c>
      <c r="G104">
        <f t="shared" si="43"/>
        <v>89</v>
      </c>
    </row>
    <row r="105" spans="1:10" x14ac:dyDescent="0.2">
      <c r="A105" s="37">
        <v>43617</v>
      </c>
      <c r="B105" s="26">
        <f t="shared" si="40"/>
        <v>-78873.052216584634</v>
      </c>
      <c r="C105" s="26">
        <f t="shared" si="38"/>
        <v>3146.6419767654343</v>
      </c>
      <c r="D105" s="26">
        <f t="shared" si="41"/>
        <v>-788.73052216584631</v>
      </c>
      <c r="E105" s="26">
        <f t="shared" si="42"/>
        <v>2357.9114545995881</v>
      </c>
      <c r="F105" s="26">
        <f t="shared" si="39"/>
        <v>-82019.694193350064</v>
      </c>
      <c r="G105">
        <f t="shared" si="43"/>
        <v>90</v>
      </c>
    </row>
    <row r="106" spans="1:10" x14ac:dyDescent="0.2">
      <c r="A106" s="37">
        <v>43647</v>
      </c>
      <c r="B106" s="26">
        <f t="shared" si="40"/>
        <v>-82019.694193350064</v>
      </c>
      <c r="C106" s="26">
        <f t="shared" si="38"/>
        <v>3178.1083965330886</v>
      </c>
      <c r="D106" s="26">
        <f t="shared" si="41"/>
        <v>-820.19694193350063</v>
      </c>
      <c r="E106" s="26">
        <f t="shared" si="42"/>
        <v>2357.9114545995881</v>
      </c>
      <c r="F106" s="26">
        <f t="shared" si="39"/>
        <v>-85197.802589883155</v>
      </c>
      <c r="G106">
        <f t="shared" si="43"/>
        <v>91</v>
      </c>
    </row>
    <row r="107" spans="1:10" x14ac:dyDescent="0.2">
      <c r="A107" s="37">
        <v>43678</v>
      </c>
      <c r="B107" s="26">
        <f t="shared" si="40"/>
        <v>-85197.802589883155</v>
      </c>
      <c r="C107" s="26">
        <f t="shared" si="38"/>
        <v>3209.8894804984197</v>
      </c>
      <c r="D107" s="26">
        <f t="shared" si="41"/>
        <v>-851.97802589883156</v>
      </c>
      <c r="E107" s="26">
        <f t="shared" si="42"/>
        <v>2357.9114545995881</v>
      </c>
      <c r="F107" s="26">
        <f t="shared" si="39"/>
        <v>-88407.69207038157</v>
      </c>
      <c r="G107">
        <f t="shared" si="43"/>
        <v>92</v>
      </c>
    </row>
    <row r="108" spans="1:10" x14ac:dyDescent="0.2">
      <c r="A108" s="37">
        <v>43709</v>
      </c>
      <c r="B108" s="26">
        <f t="shared" si="40"/>
        <v>-88407.69207038157</v>
      </c>
      <c r="C108" s="26">
        <f t="shared" si="38"/>
        <v>3241.9883753034037</v>
      </c>
      <c r="D108" s="26">
        <f t="shared" si="41"/>
        <v>-884.07692070381563</v>
      </c>
      <c r="E108" s="26">
        <f t="shared" si="42"/>
        <v>2357.9114545995881</v>
      </c>
      <c r="F108" s="26">
        <f t="shared" si="39"/>
        <v>-91649.680445684979</v>
      </c>
      <c r="G108">
        <f t="shared" si="43"/>
        <v>93</v>
      </c>
    </row>
    <row r="109" spans="1:10" x14ac:dyDescent="0.2">
      <c r="A109" s="37">
        <v>43739</v>
      </c>
      <c r="B109" s="26">
        <f t="shared" si="40"/>
        <v>-91649.680445684979</v>
      </c>
      <c r="C109" s="26">
        <f t="shared" si="38"/>
        <v>3274.4082590564376</v>
      </c>
      <c r="D109" s="26">
        <f t="shared" si="41"/>
        <v>-916.49680445684965</v>
      </c>
      <c r="E109" s="26">
        <f t="shared" si="42"/>
        <v>2357.9114545995881</v>
      </c>
      <c r="F109" s="26">
        <f t="shared" si="39"/>
        <v>-94924.088704741414</v>
      </c>
      <c r="G109">
        <f t="shared" si="43"/>
        <v>94</v>
      </c>
    </row>
    <row r="110" spans="1:10" x14ac:dyDescent="0.2">
      <c r="A110" s="37">
        <v>43770</v>
      </c>
      <c r="B110" s="26">
        <f t="shared" si="40"/>
        <v>-94924.088704741414</v>
      </c>
      <c r="C110" s="26">
        <f t="shared" si="38"/>
        <v>3307.1523416470022</v>
      </c>
      <c r="D110" s="26">
        <f t="shared" si="41"/>
        <v>-949.24088704741416</v>
      </c>
      <c r="E110" s="26">
        <f t="shared" si="42"/>
        <v>2357.9114545995881</v>
      </c>
      <c r="F110" s="26">
        <f t="shared" si="39"/>
        <v>-98231.241046388415</v>
      </c>
      <c r="G110">
        <f t="shared" si="43"/>
        <v>95</v>
      </c>
      <c r="I110" t="s">
        <v>48</v>
      </c>
      <c r="J110" t="s">
        <v>67</v>
      </c>
    </row>
    <row r="111" spans="1:10" ht="15" x14ac:dyDescent="0.25">
      <c r="A111" s="37">
        <v>43800</v>
      </c>
      <c r="B111" s="26">
        <f t="shared" si="40"/>
        <v>-98231.241046388415</v>
      </c>
      <c r="C111" s="26">
        <f t="shared" si="38"/>
        <v>3340.2238650634722</v>
      </c>
      <c r="D111" s="26">
        <f t="shared" si="41"/>
        <v>-982.31241046388413</v>
      </c>
      <c r="E111" s="26">
        <f t="shared" si="42"/>
        <v>2357.9114545995881</v>
      </c>
      <c r="F111" s="34">
        <f t="shared" si="39"/>
        <v>-101571.46491145188</v>
      </c>
      <c r="G111">
        <f t="shared" si="43"/>
        <v>96</v>
      </c>
      <c r="H111" s="26"/>
      <c r="I111" s="31" t="e">
        <f>$B$2+CUMPRINC($L$2,$L$3,$B$2,G58,G111,0)</f>
        <v>#NUM!</v>
      </c>
      <c r="J111" s="32" t="e">
        <f>-CUMIPMT($L$2,$L$3,$B$2,G100,G111,0)</f>
        <v>#NUM!</v>
      </c>
    </row>
    <row r="112" spans="1:10" x14ac:dyDescent="0.2">
      <c r="A112" s="33" t="s">
        <v>69</v>
      </c>
      <c r="B112" s="29"/>
      <c r="C112" s="34">
        <f>SUM(C100:C111)</f>
        <v>37970.423163872372</v>
      </c>
      <c r="D112" s="34">
        <f>SUM(D100:D111)</f>
        <v>-9675.4857086773118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5"/>
  <sheetViews>
    <sheetView workbookViewId="0">
      <selection activeCell="J16" sqref="J16"/>
    </sheetView>
  </sheetViews>
  <sheetFormatPr defaultRowHeight="12.75" x14ac:dyDescent="0.2"/>
  <cols>
    <col min="1" max="1" width="16.85546875" bestFit="1" customWidth="1"/>
    <col min="6" max="6" width="11" bestFit="1" customWidth="1"/>
    <col min="9" max="9" width="15" bestFit="1" customWidth="1"/>
    <col min="10" max="10" width="13.85546875" bestFit="1" customWidth="1"/>
  </cols>
  <sheetData>
    <row r="1" spans="1:12" ht="15" x14ac:dyDescent="0.2">
      <c r="A1" s="91" t="s">
        <v>179</v>
      </c>
      <c r="B1" t="s">
        <v>180</v>
      </c>
      <c r="C1" t="s">
        <v>181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187</v>
      </c>
      <c r="J1" t="s">
        <v>188</v>
      </c>
    </row>
    <row r="2" spans="1:12" ht="15" x14ac:dyDescent="0.2">
      <c r="A2" s="92">
        <v>40878</v>
      </c>
      <c r="B2">
        <v>1246.9100000000001</v>
      </c>
      <c r="C2">
        <v>1269.3699999999999</v>
      </c>
      <c r="D2">
        <v>1202.3699999999999</v>
      </c>
      <c r="E2">
        <v>1257.5999999999999</v>
      </c>
      <c r="F2">
        <v>3667346600</v>
      </c>
      <c r="G2">
        <v>1257.5999999999999</v>
      </c>
      <c r="H2" s="93">
        <f t="shared" ref="H2:H65" si="0">LN(G2/G3)</f>
        <v>8.4965534941463527E-3</v>
      </c>
      <c r="I2" s="93">
        <f>AVERAGE(H2:H744)</f>
        <v>5.7884390551082255E-3</v>
      </c>
      <c r="J2" s="94">
        <f>I2*12</f>
        <v>6.9461268661298703E-2</v>
      </c>
      <c r="L2" s="95">
        <f>AVERAGE(K14:K734)</f>
        <v>6.7540262505662474E-2</v>
      </c>
    </row>
    <row r="3" spans="1:12" ht="15" x14ac:dyDescent="0.2">
      <c r="A3" s="92">
        <v>40848</v>
      </c>
      <c r="B3">
        <v>1251</v>
      </c>
      <c r="C3">
        <v>1277.55</v>
      </c>
      <c r="D3">
        <v>1158.6600000000001</v>
      </c>
      <c r="E3">
        <v>1246.96</v>
      </c>
      <c r="F3">
        <v>4288791900</v>
      </c>
      <c r="G3">
        <v>1246.96</v>
      </c>
      <c r="H3" s="93">
        <f t="shared" si="0"/>
        <v>-5.0714834366809821E-3</v>
      </c>
    </row>
    <row r="4" spans="1:12" ht="15" x14ac:dyDescent="0.2">
      <c r="A4" s="92">
        <v>40819</v>
      </c>
      <c r="B4">
        <v>1131.21</v>
      </c>
      <c r="C4">
        <v>1292.6600000000001</v>
      </c>
      <c r="D4">
        <v>1074.77</v>
      </c>
      <c r="E4">
        <v>1253.3</v>
      </c>
      <c r="F4">
        <v>4874946600</v>
      </c>
      <c r="G4">
        <v>1253.3</v>
      </c>
      <c r="H4" s="93">
        <f t="shared" si="0"/>
        <v>0.10230659165059017</v>
      </c>
    </row>
    <row r="5" spans="1:12" ht="15" x14ac:dyDescent="0.2">
      <c r="A5" s="92">
        <v>40787</v>
      </c>
      <c r="B5">
        <v>1219.1199999999999</v>
      </c>
      <c r="C5">
        <v>1229.29</v>
      </c>
      <c r="D5">
        <v>1114.22</v>
      </c>
      <c r="E5">
        <v>1131.42</v>
      </c>
      <c r="F5">
        <v>5104933800</v>
      </c>
      <c r="G5">
        <v>1131.42</v>
      </c>
      <c r="H5" s="93">
        <f t="shared" si="0"/>
        <v>-7.4467127542783104E-2</v>
      </c>
    </row>
    <row r="6" spans="1:12" ht="15" x14ac:dyDescent="0.2">
      <c r="A6" s="92">
        <v>40756</v>
      </c>
      <c r="B6">
        <v>1292.5899999999999</v>
      </c>
      <c r="C6">
        <v>1307.3800000000001</v>
      </c>
      <c r="D6">
        <v>1101.54</v>
      </c>
      <c r="E6">
        <v>1218.8900000000001</v>
      </c>
      <c r="F6">
        <v>4942913400</v>
      </c>
      <c r="G6">
        <v>1218.8900000000001</v>
      </c>
      <c r="H6" s="93">
        <f t="shared" si="0"/>
        <v>-5.8467491619120418E-2</v>
      </c>
    </row>
    <row r="7" spans="1:12" ht="15" x14ac:dyDescent="0.2">
      <c r="A7" s="92">
        <v>40725</v>
      </c>
      <c r="B7">
        <v>1320.64</v>
      </c>
      <c r="C7">
        <v>1356.48</v>
      </c>
      <c r="D7">
        <v>1282.8599999999999</v>
      </c>
      <c r="E7">
        <v>1292.28</v>
      </c>
      <c r="F7">
        <v>4308168000</v>
      </c>
      <c r="G7">
        <v>1292.28</v>
      </c>
      <c r="H7" s="93">
        <f t="shared" si="0"/>
        <v>-2.1708367435427242E-2</v>
      </c>
    </row>
    <row r="8" spans="1:12" ht="15" x14ac:dyDescent="0.2">
      <c r="A8" s="92">
        <v>40695</v>
      </c>
      <c r="B8">
        <v>1345.2</v>
      </c>
      <c r="C8">
        <v>1345.2</v>
      </c>
      <c r="D8">
        <v>1258.07</v>
      </c>
      <c r="E8">
        <v>1320.64</v>
      </c>
      <c r="F8">
        <v>4105601300</v>
      </c>
      <c r="G8">
        <v>1320.64</v>
      </c>
      <c r="H8" s="93">
        <f t="shared" si="0"/>
        <v>-1.8426233301897538E-2</v>
      </c>
    </row>
    <row r="9" spans="1:12" ht="15" x14ac:dyDescent="0.2">
      <c r="A9" s="92">
        <v>40665</v>
      </c>
      <c r="B9">
        <v>1365.21</v>
      </c>
      <c r="C9">
        <v>1370.58</v>
      </c>
      <c r="D9">
        <v>1311.8</v>
      </c>
      <c r="E9">
        <v>1345.2</v>
      </c>
      <c r="F9">
        <v>4114534200</v>
      </c>
      <c r="G9">
        <v>1345.2</v>
      </c>
      <c r="H9" s="93">
        <f t="shared" si="0"/>
        <v>-1.3592893899637262E-2</v>
      </c>
    </row>
    <row r="10" spans="1:12" ht="15" x14ac:dyDescent="0.2">
      <c r="A10" s="92">
        <v>40634</v>
      </c>
      <c r="B10">
        <v>1329.48</v>
      </c>
      <c r="C10">
        <v>1364.56</v>
      </c>
      <c r="D10">
        <v>1294.7</v>
      </c>
      <c r="E10">
        <v>1363.61</v>
      </c>
      <c r="F10">
        <v>4042194000</v>
      </c>
      <c r="G10">
        <v>1363.61</v>
      </c>
      <c r="H10" s="93">
        <f t="shared" si="0"/>
        <v>2.809691636712916E-2</v>
      </c>
    </row>
    <row r="11" spans="1:12" ht="15" x14ac:dyDescent="0.2">
      <c r="A11" s="92">
        <v>40603</v>
      </c>
      <c r="B11">
        <v>1328.64</v>
      </c>
      <c r="C11">
        <v>1332.28</v>
      </c>
      <c r="D11">
        <v>1249.05</v>
      </c>
      <c r="E11">
        <v>1325.83</v>
      </c>
      <c r="F11">
        <v>4046691700</v>
      </c>
      <c r="G11">
        <v>1325.83</v>
      </c>
      <c r="H11" s="93">
        <f t="shared" si="0"/>
        <v>-1.0478506829378123E-3</v>
      </c>
    </row>
    <row r="12" spans="1:12" ht="15" x14ac:dyDescent="0.2">
      <c r="A12" s="92">
        <v>40575</v>
      </c>
      <c r="B12">
        <v>1289.1400000000001</v>
      </c>
      <c r="C12">
        <v>1344.07</v>
      </c>
      <c r="D12">
        <v>1289.1400000000001</v>
      </c>
      <c r="E12">
        <v>1327.22</v>
      </c>
      <c r="F12">
        <v>3225297300</v>
      </c>
      <c r="G12">
        <v>1327.22</v>
      </c>
      <c r="H12" s="93">
        <f t="shared" si="0"/>
        <v>3.1456595040144836E-2</v>
      </c>
    </row>
    <row r="13" spans="1:12" ht="15" x14ac:dyDescent="0.2">
      <c r="A13" s="92">
        <v>40546</v>
      </c>
      <c r="B13">
        <v>1257.6199999999999</v>
      </c>
      <c r="C13">
        <v>1302.67</v>
      </c>
      <c r="D13">
        <v>1257.6199999999999</v>
      </c>
      <c r="E13">
        <v>1286.1199999999999</v>
      </c>
      <c r="F13">
        <v>4816605000</v>
      </c>
      <c r="G13">
        <v>1286.1199999999999</v>
      </c>
      <c r="H13" s="93">
        <f t="shared" si="0"/>
        <v>2.239298525651701E-2</v>
      </c>
      <c r="I13" s="93"/>
      <c r="J13" s="96"/>
    </row>
    <row r="14" spans="1:12" ht="15" x14ac:dyDescent="0.2">
      <c r="A14" s="92">
        <v>40513</v>
      </c>
      <c r="B14">
        <v>1186.5999999999999</v>
      </c>
      <c r="C14">
        <v>1262.5999999999999</v>
      </c>
      <c r="D14">
        <v>1186.5999999999999</v>
      </c>
      <c r="E14">
        <v>1257.6400000000001</v>
      </c>
      <c r="F14">
        <v>3762922700</v>
      </c>
      <c r="G14">
        <v>1257.6400000000001</v>
      </c>
      <c r="H14" s="93">
        <f t="shared" si="0"/>
        <v>6.3256517221926059E-2</v>
      </c>
      <c r="K14" s="97">
        <f>LN(G2/G14)</f>
        <v>-3.1806109956569349E-5</v>
      </c>
    </row>
    <row r="15" spans="1:12" ht="15" x14ac:dyDescent="0.2">
      <c r="A15" s="92">
        <v>40483</v>
      </c>
      <c r="B15">
        <v>1185.71</v>
      </c>
      <c r="C15">
        <v>1227.08</v>
      </c>
      <c r="D15">
        <v>1173</v>
      </c>
      <c r="E15">
        <v>1180.55</v>
      </c>
      <c r="F15">
        <v>4354084200</v>
      </c>
      <c r="G15">
        <v>1180.55</v>
      </c>
      <c r="H15" s="93">
        <f t="shared" si="0"/>
        <v>-2.2929094870601432E-3</v>
      </c>
    </row>
    <row r="16" spans="1:12" ht="15" x14ac:dyDescent="0.2">
      <c r="A16" s="92">
        <v>40452</v>
      </c>
      <c r="B16">
        <v>1143.49</v>
      </c>
      <c r="C16">
        <v>1196.1400000000001</v>
      </c>
      <c r="D16">
        <v>1131.8699999999999</v>
      </c>
      <c r="E16">
        <v>1183.26</v>
      </c>
      <c r="F16">
        <v>4432102300</v>
      </c>
      <c r="G16">
        <v>1183.26</v>
      </c>
      <c r="H16" s="93">
        <f t="shared" si="0"/>
        <v>3.6193000710687595E-2</v>
      </c>
    </row>
    <row r="17" spans="1:11" ht="15" x14ac:dyDescent="0.2">
      <c r="A17" s="92">
        <v>40422</v>
      </c>
      <c r="B17">
        <v>1049.72</v>
      </c>
      <c r="C17">
        <v>1157.1600000000001</v>
      </c>
      <c r="D17">
        <v>1049.72</v>
      </c>
      <c r="E17">
        <v>1141.2</v>
      </c>
      <c r="F17">
        <v>3993981400</v>
      </c>
      <c r="G17">
        <v>1141.2</v>
      </c>
      <c r="H17" s="93">
        <f t="shared" si="0"/>
        <v>8.3928475095282604E-2</v>
      </c>
    </row>
    <row r="18" spans="1:11" ht="15" x14ac:dyDescent="0.2">
      <c r="A18" s="92">
        <v>40392</v>
      </c>
      <c r="B18">
        <v>1107.53</v>
      </c>
      <c r="C18">
        <v>1129.24</v>
      </c>
      <c r="D18">
        <v>1039.7</v>
      </c>
      <c r="E18">
        <v>1049.33</v>
      </c>
      <c r="F18">
        <v>4044967700</v>
      </c>
      <c r="G18">
        <v>1049.33</v>
      </c>
      <c r="H18" s="93">
        <f t="shared" si="0"/>
        <v>-4.8611803170382606E-2</v>
      </c>
    </row>
    <row r="19" spans="1:11" ht="15" x14ac:dyDescent="0.2">
      <c r="A19" s="92">
        <v>40360</v>
      </c>
      <c r="B19">
        <v>1031.0999999999999</v>
      </c>
      <c r="C19">
        <v>1120.95</v>
      </c>
      <c r="D19">
        <v>1010.91</v>
      </c>
      <c r="E19">
        <v>1101.5999999999999</v>
      </c>
      <c r="F19">
        <v>4704026600</v>
      </c>
      <c r="G19">
        <v>1101.5999999999999</v>
      </c>
      <c r="H19" s="93">
        <f t="shared" si="0"/>
        <v>6.6515783274589638E-2</v>
      </c>
    </row>
    <row r="20" spans="1:11" ht="15" x14ac:dyDescent="0.2">
      <c r="A20" s="92">
        <v>40330</v>
      </c>
      <c r="B20">
        <v>1087.3</v>
      </c>
      <c r="C20">
        <v>1131.23</v>
      </c>
      <c r="D20">
        <v>1028.33</v>
      </c>
      <c r="E20">
        <v>1030.71</v>
      </c>
      <c r="F20">
        <v>5235174000</v>
      </c>
      <c r="G20">
        <v>1030.71</v>
      </c>
      <c r="H20" s="93">
        <f t="shared" si="0"/>
        <v>-5.5388380132376618E-2</v>
      </c>
    </row>
    <row r="21" spans="1:11" ht="15" x14ac:dyDescent="0.2">
      <c r="A21" s="92">
        <v>40301</v>
      </c>
      <c r="B21">
        <v>1188.58</v>
      </c>
      <c r="C21">
        <v>1205.1300000000001</v>
      </c>
      <c r="D21">
        <v>1040.78</v>
      </c>
      <c r="E21">
        <v>1089.4100000000001</v>
      </c>
      <c r="F21">
        <v>6626699400</v>
      </c>
      <c r="G21">
        <v>1089.4100000000001</v>
      </c>
      <c r="H21" s="93">
        <f t="shared" si="0"/>
        <v>-8.5531653633770133E-2</v>
      </c>
    </row>
    <row r="22" spans="1:11" ht="15" x14ac:dyDescent="0.2">
      <c r="A22" s="92">
        <v>40269</v>
      </c>
      <c r="B22">
        <v>1171.23</v>
      </c>
      <c r="C22">
        <v>1219.8</v>
      </c>
      <c r="D22">
        <v>1170.69</v>
      </c>
      <c r="E22">
        <v>1186.69</v>
      </c>
      <c r="F22">
        <v>5847150900</v>
      </c>
      <c r="G22">
        <v>1186.69</v>
      </c>
      <c r="H22" s="93">
        <f t="shared" si="0"/>
        <v>1.4651468311863144E-2</v>
      </c>
    </row>
    <row r="23" spans="1:11" ht="15" x14ac:dyDescent="0.2">
      <c r="A23" s="92">
        <v>40238</v>
      </c>
      <c r="B23">
        <v>1105.3599999999999</v>
      </c>
      <c r="C23">
        <v>1180.69</v>
      </c>
      <c r="D23">
        <v>1105.3599999999999</v>
      </c>
      <c r="E23">
        <v>1169.43</v>
      </c>
      <c r="F23">
        <v>4702951700</v>
      </c>
      <c r="G23">
        <v>1169.43</v>
      </c>
      <c r="H23" s="93">
        <f t="shared" si="0"/>
        <v>5.7132760645483123E-2</v>
      </c>
    </row>
    <row r="24" spans="1:11" ht="15" x14ac:dyDescent="0.2">
      <c r="A24" s="92">
        <v>40210</v>
      </c>
      <c r="B24">
        <v>1073.8900000000001</v>
      </c>
      <c r="C24">
        <v>1112.42</v>
      </c>
      <c r="D24">
        <v>1044.5</v>
      </c>
      <c r="E24">
        <v>1104.49</v>
      </c>
      <c r="F24">
        <v>4658238400</v>
      </c>
      <c r="G24">
        <v>1104.49</v>
      </c>
      <c r="H24" s="93">
        <f t="shared" si="0"/>
        <v>2.8114744036660498E-2</v>
      </c>
    </row>
    <row r="25" spans="1:11" ht="15" x14ac:dyDescent="0.2">
      <c r="A25" s="92">
        <v>40182</v>
      </c>
      <c r="B25">
        <v>1116.56</v>
      </c>
      <c r="C25">
        <v>1150.45</v>
      </c>
      <c r="D25">
        <v>1071.5899999999999</v>
      </c>
      <c r="E25">
        <v>1073.8699999999999</v>
      </c>
      <c r="F25">
        <v>5071601500</v>
      </c>
      <c r="G25">
        <v>1073.8699999999999</v>
      </c>
      <c r="H25" s="93">
        <f t="shared" si="0"/>
        <v>-3.7675141059320766E-2</v>
      </c>
      <c r="I25" s="93"/>
    </row>
    <row r="26" spans="1:11" ht="15" x14ac:dyDescent="0.2">
      <c r="A26" s="92">
        <v>40148</v>
      </c>
      <c r="B26">
        <v>1098.8900000000001</v>
      </c>
      <c r="C26">
        <v>1130.3800000000001</v>
      </c>
      <c r="D26">
        <v>1085.8900000000001</v>
      </c>
      <c r="E26">
        <v>1115.0999999999999</v>
      </c>
      <c r="F26">
        <v>4163287200</v>
      </c>
      <c r="G26">
        <v>1115.0999999999999</v>
      </c>
      <c r="H26" s="93">
        <f t="shared" si="0"/>
        <v>1.7614546700982087E-2</v>
      </c>
      <c r="K26" s="97">
        <f>LN(G14/G26)</f>
        <v>0.12029286181358252</v>
      </c>
    </row>
    <row r="27" spans="1:11" ht="15" x14ac:dyDescent="0.2">
      <c r="A27" s="92">
        <v>40119</v>
      </c>
      <c r="B27">
        <v>1036.18</v>
      </c>
      <c r="C27">
        <v>1113.69</v>
      </c>
      <c r="D27">
        <v>1029.3800000000001</v>
      </c>
      <c r="E27">
        <v>1095.6300000000001</v>
      </c>
      <c r="F27">
        <v>4443852500</v>
      </c>
      <c r="G27">
        <v>1095.6300000000001</v>
      </c>
      <c r="H27" s="93">
        <f t="shared" si="0"/>
        <v>5.5779015582807137E-2</v>
      </c>
    </row>
    <row r="28" spans="1:11" ht="15" x14ac:dyDescent="0.2">
      <c r="A28" s="92">
        <v>40087</v>
      </c>
      <c r="B28">
        <v>1054.9100000000001</v>
      </c>
      <c r="C28">
        <v>1101.3599999999999</v>
      </c>
      <c r="D28">
        <v>1019.95</v>
      </c>
      <c r="E28">
        <v>1036.19</v>
      </c>
      <c r="F28">
        <v>5451064000</v>
      </c>
      <c r="G28">
        <v>1036.19</v>
      </c>
      <c r="H28" s="93">
        <f t="shared" si="0"/>
        <v>-1.9959865222177731E-2</v>
      </c>
    </row>
    <row r="29" spans="1:11" ht="15" x14ac:dyDescent="0.2">
      <c r="A29" s="92">
        <v>40057</v>
      </c>
      <c r="B29">
        <v>1019.52</v>
      </c>
      <c r="C29">
        <v>1080.1500000000001</v>
      </c>
      <c r="D29">
        <v>991.97</v>
      </c>
      <c r="E29">
        <v>1057.08</v>
      </c>
      <c r="F29">
        <v>5633064200</v>
      </c>
      <c r="G29">
        <v>1057.08</v>
      </c>
      <c r="H29" s="93">
        <f t="shared" si="0"/>
        <v>3.5100104155946166E-2</v>
      </c>
    </row>
    <row r="30" spans="1:11" ht="15" x14ac:dyDescent="0.2">
      <c r="A30" s="92">
        <v>40028</v>
      </c>
      <c r="B30">
        <v>990.22</v>
      </c>
      <c r="C30">
        <v>1039.47</v>
      </c>
      <c r="D30">
        <v>978.51</v>
      </c>
      <c r="E30">
        <v>1020.62</v>
      </c>
      <c r="F30">
        <v>5764944200</v>
      </c>
      <c r="G30">
        <v>1020.62</v>
      </c>
      <c r="H30" s="93">
        <f t="shared" si="0"/>
        <v>3.3009321348136535E-2</v>
      </c>
    </row>
    <row r="31" spans="1:11" ht="15" x14ac:dyDescent="0.2">
      <c r="A31" s="92">
        <v>39995</v>
      </c>
      <c r="B31">
        <v>920.82</v>
      </c>
      <c r="C31">
        <v>996.68</v>
      </c>
      <c r="D31">
        <v>869.32</v>
      </c>
      <c r="E31">
        <v>987.48</v>
      </c>
      <c r="F31">
        <v>5080675400</v>
      </c>
      <c r="G31">
        <v>987.48</v>
      </c>
      <c r="H31" s="93">
        <f t="shared" si="0"/>
        <v>7.1521977088891908E-2</v>
      </c>
    </row>
    <row r="32" spans="1:11" ht="15" x14ac:dyDescent="0.2">
      <c r="A32" s="92">
        <v>39965</v>
      </c>
      <c r="B32">
        <v>923.26</v>
      </c>
      <c r="C32">
        <v>956.23</v>
      </c>
      <c r="D32">
        <v>888.86</v>
      </c>
      <c r="E32">
        <v>919.32</v>
      </c>
      <c r="F32">
        <v>5330941800</v>
      </c>
      <c r="G32">
        <v>919.32</v>
      </c>
      <c r="H32" s="93">
        <f t="shared" si="0"/>
        <v>1.9581606407012827E-4</v>
      </c>
    </row>
    <row r="33" spans="1:11" ht="15" x14ac:dyDescent="0.2">
      <c r="A33" s="92">
        <v>39934</v>
      </c>
      <c r="B33">
        <v>872.74</v>
      </c>
      <c r="C33">
        <v>930.17</v>
      </c>
      <c r="D33">
        <v>866.1</v>
      </c>
      <c r="E33">
        <v>919.14</v>
      </c>
      <c r="F33">
        <v>6883268000</v>
      </c>
      <c r="G33">
        <v>919.14</v>
      </c>
      <c r="H33" s="93">
        <f t="shared" si="0"/>
        <v>5.1720558420882315E-2</v>
      </c>
    </row>
    <row r="34" spans="1:11" ht="15" x14ac:dyDescent="0.2">
      <c r="A34" s="92">
        <v>39904</v>
      </c>
      <c r="B34">
        <v>793.59</v>
      </c>
      <c r="C34">
        <v>888.7</v>
      </c>
      <c r="D34">
        <v>783.32</v>
      </c>
      <c r="E34">
        <v>872.81</v>
      </c>
      <c r="F34">
        <v>6938945600</v>
      </c>
      <c r="G34">
        <v>872.81</v>
      </c>
      <c r="H34" s="93">
        <f t="shared" si="0"/>
        <v>8.9772214920969498E-2</v>
      </c>
    </row>
    <row r="35" spans="1:11" ht="15" x14ac:dyDescent="0.2">
      <c r="A35" s="92">
        <v>39874</v>
      </c>
      <c r="B35">
        <v>729.57</v>
      </c>
      <c r="C35">
        <v>832.98</v>
      </c>
      <c r="D35">
        <v>666.79</v>
      </c>
      <c r="E35">
        <v>797.87</v>
      </c>
      <c r="F35">
        <v>7633306300</v>
      </c>
      <c r="G35">
        <v>797.87</v>
      </c>
      <c r="H35" s="93">
        <f t="shared" si="0"/>
        <v>8.1952736214643773E-2</v>
      </c>
    </row>
    <row r="36" spans="1:11" ht="15" x14ac:dyDescent="0.2">
      <c r="A36" s="92">
        <v>39846</v>
      </c>
      <c r="B36">
        <v>823.09</v>
      </c>
      <c r="C36">
        <v>875.01</v>
      </c>
      <c r="D36">
        <v>734.52</v>
      </c>
      <c r="E36">
        <v>735.09</v>
      </c>
      <c r="F36">
        <v>7022036200</v>
      </c>
      <c r="G36">
        <v>735.09</v>
      </c>
      <c r="H36" s="93">
        <f t="shared" si="0"/>
        <v>-0.11645654382051443</v>
      </c>
    </row>
    <row r="37" spans="1:11" ht="15" x14ac:dyDescent="0.2">
      <c r="A37" s="92">
        <v>39815</v>
      </c>
      <c r="B37">
        <v>902.99</v>
      </c>
      <c r="C37">
        <v>943.85</v>
      </c>
      <c r="D37">
        <v>804.3</v>
      </c>
      <c r="E37">
        <v>825.88</v>
      </c>
      <c r="F37">
        <v>5844561500</v>
      </c>
      <c r="G37">
        <v>825.88</v>
      </c>
      <c r="H37" s="93">
        <f t="shared" si="0"/>
        <v>-8.9549885511070959E-2</v>
      </c>
      <c r="I37" s="93"/>
    </row>
    <row r="38" spans="1:11" ht="15" x14ac:dyDescent="0.2">
      <c r="A38" s="92">
        <v>39783</v>
      </c>
      <c r="B38">
        <v>888.61</v>
      </c>
      <c r="C38">
        <v>918.85</v>
      </c>
      <c r="D38">
        <v>815.69</v>
      </c>
      <c r="E38">
        <v>903.25</v>
      </c>
      <c r="F38">
        <v>5320791300</v>
      </c>
      <c r="G38">
        <v>903.25</v>
      </c>
      <c r="H38" s="93">
        <f t="shared" si="0"/>
        <v>7.7911357772817548E-3</v>
      </c>
      <c r="K38" s="97">
        <f>LN(G26/G38)</f>
        <v>0.21069999594356642</v>
      </c>
    </row>
    <row r="39" spans="1:11" ht="15" x14ac:dyDescent="0.2">
      <c r="A39" s="92">
        <v>39755</v>
      </c>
      <c r="B39">
        <v>968.67</v>
      </c>
      <c r="C39">
        <v>1007.51</v>
      </c>
      <c r="D39">
        <v>741.02</v>
      </c>
      <c r="E39">
        <v>896.24</v>
      </c>
      <c r="F39">
        <v>6231635200</v>
      </c>
      <c r="G39">
        <v>896.24</v>
      </c>
      <c r="H39" s="93">
        <f t="shared" si="0"/>
        <v>-7.7798346417088868E-2</v>
      </c>
    </row>
    <row r="40" spans="1:11" ht="15" x14ac:dyDescent="0.2">
      <c r="A40" s="92">
        <v>39722</v>
      </c>
      <c r="B40">
        <v>1164.17</v>
      </c>
      <c r="C40">
        <v>1167.03</v>
      </c>
      <c r="D40">
        <v>839.8</v>
      </c>
      <c r="E40">
        <v>968.75</v>
      </c>
      <c r="F40">
        <v>7226593900</v>
      </c>
      <c r="G40">
        <v>968.75</v>
      </c>
      <c r="H40" s="93">
        <f t="shared" si="0"/>
        <v>-0.18563648644598751</v>
      </c>
    </row>
    <row r="41" spans="1:11" ht="15" x14ac:dyDescent="0.2">
      <c r="A41" s="92">
        <v>39693</v>
      </c>
      <c r="B41">
        <v>1287.83</v>
      </c>
      <c r="C41">
        <v>1303.04</v>
      </c>
      <c r="D41">
        <v>1106.42</v>
      </c>
      <c r="E41">
        <v>1166.3599999999999</v>
      </c>
      <c r="F41">
        <v>6900428500</v>
      </c>
      <c r="G41">
        <v>1166.3599999999999</v>
      </c>
      <c r="H41" s="93">
        <f t="shared" si="0"/>
        <v>-9.5180786774375359E-2</v>
      </c>
    </row>
    <row r="42" spans="1:11" ht="15" x14ac:dyDescent="0.2">
      <c r="A42" s="92">
        <v>39661</v>
      </c>
      <c r="B42">
        <v>1269.42</v>
      </c>
      <c r="C42">
        <v>1313.15</v>
      </c>
      <c r="D42">
        <v>1247.45</v>
      </c>
      <c r="E42">
        <v>1282.83</v>
      </c>
      <c r="F42">
        <v>4264482300</v>
      </c>
      <c r="G42">
        <v>1282.83</v>
      </c>
      <c r="H42" s="93">
        <f t="shared" si="0"/>
        <v>1.2116797460712942E-2</v>
      </c>
    </row>
    <row r="43" spans="1:11" ht="15" x14ac:dyDescent="0.2">
      <c r="A43" s="92">
        <v>39630</v>
      </c>
      <c r="B43">
        <v>1276.69</v>
      </c>
      <c r="C43">
        <v>1292.17</v>
      </c>
      <c r="D43">
        <v>1200.44</v>
      </c>
      <c r="E43">
        <v>1267.3800000000001</v>
      </c>
      <c r="F43">
        <v>5923937200</v>
      </c>
      <c r="G43">
        <v>1267.3800000000001</v>
      </c>
      <c r="H43" s="93">
        <f t="shared" si="0"/>
        <v>-9.9083004864562122E-3</v>
      </c>
    </row>
    <row r="44" spans="1:11" ht="15" x14ac:dyDescent="0.2">
      <c r="A44" s="92">
        <v>39601</v>
      </c>
      <c r="B44">
        <v>1399.62</v>
      </c>
      <c r="C44">
        <v>1404.05</v>
      </c>
      <c r="D44">
        <v>1272</v>
      </c>
      <c r="E44">
        <v>1280</v>
      </c>
      <c r="F44">
        <v>4840303300</v>
      </c>
      <c r="G44">
        <v>1280</v>
      </c>
      <c r="H44" s="93">
        <f t="shared" si="0"/>
        <v>-8.98835504310454E-2</v>
      </c>
    </row>
    <row r="45" spans="1:11" ht="15" x14ac:dyDescent="0.2">
      <c r="A45" s="92">
        <v>39569</v>
      </c>
      <c r="B45">
        <v>1385.97</v>
      </c>
      <c r="C45">
        <v>1440.24</v>
      </c>
      <c r="D45">
        <v>1373.07</v>
      </c>
      <c r="E45">
        <v>1400.38</v>
      </c>
      <c r="F45">
        <v>4039814700</v>
      </c>
      <c r="G45">
        <v>1400.38</v>
      </c>
      <c r="H45" s="93">
        <f t="shared" si="0"/>
        <v>1.0617586652650165E-2</v>
      </c>
    </row>
    <row r="46" spans="1:11" ht="15" x14ac:dyDescent="0.2">
      <c r="A46" s="92">
        <v>39539</v>
      </c>
      <c r="B46">
        <v>1326.41</v>
      </c>
      <c r="C46">
        <v>1404.57</v>
      </c>
      <c r="D46">
        <v>1324.35</v>
      </c>
      <c r="E46">
        <v>1385.59</v>
      </c>
      <c r="F46">
        <v>4113069000</v>
      </c>
      <c r="G46">
        <v>1385.59</v>
      </c>
      <c r="H46" s="93">
        <f t="shared" si="0"/>
        <v>4.6450939660056381E-2</v>
      </c>
    </row>
    <row r="47" spans="1:11" ht="15" x14ac:dyDescent="0.2">
      <c r="A47" s="92">
        <v>39510</v>
      </c>
      <c r="B47">
        <v>1330.45</v>
      </c>
      <c r="C47">
        <v>1359.68</v>
      </c>
      <c r="D47">
        <v>1256.98</v>
      </c>
      <c r="E47">
        <v>1322.7</v>
      </c>
      <c r="F47">
        <v>4661172000</v>
      </c>
      <c r="G47">
        <v>1322.7</v>
      </c>
      <c r="H47" s="93">
        <f t="shared" si="0"/>
        <v>-5.9774122413739049E-3</v>
      </c>
    </row>
    <row r="48" spans="1:11" ht="15" x14ac:dyDescent="0.2">
      <c r="A48" s="92">
        <v>39479</v>
      </c>
      <c r="B48">
        <v>1378.6</v>
      </c>
      <c r="C48">
        <v>1396.02</v>
      </c>
      <c r="D48">
        <v>1316.75</v>
      </c>
      <c r="E48">
        <v>1330.63</v>
      </c>
      <c r="F48">
        <v>4148143000</v>
      </c>
      <c r="G48">
        <v>1330.63</v>
      </c>
      <c r="H48" s="93">
        <f t="shared" si="0"/>
        <v>-3.5379707842082095E-2</v>
      </c>
    </row>
    <row r="49" spans="1:11" ht="15" x14ac:dyDescent="0.2">
      <c r="A49" s="92">
        <v>39449</v>
      </c>
      <c r="B49">
        <v>1467.97</v>
      </c>
      <c r="C49">
        <v>1471.77</v>
      </c>
      <c r="D49">
        <v>1270.05</v>
      </c>
      <c r="E49">
        <v>1378.55</v>
      </c>
      <c r="F49">
        <v>4925982300</v>
      </c>
      <c r="G49">
        <v>1378.55</v>
      </c>
      <c r="H49" s="93">
        <f t="shared" si="0"/>
        <v>-6.3113909602276946E-2</v>
      </c>
      <c r="I49" s="93"/>
    </row>
    <row r="50" spans="1:11" ht="15" x14ac:dyDescent="0.2">
      <c r="A50" s="92">
        <v>39419</v>
      </c>
      <c r="B50">
        <v>1479.63</v>
      </c>
      <c r="C50">
        <v>1523.57</v>
      </c>
      <c r="D50">
        <v>1435.65</v>
      </c>
      <c r="E50">
        <v>1468.36</v>
      </c>
      <c r="F50">
        <v>3363127500</v>
      </c>
      <c r="G50">
        <v>1468.36</v>
      </c>
      <c r="H50" s="93">
        <f t="shared" si="0"/>
        <v>-8.6659298048018304E-3</v>
      </c>
      <c r="K50" s="97">
        <f>LN(G38/G50)</f>
        <v>-0.48590204068998494</v>
      </c>
    </row>
    <row r="51" spans="1:11" ht="15" x14ac:dyDescent="0.2">
      <c r="A51" s="92">
        <v>39387</v>
      </c>
      <c r="B51">
        <v>1545.79</v>
      </c>
      <c r="C51">
        <v>1545.79</v>
      </c>
      <c r="D51">
        <v>1406.1</v>
      </c>
      <c r="E51">
        <v>1481.14</v>
      </c>
      <c r="F51">
        <v>4317578500</v>
      </c>
      <c r="G51">
        <v>1481.14</v>
      </c>
      <c r="H51" s="93">
        <f t="shared" si="0"/>
        <v>-4.5042789369416157E-2</v>
      </c>
    </row>
    <row r="52" spans="1:11" ht="15" x14ac:dyDescent="0.2">
      <c r="A52" s="92">
        <v>39356</v>
      </c>
      <c r="B52">
        <v>1527.29</v>
      </c>
      <c r="C52">
        <v>1576.09</v>
      </c>
      <c r="D52">
        <v>1489.56</v>
      </c>
      <c r="E52">
        <v>1549.38</v>
      </c>
      <c r="F52">
        <v>3477202100</v>
      </c>
      <c r="G52">
        <v>1549.38</v>
      </c>
      <c r="H52" s="93">
        <f t="shared" si="0"/>
        <v>1.4713557788708606E-2</v>
      </c>
    </row>
    <row r="53" spans="1:11" ht="15" x14ac:dyDescent="0.2">
      <c r="A53" s="92">
        <v>39329</v>
      </c>
      <c r="B53">
        <v>1473.96</v>
      </c>
      <c r="C53">
        <v>1538.74</v>
      </c>
      <c r="D53">
        <v>1439.29</v>
      </c>
      <c r="E53">
        <v>1526.75</v>
      </c>
      <c r="F53">
        <v>3196581500</v>
      </c>
      <c r="G53">
        <v>1526.75</v>
      </c>
      <c r="H53" s="93">
        <f t="shared" si="0"/>
        <v>3.5168283637491062E-2</v>
      </c>
    </row>
    <row r="54" spans="1:11" ht="15" x14ac:dyDescent="0.2">
      <c r="A54" s="92">
        <v>39295</v>
      </c>
      <c r="B54">
        <v>1455.18</v>
      </c>
      <c r="C54">
        <v>1503.89</v>
      </c>
      <c r="D54">
        <v>1370.6</v>
      </c>
      <c r="E54">
        <v>1473.99</v>
      </c>
      <c r="F54">
        <v>4091885600</v>
      </c>
      <c r="G54">
        <v>1473.99</v>
      </c>
      <c r="H54" s="93">
        <f t="shared" si="0"/>
        <v>1.2781559065278813E-2</v>
      </c>
    </row>
    <row r="55" spans="1:11" ht="15" x14ac:dyDescent="0.2">
      <c r="A55" s="92">
        <v>39265</v>
      </c>
      <c r="B55">
        <v>1504.66</v>
      </c>
      <c r="C55">
        <v>1555.9</v>
      </c>
      <c r="D55">
        <v>1454.25</v>
      </c>
      <c r="E55">
        <v>1455.27</v>
      </c>
      <c r="F55">
        <v>3564664200</v>
      </c>
      <c r="G55">
        <v>1455.27</v>
      </c>
      <c r="H55" s="93">
        <f t="shared" si="0"/>
        <v>-3.2504500841186675E-2</v>
      </c>
    </row>
    <row r="56" spans="1:11" ht="15" x14ac:dyDescent="0.2">
      <c r="A56" s="92">
        <v>39234</v>
      </c>
      <c r="B56">
        <v>1530.62</v>
      </c>
      <c r="C56">
        <v>1540.56</v>
      </c>
      <c r="D56">
        <v>1484.18</v>
      </c>
      <c r="E56">
        <v>1503.35</v>
      </c>
      <c r="F56">
        <v>3261343300</v>
      </c>
      <c r="G56">
        <v>1503.35</v>
      </c>
      <c r="H56" s="93">
        <f t="shared" si="0"/>
        <v>-1.7976930819991094E-2</v>
      </c>
    </row>
    <row r="57" spans="1:11" ht="15" x14ac:dyDescent="0.2">
      <c r="A57" s="92">
        <v>39203</v>
      </c>
      <c r="B57">
        <v>1482.37</v>
      </c>
      <c r="C57">
        <v>1535.56</v>
      </c>
      <c r="D57">
        <v>1476.7</v>
      </c>
      <c r="E57">
        <v>1530.62</v>
      </c>
      <c r="F57">
        <v>3104253600</v>
      </c>
      <c r="G57">
        <v>1530.62</v>
      </c>
      <c r="H57" s="93">
        <f t="shared" si="0"/>
        <v>3.2030723748061214E-2</v>
      </c>
    </row>
    <row r="58" spans="1:11" ht="15" x14ac:dyDescent="0.2">
      <c r="A58" s="92">
        <v>39174</v>
      </c>
      <c r="B58">
        <v>1420.83</v>
      </c>
      <c r="C58">
        <v>1498.02</v>
      </c>
      <c r="D58">
        <v>1416.37</v>
      </c>
      <c r="E58">
        <v>1482.37</v>
      </c>
      <c r="F58">
        <v>3006294500</v>
      </c>
      <c r="G58">
        <v>1482.37</v>
      </c>
      <c r="H58" s="93">
        <f t="shared" si="0"/>
        <v>4.2379836237605301E-2</v>
      </c>
    </row>
    <row r="59" spans="1:11" ht="15" x14ac:dyDescent="0.2">
      <c r="A59" s="92">
        <v>39142</v>
      </c>
      <c r="B59">
        <v>1406.8</v>
      </c>
      <c r="C59">
        <v>1438.89</v>
      </c>
      <c r="D59">
        <v>1363.98</v>
      </c>
      <c r="E59">
        <v>1420.86</v>
      </c>
      <c r="F59">
        <v>3205736800</v>
      </c>
      <c r="G59">
        <v>1420.86</v>
      </c>
      <c r="H59" s="93">
        <f t="shared" si="0"/>
        <v>9.9304839152859412E-3</v>
      </c>
    </row>
    <row r="60" spans="1:11" ht="15" x14ac:dyDescent="0.2">
      <c r="A60" s="92">
        <v>39114</v>
      </c>
      <c r="B60">
        <v>1437.9</v>
      </c>
      <c r="C60">
        <v>1461.57</v>
      </c>
      <c r="D60">
        <v>1389.42</v>
      </c>
      <c r="E60">
        <v>1406.82</v>
      </c>
      <c r="F60">
        <v>2935275700</v>
      </c>
      <c r="G60">
        <v>1406.82</v>
      </c>
      <c r="H60" s="93">
        <f t="shared" si="0"/>
        <v>-2.2088305664389823E-2</v>
      </c>
    </row>
    <row r="61" spans="1:11" ht="15" x14ac:dyDescent="0.2">
      <c r="A61" s="92">
        <v>39085</v>
      </c>
      <c r="B61">
        <v>1418.03</v>
      </c>
      <c r="C61">
        <v>1441.61</v>
      </c>
      <c r="D61">
        <v>1403.97</v>
      </c>
      <c r="E61">
        <v>1438.24</v>
      </c>
      <c r="F61">
        <v>2983144500</v>
      </c>
      <c r="G61">
        <v>1438.24</v>
      </c>
      <c r="H61" s="93">
        <f t="shared" si="0"/>
        <v>1.3961172524527271E-2</v>
      </c>
      <c r="I61" s="93"/>
    </row>
    <row r="62" spans="1:11" ht="15" x14ac:dyDescent="0.2">
      <c r="A62" s="92">
        <v>39052</v>
      </c>
      <c r="B62">
        <v>1400.63</v>
      </c>
      <c r="C62">
        <v>1431.81</v>
      </c>
      <c r="D62">
        <v>1385.93</v>
      </c>
      <c r="E62">
        <v>1418.3</v>
      </c>
      <c r="F62">
        <v>2462849000</v>
      </c>
      <c r="G62">
        <v>1418.3</v>
      </c>
      <c r="H62" s="93">
        <f t="shared" si="0"/>
        <v>1.2536835916847028E-2</v>
      </c>
      <c r="K62" s="97">
        <f>LN(G50/G62)</f>
        <v>3.4687160417172881E-2</v>
      </c>
    </row>
    <row r="63" spans="1:11" ht="15" x14ac:dyDescent="0.2">
      <c r="A63" s="92">
        <v>39022</v>
      </c>
      <c r="B63">
        <v>1377.76</v>
      </c>
      <c r="C63">
        <v>1407.89</v>
      </c>
      <c r="D63">
        <v>1360.98</v>
      </c>
      <c r="E63">
        <v>1400.63</v>
      </c>
      <c r="F63">
        <v>2826198000</v>
      </c>
      <c r="G63">
        <v>1400.63</v>
      </c>
      <c r="H63" s="93">
        <f t="shared" si="0"/>
        <v>1.6332505122359679E-2</v>
      </c>
    </row>
    <row r="64" spans="1:11" ht="15" x14ac:dyDescent="0.2">
      <c r="A64" s="92">
        <v>38992</v>
      </c>
      <c r="B64">
        <v>1335.82</v>
      </c>
      <c r="C64">
        <v>1389.45</v>
      </c>
      <c r="D64">
        <v>1327.1</v>
      </c>
      <c r="E64">
        <v>1377.94</v>
      </c>
      <c r="F64">
        <v>2708938600</v>
      </c>
      <c r="G64">
        <v>1377.94</v>
      </c>
      <c r="H64" s="93">
        <f t="shared" si="0"/>
        <v>3.1021836917226073E-2</v>
      </c>
    </row>
    <row r="65" spans="1:11" ht="15" x14ac:dyDescent="0.2">
      <c r="A65" s="92">
        <v>38961</v>
      </c>
      <c r="B65">
        <v>1303.8</v>
      </c>
      <c r="C65">
        <v>1340.28</v>
      </c>
      <c r="D65">
        <v>1290.93</v>
      </c>
      <c r="E65">
        <v>1335.85</v>
      </c>
      <c r="F65">
        <v>2563743500</v>
      </c>
      <c r="G65">
        <v>1335.85</v>
      </c>
      <c r="H65" s="93">
        <f t="shared" si="0"/>
        <v>2.4269376195304011E-2</v>
      </c>
    </row>
    <row r="66" spans="1:11" ht="15" x14ac:dyDescent="0.2">
      <c r="A66" s="92">
        <v>38930</v>
      </c>
      <c r="B66">
        <v>1278.53</v>
      </c>
      <c r="C66">
        <v>1306.74</v>
      </c>
      <c r="D66">
        <v>1261.3</v>
      </c>
      <c r="E66">
        <v>1303.82</v>
      </c>
      <c r="F66">
        <v>2280876500</v>
      </c>
      <c r="G66">
        <v>1303.82</v>
      </c>
      <c r="H66" s="93">
        <f t="shared" ref="H66:H129" si="1">LN(G66/G67)</f>
        <v>2.105112458799209E-2</v>
      </c>
    </row>
    <row r="67" spans="1:11" ht="15" x14ac:dyDescent="0.2">
      <c r="A67" s="92">
        <v>38901</v>
      </c>
      <c r="B67">
        <v>1270.06</v>
      </c>
      <c r="C67">
        <v>1280.42</v>
      </c>
      <c r="D67">
        <v>1224.54</v>
      </c>
      <c r="E67">
        <v>1276.6600000000001</v>
      </c>
      <c r="F67">
        <v>2440476000</v>
      </c>
      <c r="G67">
        <v>1276.6600000000001</v>
      </c>
      <c r="H67" s="93">
        <f t="shared" si="1"/>
        <v>5.072924191958309E-3</v>
      </c>
    </row>
    <row r="68" spans="1:11" ht="15" x14ac:dyDescent="0.2">
      <c r="A68" s="92">
        <v>38869</v>
      </c>
      <c r="B68">
        <v>1270.05</v>
      </c>
      <c r="C68">
        <v>1290.68</v>
      </c>
      <c r="D68">
        <v>1219.29</v>
      </c>
      <c r="E68">
        <v>1270.2</v>
      </c>
      <c r="F68">
        <v>2632855400</v>
      </c>
      <c r="G68">
        <v>1270.2</v>
      </c>
      <c r="H68" s="93">
        <f t="shared" si="1"/>
        <v>8.6604285391806066E-5</v>
      </c>
    </row>
    <row r="69" spans="1:11" ht="15" x14ac:dyDescent="0.2">
      <c r="A69" s="92">
        <v>38838</v>
      </c>
      <c r="B69">
        <v>1310.6099999999999</v>
      </c>
      <c r="C69">
        <v>1326.7</v>
      </c>
      <c r="D69">
        <v>1245.3399999999999</v>
      </c>
      <c r="E69">
        <v>1270.0899999999999</v>
      </c>
      <c r="F69">
        <v>2591135900</v>
      </c>
      <c r="G69">
        <v>1270.0899999999999</v>
      </c>
      <c r="H69" s="93">
        <f t="shared" si="1"/>
        <v>-3.1404913585891703E-2</v>
      </c>
    </row>
    <row r="70" spans="1:11" ht="15" x14ac:dyDescent="0.2">
      <c r="A70" s="92">
        <v>38810</v>
      </c>
      <c r="B70">
        <v>1302.8800000000001</v>
      </c>
      <c r="C70">
        <v>1318.16</v>
      </c>
      <c r="D70">
        <v>1280.74</v>
      </c>
      <c r="E70">
        <v>1310.6099999999999</v>
      </c>
      <c r="F70">
        <v>2406755200</v>
      </c>
      <c r="G70">
        <v>1310.6099999999999</v>
      </c>
      <c r="H70" s="93">
        <f t="shared" si="1"/>
        <v>1.2082373675144375E-2</v>
      </c>
    </row>
    <row r="71" spans="1:11" ht="15" x14ac:dyDescent="0.2">
      <c r="A71" s="92">
        <v>38777</v>
      </c>
      <c r="B71">
        <v>1280.6600000000001</v>
      </c>
      <c r="C71">
        <v>1310.88</v>
      </c>
      <c r="D71">
        <v>1268.42</v>
      </c>
      <c r="E71">
        <v>1294.8699999999999</v>
      </c>
      <c r="F71">
        <v>2310510800</v>
      </c>
      <c r="G71">
        <v>1294.8699999999999</v>
      </c>
      <c r="H71" s="93">
        <f t="shared" si="1"/>
        <v>1.1034733969458945E-2</v>
      </c>
    </row>
    <row r="72" spans="1:11" ht="15" x14ac:dyDescent="0.2">
      <c r="A72" s="92">
        <v>38749</v>
      </c>
      <c r="B72">
        <v>1280.08</v>
      </c>
      <c r="C72">
        <v>1297.57</v>
      </c>
      <c r="D72">
        <v>1253.6099999999999</v>
      </c>
      <c r="E72">
        <v>1280.6600000000001</v>
      </c>
      <c r="F72">
        <v>2380568400</v>
      </c>
      <c r="G72">
        <v>1280.6600000000001</v>
      </c>
      <c r="H72" s="93">
        <f t="shared" si="1"/>
        <v>4.529940641520396E-4</v>
      </c>
    </row>
    <row r="73" spans="1:11" ht="15" x14ac:dyDescent="0.2">
      <c r="A73" s="92">
        <v>38720</v>
      </c>
      <c r="B73">
        <v>1248.29</v>
      </c>
      <c r="C73">
        <v>1294.9000000000001</v>
      </c>
      <c r="D73">
        <v>1245.74</v>
      </c>
      <c r="E73">
        <v>1280.08</v>
      </c>
      <c r="F73">
        <v>2595998000</v>
      </c>
      <c r="G73">
        <v>1280.08</v>
      </c>
      <c r="H73" s="93">
        <f t="shared" si="1"/>
        <v>2.5147961230518261E-2</v>
      </c>
      <c r="I73" s="93"/>
    </row>
    <row r="74" spans="1:11" ht="15" x14ac:dyDescent="0.2">
      <c r="A74" s="92">
        <v>38687</v>
      </c>
      <c r="B74">
        <v>1249.48</v>
      </c>
      <c r="C74">
        <v>1275.8</v>
      </c>
      <c r="D74">
        <v>1246.5899999999999</v>
      </c>
      <c r="E74">
        <v>1248.29</v>
      </c>
      <c r="F74">
        <v>2057125200</v>
      </c>
      <c r="G74">
        <v>1248.29</v>
      </c>
      <c r="H74" s="93">
        <f t="shared" si="1"/>
        <v>-9.528500142413687E-4</v>
      </c>
      <c r="K74" s="97">
        <f>LN(G62/G74)</f>
        <v>0.1276843565704609</v>
      </c>
    </row>
    <row r="75" spans="1:11" ht="15" x14ac:dyDescent="0.2">
      <c r="A75" s="92">
        <v>38657</v>
      </c>
      <c r="B75">
        <v>1207.01</v>
      </c>
      <c r="C75">
        <v>1270.6400000000001</v>
      </c>
      <c r="D75">
        <v>1201.07</v>
      </c>
      <c r="E75">
        <v>1249.48</v>
      </c>
      <c r="F75">
        <v>2260836100</v>
      </c>
      <c r="G75">
        <v>1249.48</v>
      </c>
      <c r="H75" s="93">
        <f t="shared" si="1"/>
        <v>3.4581237676988605E-2</v>
      </c>
    </row>
    <row r="76" spans="1:11" ht="15" x14ac:dyDescent="0.2">
      <c r="A76" s="92">
        <v>38628</v>
      </c>
      <c r="B76">
        <v>1228.81</v>
      </c>
      <c r="C76">
        <v>1233.3399999999999</v>
      </c>
      <c r="D76">
        <v>1168.2</v>
      </c>
      <c r="E76">
        <v>1207.01</v>
      </c>
      <c r="F76">
        <v>2493393300</v>
      </c>
      <c r="G76">
        <v>1207.01</v>
      </c>
      <c r="H76" s="93">
        <f t="shared" si="1"/>
        <v>-1.7899994313773929E-2</v>
      </c>
    </row>
    <row r="77" spans="1:11" ht="15" x14ac:dyDescent="0.2">
      <c r="A77" s="92">
        <v>38596</v>
      </c>
      <c r="B77">
        <v>1220.33</v>
      </c>
      <c r="C77">
        <v>1243.1300000000001</v>
      </c>
      <c r="D77">
        <v>1205.3499999999999</v>
      </c>
      <c r="E77">
        <v>1228.81</v>
      </c>
      <c r="F77">
        <v>2232144200</v>
      </c>
      <c r="G77">
        <v>1228.81</v>
      </c>
      <c r="H77" s="93">
        <f t="shared" si="1"/>
        <v>6.9249074268589216E-3</v>
      </c>
    </row>
    <row r="78" spans="1:11" ht="15" x14ac:dyDescent="0.2">
      <c r="A78" s="92">
        <v>38565</v>
      </c>
      <c r="B78">
        <v>1234.18</v>
      </c>
      <c r="C78">
        <v>1245.8599999999999</v>
      </c>
      <c r="D78">
        <v>1201.07</v>
      </c>
      <c r="E78">
        <v>1220.33</v>
      </c>
      <c r="F78">
        <v>1930243400</v>
      </c>
      <c r="G78">
        <v>1220.33</v>
      </c>
      <c r="H78" s="93">
        <f t="shared" si="1"/>
        <v>-1.1285467972359155E-2</v>
      </c>
    </row>
    <row r="79" spans="1:11" ht="15" x14ac:dyDescent="0.2">
      <c r="A79" s="92">
        <v>38534</v>
      </c>
      <c r="B79">
        <v>1191.33</v>
      </c>
      <c r="C79">
        <v>1245.1500000000001</v>
      </c>
      <c r="D79">
        <v>1183.55</v>
      </c>
      <c r="E79">
        <v>1234.18</v>
      </c>
      <c r="F79">
        <v>1962713500</v>
      </c>
      <c r="G79">
        <v>1234.18</v>
      </c>
      <c r="H79" s="93">
        <f t="shared" si="1"/>
        <v>3.5336451864729147E-2</v>
      </c>
    </row>
    <row r="80" spans="1:11" ht="15" x14ac:dyDescent="0.2">
      <c r="A80" s="92">
        <v>38504</v>
      </c>
      <c r="B80">
        <v>1191.5</v>
      </c>
      <c r="C80">
        <v>1219.5899999999999</v>
      </c>
      <c r="D80">
        <v>1188.3</v>
      </c>
      <c r="E80">
        <v>1191.33</v>
      </c>
      <c r="F80">
        <v>1929251300</v>
      </c>
      <c r="G80">
        <v>1191.33</v>
      </c>
      <c r="H80" s="93">
        <f t="shared" si="1"/>
        <v>-1.4268747689802155E-4</v>
      </c>
    </row>
    <row r="81" spans="1:11" ht="15" x14ac:dyDescent="0.2">
      <c r="A81" s="92">
        <v>38474</v>
      </c>
      <c r="B81">
        <v>1156.8499999999999</v>
      </c>
      <c r="C81">
        <v>1199.56</v>
      </c>
      <c r="D81">
        <v>1146.18</v>
      </c>
      <c r="E81">
        <v>1191.5</v>
      </c>
      <c r="F81">
        <v>1960127100</v>
      </c>
      <c r="G81">
        <v>1191.5</v>
      </c>
      <c r="H81" s="93">
        <f t="shared" si="1"/>
        <v>2.9512223385105795E-2</v>
      </c>
    </row>
    <row r="82" spans="1:11" ht="15" x14ac:dyDescent="0.2">
      <c r="A82" s="92">
        <v>38443</v>
      </c>
      <c r="B82">
        <v>1180.5899999999999</v>
      </c>
      <c r="C82">
        <v>1191.8800000000001</v>
      </c>
      <c r="D82">
        <v>1136.1500000000001</v>
      </c>
      <c r="E82">
        <v>1156.8499999999999</v>
      </c>
      <c r="F82">
        <v>2180315700</v>
      </c>
      <c r="G82">
        <v>1156.8499999999999</v>
      </c>
      <c r="H82" s="93">
        <f t="shared" si="1"/>
        <v>-2.031351934767037E-2</v>
      </c>
    </row>
    <row r="83" spans="1:11" ht="15" x14ac:dyDescent="0.2">
      <c r="A83" s="92">
        <v>38412</v>
      </c>
      <c r="B83">
        <v>1203.5999999999999</v>
      </c>
      <c r="C83">
        <v>1229.1099999999999</v>
      </c>
      <c r="D83">
        <v>1163.69</v>
      </c>
      <c r="E83">
        <v>1180.5899999999999</v>
      </c>
      <c r="F83">
        <v>1874017200</v>
      </c>
      <c r="G83">
        <v>1180.5899999999999</v>
      </c>
      <c r="H83" s="93">
        <f t="shared" si="1"/>
        <v>-1.930275225452871E-2</v>
      </c>
    </row>
    <row r="84" spans="1:11" ht="15" x14ac:dyDescent="0.2">
      <c r="A84" s="92">
        <v>38384</v>
      </c>
      <c r="B84">
        <v>1181.27</v>
      </c>
      <c r="C84">
        <v>1212.44</v>
      </c>
      <c r="D84">
        <v>1180.95</v>
      </c>
      <c r="E84">
        <v>1203.5999999999999</v>
      </c>
      <c r="F84">
        <v>1636467800</v>
      </c>
      <c r="G84">
        <v>1203.5999999999999</v>
      </c>
      <c r="H84" s="93">
        <f t="shared" si="1"/>
        <v>1.8726934874337724E-2</v>
      </c>
    </row>
    <row r="85" spans="1:11" ht="15" x14ac:dyDescent="0.2">
      <c r="A85" s="92">
        <v>38355</v>
      </c>
      <c r="B85">
        <v>1211.92</v>
      </c>
      <c r="C85">
        <v>1217.8</v>
      </c>
      <c r="D85">
        <v>1163.75</v>
      </c>
      <c r="E85">
        <v>1181.27</v>
      </c>
      <c r="F85">
        <v>1658930000</v>
      </c>
      <c r="G85">
        <v>1181.27</v>
      </c>
      <c r="H85" s="93">
        <f t="shared" si="1"/>
        <v>-2.5615747968515911E-2</v>
      </c>
      <c r="I85" s="93"/>
    </row>
    <row r="86" spans="1:11" ht="15" x14ac:dyDescent="0.2">
      <c r="A86" s="92">
        <v>38322</v>
      </c>
      <c r="B86">
        <v>1173.78</v>
      </c>
      <c r="C86">
        <v>1217.33</v>
      </c>
      <c r="D86">
        <v>1173.78</v>
      </c>
      <c r="E86">
        <v>1211.92</v>
      </c>
      <c r="F86">
        <v>1449518100</v>
      </c>
      <c r="G86">
        <v>1211.92</v>
      </c>
      <c r="H86" s="93">
        <f t="shared" si="1"/>
        <v>3.1942491193192112E-2</v>
      </c>
      <c r="K86" s="97">
        <f>LN(G74/G86)</f>
        <v>2.9568735880032684E-2</v>
      </c>
    </row>
    <row r="87" spans="1:11" ht="15" x14ac:dyDescent="0.2">
      <c r="A87" s="92">
        <v>38292</v>
      </c>
      <c r="B87">
        <v>1130.2</v>
      </c>
      <c r="C87">
        <v>1188.46</v>
      </c>
      <c r="D87">
        <v>1127.5999999999999</v>
      </c>
      <c r="E87">
        <v>1173.82</v>
      </c>
      <c r="F87">
        <v>1524465700</v>
      </c>
      <c r="G87">
        <v>1173.82</v>
      </c>
      <c r="H87" s="93">
        <f t="shared" si="1"/>
        <v>3.7868779461133012E-2</v>
      </c>
    </row>
    <row r="88" spans="1:11" ht="15" x14ac:dyDescent="0.2">
      <c r="A88" s="92">
        <v>38261</v>
      </c>
      <c r="B88">
        <v>1114.58</v>
      </c>
      <c r="C88">
        <v>1142.05</v>
      </c>
      <c r="D88">
        <v>1090.29</v>
      </c>
      <c r="E88">
        <v>1130.2</v>
      </c>
      <c r="F88">
        <v>1571990400</v>
      </c>
      <c r="G88">
        <v>1130.2</v>
      </c>
      <c r="H88" s="93">
        <f t="shared" si="1"/>
        <v>1.391695587821374E-2</v>
      </c>
    </row>
    <row r="89" spans="1:11" ht="15" x14ac:dyDescent="0.2">
      <c r="A89" s="92">
        <v>38231</v>
      </c>
      <c r="B89">
        <v>1104.24</v>
      </c>
      <c r="C89">
        <v>1131.54</v>
      </c>
      <c r="D89">
        <v>1099.18</v>
      </c>
      <c r="E89">
        <v>1114.58</v>
      </c>
      <c r="F89">
        <v>1360850900</v>
      </c>
      <c r="G89">
        <v>1114.58</v>
      </c>
      <c r="H89" s="93">
        <f t="shared" si="1"/>
        <v>9.3203368022064838E-3</v>
      </c>
    </row>
    <row r="90" spans="1:11" ht="15" x14ac:dyDescent="0.2">
      <c r="A90" s="92">
        <v>38201</v>
      </c>
      <c r="B90">
        <v>1101.72</v>
      </c>
      <c r="C90">
        <v>1109.68</v>
      </c>
      <c r="D90">
        <v>1060.72</v>
      </c>
      <c r="E90">
        <v>1104.24</v>
      </c>
      <c r="F90">
        <v>1260227200</v>
      </c>
      <c r="G90">
        <v>1104.24</v>
      </c>
      <c r="H90" s="93">
        <f t="shared" si="1"/>
        <v>2.284720571713859E-3</v>
      </c>
    </row>
    <row r="91" spans="1:11" ht="15" x14ac:dyDescent="0.2">
      <c r="A91" s="92">
        <v>38169</v>
      </c>
      <c r="B91">
        <v>1140.8399999999999</v>
      </c>
      <c r="C91">
        <v>1140.8399999999999</v>
      </c>
      <c r="D91">
        <v>1078.78</v>
      </c>
      <c r="E91">
        <v>1101.72</v>
      </c>
      <c r="F91">
        <v>1456371400</v>
      </c>
      <c r="G91">
        <v>1101.72</v>
      </c>
      <c r="H91" s="93">
        <f t="shared" si="1"/>
        <v>-3.4892238215330364E-2</v>
      </c>
    </row>
    <row r="92" spans="1:11" ht="15" x14ac:dyDescent="0.2">
      <c r="A92" s="92">
        <v>38139</v>
      </c>
      <c r="B92">
        <v>1120.68</v>
      </c>
      <c r="C92">
        <v>1146.3399999999999</v>
      </c>
      <c r="D92">
        <v>1113.32</v>
      </c>
      <c r="E92">
        <v>1140.8399999999999</v>
      </c>
      <c r="F92">
        <v>1381109500</v>
      </c>
      <c r="G92">
        <v>1140.8399999999999</v>
      </c>
      <c r="H92" s="93">
        <f t="shared" si="1"/>
        <v>1.7829189249312503E-2</v>
      </c>
    </row>
    <row r="93" spans="1:11" ht="15" x14ac:dyDescent="0.2">
      <c r="A93" s="92">
        <v>38110</v>
      </c>
      <c r="B93">
        <v>1107.3</v>
      </c>
      <c r="C93">
        <v>1127.74</v>
      </c>
      <c r="D93">
        <v>1076.32</v>
      </c>
      <c r="E93">
        <v>1120.68</v>
      </c>
      <c r="F93">
        <v>1524950000</v>
      </c>
      <c r="G93">
        <v>1120.68</v>
      </c>
      <c r="H93" s="93">
        <f t="shared" si="1"/>
        <v>1.2011024205564368E-2</v>
      </c>
    </row>
    <row r="94" spans="1:11" ht="15" x14ac:dyDescent="0.2">
      <c r="A94" s="92">
        <v>38078</v>
      </c>
      <c r="B94">
        <v>1126.21</v>
      </c>
      <c r="C94">
        <v>1150.57</v>
      </c>
      <c r="D94">
        <v>1107.23</v>
      </c>
      <c r="E94">
        <v>1107.3</v>
      </c>
      <c r="F94">
        <v>1583171400</v>
      </c>
      <c r="G94">
        <v>1107.3</v>
      </c>
      <c r="H94" s="93">
        <f t="shared" si="1"/>
        <v>-1.6933393494544095E-2</v>
      </c>
    </row>
    <row r="95" spans="1:11" ht="15" x14ac:dyDescent="0.2">
      <c r="A95" s="92">
        <v>38047</v>
      </c>
      <c r="B95">
        <v>1144.94</v>
      </c>
      <c r="C95">
        <v>1163.23</v>
      </c>
      <c r="D95">
        <v>1087.1600000000001</v>
      </c>
      <c r="E95">
        <v>1126.21</v>
      </c>
      <c r="F95">
        <v>1528634700</v>
      </c>
      <c r="G95">
        <v>1126.21</v>
      </c>
      <c r="H95" s="93">
        <f t="shared" si="1"/>
        <v>-1.6494220669989047E-2</v>
      </c>
    </row>
    <row r="96" spans="1:11" ht="15" x14ac:dyDescent="0.2">
      <c r="A96" s="92">
        <v>38019</v>
      </c>
      <c r="B96">
        <v>1131.1300000000001</v>
      </c>
      <c r="C96">
        <v>1158.98</v>
      </c>
      <c r="D96">
        <v>1124.44</v>
      </c>
      <c r="E96">
        <v>1144.94</v>
      </c>
      <c r="F96">
        <v>1554000000</v>
      </c>
      <c r="G96">
        <v>1144.94</v>
      </c>
      <c r="H96" s="93">
        <f t="shared" si="1"/>
        <v>1.2135100829125884E-2</v>
      </c>
    </row>
    <row r="97" spans="1:11" ht="15" x14ac:dyDescent="0.2">
      <c r="A97" s="92">
        <v>37988</v>
      </c>
      <c r="B97">
        <v>1111.92</v>
      </c>
      <c r="C97">
        <v>1155.3800000000001</v>
      </c>
      <c r="D97">
        <v>1105.08</v>
      </c>
      <c r="E97">
        <v>1131.1300000000001</v>
      </c>
      <c r="F97">
        <v>1722750000</v>
      </c>
      <c r="G97">
        <v>1131.1300000000001</v>
      </c>
      <c r="H97" s="93">
        <f t="shared" si="1"/>
        <v>1.7128882262967212E-2</v>
      </c>
      <c r="I97" s="93"/>
    </row>
    <row r="98" spans="1:11" ht="15" x14ac:dyDescent="0.2">
      <c r="A98" s="92">
        <v>37956</v>
      </c>
      <c r="B98">
        <v>1058.2</v>
      </c>
      <c r="C98">
        <v>1112.56</v>
      </c>
      <c r="D98">
        <v>1053.4100000000001</v>
      </c>
      <c r="E98">
        <v>1111.92</v>
      </c>
      <c r="F98">
        <v>1312119500</v>
      </c>
      <c r="G98">
        <v>1111.92</v>
      </c>
      <c r="H98" s="93">
        <f t="shared" si="1"/>
        <v>4.9518899306471208E-2</v>
      </c>
      <c r="K98" s="97">
        <f>LN(G86/G98)</f>
        <v>8.6117628073565614E-2</v>
      </c>
    </row>
    <row r="99" spans="1:11" ht="15" x14ac:dyDescent="0.2">
      <c r="A99" s="92">
        <v>37928</v>
      </c>
      <c r="B99">
        <v>1050.71</v>
      </c>
      <c r="C99">
        <v>1063.6500000000001</v>
      </c>
      <c r="D99">
        <v>1031.2</v>
      </c>
      <c r="E99">
        <v>1058.2</v>
      </c>
      <c r="F99">
        <v>1313181000</v>
      </c>
      <c r="G99">
        <v>1058.2</v>
      </c>
      <c r="H99" s="93">
        <f t="shared" si="1"/>
        <v>7.1032253560451564E-3</v>
      </c>
    </row>
    <row r="100" spans="1:11" ht="15" x14ac:dyDescent="0.2">
      <c r="A100" s="92">
        <v>37895</v>
      </c>
      <c r="B100">
        <v>995.97</v>
      </c>
      <c r="C100">
        <v>1053.79</v>
      </c>
      <c r="D100">
        <v>995.97</v>
      </c>
      <c r="E100">
        <v>1050.71</v>
      </c>
      <c r="F100">
        <v>1469452100</v>
      </c>
      <c r="G100">
        <v>1050.71</v>
      </c>
      <c r="H100" s="93">
        <f t="shared" si="1"/>
        <v>5.3504268464946513E-2</v>
      </c>
    </row>
    <row r="101" spans="1:11" ht="15" x14ac:dyDescent="0.2">
      <c r="A101" s="92">
        <v>37866</v>
      </c>
      <c r="B101">
        <v>1008.01</v>
      </c>
      <c r="C101">
        <v>1040.29</v>
      </c>
      <c r="D101">
        <v>990.36</v>
      </c>
      <c r="E101">
        <v>995.97</v>
      </c>
      <c r="F101">
        <v>1501457600</v>
      </c>
      <c r="G101">
        <v>995.97</v>
      </c>
      <c r="H101" s="93">
        <f t="shared" si="1"/>
        <v>-1.2016232567985653E-2</v>
      </c>
    </row>
    <row r="102" spans="1:11" ht="15" x14ac:dyDescent="0.2">
      <c r="A102" s="92">
        <v>37834</v>
      </c>
      <c r="B102">
        <v>990.31</v>
      </c>
      <c r="C102">
        <v>1011.01</v>
      </c>
      <c r="D102">
        <v>960.84</v>
      </c>
      <c r="E102">
        <v>1008.01</v>
      </c>
      <c r="F102">
        <v>1229836600</v>
      </c>
      <c r="G102">
        <v>1008.01</v>
      </c>
      <c r="H102" s="93">
        <f t="shared" si="1"/>
        <v>1.7715343790636197E-2</v>
      </c>
    </row>
    <row r="103" spans="1:11" ht="15" x14ac:dyDescent="0.2">
      <c r="A103" s="92">
        <v>37803</v>
      </c>
      <c r="B103">
        <v>974.5</v>
      </c>
      <c r="C103">
        <v>1015.41</v>
      </c>
      <c r="D103">
        <v>962.1</v>
      </c>
      <c r="E103">
        <v>990.31</v>
      </c>
      <c r="F103">
        <v>1507327200</v>
      </c>
      <c r="G103">
        <v>990.31</v>
      </c>
      <c r="H103" s="93">
        <f t="shared" si="1"/>
        <v>1.6093506478773681E-2</v>
      </c>
    </row>
    <row r="104" spans="1:11" ht="15" x14ac:dyDescent="0.2">
      <c r="A104" s="92">
        <v>37774</v>
      </c>
      <c r="B104">
        <v>963.59</v>
      </c>
      <c r="C104">
        <v>1015.33</v>
      </c>
      <c r="D104">
        <v>963.59</v>
      </c>
      <c r="E104">
        <v>974.5</v>
      </c>
      <c r="F104">
        <v>1562219000</v>
      </c>
      <c r="G104">
        <v>974.5</v>
      </c>
      <c r="H104" s="93">
        <f t="shared" si="1"/>
        <v>1.125862601085219E-2</v>
      </c>
    </row>
    <row r="105" spans="1:11" ht="15" x14ac:dyDescent="0.2">
      <c r="A105" s="92">
        <v>37742</v>
      </c>
      <c r="B105">
        <v>916.92</v>
      </c>
      <c r="C105">
        <v>965.38</v>
      </c>
      <c r="D105">
        <v>902.83</v>
      </c>
      <c r="E105">
        <v>963.59</v>
      </c>
      <c r="F105">
        <v>1554328500</v>
      </c>
      <c r="G105">
        <v>963.59</v>
      </c>
      <c r="H105" s="93">
        <f t="shared" si="1"/>
        <v>4.9645665489287727E-2</v>
      </c>
    </row>
    <row r="106" spans="1:11" ht="15" x14ac:dyDescent="0.2">
      <c r="A106" s="92">
        <v>37712</v>
      </c>
      <c r="B106">
        <v>848.18</v>
      </c>
      <c r="C106">
        <v>924.24</v>
      </c>
      <c r="D106">
        <v>847.85</v>
      </c>
      <c r="E106">
        <v>916.92</v>
      </c>
      <c r="F106">
        <v>1498005700</v>
      </c>
      <c r="G106">
        <v>916.92</v>
      </c>
      <c r="H106" s="93">
        <f t="shared" si="1"/>
        <v>7.7927350029476733E-2</v>
      </c>
    </row>
    <row r="107" spans="1:11" ht="15" x14ac:dyDescent="0.2">
      <c r="A107" s="92">
        <v>37683</v>
      </c>
      <c r="B107">
        <v>841.15</v>
      </c>
      <c r="C107">
        <v>895.9</v>
      </c>
      <c r="D107">
        <v>788.9</v>
      </c>
      <c r="E107">
        <v>848.18</v>
      </c>
      <c r="F107">
        <v>1503596600</v>
      </c>
      <c r="G107">
        <v>848.18</v>
      </c>
      <c r="H107" s="93">
        <f t="shared" si="1"/>
        <v>8.3228742528296627E-3</v>
      </c>
    </row>
    <row r="108" spans="1:11" ht="15" x14ac:dyDescent="0.2">
      <c r="A108" s="92">
        <v>37655</v>
      </c>
      <c r="B108">
        <v>855.7</v>
      </c>
      <c r="C108">
        <v>864.64</v>
      </c>
      <c r="D108">
        <v>806.29</v>
      </c>
      <c r="E108">
        <v>841.15</v>
      </c>
      <c r="F108">
        <v>1400452600</v>
      </c>
      <c r="G108">
        <v>841.15</v>
      </c>
      <c r="H108" s="93">
        <f t="shared" si="1"/>
        <v>-1.7149844258839787E-2</v>
      </c>
    </row>
    <row r="109" spans="1:11" ht="15" x14ac:dyDescent="0.2">
      <c r="A109" s="92">
        <v>37623</v>
      </c>
      <c r="B109">
        <v>879.82</v>
      </c>
      <c r="C109">
        <v>935.05</v>
      </c>
      <c r="D109">
        <v>840.34</v>
      </c>
      <c r="E109">
        <v>855.7</v>
      </c>
      <c r="F109">
        <v>1539433800</v>
      </c>
      <c r="G109">
        <v>855.7</v>
      </c>
      <c r="H109" s="93">
        <f t="shared" si="1"/>
        <v>-2.7797493671422965E-2</v>
      </c>
      <c r="I109" s="93"/>
    </row>
    <row r="110" spans="1:11" ht="15" x14ac:dyDescent="0.2">
      <c r="A110" s="92">
        <v>37592</v>
      </c>
      <c r="B110">
        <v>936.31</v>
      </c>
      <c r="C110">
        <v>954.28</v>
      </c>
      <c r="D110">
        <v>869.45</v>
      </c>
      <c r="E110">
        <v>879.82</v>
      </c>
      <c r="F110">
        <v>1289625700</v>
      </c>
      <c r="G110">
        <v>879.82</v>
      </c>
      <c r="H110" s="93">
        <f t="shared" si="1"/>
        <v>-6.2229277129875436E-2</v>
      </c>
      <c r="K110" s="97">
        <f>LN(G98/G110)</f>
        <v>0.23412618868107046</v>
      </c>
    </row>
    <row r="111" spans="1:11" ht="15" x14ac:dyDescent="0.2">
      <c r="A111" s="92">
        <v>37561</v>
      </c>
      <c r="B111">
        <v>885.76</v>
      </c>
      <c r="C111">
        <v>941.82</v>
      </c>
      <c r="D111">
        <v>872.05</v>
      </c>
      <c r="E111">
        <v>936.31</v>
      </c>
      <c r="F111">
        <v>1492221000</v>
      </c>
      <c r="G111">
        <v>936.31</v>
      </c>
      <c r="H111" s="93">
        <f t="shared" si="1"/>
        <v>5.550058467611222E-2</v>
      </c>
    </row>
    <row r="112" spans="1:11" ht="15" x14ac:dyDescent="0.2">
      <c r="A112" s="92">
        <v>37530</v>
      </c>
      <c r="B112">
        <v>815.28</v>
      </c>
      <c r="C112">
        <v>907.44</v>
      </c>
      <c r="D112">
        <v>768.63</v>
      </c>
      <c r="E112">
        <v>885.76</v>
      </c>
      <c r="F112">
        <v>1717287300</v>
      </c>
      <c r="G112">
        <v>885.76</v>
      </c>
      <c r="H112" s="93">
        <f t="shared" si="1"/>
        <v>8.2914421028757151E-2</v>
      </c>
    </row>
    <row r="113" spans="1:11" ht="15" x14ac:dyDescent="0.2">
      <c r="A113" s="92">
        <v>37502</v>
      </c>
      <c r="B113">
        <v>916.07</v>
      </c>
      <c r="C113">
        <v>924.02</v>
      </c>
      <c r="D113">
        <v>800.2</v>
      </c>
      <c r="E113">
        <v>815.28</v>
      </c>
      <c r="F113">
        <v>1472279000</v>
      </c>
      <c r="G113">
        <v>815.28</v>
      </c>
      <c r="H113" s="93">
        <f t="shared" si="1"/>
        <v>-0.11656116844786664</v>
      </c>
    </row>
    <row r="114" spans="1:11" ht="15" x14ac:dyDescent="0.2">
      <c r="A114" s="92">
        <v>37469</v>
      </c>
      <c r="B114">
        <v>911.62</v>
      </c>
      <c r="C114">
        <v>965</v>
      </c>
      <c r="D114">
        <v>833.44</v>
      </c>
      <c r="E114">
        <v>916.07</v>
      </c>
      <c r="F114">
        <v>1374013600</v>
      </c>
      <c r="G114">
        <v>916.07</v>
      </c>
      <c r="H114" s="93">
        <f t="shared" si="1"/>
        <v>4.8695443903156652E-3</v>
      </c>
    </row>
    <row r="115" spans="1:11" ht="15" x14ac:dyDescent="0.2">
      <c r="A115" s="92">
        <v>37438</v>
      </c>
      <c r="B115">
        <v>989.82</v>
      </c>
      <c r="C115">
        <v>994.46</v>
      </c>
      <c r="D115">
        <v>775.68</v>
      </c>
      <c r="E115">
        <v>911.62</v>
      </c>
      <c r="F115">
        <v>2012640000</v>
      </c>
      <c r="G115">
        <v>911.62</v>
      </c>
      <c r="H115" s="93">
        <f t="shared" si="1"/>
        <v>-8.2299871837899052E-2</v>
      </c>
    </row>
    <row r="116" spans="1:11" ht="15" x14ac:dyDescent="0.2">
      <c r="A116" s="92">
        <v>37410</v>
      </c>
      <c r="B116">
        <v>1067.1400000000001</v>
      </c>
      <c r="C116">
        <v>1070.74</v>
      </c>
      <c r="D116">
        <v>952.92</v>
      </c>
      <c r="E116">
        <v>989.82</v>
      </c>
      <c r="F116">
        <v>1604925500</v>
      </c>
      <c r="G116">
        <v>989.82</v>
      </c>
      <c r="H116" s="93">
        <f t="shared" si="1"/>
        <v>-7.5214343275906148E-2</v>
      </c>
    </row>
    <row r="117" spans="1:11" ht="15" x14ac:dyDescent="0.2">
      <c r="A117" s="92">
        <v>37377</v>
      </c>
      <c r="B117">
        <v>1076.92</v>
      </c>
      <c r="C117">
        <v>1106.5899999999999</v>
      </c>
      <c r="D117">
        <v>1048.96</v>
      </c>
      <c r="E117">
        <v>1067.1400000000001</v>
      </c>
      <c r="F117">
        <v>1281036300</v>
      </c>
      <c r="G117">
        <v>1067.1400000000001</v>
      </c>
      <c r="H117" s="93">
        <f t="shared" si="1"/>
        <v>-9.122942297125956E-3</v>
      </c>
    </row>
    <row r="118" spans="1:11" ht="15" x14ac:dyDescent="0.2">
      <c r="A118" s="92">
        <v>37347</v>
      </c>
      <c r="B118">
        <v>1147.3900000000001</v>
      </c>
      <c r="C118">
        <v>1147.8399999999999</v>
      </c>
      <c r="D118">
        <v>1063.46</v>
      </c>
      <c r="E118">
        <v>1076.92</v>
      </c>
      <c r="F118">
        <v>1372613600</v>
      </c>
      <c r="G118">
        <v>1076.92</v>
      </c>
      <c r="H118" s="93">
        <f t="shared" si="1"/>
        <v>-6.3384682784413518E-2</v>
      </c>
    </row>
    <row r="119" spans="1:11" ht="15" x14ac:dyDescent="0.2">
      <c r="A119" s="92">
        <v>37316</v>
      </c>
      <c r="B119">
        <v>1106.73</v>
      </c>
      <c r="C119">
        <v>1173.94</v>
      </c>
      <c r="D119">
        <v>1106.73</v>
      </c>
      <c r="E119">
        <v>1147.3900000000001</v>
      </c>
      <c r="F119">
        <v>1385540000</v>
      </c>
      <c r="G119">
        <v>1147.3900000000001</v>
      </c>
      <c r="H119" s="93">
        <f t="shared" si="1"/>
        <v>3.6080076252758407E-2</v>
      </c>
    </row>
    <row r="120" spans="1:11" ht="15" x14ac:dyDescent="0.2">
      <c r="A120" s="92">
        <v>37288</v>
      </c>
      <c r="B120">
        <v>1130.2</v>
      </c>
      <c r="C120">
        <v>1130.2</v>
      </c>
      <c r="D120">
        <v>1074.3599999999999</v>
      </c>
      <c r="E120">
        <v>1106.73</v>
      </c>
      <c r="F120">
        <v>1444200000</v>
      </c>
      <c r="G120">
        <v>1106.73</v>
      </c>
      <c r="H120" s="93">
        <f t="shared" si="1"/>
        <v>-2.0984886675167722E-2</v>
      </c>
    </row>
    <row r="121" spans="1:11" ht="15" x14ac:dyDescent="0.2">
      <c r="A121" s="92">
        <v>37258</v>
      </c>
      <c r="B121">
        <v>1148.08</v>
      </c>
      <c r="C121">
        <v>1176.97</v>
      </c>
      <c r="D121">
        <v>1081.6600000000001</v>
      </c>
      <c r="E121">
        <v>1130.2</v>
      </c>
      <c r="F121">
        <v>1490628500</v>
      </c>
      <c r="G121">
        <v>1130.2</v>
      </c>
      <c r="H121" s="93">
        <f t="shared" si="1"/>
        <v>-1.5696373666933345E-2</v>
      </c>
      <c r="I121" s="93"/>
    </row>
    <row r="122" spans="1:11" ht="15" x14ac:dyDescent="0.2">
      <c r="A122" s="92">
        <v>37228</v>
      </c>
      <c r="B122">
        <v>1139.45</v>
      </c>
      <c r="C122">
        <v>1173.6199999999999</v>
      </c>
      <c r="D122">
        <v>1114.53</v>
      </c>
      <c r="E122">
        <v>1148.08</v>
      </c>
      <c r="F122">
        <v>1303608500</v>
      </c>
      <c r="G122">
        <v>1148.08</v>
      </c>
      <c r="H122" s="93">
        <f t="shared" si="1"/>
        <v>7.545292033896033E-3</v>
      </c>
      <c r="K122" s="97">
        <f>LN(G110/G122)</f>
        <v>-0.26612891976724418</v>
      </c>
    </row>
    <row r="123" spans="1:11" ht="15" x14ac:dyDescent="0.2">
      <c r="A123" s="92">
        <v>37196</v>
      </c>
      <c r="B123">
        <v>1059.78</v>
      </c>
      <c r="C123">
        <v>1163.3800000000001</v>
      </c>
      <c r="D123">
        <v>1054.31</v>
      </c>
      <c r="E123">
        <v>1139.45</v>
      </c>
      <c r="F123">
        <v>1317790400</v>
      </c>
      <c r="G123">
        <v>1139.45</v>
      </c>
      <c r="H123" s="93">
        <f t="shared" si="1"/>
        <v>7.2484350433373146E-2</v>
      </c>
    </row>
    <row r="124" spans="1:11" ht="15" x14ac:dyDescent="0.2">
      <c r="A124" s="92">
        <v>37165</v>
      </c>
      <c r="B124">
        <v>1040.94</v>
      </c>
      <c r="C124">
        <v>1110.6099999999999</v>
      </c>
      <c r="D124">
        <v>1026.76</v>
      </c>
      <c r="E124">
        <v>1059.78</v>
      </c>
      <c r="F124">
        <v>1361033900</v>
      </c>
      <c r="G124">
        <v>1059.78</v>
      </c>
      <c r="H124" s="93">
        <f t="shared" si="1"/>
        <v>1.7937188329115412E-2</v>
      </c>
    </row>
    <row r="125" spans="1:11" ht="15" x14ac:dyDescent="0.2">
      <c r="A125" s="92">
        <v>37138</v>
      </c>
      <c r="B125">
        <v>1133.58</v>
      </c>
      <c r="C125">
        <v>1155.4000000000001</v>
      </c>
      <c r="D125">
        <v>944.75</v>
      </c>
      <c r="E125">
        <v>1040.94</v>
      </c>
      <c r="F125">
        <v>1777119300</v>
      </c>
      <c r="G125">
        <v>1040.94</v>
      </c>
      <c r="H125" s="93">
        <f t="shared" si="1"/>
        <v>-8.5256615246989922E-2</v>
      </c>
    </row>
    <row r="126" spans="1:11" ht="15" x14ac:dyDescent="0.2">
      <c r="A126" s="92">
        <v>37104</v>
      </c>
      <c r="B126">
        <v>1211.23</v>
      </c>
      <c r="C126">
        <v>1226.27</v>
      </c>
      <c r="D126">
        <v>1124.8699999999999</v>
      </c>
      <c r="E126">
        <v>1133.58</v>
      </c>
      <c r="F126">
        <v>1055621700</v>
      </c>
      <c r="G126">
        <v>1133.58</v>
      </c>
      <c r="H126" s="93">
        <f t="shared" si="1"/>
        <v>-6.6255605887467039E-2</v>
      </c>
    </row>
    <row r="127" spans="1:11" ht="15" x14ac:dyDescent="0.2">
      <c r="A127" s="92">
        <v>37074</v>
      </c>
      <c r="B127">
        <v>1224.42</v>
      </c>
      <c r="C127">
        <v>1239.78</v>
      </c>
      <c r="D127">
        <v>1165.54</v>
      </c>
      <c r="E127">
        <v>1211.23</v>
      </c>
      <c r="F127">
        <v>1186805200</v>
      </c>
      <c r="G127">
        <v>1211.23</v>
      </c>
      <c r="H127" s="93">
        <f t="shared" si="1"/>
        <v>-1.0798221205900169E-2</v>
      </c>
    </row>
    <row r="128" spans="1:11" ht="15" x14ac:dyDescent="0.2">
      <c r="A128" s="92">
        <v>37043</v>
      </c>
      <c r="B128">
        <v>1255.82</v>
      </c>
      <c r="C128">
        <v>1286.6199999999999</v>
      </c>
      <c r="D128">
        <v>1203.03</v>
      </c>
      <c r="E128">
        <v>1224.3800000000001</v>
      </c>
      <c r="F128">
        <v>1265732800</v>
      </c>
      <c r="G128">
        <v>1224.3800000000001</v>
      </c>
      <c r="H128" s="93">
        <f t="shared" si="1"/>
        <v>-2.5354152249423972E-2</v>
      </c>
    </row>
    <row r="129" spans="1:11" ht="15" x14ac:dyDescent="0.2">
      <c r="A129" s="92">
        <v>37012</v>
      </c>
      <c r="B129">
        <v>1249.46</v>
      </c>
      <c r="C129">
        <v>1315.93</v>
      </c>
      <c r="D129">
        <v>1232</v>
      </c>
      <c r="E129">
        <v>1255.82</v>
      </c>
      <c r="F129">
        <v>1170568100</v>
      </c>
      <c r="G129">
        <v>1255.82</v>
      </c>
      <c r="H129" s="93">
        <f t="shared" si="1"/>
        <v>5.0772876986084174E-3</v>
      </c>
    </row>
    <row r="130" spans="1:11" ht="15" x14ac:dyDescent="0.2">
      <c r="A130" s="92">
        <v>36983</v>
      </c>
      <c r="B130">
        <v>1160.33</v>
      </c>
      <c r="C130">
        <v>1269.3</v>
      </c>
      <c r="D130">
        <v>1091.99</v>
      </c>
      <c r="E130">
        <v>1249.46</v>
      </c>
      <c r="F130">
        <v>1333839500</v>
      </c>
      <c r="G130">
        <v>1249.46</v>
      </c>
      <c r="H130" s="93">
        <f t="shared" ref="H130:H193" si="2">LN(G130/G131)</f>
        <v>7.4007010555980454E-2</v>
      </c>
    </row>
    <row r="131" spans="1:11" ht="15" x14ac:dyDescent="0.2">
      <c r="A131" s="92">
        <v>36951</v>
      </c>
      <c r="B131">
        <v>1239.94</v>
      </c>
      <c r="C131">
        <v>1267.42</v>
      </c>
      <c r="D131">
        <v>1081.19</v>
      </c>
      <c r="E131">
        <v>1160.33</v>
      </c>
      <c r="F131">
        <v>1322155000</v>
      </c>
      <c r="G131">
        <v>1160.33</v>
      </c>
      <c r="H131" s="93">
        <f t="shared" si="2"/>
        <v>-6.635854393013127E-2</v>
      </c>
    </row>
    <row r="132" spans="1:11" ht="15" x14ac:dyDescent="0.2">
      <c r="A132" s="92">
        <v>36923</v>
      </c>
      <c r="B132">
        <v>1366.01</v>
      </c>
      <c r="C132">
        <v>1376.38</v>
      </c>
      <c r="D132">
        <v>1215.44</v>
      </c>
      <c r="E132">
        <v>1239.94</v>
      </c>
      <c r="F132">
        <v>1203668400</v>
      </c>
      <c r="G132">
        <v>1239.94</v>
      </c>
      <c r="H132" s="93">
        <f t="shared" si="2"/>
        <v>-9.6831090416541171E-2</v>
      </c>
    </row>
    <row r="133" spans="1:11" ht="15" x14ac:dyDescent="0.2">
      <c r="A133" s="92">
        <v>36893</v>
      </c>
      <c r="B133">
        <v>1320.28</v>
      </c>
      <c r="C133">
        <v>1383.37</v>
      </c>
      <c r="D133">
        <v>1274.6199999999999</v>
      </c>
      <c r="E133">
        <v>1366.01</v>
      </c>
      <c r="F133">
        <v>1386909500</v>
      </c>
      <c r="G133">
        <v>1366.01</v>
      </c>
      <c r="H133" s="93">
        <f t="shared" si="2"/>
        <v>3.4050246450141819E-2</v>
      </c>
      <c r="I133" s="93"/>
    </row>
    <row r="134" spans="1:11" ht="15" x14ac:dyDescent="0.2">
      <c r="A134" s="92">
        <v>36861</v>
      </c>
      <c r="B134">
        <v>1314.95</v>
      </c>
      <c r="C134">
        <v>1389.05</v>
      </c>
      <c r="D134">
        <v>1254.07</v>
      </c>
      <c r="E134">
        <v>1320.28</v>
      </c>
      <c r="F134">
        <v>1232315000</v>
      </c>
      <c r="G134">
        <v>1320.28</v>
      </c>
      <c r="H134" s="93">
        <f t="shared" si="2"/>
        <v>4.0451932227232121E-3</v>
      </c>
      <c r="K134" s="97">
        <f>LN(G122/G134)</f>
        <v>-0.13975285343533808</v>
      </c>
    </row>
    <row r="135" spans="1:11" ht="15" x14ac:dyDescent="0.2">
      <c r="A135" s="92">
        <v>36831</v>
      </c>
      <c r="B135">
        <v>1429.4</v>
      </c>
      <c r="C135">
        <v>1438.46</v>
      </c>
      <c r="D135">
        <v>1294.9000000000001</v>
      </c>
      <c r="E135">
        <v>1314.95</v>
      </c>
      <c r="F135">
        <v>1034230000</v>
      </c>
      <c r="G135">
        <v>1314.95</v>
      </c>
      <c r="H135" s="93">
        <f t="shared" si="2"/>
        <v>-8.3456133710587313E-2</v>
      </c>
    </row>
    <row r="136" spans="1:11" ht="15" x14ac:dyDescent="0.2">
      <c r="A136" s="92">
        <v>36801</v>
      </c>
      <c r="B136">
        <v>1436.52</v>
      </c>
      <c r="C136">
        <v>1454.82</v>
      </c>
      <c r="D136">
        <v>1305.79</v>
      </c>
      <c r="E136">
        <v>1429.4</v>
      </c>
      <c r="F136">
        <v>1241718100</v>
      </c>
      <c r="G136">
        <v>1429.4</v>
      </c>
      <c r="H136" s="93">
        <f t="shared" si="2"/>
        <v>-4.9617849736629414E-3</v>
      </c>
    </row>
    <row r="137" spans="1:11" ht="15" x14ac:dyDescent="0.2">
      <c r="A137" s="92">
        <v>36770</v>
      </c>
      <c r="B137">
        <v>1517.68</v>
      </c>
      <c r="C137">
        <v>1530.09</v>
      </c>
      <c r="D137">
        <v>1419.44</v>
      </c>
      <c r="E137">
        <v>1436.51</v>
      </c>
      <c r="F137">
        <v>1101770000</v>
      </c>
      <c r="G137">
        <v>1436.51</v>
      </c>
      <c r="H137" s="93">
        <f t="shared" si="2"/>
        <v>-5.4966292284748544E-2</v>
      </c>
    </row>
    <row r="138" spans="1:11" ht="15" x14ac:dyDescent="0.2">
      <c r="A138" s="92">
        <v>36739</v>
      </c>
      <c r="B138">
        <v>1430.83</v>
      </c>
      <c r="C138">
        <v>1525.21</v>
      </c>
      <c r="D138">
        <v>1425.43</v>
      </c>
      <c r="E138">
        <v>1517.68</v>
      </c>
      <c r="F138">
        <v>931317300</v>
      </c>
      <c r="G138">
        <v>1517.68</v>
      </c>
      <c r="H138" s="93">
        <f t="shared" si="2"/>
        <v>5.8928157588211842E-2</v>
      </c>
    </row>
    <row r="139" spans="1:11" ht="15" x14ac:dyDescent="0.2">
      <c r="A139" s="92">
        <v>36710</v>
      </c>
      <c r="B139">
        <v>1454.6</v>
      </c>
      <c r="C139">
        <v>1517.32</v>
      </c>
      <c r="D139">
        <v>1413.89</v>
      </c>
      <c r="E139">
        <v>1430.83</v>
      </c>
      <c r="F139">
        <v>1002085000</v>
      </c>
      <c r="G139">
        <v>1430.83</v>
      </c>
      <c r="H139" s="93">
        <f t="shared" si="2"/>
        <v>-1.647625326436223E-2</v>
      </c>
    </row>
    <row r="140" spans="1:11" ht="15" x14ac:dyDescent="0.2">
      <c r="A140" s="92">
        <v>36678</v>
      </c>
      <c r="B140">
        <v>1420.6</v>
      </c>
      <c r="C140">
        <v>1488.93</v>
      </c>
      <c r="D140">
        <v>1420.6</v>
      </c>
      <c r="E140">
        <v>1454.6</v>
      </c>
      <c r="F140">
        <v>1054454500</v>
      </c>
      <c r="G140">
        <v>1454.6</v>
      </c>
      <c r="H140" s="93">
        <f t="shared" si="2"/>
        <v>2.3651631156730649E-2</v>
      </c>
    </row>
    <row r="141" spans="1:11" ht="15" x14ac:dyDescent="0.2">
      <c r="A141" s="92">
        <v>36647</v>
      </c>
      <c r="B141">
        <v>1452.43</v>
      </c>
      <c r="C141">
        <v>1481.51</v>
      </c>
      <c r="D141">
        <v>1361.09</v>
      </c>
      <c r="E141">
        <v>1420.6</v>
      </c>
      <c r="F141">
        <v>948127200</v>
      </c>
      <c r="G141">
        <v>1420.6</v>
      </c>
      <c r="H141" s="93">
        <f t="shared" si="2"/>
        <v>-2.2158698229963615E-2</v>
      </c>
    </row>
    <row r="142" spans="1:11" ht="15" x14ac:dyDescent="0.2">
      <c r="A142" s="92">
        <v>36619</v>
      </c>
      <c r="B142">
        <v>1498.58</v>
      </c>
      <c r="C142">
        <v>1527.19</v>
      </c>
      <c r="D142">
        <v>1339.4</v>
      </c>
      <c r="E142">
        <v>1452.43</v>
      </c>
      <c r="F142">
        <v>1110055700</v>
      </c>
      <c r="G142">
        <v>1452.43</v>
      </c>
      <c r="H142" s="93">
        <f t="shared" si="2"/>
        <v>-3.1279977258077872E-2</v>
      </c>
    </row>
    <row r="143" spans="1:11" ht="15" x14ac:dyDescent="0.2">
      <c r="A143" s="92">
        <v>36586</v>
      </c>
      <c r="B143">
        <v>1366.42</v>
      </c>
      <c r="C143">
        <v>1552.87</v>
      </c>
      <c r="D143">
        <v>1346.62</v>
      </c>
      <c r="E143">
        <v>1498.58</v>
      </c>
      <c r="F143">
        <v>1190591300</v>
      </c>
      <c r="G143">
        <v>1498.58</v>
      </c>
      <c r="H143" s="93">
        <f t="shared" si="2"/>
        <v>9.2323812122223556E-2</v>
      </c>
    </row>
    <row r="144" spans="1:11" ht="15" x14ac:dyDescent="0.2">
      <c r="A144" s="92">
        <v>36557</v>
      </c>
      <c r="B144">
        <v>1394.46</v>
      </c>
      <c r="C144">
        <v>1444.55</v>
      </c>
      <c r="D144">
        <v>1325.07</v>
      </c>
      <c r="E144">
        <v>1366.42</v>
      </c>
      <c r="F144">
        <v>1105815000</v>
      </c>
      <c r="G144">
        <v>1366.42</v>
      </c>
      <c r="H144" s="93">
        <f t="shared" si="2"/>
        <v>-2.0313062610448358E-2</v>
      </c>
    </row>
    <row r="145" spans="1:11" ht="15" x14ac:dyDescent="0.2">
      <c r="A145" s="92">
        <v>36528</v>
      </c>
      <c r="B145">
        <v>1469.25</v>
      </c>
      <c r="C145">
        <v>1478</v>
      </c>
      <c r="D145">
        <v>1350.14</v>
      </c>
      <c r="E145">
        <v>1394.46</v>
      </c>
      <c r="F145">
        <v>1124410000</v>
      </c>
      <c r="G145">
        <v>1394.46</v>
      </c>
      <c r="H145" s="93">
        <f t="shared" si="2"/>
        <v>-5.2244822952783904E-2</v>
      </c>
      <c r="I145" s="93"/>
    </row>
    <row r="146" spans="1:11" ht="15" x14ac:dyDescent="0.2">
      <c r="A146" s="92">
        <v>36495</v>
      </c>
      <c r="B146">
        <v>1388.91</v>
      </c>
      <c r="C146">
        <v>1473.1</v>
      </c>
      <c r="D146">
        <v>1387.38</v>
      </c>
      <c r="E146">
        <v>1469.25</v>
      </c>
      <c r="F146">
        <v>909760900</v>
      </c>
      <c r="G146">
        <v>1469.25</v>
      </c>
      <c r="H146" s="93">
        <f t="shared" si="2"/>
        <v>5.6232799654105478E-2</v>
      </c>
      <c r="K146" s="97">
        <f>LN(G134/G146)</f>
        <v>-0.10690823119474545</v>
      </c>
    </row>
    <row r="147" spans="1:11" ht="15" x14ac:dyDescent="0.2">
      <c r="A147" s="92">
        <v>36465</v>
      </c>
      <c r="B147">
        <v>1362.93</v>
      </c>
      <c r="C147">
        <v>1425.31</v>
      </c>
      <c r="D147">
        <v>1346.41</v>
      </c>
      <c r="E147">
        <v>1388.91</v>
      </c>
      <c r="F147">
        <v>920777100</v>
      </c>
      <c r="G147">
        <v>1388.91</v>
      </c>
      <c r="H147" s="93">
        <f t="shared" si="2"/>
        <v>1.8882472761026243E-2</v>
      </c>
    </row>
    <row r="148" spans="1:11" ht="15" x14ac:dyDescent="0.2">
      <c r="A148" s="92">
        <v>36434</v>
      </c>
      <c r="B148">
        <v>1282.71</v>
      </c>
      <c r="C148">
        <v>1373.17</v>
      </c>
      <c r="D148">
        <v>1233.7</v>
      </c>
      <c r="E148">
        <v>1362.93</v>
      </c>
      <c r="F148">
        <v>950119000</v>
      </c>
      <c r="G148">
        <v>1362.93</v>
      </c>
      <c r="H148" s="93">
        <f t="shared" si="2"/>
        <v>6.0661766747015879E-2</v>
      </c>
    </row>
    <row r="149" spans="1:11" ht="15" x14ac:dyDescent="0.2">
      <c r="A149" s="92">
        <v>36404</v>
      </c>
      <c r="B149">
        <v>1320.41</v>
      </c>
      <c r="C149">
        <v>1361.39</v>
      </c>
      <c r="D149">
        <v>1256.26</v>
      </c>
      <c r="E149">
        <v>1282.71</v>
      </c>
      <c r="F149">
        <v>831252300</v>
      </c>
      <c r="G149">
        <v>1282.71</v>
      </c>
      <c r="H149" s="93">
        <f t="shared" si="2"/>
        <v>-2.8967267082334575E-2</v>
      </c>
    </row>
    <row r="150" spans="1:11" ht="15" x14ac:dyDescent="0.2">
      <c r="A150" s="92">
        <v>36374</v>
      </c>
      <c r="B150">
        <v>1328.72</v>
      </c>
      <c r="C150">
        <v>1382.84</v>
      </c>
      <c r="D150">
        <v>1267.73</v>
      </c>
      <c r="E150">
        <v>1320.41</v>
      </c>
      <c r="F150">
        <v>758193100</v>
      </c>
      <c r="G150">
        <v>1320.41</v>
      </c>
      <c r="H150" s="93">
        <f t="shared" si="2"/>
        <v>-6.2737783777968726E-3</v>
      </c>
    </row>
    <row r="151" spans="1:11" ht="15" x14ac:dyDescent="0.2">
      <c r="A151" s="92">
        <v>36342</v>
      </c>
      <c r="B151">
        <v>1372.71</v>
      </c>
      <c r="C151">
        <v>1420.33</v>
      </c>
      <c r="D151">
        <v>1328.49</v>
      </c>
      <c r="E151">
        <v>1328.72</v>
      </c>
      <c r="F151">
        <v>765225200</v>
      </c>
      <c r="G151">
        <v>1328.72</v>
      </c>
      <c r="H151" s="93">
        <f t="shared" si="2"/>
        <v>-3.2570815353280949E-2</v>
      </c>
    </row>
    <row r="152" spans="1:11" ht="15" x14ac:dyDescent="0.2">
      <c r="A152" s="92">
        <v>36312</v>
      </c>
      <c r="B152">
        <v>1301.8399999999999</v>
      </c>
      <c r="C152">
        <v>1372.93</v>
      </c>
      <c r="D152">
        <v>1277.47</v>
      </c>
      <c r="E152">
        <v>1372.71</v>
      </c>
      <c r="F152">
        <v>781644000</v>
      </c>
      <c r="G152">
        <v>1372.71</v>
      </c>
      <c r="H152" s="93">
        <f t="shared" si="2"/>
        <v>5.3008239791665523E-2</v>
      </c>
    </row>
    <row r="153" spans="1:11" ht="15" x14ac:dyDescent="0.2">
      <c r="A153" s="92">
        <v>36283</v>
      </c>
      <c r="B153">
        <v>1335.18</v>
      </c>
      <c r="C153">
        <v>1375.98</v>
      </c>
      <c r="D153">
        <v>1277.31</v>
      </c>
      <c r="E153">
        <v>1301.8399999999999</v>
      </c>
      <c r="F153">
        <v>826511000</v>
      </c>
      <c r="G153">
        <v>1301.8399999999999</v>
      </c>
      <c r="H153" s="93">
        <f t="shared" si="2"/>
        <v>-2.5287465853720853E-2</v>
      </c>
    </row>
    <row r="154" spans="1:11" ht="15" x14ac:dyDescent="0.2">
      <c r="A154" s="92">
        <v>36251</v>
      </c>
      <c r="B154">
        <v>1286.3699999999999</v>
      </c>
      <c r="C154">
        <v>1371.56</v>
      </c>
      <c r="D154">
        <v>1282.56</v>
      </c>
      <c r="E154">
        <v>1335.18</v>
      </c>
      <c r="F154">
        <v>926652300</v>
      </c>
      <c r="G154">
        <v>1335.18</v>
      </c>
      <c r="H154" s="93">
        <f t="shared" si="2"/>
        <v>3.7241815948836486E-2</v>
      </c>
    </row>
    <row r="155" spans="1:11" ht="15" x14ac:dyDescent="0.2">
      <c r="A155" s="92">
        <v>36220</v>
      </c>
      <c r="B155">
        <v>1238.33</v>
      </c>
      <c r="C155">
        <v>1323.82</v>
      </c>
      <c r="D155">
        <v>1216.03</v>
      </c>
      <c r="E155">
        <v>1286.3699999999999</v>
      </c>
      <c r="F155">
        <v>822904300</v>
      </c>
      <c r="G155">
        <v>1286.3699999999999</v>
      </c>
      <c r="H155" s="93">
        <f t="shared" si="2"/>
        <v>3.8060600567156579E-2</v>
      </c>
    </row>
    <row r="156" spans="1:11" ht="15" x14ac:dyDescent="0.2">
      <c r="A156" s="92">
        <v>36192</v>
      </c>
      <c r="B156">
        <v>1279.6400000000001</v>
      </c>
      <c r="C156">
        <v>1283.8399999999999</v>
      </c>
      <c r="D156">
        <v>1211.8900000000001</v>
      </c>
      <c r="E156">
        <v>1238.33</v>
      </c>
      <c r="F156">
        <v>807392600</v>
      </c>
      <c r="G156">
        <v>1238.33</v>
      </c>
      <c r="H156" s="93">
        <f t="shared" si="2"/>
        <v>-3.2815090665377786E-2</v>
      </c>
    </row>
    <row r="157" spans="1:11" ht="15" x14ac:dyDescent="0.2">
      <c r="A157" s="92">
        <v>36164</v>
      </c>
      <c r="B157">
        <v>1229.23</v>
      </c>
      <c r="C157">
        <v>1280.3699999999999</v>
      </c>
      <c r="D157">
        <v>1205.46</v>
      </c>
      <c r="E157">
        <v>1279.6400000000001</v>
      </c>
      <c r="F157">
        <v>901605200</v>
      </c>
      <c r="G157">
        <v>1279.6400000000001</v>
      </c>
      <c r="H157" s="93">
        <f t="shared" si="2"/>
        <v>4.0190831279158935E-2</v>
      </c>
      <c r="I157" s="93"/>
    </row>
    <row r="158" spans="1:11" ht="15" x14ac:dyDescent="0.2">
      <c r="A158" s="92">
        <v>36130</v>
      </c>
      <c r="B158">
        <v>1163.6300000000001</v>
      </c>
      <c r="C158">
        <v>1244.93</v>
      </c>
      <c r="D158">
        <v>1136.8900000000001</v>
      </c>
      <c r="E158">
        <v>1229.23</v>
      </c>
      <c r="F158">
        <v>722756800</v>
      </c>
      <c r="G158">
        <v>1229.23</v>
      </c>
      <c r="H158" s="93">
        <f t="shared" si="2"/>
        <v>5.4843527731920916E-2</v>
      </c>
      <c r="K158" s="97">
        <f>LN(G146/G158)</f>
        <v>0.17836410941645447</v>
      </c>
    </row>
    <row r="159" spans="1:11" ht="15" x14ac:dyDescent="0.2">
      <c r="A159" s="92">
        <v>36101</v>
      </c>
      <c r="B159">
        <v>1098.67</v>
      </c>
      <c r="C159">
        <v>1192.97</v>
      </c>
      <c r="D159">
        <v>1098.67</v>
      </c>
      <c r="E159">
        <v>1163.6300000000001</v>
      </c>
      <c r="F159">
        <v>706959000</v>
      </c>
      <c r="G159">
        <v>1163.6300000000001</v>
      </c>
      <c r="H159" s="93">
        <f t="shared" si="2"/>
        <v>5.7444072007151667E-2</v>
      </c>
    </row>
    <row r="160" spans="1:11" ht="15" x14ac:dyDescent="0.2">
      <c r="A160" s="92">
        <v>36069</v>
      </c>
      <c r="B160">
        <v>1017.01</v>
      </c>
      <c r="C160">
        <v>1103.78</v>
      </c>
      <c r="D160">
        <v>923.32</v>
      </c>
      <c r="E160">
        <v>1098.67</v>
      </c>
      <c r="F160">
        <v>853938600</v>
      </c>
      <c r="G160">
        <v>1098.67</v>
      </c>
      <c r="H160" s="93">
        <f t="shared" si="2"/>
        <v>7.7233407495323633E-2</v>
      </c>
    </row>
    <row r="161" spans="1:11" ht="15" x14ac:dyDescent="0.2">
      <c r="A161" s="92">
        <v>36039</v>
      </c>
      <c r="B161">
        <v>957.28</v>
      </c>
      <c r="C161">
        <v>1066.1099999999999</v>
      </c>
      <c r="D161">
        <v>939.98</v>
      </c>
      <c r="E161">
        <v>1017.01</v>
      </c>
      <c r="F161">
        <v>834008500</v>
      </c>
      <c r="G161">
        <v>1017.01</v>
      </c>
      <c r="H161" s="93">
        <f t="shared" si="2"/>
        <v>6.052629920018749E-2</v>
      </c>
    </row>
    <row r="162" spans="1:11" ht="15" x14ac:dyDescent="0.2">
      <c r="A162" s="92">
        <v>36010</v>
      </c>
      <c r="B162">
        <v>1120.67</v>
      </c>
      <c r="C162">
        <v>1121.79</v>
      </c>
      <c r="D162">
        <v>957.28</v>
      </c>
      <c r="E162">
        <v>957.28</v>
      </c>
      <c r="F162">
        <v>761383300</v>
      </c>
      <c r="G162">
        <v>957.28</v>
      </c>
      <c r="H162" s="93">
        <f t="shared" si="2"/>
        <v>-0.15758607007429418</v>
      </c>
    </row>
    <row r="163" spans="1:11" ht="15" x14ac:dyDescent="0.2">
      <c r="A163" s="92">
        <v>35977</v>
      </c>
      <c r="B163">
        <v>1133.8399999999999</v>
      </c>
      <c r="C163">
        <v>1190.58</v>
      </c>
      <c r="D163">
        <v>1114.3</v>
      </c>
      <c r="E163">
        <v>1120.67</v>
      </c>
      <c r="F163">
        <v>674577700</v>
      </c>
      <c r="G163">
        <v>1120.67</v>
      </c>
      <c r="H163" s="93">
        <f t="shared" si="2"/>
        <v>-1.1683381142634086E-2</v>
      </c>
    </row>
    <row r="164" spans="1:11" ht="15" x14ac:dyDescent="0.2">
      <c r="A164" s="92">
        <v>35947</v>
      </c>
      <c r="B164">
        <v>1090.82</v>
      </c>
      <c r="C164">
        <v>1145.1500000000001</v>
      </c>
      <c r="D164">
        <v>1074.67</v>
      </c>
      <c r="E164">
        <v>1133.8399999999999</v>
      </c>
      <c r="F164">
        <v>650416800</v>
      </c>
      <c r="G164">
        <v>1133.8399999999999</v>
      </c>
      <c r="H164" s="93">
        <f t="shared" si="2"/>
        <v>3.8680394888453609E-2</v>
      </c>
    </row>
    <row r="165" spans="1:11" ht="15" x14ac:dyDescent="0.2">
      <c r="A165" s="92">
        <v>35916</v>
      </c>
      <c r="B165">
        <v>1111.75</v>
      </c>
      <c r="C165">
        <v>1130.52</v>
      </c>
      <c r="D165">
        <v>1074.3900000000001</v>
      </c>
      <c r="E165">
        <v>1090.82</v>
      </c>
      <c r="F165">
        <v>601696000</v>
      </c>
      <c r="G165">
        <v>1090.82</v>
      </c>
      <c r="H165" s="93">
        <f t="shared" si="2"/>
        <v>-1.9005643420609574E-2</v>
      </c>
    </row>
    <row r="166" spans="1:11" ht="15" x14ac:dyDescent="0.2">
      <c r="A166" s="92">
        <v>35886</v>
      </c>
      <c r="B166">
        <v>1101.75</v>
      </c>
      <c r="C166">
        <v>1132.98</v>
      </c>
      <c r="D166">
        <v>1076.7</v>
      </c>
      <c r="E166">
        <v>1111.75</v>
      </c>
      <c r="F166">
        <v>683412300</v>
      </c>
      <c r="G166">
        <v>1111.75</v>
      </c>
      <c r="H166" s="93">
        <f t="shared" si="2"/>
        <v>9.0355256687094428E-3</v>
      </c>
    </row>
    <row r="167" spans="1:11" ht="15" x14ac:dyDescent="0.2">
      <c r="A167" s="92">
        <v>35856</v>
      </c>
      <c r="B167">
        <v>1049.3399999999999</v>
      </c>
      <c r="C167">
        <v>1113.07</v>
      </c>
      <c r="D167">
        <v>1030.8699999999999</v>
      </c>
      <c r="E167">
        <v>1101.75</v>
      </c>
      <c r="F167">
        <v>654296300</v>
      </c>
      <c r="G167">
        <v>1101.75</v>
      </c>
      <c r="H167" s="93">
        <f t="shared" si="2"/>
        <v>4.8738429632941518E-2</v>
      </c>
    </row>
    <row r="168" spans="1:11" ht="15" x14ac:dyDescent="0.2">
      <c r="A168" s="92">
        <v>35828</v>
      </c>
      <c r="B168">
        <v>980.28</v>
      </c>
      <c r="C168">
        <v>1051.6600000000001</v>
      </c>
      <c r="D168">
        <v>980.28</v>
      </c>
      <c r="E168">
        <v>1049.3399999999999</v>
      </c>
      <c r="F168">
        <v>643738400</v>
      </c>
      <c r="G168">
        <v>1049.3399999999999</v>
      </c>
      <c r="H168" s="93">
        <f t="shared" si="2"/>
        <v>6.8078428947376632E-2</v>
      </c>
    </row>
    <row r="169" spans="1:11" ht="15" x14ac:dyDescent="0.2">
      <c r="A169" s="92">
        <v>35797</v>
      </c>
      <c r="B169">
        <v>970.43</v>
      </c>
      <c r="C169">
        <v>992.65</v>
      </c>
      <c r="D169">
        <v>912.83</v>
      </c>
      <c r="E169">
        <v>980.28</v>
      </c>
      <c r="F169">
        <v>667360500</v>
      </c>
      <c r="G169">
        <v>980.28</v>
      </c>
      <c r="H169" s="93">
        <f t="shared" si="2"/>
        <v>1.0098972903237103E-2</v>
      </c>
      <c r="I169" s="93"/>
    </row>
    <row r="170" spans="1:11" ht="15" x14ac:dyDescent="0.2">
      <c r="A170" s="92">
        <v>35765</v>
      </c>
      <c r="B170">
        <v>955.4</v>
      </c>
      <c r="C170">
        <v>986.25</v>
      </c>
      <c r="D170">
        <v>924.92</v>
      </c>
      <c r="E170">
        <v>970.43</v>
      </c>
      <c r="F170">
        <v>564825400</v>
      </c>
      <c r="G170">
        <v>970.43</v>
      </c>
      <c r="H170" s="93">
        <f t="shared" si="2"/>
        <v>1.5609171282679583E-2</v>
      </c>
      <c r="K170" s="97">
        <f>LN(G158/G170)</f>
        <v>0.23640396383776424</v>
      </c>
    </row>
    <row r="171" spans="1:11" ht="15" x14ac:dyDescent="0.2">
      <c r="A171" s="92">
        <v>35737</v>
      </c>
      <c r="B171">
        <v>914.62</v>
      </c>
      <c r="C171">
        <v>964.55</v>
      </c>
      <c r="D171">
        <v>900.61</v>
      </c>
      <c r="E171">
        <v>955.4</v>
      </c>
      <c r="F171">
        <v>545404700</v>
      </c>
      <c r="G171">
        <v>955.4</v>
      </c>
      <c r="H171" s="93">
        <f t="shared" si="2"/>
        <v>4.3621422487943796E-2</v>
      </c>
    </row>
    <row r="172" spans="1:11" ht="15" x14ac:dyDescent="0.2">
      <c r="A172" s="92">
        <v>35704</v>
      </c>
      <c r="B172">
        <v>947.28</v>
      </c>
      <c r="C172">
        <v>983.12</v>
      </c>
      <c r="D172">
        <v>855.27</v>
      </c>
      <c r="E172">
        <v>914.62</v>
      </c>
      <c r="F172">
        <v>637188200</v>
      </c>
      <c r="G172">
        <v>914.62</v>
      </c>
      <c r="H172" s="93">
        <f t="shared" si="2"/>
        <v>-3.508604155478369E-2</v>
      </c>
    </row>
    <row r="173" spans="1:11" ht="15" x14ac:dyDescent="0.2">
      <c r="A173" s="92">
        <v>35675</v>
      </c>
      <c r="B173">
        <v>899.47</v>
      </c>
      <c r="C173">
        <v>960.59</v>
      </c>
      <c r="D173">
        <v>899.47</v>
      </c>
      <c r="E173">
        <v>947.28</v>
      </c>
      <c r="F173">
        <v>570023800</v>
      </c>
      <c r="G173">
        <v>947.28</v>
      </c>
      <c r="H173" s="93">
        <f t="shared" si="2"/>
        <v>5.1789019050444966E-2</v>
      </c>
    </row>
    <row r="174" spans="1:11" ht="15" x14ac:dyDescent="0.2">
      <c r="A174" s="92">
        <v>35643</v>
      </c>
      <c r="B174">
        <v>954.29</v>
      </c>
      <c r="C174">
        <v>964.17</v>
      </c>
      <c r="D174">
        <v>893.34</v>
      </c>
      <c r="E174">
        <v>899.47</v>
      </c>
      <c r="F174">
        <v>524762300</v>
      </c>
      <c r="G174">
        <v>899.47</v>
      </c>
      <c r="H174" s="93">
        <f t="shared" si="2"/>
        <v>-5.9182865281095121E-2</v>
      </c>
    </row>
    <row r="175" spans="1:11" ht="15" x14ac:dyDescent="0.2">
      <c r="A175" s="92">
        <v>35612</v>
      </c>
      <c r="B175">
        <v>885.14</v>
      </c>
      <c r="C175">
        <v>957.73</v>
      </c>
      <c r="D175">
        <v>884.54</v>
      </c>
      <c r="E175">
        <v>954.31</v>
      </c>
      <c r="F175">
        <v>568452200</v>
      </c>
      <c r="G175">
        <v>954.31</v>
      </c>
      <c r="H175" s="93">
        <f t="shared" si="2"/>
        <v>7.5242741666075974E-2</v>
      </c>
    </row>
    <row r="176" spans="1:11" ht="15" x14ac:dyDescent="0.2">
      <c r="A176" s="92">
        <v>35583</v>
      </c>
      <c r="B176">
        <v>848.28</v>
      </c>
      <c r="C176">
        <v>902.09</v>
      </c>
      <c r="D176">
        <v>838.82</v>
      </c>
      <c r="E176">
        <v>885.14</v>
      </c>
      <c r="F176">
        <v>543785200</v>
      </c>
      <c r="G176">
        <v>885.14</v>
      </c>
      <c r="H176" s="93">
        <f t="shared" si="2"/>
        <v>4.2535054616412785E-2</v>
      </c>
    </row>
    <row r="177" spans="1:11" ht="15" x14ac:dyDescent="0.2">
      <c r="A177" s="92">
        <v>35551</v>
      </c>
      <c r="B177">
        <v>801.34</v>
      </c>
      <c r="C177">
        <v>851.87</v>
      </c>
      <c r="D177">
        <v>793.21</v>
      </c>
      <c r="E177">
        <v>848.28</v>
      </c>
      <c r="F177">
        <v>506850000</v>
      </c>
      <c r="G177">
        <v>848.28</v>
      </c>
      <c r="H177" s="93">
        <f t="shared" si="2"/>
        <v>5.6925443550926928E-2</v>
      </c>
    </row>
    <row r="178" spans="1:11" ht="15" x14ac:dyDescent="0.2">
      <c r="A178" s="92">
        <v>35521</v>
      </c>
      <c r="B178">
        <v>757.12</v>
      </c>
      <c r="C178">
        <v>804.13</v>
      </c>
      <c r="D178">
        <v>733.54</v>
      </c>
      <c r="E178">
        <v>801.34</v>
      </c>
      <c r="F178">
        <v>500497700</v>
      </c>
      <c r="G178">
        <v>801.34</v>
      </c>
      <c r="H178" s="93">
        <f t="shared" si="2"/>
        <v>5.6763565069968873E-2</v>
      </c>
    </row>
    <row r="179" spans="1:11" ht="15" x14ac:dyDescent="0.2">
      <c r="A179" s="92">
        <v>35492</v>
      </c>
      <c r="B179">
        <v>790.82</v>
      </c>
      <c r="C179">
        <v>814.9</v>
      </c>
      <c r="D179">
        <v>756.13</v>
      </c>
      <c r="E179">
        <v>757.12</v>
      </c>
      <c r="F179">
        <v>533832000</v>
      </c>
      <c r="G179">
        <v>757.12</v>
      </c>
      <c r="H179" s="93">
        <f t="shared" si="2"/>
        <v>-4.3548620471400873E-2</v>
      </c>
    </row>
    <row r="180" spans="1:11" ht="15" x14ac:dyDescent="0.2">
      <c r="A180" s="92">
        <v>35464</v>
      </c>
      <c r="B180">
        <v>786.16</v>
      </c>
      <c r="C180">
        <v>817.68</v>
      </c>
      <c r="D180">
        <v>773.43</v>
      </c>
      <c r="E180">
        <v>790.82</v>
      </c>
      <c r="F180">
        <v>538116300</v>
      </c>
      <c r="G180">
        <v>790.82</v>
      </c>
      <c r="H180" s="93">
        <f t="shared" si="2"/>
        <v>5.910047767196773E-3</v>
      </c>
    </row>
    <row r="181" spans="1:11" ht="15" x14ac:dyDescent="0.2">
      <c r="A181" s="92">
        <v>35432</v>
      </c>
      <c r="B181">
        <v>740.74</v>
      </c>
      <c r="C181">
        <v>794.67</v>
      </c>
      <c r="D181">
        <v>729.55</v>
      </c>
      <c r="E181">
        <v>786.16</v>
      </c>
      <c r="F181">
        <v>555199000</v>
      </c>
      <c r="G181">
        <v>786.16</v>
      </c>
      <c r="H181" s="93">
        <f t="shared" si="2"/>
        <v>5.9510647522872405E-2</v>
      </c>
      <c r="I181" s="93"/>
    </row>
    <row r="182" spans="1:11" ht="15" x14ac:dyDescent="0.2">
      <c r="A182" s="92">
        <v>35401</v>
      </c>
      <c r="B182">
        <v>757.02</v>
      </c>
      <c r="C182">
        <v>761.75</v>
      </c>
      <c r="D182">
        <v>716.69</v>
      </c>
      <c r="E182">
        <v>740.74</v>
      </c>
      <c r="F182">
        <v>451853800</v>
      </c>
      <c r="G182">
        <v>740.74</v>
      </c>
      <c r="H182" s="93">
        <f t="shared" si="2"/>
        <v>-2.1739986636405875E-2</v>
      </c>
      <c r="K182" s="97">
        <f>LN(G170/G182)</f>
        <v>0.27008958570724206</v>
      </c>
    </row>
    <row r="183" spans="1:11" ht="15" x14ac:dyDescent="0.2">
      <c r="A183" s="92">
        <v>35370</v>
      </c>
      <c r="B183">
        <v>705.27</v>
      </c>
      <c r="C183">
        <v>762.12</v>
      </c>
      <c r="D183">
        <v>701.3</v>
      </c>
      <c r="E183">
        <v>757.02</v>
      </c>
      <c r="F183">
        <v>438942000</v>
      </c>
      <c r="G183">
        <v>757.02</v>
      </c>
      <c r="H183" s="93">
        <f t="shared" si="2"/>
        <v>7.0808964949664502E-2</v>
      </c>
    </row>
    <row r="184" spans="1:11" ht="15" x14ac:dyDescent="0.2">
      <c r="A184" s="92">
        <v>35339</v>
      </c>
      <c r="B184">
        <v>687.31</v>
      </c>
      <c r="C184">
        <v>714.1</v>
      </c>
      <c r="D184">
        <v>684.44</v>
      </c>
      <c r="E184">
        <v>705.27</v>
      </c>
      <c r="F184">
        <v>442891700</v>
      </c>
      <c r="G184">
        <v>705.27</v>
      </c>
      <c r="H184" s="93">
        <f t="shared" si="2"/>
        <v>2.5766181981528097E-2</v>
      </c>
    </row>
    <row r="185" spans="1:11" ht="15" x14ac:dyDescent="0.2">
      <c r="A185" s="92">
        <v>35311</v>
      </c>
      <c r="B185">
        <v>651.99</v>
      </c>
      <c r="C185">
        <v>690.88</v>
      </c>
      <c r="D185">
        <v>643.97</v>
      </c>
      <c r="E185">
        <v>687.33</v>
      </c>
      <c r="F185">
        <v>422632000</v>
      </c>
      <c r="G185">
        <v>687.33</v>
      </c>
      <c r="H185" s="93">
        <f t="shared" si="2"/>
        <v>5.27853018507915E-2</v>
      </c>
    </row>
    <row r="186" spans="1:11" ht="15" x14ac:dyDescent="0.2">
      <c r="A186" s="92">
        <v>35278</v>
      </c>
      <c r="B186">
        <v>639.95000000000005</v>
      </c>
      <c r="C186">
        <v>670.68</v>
      </c>
      <c r="D186">
        <v>639.49</v>
      </c>
      <c r="E186">
        <v>651.99</v>
      </c>
      <c r="F186">
        <v>347213600</v>
      </c>
      <c r="G186">
        <v>651.99</v>
      </c>
      <c r="H186" s="93">
        <f t="shared" si="2"/>
        <v>1.8639176083919788E-2</v>
      </c>
    </row>
    <row r="187" spans="1:11" ht="15" x14ac:dyDescent="0.2">
      <c r="A187" s="92">
        <v>35247</v>
      </c>
      <c r="B187">
        <v>670.63</v>
      </c>
      <c r="C187">
        <v>675.88</v>
      </c>
      <c r="D187">
        <v>605.88</v>
      </c>
      <c r="E187">
        <v>639.95000000000005</v>
      </c>
      <c r="F187">
        <v>420610000</v>
      </c>
      <c r="G187">
        <v>639.95000000000005</v>
      </c>
      <c r="H187" s="93">
        <f t="shared" si="2"/>
        <v>-4.6827520786961854E-2</v>
      </c>
    </row>
    <row r="188" spans="1:11" ht="15" x14ac:dyDescent="0.2">
      <c r="A188" s="92">
        <v>35219</v>
      </c>
      <c r="B188">
        <v>669.12</v>
      </c>
      <c r="C188">
        <v>680.32</v>
      </c>
      <c r="D188">
        <v>658.75</v>
      </c>
      <c r="E188">
        <v>670.63</v>
      </c>
      <c r="F188">
        <v>420065000</v>
      </c>
      <c r="G188">
        <v>670.63</v>
      </c>
      <c r="H188" s="93">
        <f t="shared" si="2"/>
        <v>2.2541528484939432E-3</v>
      </c>
    </row>
    <row r="189" spans="1:11" ht="15" x14ac:dyDescent="0.2">
      <c r="A189" s="92">
        <v>35186</v>
      </c>
      <c r="B189">
        <v>654.16999999999996</v>
      </c>
      <c r="C189">
        <v>681.1</v>
      </c>
      <c r="D189">
        <v>630.07000000000005</v>
      </c>
      <c r="E189">
        <v>669.12</v>
      </c>
      <c r="F189">
        <v>421495000</v>
      </c>
      <c r="G189">
        <v>669.12</v>
      </c>
      <c r="H189" s="93">
        <f t="shared" si="2"/>
        <v>2.2596159723396021E-2</v>
      </c>
    </row>
    <row r="190" spans="1:11" ht="15" x14ac:dyDescent="0.2">
      <c r="A190" s="92">
        <v>35156</v>
      </c>
      <c r="B190">
        <v>645.5</v>
      </c>
      <c r="C190">
        <v>656.68</v>
      </c>
      <c r="D190">
        <v>624.14</v>
      </c>
      <c r="E190">
        <v>654.16999999999996</v>
      </c>
      <c r="F190">
        <v>441379500</v>
      </c>
      <c r="G190">
        <v>654.16999999999996</v>
      </c>
      <c r="H190" s="93">
        <f t="shared" si="2"/>
        <v>1.3342046230175701E-2</v>
      </c>
    </row>
    <row r="191" spans="1:11" ht="15" x14ac:dyDescent="0.2">
      <c r="A191" s="92">
        <v>35125</v>
      </c>
      <c r="B191">
        <v>640.42999999999995</v>
      </c>
      <c r="C191">
        <v>656.97</v>
      </c>
      <c r="D191">
        <v>627.63</v>
      </c>
      <c r="E191">
        <v>645.5</v>
      </c>
      <c r="F191">
        <v>447510000</v>
      </c>
      <c r="G191">
        <v>645.5</v>
      </c>
      <c r="H191" s="93">
        <f t="shared" si="2"/>
        <v>7.8853845399401695E-3</v>
      </c>
    </row>
    <row r="192" spans="1:11" ht="15" x14ac:dyDescent="0.2">
      <c r="A192" s="92">
        <v>35096</v>
      </c>
      <c r="B192">
        <v>636.02</v>
      </c>
      <c r="C192">
        <v>664.23</v>
      </c>
      <c r="D192">
        <v>633.71</v>
      </c>
      <c r="E192">
        <v>640.42999999999995</v>
      </c>
      <c r="F192">
        <v>460156500</v>
      </c>
      <c r="G192">
        <v>640.42999999999995</v>
      </c>
      <c r="H192" s="93">
        <f t="shared" si="2"/>
        <v>6.9098163601865855E-3</v>
      </c>
    </row>
    <row r="193" spans="1:11" ht="15" x14ac:dyDescent="0.2">
      <c r="A193" s="92">
        <v>35066</v>
      </c>
      <c r="B193">
        <v>615.92999999999995</v>
      </c>
      <c r="C193">
        <v>636.17999999999995</v>
      </c>
      <c r="D193">
        <v>597.29</v>
      </c>
      <c r="E193">
        <v>636.02</v>
      </c>
      <c r="F193">
        <v>439102700</v>
      </c>
      <c r="G193">
        <v>636.02</v>
      </c>
      <c r="H193" s="93">
        <f t="shared" si="2"/>
        <v>3.2096688673788003E-2</v>
      </c>
      <c r="I193" s="93"/>
    </row>
    <row r="194" spans="1:11" ht="15" x14ac:dyDescent="0.2">
      <c r="A194" s="92">
        <v>35034</v>
      </c>
      <c r="B194">
        <v>605.37</v>
      </c>
      <c r="C194">
        <v>622.88</v>
      </c>
      <c r="D194">
        <v>605.04999999999995</v>
      </c>
      <c r="E194">
        <v>615.92999999999995</v>
      </c>
      <c r="F194">
        <v>400939500</v>
      </c>
      <c r="G194">
        <v>615.92999999999995</v>
      </c>
      <c r="H194" s="93">
        <f t="shared" ref="H194:H257" si="3">LN(G194/G195)</f>
        <v>1.7293479366880037E-2</v>
      </c>
      <c r="K194" s="97">
        <f>LN(G182/G194)</f>
        <v>0.1845163658185163</v>
      </c>
    </row>
    <row r="195" spans="1:11" ht="15" x14ac:dyDescent="0.2">
      <c r="A195" s="92">
        <v>35004</v>
      </c>
      <c r="B195">
        <v>581.5</v>
      </c>
      <c r="C195">
        <v>608.69000000000005</v>
      </c>
      <c r="D195">
        <v>581.04</v>
      </c>
      <c r="E195">
        <v>605.37</v>
      </c>
      <c r="F195">
        <v>382961900</v>
      </c>
      <c r="G195">
        <v>605.37</v>
      </c>
      <c r="H195" s="93">
        <f t="shared" si="3"/>
        <v>4.0228869387183341E-2</v>
      </c>
    </row>
    <row r="196" spans="1:11" ht="15" x14ac:dyDescent="0.2">
      <c r="A196" s="92">
        <v>34974</v>
      </c>
      <c r="B196">
        <v>584.41</v>
      </c>
      <c r="C196">
        <v>590.66</v>
      </c>
      <c r="D196">
        <v>571.54999999999995</v>
      </c>
      <c r="E196">
        <v>581.5</v>
      </c>
      <c r="F196">
        <v>382759500</v>
      </c>
      <c r="G196">
        <v>581.5</v>
      </c>
      <c r="H196" s="93">
        <f t="shared" si="3"/>
        <v>-4.9918193388436179E-3</v>
      </c>
    </row>
    <row r="197" spans="1:11" ht="15" x14ac:dyDescent="0.2">
      <c r="A197" s="92">
        <v>34943</v>
      </c>
      <c r="B197">
        <v>561.88</v>
      </c>
      <c r="C197">
        <v>587.61</v>
      </c>
      <c r="D197">
        <v>561.01</v>
      </c>
      <c r="E197">
        <v>584.41</v>
      </c>
      <c r="F197">
        <v>369404000</v>
      </c>
      <c r="G197">
        <v>584.41</v>
      </c>
      <c r="H197" s="93">
        <f t="shared" si="3"/>
        <v>3.9314487334853557E-2</v>
      </c>
    </row>
    <row r="198" spans="1:11" ht="15" x14ac:dyDescent="0.2">
      <c r="A198" s="92">
        <v>34912</v>
      </c>
      <c r="B198">
        <v>562.05999999999995</v>
      </c>
      <c r="C198">
        <v>565.62</v>
      </c>
      <c r="D198">
        <v>553.04</v>
      </c>
      <c r="E198">
        <v>561.88</v>
      </c>
      <c r="F198">
        <v>323806000</v>
      </c>
      <c r="G198">
        <v>561.88</v>
      </c>
      <c r="H198" s="93">
        <f t="shared" si="3"/>
        <v>-3.2030179820779727E-4</v>
      </c>
    </row>
    <row r="199" spans="1:11" ht="15" x14ac:dyDescent="0.2">
      <c r="A199" s="92">
        <v>34883</v>
      </c>
      <c r="B199">
        <v>544.75</v>
      </c>
      <c r="C199">
        <v>565.4</v>
      </c>
      <c r="D199">
        <v>542.51</v>
      </c>
      <c r="E199">
        <v>562.05999999999995</v>
      </c>
      <c r="F199">
        <v>379995500</v>
      </c>
      <c r="G199">
        <v>562.05999999999995</v>
      </c>
      <c r="H199" s="93">
        <f t="shared" si="3"/>
        <v>3.1281631936187715E-2</v>
      </c>
    </row>
    <row r="200" spans="1:11" ht="15" x14ac:dyDescent="0.2">
      <c r="A200" s="92">
        <v>34851</v>
      </c>
      <c r="B200">
        <v>533.4</v>
      </c>
      <c r="C200">
        <v>551.07000000000005</v>
      </c>
      <c r="D200">
        <v>526</v>
      </c>
      <c r="E200">
        <v>544.75</v>
      </c>
      <c r="F200">
        <v>357604500</v>
      </c>
      <c r="G200">
        <v>544.75</v>
      </c>
      <c r="H200" s="93">
        <f t="shared" si="3"/>
        <v>2.1055362076815406E-2</v>
      </c>
    </row>
    <row r="201" spans="1:11" ht="15" x14ac:dyDescent="0.2">
      <c r="A201" s="92">
        <v>34820</v>
      </c>
      <c r="B201">
        <v>514.76</v>
      </c>
      <c r="C201">
        <v>533.41</v>
      </c>
      <c r="D201">
        <v>513.03</v>
      </c>
      <c r="E201">
        <v>533.4</v>
      </c>
      <c r="F201">
        <v>359721300</v>
      </c>
      <c r="G201">
        <v>533.4</v>
      </c>
      <c r="H201" s="93">
        <f t="shared" si="3"/>
        <v>3.5667976484469642E-2</v>
      </c>
    </row>
    <row r="202" spans="1:11" ht="15" x14ac:dyDescent="0.2">
      <c r="A202" s="92">
        <v>34792</v>
      </c>
      <c r="B202">
        <v>500.7</v>
      </c>
      <c r="C202">
        <v>515.29</v>
      </c>
      <c r="D202">
        <v>500.2</v>
      </c>
      <c r="E202">
        <v>514.71</v>
      </c>
      <c r="F202">
        <v>348814200</v>
      </c>
      <c r="G202">
        <v>514.71</v>
      </c>
      <c r="H202" s="93">
        <f t="shared" si="3"/>
        <v>2.7576544087838481E-2</v>
      </c>
    </row>
    <row r="203" spans="1:11" ht="15" x14ac:dyDescent="0.2">
      <c r="A203" s="92">
        <v>34759</v>
      </c>
      <c r="B203">
        <v>487.39</v>
      </c>
      <c r="C203">
        <v>508.15</v>
      </c>
      <c r="D203">
        <v>479.7</v>
      </c>
      <c r="E203">
        <v>500.71</v>
      </c>
      <c r="F203">
        <v>354150400</v>
      </c>
      <c r="G203">
        <v>500.71</v>
      </c>
      <c r="H203" s="93">
        <f t="shared" si="3"/>
        <v>2.6962467224111115E-2</v>
      </c>
    </row>
    <row r="204" spans="1:11" ht="15" x14ac:dyDescent="0.2">
      <c r="A204" s="92">
        <v>34731</v>
      </c>
      <c r="B204">
        <v>470.42</v>
      </c>
      <c r="C204">
        <v>489.19</v>
      </c>
      <c r="D204">
        <v>469.29</v>
      </c>
      <c r="E204">
        <v>487.39</v>
      </c>
      <c r="F204">
        <v>349858900</v>
      </c>
      <c r="G204">
        <v>487.39</v>
      </c>
      <c r="H204" s="93">
        <f t="shared" si="3"/>
        <v>3.5438711264096985E-2</v>
      </c>
    </row>
    <row r="205" spans="1:11" ht="15" x14ac:dyDescent="0.2">
      <c r="A205" s="92">
        <v>34702</v>
      </c>
      <c r="B205">
        <v>459.21</v>
      </c>
      <c r="C205">
        <v>471.36</v>
      </c>
      <c r="D205">
        <v>457.2</v>
      </c>
      <c r="E205">
        <v>470.42</v>
      </c>
      <c r="F205">
        <v>345888000</v>
      </c>
      <c r="G205">
        <v>470.42</v>
      </c>
      <c r="H205" s="93">
        <f t="shared" si="3"/>
        <v>2.3987640275298247E-2</v>
      </c>
      <c r="I205" s="93"/>
    </row>
    <row r="206" spans="1:11" ht="15" x14ac:dyDescent="0.2">
      <c r="A206" s="92">
        <v>34669</v>
      </c>
      <c r="B206">
        <v>453.55</v>
      </c>
      <c r="C206">
        <v>462.73</v>
      </c>
      <c r="D206">
        <v>442.88</v>
      </c>
      <c r="E206">
        <v>459.27</v>
      </c>
      <c r="F206">
        <v>314656600</v>
      </c>
      <c r="G206">
        <v>459.27</v>
      </c>
      <c r="H206" s="93">
        <f t="shared" si="3"/>
        <v>1.2224126981340542E-2</v>
      </c>
      <c r="K206" s="97">
        <f>LN(G194/G206)</f>
        <v>0.29349504830068318</v>
      </c>
    </row>
    <row r="207" spans="1:11" ht="15" x14ac:dyDescent="0.2">
      <c r="A207" s="92">
        <v>34639</v>
      </c>
      <c r="B207">
        <v>472.26</v>
      </c>
      <c r="C207">
        <v>472.26</v>
      </c>
      <c r="D207">
        <v>444.18</v>
      </c>
      <c r="E207">
        <v>453.69</v>
      </c>
      <c r="F207">
        <v>311899500</v>
      </c>
      <c r="G207">
        <v>453.69</v>
      </c>
      <c r="H207" s="93">
        <f t="shared" si="3"/>
        <v>-4.0306090784384588E-2</v>
      </c>
    </row>
    <row r="208" spans="1:11" ht="15" x14ac:dyDescent="0.2">
      <c r="A208" s="92">
        <v>34610</v>
      </c>
      <c r="B208">
        <v>462.69</v>
      </c>
      <c r="C208">
        <v>474.74</v>
      </c>
      <c r="D208">
        <v>449.27</v>
      </c>
      <c r="E208">
        <v>472.35</v>
      </c>
      <c r="F208">
        <v>316548500</v>
      </c>
      <c r="G208">
        <v>472.35</v>
      </c>
      <c r="H208" s="93">
        <f t="shared" si="3"/>
        <v>2.061972825995886E-2</v>
      </c>
    </row>
    <row r="209" spans="1:11" ht="15" x14ac:dyDescent="0.2">
      <c r="A209" s="92">
        <v>34578</v>
      </c>
      <c r="B209">
        <v>475.49</v>
      </c>
      <c r="C209">
        <v>475.49</v>
      </c>
      <c r="D209">
        <v>458.47</v>
      </c>
      <c r="E209">
        <v>462.71</v>
      </c>
      <c r="F209">
        <v>306893800</v>
      </c>
      <c r="G209">
        <v>462.71</v>
      </c>
      <c r="H209" s="93">
        <f t="shared" si="3"/>
        <v>-2.7245343314899879E-2</v>
      </c>
    </row>
    <row r="210" spans="1:11" ht="15" x14ac:dyDescent="0.2">
      <c r="A210" s="92">
        <v>34547</v>
      </c>
      <c r="B210">
        <v>458.28</v>
      </c>
      <c r="C210">
        <v>477.59</v>
      </c>
      <c r="D210">
        <v>456.08</v>
      </c>
      <c r="E210">
        <v>475.49</v>
      </c>
      <c r="F210">
        <v>293626000</v>
      </c>
      <c r="G210">
        <v>475.49</v>
      </c>
      <c r="H210" s="93">
        <f t="shared" si="3"/>
        <v>3.6909142638887928E-2</v>
      </c>
    </row>
    <row r="211" spans="1:11" ht="15" x14ac:dyDescent="0.2">
      <c r="A211" s="92">
        <v>34516</v>
      </c>
      <c r="B211">
        <v>444.27</v>
      </c>
      <c r="C211">
        <v>459.33</v>
      </c>
      <c r="D211">
        <v>443.58</v>
      </c>
      <c r="E211">
        <v>458.26</v>
      </c>
      <c r="F211">
        <v>262483000</v>
      </c>
      <c r="G211">
        <v>458.26</v>
      </c>
      <c r="H211" s="93">
        <f t="shared" si="3"/>
        <v>3.100422291367488E-2</v>
      </c>
    </row>
    <row r="212" spans="1:11" ht="15" x14ac:dyDescent="0.2">
      <c r="A212" s="92">
        <v>34486</v>
      </c>
      <c r="B212">
        <v>456.5</v>
      </c>
      <c r="C212">
        <v>463.23</v>
      </c>
      <c r="D212">
        <v>439.83</v>
      </c>
      <c r="E212">
        <v>444.27</v>
      </c>
      <c r="F212">
        <v>279367200</v>
      </c>
      <c r="G212">
        <v>444.27</v>
      </c>
      <c r="H212" s="93">
        <f t="shared" si="3"/>
        <v>-2.7156214317501502E-2</v>
      </c>
    </row>
    <row r="213" spans="1:11" ht="15" x14ac:dyDescent="0.2">
      <c r="A213" s="92">
        <v>34456</v>
      </c>
      <c r="B213">
        <v>450.91</v>
      </c>
      <c r="C213">
        <v>457.77</v>
      </c>
      <c r="D213">
        <v>440.78</v>
      </c>
      <c r="E213">
        <v>456.5</v>
      </c>
      <c r="F213">
        <v>280603300</v>
      </c>
      <c r="G213">
        <v>456.5</v>
      </c>
      <c r="H213" s="93">
        <f t="shared" si="3"/>
        <v>1.2320936987420615E-2</v>
      </c>
    </row>
    <row r="214" spans="1:11" ht="15" x14ac:dyDescent="0.2">
      <c r="A214" s="92">
        <v>34428</v>
      </c>
      <c r="B214">
        <v>445.66</v>
      </c>
      <c r="C214">
        <v>452.79</v>
      </c>
      <c r="D214">
        <v>435.86</v>
      </c>
      <c r="E214">
        <v>450.91</v>
      </c>
      <c r="F214">
        <v>317314700</v>
      </c>
      <c r="G214">
        <v>450.91</v>
      </c>
      <c r="H214" s="93">
        <f t="shared" si="3"/>
        <v>1.1464639111236987E-2</v>
      </c>
    </row>
    <row r="215" spans="1:11" ht="15" x14ac:dyDescent="0.2">
      <c r="A215" s="92">
        <v>34394</v>
      </c>
      <c r="B215">
        <v>467.19</v>
      </c>
      <c r="C215">
        <v>471.09</v>
      </c>
      <c r="D215">
        <v>436.16</v>
      </c>
      <c r="E215">
        <v>445.77</v>
      </c>
      <c r="F215">
        <v>331677800</v>
      </c>
      <c r="G215">
        <v>445.77</v>
      </c>
      <c r="H215" s="93">
        <f t="shared" si="3"/>
        <v>-4.6825874672964972E-2</v>
      </c>
    </row>
    <row r="216" spans="1:11" ht="15" x14ac:dyDescent="0.2">
      <c r="A216" s="92">
        <v>34366</v>
      </c>
      <c r="B216">
        <v>481.6</v>
      </c>
      <c r="C216">
        <v>482.23</v>
      </c>
      <c r="D216">
        <v>464.26</v>
      </c>
      <c r="E216">
        <v>467.14</v>
      </c>
      <c r="F216">
        <v>322199400</v>
      </c>
      <c r="G216">
        <v>467.14</v>
      </c>
      <c r="H216" s="93">
        <f t="shared" si="3"/>
        <v>-3.0505659289310708E-2</v>
      </c>
    </row>
    <row r="217" spans="1:11" ht="15" x14ac:dyDescent="0.2">
      <c r="A217" s="92">
        <v>34337</v>
      </c>
      <c r="B217">
        <v>466.51</v>
      </c>
      <c r="C217">
        <v>482.85</v>
      </c>
      <c r="D217">
        <v>464.36</v>
      </c>
      <c r="E217">
        <v>481.61</v>
      </c>
      <c r="F217">
        <v>330964700</v>
      </c>
      <c r="G217">
        <v>481.61</v>
      </c>
      <c r="H217" s="93">
        <f t="shared" si="3"/>
        <v>3.1983824491671184E-2</v>
      </c>
      <c r="I217" s="93"/>
    </row>
    <row r="218" spans="1:11" ht="15" x14ac:dyDescent="0.2">
      <c r="A218" s="92">
        <v>34304</v>
      </c>
      <c r="B218">
        <v>461.93</v>
      </c>
      <c r="C218">
        <v>471.29</v>
      </c>
      <c r="D218">
        <v>461.45</v>
      </c>
      <c r="E218">
        <v>466.45</v>
      </c>
      <c r="F218">
        <v>270900000</v>
      </c>
      <c r="G218">
        <v>466.45</v>
      </c>
      <c r="H218" s="93">
        <f t="shared" si="3"/>
        <v>1.0040591116877065E-2</v>
      </c>
      <c r="K218" s="97">
        <f>LN(G206/G218)</f>
        <v>-1.5512560994870606E-2</v>
      </c>
    </row>
    <row r="219" spans="1:11" ht="15" x14ac:dyDescent="0.2">
      <c r="A219" s="92">
        <v>34274</v>
      </c>
      <c r="B219">
        <v>467.83</v>
      </c>
      <c r="C219">
        <v>469.11</v>
      </c>
      <c r="D219">
        <v>454.36</v>
      </c>
      <c r="E219">
        <v>461.79</v>
      </c>
      <c r="F219">
        <v>293489000</v>
      </c>
      <c r="G219">
        <v>461.79</v>
      </c>
      <c r="H219" s="93">
        <f t="shared" si="3"/>
        <v>-1.2994739773819838E-2</v>
      </c>
    </row>
    <row r="220" spans="1:11" ht="15" x14ac:dyDescent="0.2">
      <c r="A220" s="92">
        <v>34243</v>
      </c>
      <c r="B220">
        <v>458.93</v>
      </c>
      <c r="C220">
        <v>471.1</v>
      </c>
      <c r="D220">
        <v>456.4</v>
      </c>
      <c r="E220">
        <v>467.83</v>
      </c>
      <c r="F220">
        <v>295763300</v>
      </c>
      <c r="G220">
        <v>467.83</v>
      </c>
      <c r="H220" s="93">
        <f t="shared" si="3"/>
        <v>1.9207289080128778E-2</v>
      </c>
    </row>
    <row r="221" spans="1:11" ht="15" x14ac:dyDescent="0.2">
      <c r="A221" s="92">
        <v>34213</v>
      </c>
      <c r="B221">
        <v>463.55</v>
      </c>
      <c r="C221">
        <v>463.8</v>
      </c>
      <c r="D221">
        <v>449.64</v>
      </c>
      <c r="E221">
        <v>458.93</v>
      </c>
      <c r="F221">
        <v>277795200</v>
      </c>
      <c r="G221">
        <v>458.93</v>
      </c>
      <c r="H221" s="93">
        <f t="shared" si="3"/>
        <v>-1.0038133482406217E-2</v>
      </c>
    </row>
    <row r="222" spans="1:11" ht="15" x14ac:dyDescent="0.2">
      <c r="A222" s="92">
        <v>34183</v>
      </c>
      <c r="B222">
        <v>448.13</v>
      </c>
      <c r="C222">
        <v>463.56</v>
      </c>
      <c r="D222">
        <v>446.94</v>
      </c>
      <c r="E222">
        <v>463.56</v>
      </c>
      <c r="F222">
        <v>261774000</v>
      </c>
      <c r="G222">
        <v>463.56</v>
      </c>
      <c r="H222" s="93">
        <f t="shared" si="3"/>
        <v>3.3852457573435274E-2</v>
      </c>
    </row>
    <row r="223" spans="1:11" ht="15" x14ac:dyDescent="0.2">
      <c r="A223" s="92">
        <v>34151</v>
      </c>
      <c r="B223">
        <v>450.54</v>
      </c>
      <c r="C223">
        <v>451.15</v>
      </c>
      <c r="D223">
        <v>441.4</v>
      </c>
      <c r="E223">
        <v>448.13</v>
      </c>
      <c r="F223">
        <v>264902300</v>
      </c>
      <c r="G223">
        <v>448.13</v>
      </c>
      <c r="H223" s="93">
        <f t="shared" si="3"/>
        <v>-5.34129861324958E-3</v>
      </c>
    </row>
    <row r="224" spans="1:11" ht="15" x14ac:dyDescent="0.2">
      <c r="A224" s="92">
        <v>34121</v>
      </c>
      <c r="B224">
        <v>450.23</v>
      </c>
      <c r="C224">
        <v>455.63</v>
      </c>
      <c r="D224">
        <v>442.5</v>
      </c>
      <c r="E224">
        <v>450.53</v>
      </c>
      <c r="F224">
        <v>264796300</v>
      </c>
      <c r="G224">
        <v>450.53</v>
      </c>
      <c r="H224" s="93">
        <f t="shared" si="3"/>
        <v>7.5495163013733827E-4</v>
      </c>
    </row>
    <row r="225" spans="1:11" ht="15" x14ac:dyDescent="0.2">
      <c r="A225" s="92">
        <v>34092</v>
      </c>
      <c r="B225">
        <v>440.19</v>
      </c>
      <c r="C225">
        <v>454.55</v>
      </c>
      <c r="D225">
        <v>436.86</v>
      </c>
      <c r="E225">
        <v>450.19</v>
      </c>
      <c r="F225">
        <v>265823000</v>
      </c>
      <c r="G225">
        <v>450.19</v>
      </c>
      <c r="H225" s="93">
        <f t="shared" si="3"/>
        <v>2.2463263988382214E-2</v>
      </c>
    </row>
    <row r="226" spans="1:11" ht="15" x14ac:dyDescent="0.2">
      <c r="A226" s="92">
        <v>34060</v>
      </c>
      <c r="B226">
        <v>451.67</v>
      </c>
      <c r="C226">
        <v>452.63</v>
      </c>
      <c r="D226">
        <v>432.3</v>
      </c>
      <c r="E226">
        <v>440.19</v>
      </c>
      <c r="F226">
        <v>290506100</v>
      </c>
      <c r="G226">
        <v>440.19</v>
      </c>
      <c r="H226" s="93">
        <f t="shared" si="3"/>
        <v>-2.5745372804774513E-2</v>
      </c>
    </row>
    <row r="227" spans="1:11" ht="15" x14ac:dyDescent="0.2">
      <c r="A227" s="92">
        <v>34029</v>
      </c>
      <c r="B227">
        <v>443.38</v>
      </c>
      <c r="C227">
        <v>456.76</v>
      </c>
      <c r="D227">
        <v>441.07</v>
      </c>
      <c r="E227">
        <v>451.67</v>
      </c>
      <c r="F227">
        <v>262875600</v>
      </c>
      <c r="G227">
        <v>451.67</v>
      </c>
      <c r="H227" s="93">
        <f t="shared" si="3"/>
        <v>1.852463452645282E-2</v>
      </c>
    </row>
    <row r="228" spans="1:11" ht="15" x14ac:dyDescent="0.2">
      <c r="A228" s="92">
        <v>34001</v>
      </c>
      <c r="B228">
        <v>438.78</v>
      </c>
      <c r="C228">
        <v>450.04</v>
      </c>
      <c r="D228">
        <v>428.25</v>
      </c>
      <c r="E228">
        <v>443.38</v>
      </c>
      <c r="F228">
        <v>298768900</v>
      </c>
      <c r="G228">
        <v>443.38</v>
      </c>
      <c r="H228" s="93">
        <f t="shared" si="3"/>
        <v>1.0429041654892349E-2</v>
      </c>
    </row>
    <row r="229" spans="1:11" ht="15" x14ac:dyDescent="0.2">
      <c r="A229" s="92">
        <v>33973</v>
      </c>
      <c r="B229">
        <v>435.7</v>
      </c>
      <c r="C229">
        <v>442.66</v>
      </c>
      <c r="D229">
        <v>426.88</v>
      </c>
      <c r="E229">
        <v>438.78</v>
      </c>
      <c r="F229">
        <v>276402500</v>
      </c>
      <c r="G229">
        <v>438.78</v>
      </c>
      <c r="H229" s="93">
        <f t="shared" si="3"/>
        <v>7.0212640787190254E-3</v>
      </c>
      <c r="I229" s="93"/>
    </row>
    <row r="230" spans="1:11" ht="15" x14ac:dyDescent="0.2">
      <c r="A230" s="92">
        <v>33939</v>
      </c>
      <c r="B230">
        <v>431.35</v>
      </c>
      <c r="C230">
        <v>442.65</v>
      </c>
      <c r="D230">
        <v>428.61</v>
      </c>
      <c r="E230">
        <v>435.71</v>
      </c>
      <c r="F230">
        <v>229184500</v>
      </c>
      <c r="G230">
        <v>435.71</v>
      </c>
      <c r="H230" s="93">
        <f t="shared" si="3"/>
        <v>1.0057058909607923E-2</v>
      </c>
      <c r="K230" s="97">
        <f>LN(G218/G230)</f>
        <v>6.8173948974774176E-2</v>
      </c>
    </row>
    <row r="231" spans="1:11" ht="15" x14ac:dyDescent="0.2">
      <c r="A231" s="92">
        <v>33910</v>
      </c>
      <c r="B231">
        <v>418.66</v>
      </c>
      <c r="C231">
        <v>431.93</v>
      </c>
      <c r="D231">
        <v>415.58</v>
      </c>
      <c r="E231">
        <v>431.35</v>
      </c>
      <c r="F231">
        <v>218946000</v>
      </c>
      <c r="G231">
        <v>431.35</v>
      </c>
      <c r="H231" s="93">
        <f t="shared" si="3"/>
        <v>2.9812920535904664E-2</v>
      </c>
    </row>
    <row r="232" spans="1:11" ht="15" x14ac:dyDescent="0.2">
      <c r="A232" s="92">
        <v>33878</v>
      </c>
      <c r="B232">
        <v>417.8</v>
      </c>
      <c r="C232">
        <v>421.16</v>
      </c>
      <c r="D232">
        <v>396.8</v>
      </c>
      <c r="E232">
        <v>418.68</v>
      </c>
      <c r="F232">
        <v>214042700</v>
      </c>
      <c r="G232">
        <v>418.68</v>
      </c>
      <c r="H232" s="93">
        <f t="shared" si="3"/>
        <v>2.1040558642175401E-3</v>
      </c>
    </row>
    <row r="233" spans="1:11" ht="15" x14ac:dyDescent="0.2">
      <c r="A233" s="92">
        <v>33848</v>
      </c>
      <c r="B233">
        <v>414.03</v>
      </c>
      <c r="C233">
        <v>425.27</v>
      </c>
      <c r="D233">
        <v>412.71</v>
      </c>
      <c r="E233">
        <v>417.8</v>
      </c>
      <c r="F233">
        <v>200396100</v>
      </c>
      <c r="G233">
        <v>417.8</v>
      </c>
      <c r="H233" s="93">
        <f t="shared" si="3"/>
        <v>9.0644141544072004E-3</v>
      </c>
    </row>
    <row r="234" spans="1:11" ht="15" x14ac:dyDescent="0.2">
      <c r="A234" s="92">
        <v>33819</v>
      </c>
      <c r="B234">
        <v>424.19</v>
      </c>
      <c r="C234">
        <v>425.14</v>
      </c>
      <c r="D234">
        <v>408.3</v>
      </c>
      <c r="E234">
        <v>414.03</v>
      </c>
      <c r="F234">
        <v>181680900</v>
      </c>
      <c r="G234">
        <v>414.03</v>
      </c>
      <c r="H234" s="93">
        <f t="shared" si="3"/>
        <v>-2.4290180670616498E-2</v>
      </c>
    </row>
    <row r="235" spans="1:11" ht="15" x14ac:dyDescent="0.2">
      <c r="A235" s="92">
        <v>33786</v>
      </c>
      <c r="B235">
        <v>408.2</v>
      </c>
      <c r="C235">
        <v>424.8</v>
      </c>
      <c r="D235">
        <v>407.2</v>
      </c>
      <c r="E235">
        <v>424.21</v>
      </c>
      <c r="F235">
        <v>201733600</v>
      </c>
      <c r="G235">
        <v>424.21</v>
      </c>
      <c r="H235" s="93">
        <f t="shared" si="3"/>
        <v>3.8618362837734996E-2</v>
      </c>
    </row>
    <row r="236" spans="1:11" ht="15" x14ac:dyDescent="0.2">
      <c r="A236" s="92">
        <v>33756</v>
      </c>
      <c r="B236">
        <v>415.35</v>
      </c>
      <c r="C236">
        <v>417.3</v>
      </c>
      <c r="D236">
        <v>399.92</v>
      </c>
      <c r="E236">
        <v>408.14</v>
      </c>
      <c r="F236">
        <v>202516300</v>
      </c>
      <c r="G236">
        <v>408.14</v>
      </c>
      <c r="H236" s="93">
        <f t="shared" si="3"/>
        <v>-1.7511285484140954E-2</v>
      </c>
    </row>
    <row r="237" spans="1:11" ht="15" x14ac:dyDescent="0.2">
      <c r="A237" s="92">
        <v>33725</v>
      </c>
      <c r="B237">
        <v>414.95</v>
      </c>
      <c r="C237">
        <v>418.75</v>
      </c>
      <c r="D237">
        <v>409.85</v>
      </c>
      <c r="E237">
        <v>415.35</v>
      </c>
      <c r="F237">
        <v>192399500</v>
      </c>
      <c r="G237">
        <v>415.35</v>
      </c>
      <c r="H237" s="93">
        <f t="shared" si="3"/>
        <v>9.6350724062356312E-4</v>
      </c>
    </row>
    <row r="238" spans="1:11" ht="15" x14ac:dyDescent="0.2">
      <c r="A238" s="92">
        <v>33695</v>
      </c>
      <c r="B238">
        <v>403.67</v>
      </c>
      <c r="C238">
        <v>416.28</v>
      </c>
      <c r="D238">
        <v>392.41</v>
      </c>
      <c r="E238">
        <v>414.95</v>
      </c>
      <c r="F238">
        <v>216163300</v>
      </c>
      <c r="G238">
        <v>414.95</v>
      </c>
      <c r="H238" s="93">
        <f t="shared" si="3"/>
        <v>2.7510774361822428E-2</v>
      </c>
    </row>
    <row r="239" spans="1:11" ht="15" x14ac:dyDescent="0.2">
      <c r="A239" s="92">
        <v>33665</v>
      </c>
      <c r="B239">
        <v>412.68</v>
      </c>
      <c r="C239">
        <v>413.78</v>
      </c>
      <c r="D239">
        <v>401.94</v>
      </c>
      <c r="E239">
        <v>403.69</v>
      </c>
      <c r="F239">
        <v>193118100</v>
      </c>
      <c r="G239">
        <v>403.69</v>
      </c>
      <c r="H239" s="93">
        <f t="shared" si="3"/>
        <v>-2.2073680075901551E-2</v>
      </c>
    </row>
    <row r="240" spans="1:11" ht="15" x14ac:dyDescent="0.2">
      <c r="A240" s="92">
        <v>33637</v>
      </c>
      <c r="B240">
        <v>408.79</v>
      </c>
      <c r="C240">
        <v>418.08</v>
      </c>
      <c r="D240">
        <v>406.34</v>
      </c>
      <c r="E240">
        <v>412.7</v>
      </c>
      <c r="F240">
        <v>235259400</v>
      </c>
      <c r="G240">
        <v>412.7</v>
      </c>
      <c r="H240" s="93">
        <f t="shared" si="3"/>
        <v>9.5438227449044198E-3</v>
      </c>
    </row>
    <row r="241" spans="1:11" ht="15" x14ac:dyDescent="0.2">
      <c r="A241" s="92">
        <v>33605</v>
      </c>
      <c r="B241">
        <v>417.03</v>
      </c>
      <c r="C241">
        <v>421.18</v>
      </c>
      <c r="D241">
        <v>408.64</v>
      </c>
      <c r="E241">
        <v>408.78</v>
      </c>
      <c r="F241">
        <v>249268100</v>
      </c>
      <c r="G241">
        <v>408.78</v>
      </c>
      <c r="H241" s="93">
        <f t="shared" si="3"/>
        <v>-2.0124911835929814E-2</v>
      </c>
      <c r="I241" s="93"/>
    </row>
    <row r="242" spans="1:11" ht="15" x14ac:dyDescent="0.2">
      <c r="A242" s="92">
        <v>33574</v>
      </c>
      <c r="B242">
        <v>375.11</v>
      </c>
      <c r="C242">
        <v>418.32</v>
      </c>
      <c r="D242">
        <v>371.36</v>
      </c>
      <c r="E242">
        <v>417.09</v>
      </c>
      <c r="F242">
        <v>209637600</v>
      </c>
      <c r="G242">
        <v>417.09</v>
      </c>
      <c r="H242" s="93">
        <f t="shared" si="3"/>
        <v>0.10578950523409669</v>
      </c>
      <c r="K242" s="97">
        <f>LN(G230/G242)</f>
        <v>4.3674858582634285E-2</v>
      </c>
    </row>
    <row r="243" spans="1:11" ht="15" x14ac:dyDescent="0.2">
      <c r="A243" s="92">
        <v>33543</v>
      </c>
      <c r="B243">
        <v>392.46</v>
      </c>
      <c r="C243">
        <v>398.22</v>
      </c>
      <c r="D243">
        <v>371.63</v>
      </c>
      <c r="E243">
        <v>375.22</v>
      </c>
      <c r="F243">
        <v>190722500</v>
      </c>
      <c r="G243">
        <v>375.22</v>
      </c>
      <c r="H243" s="93">
        <f t="shared" si="3"/>
        <v>-4.4896619957357782E-2</v>
      </c>
    </row>
    <row r="244" spans="1:11" ht="15" x14ac:dyDescent="0.2">
      <c r="A244" s="92">
        <v>33512</v>
      </c>
      <c r="B244">
        <v>387.86</v>
      </c>
      <c r="C244">
        <v>393.81</v>
      </c>
      <c r="D244">
        <v>376.11</v>
      </c>
      <c r="E244">
        <v>392.45</v>
      </c>
      <c r="F244">
        <v>185306900</v>
      </c>
      <c r="G244">
        <v>392.45</v>
      </c>
      <c r="H244" s="93">
        <f t="shared" si="3"/>
        <v>1.1764690804727924E-2</v>
      </c>
    </row>
    <row r="245" spans="1:11" ht="15" x14ac:dyDescent="0.2">
      <c r="A245" s="92">
        <v>33484</v>
      </c>
      <c r="B245">
        <v>395.43</v>
      </c>
      <c r="C245">
        <v>397.62</v>
      </c>
      <c r="D245">
        <v>382.77</v>
      </c>
      <c r="E245">
        <v>387.86</v>
      </c>
      <c r="F245">
        <v>170388500</v>
      </c>
      <c r="G245">
        <v>387.86</v>
      </c>
      <c r="H245" s="93">
        <f t="shared" si="3"/>
        <v>-1.9329330624389317E-2</v>
      </c>
    </row>
    <row r="246" spans="1:11" ht="15" x14ac:dyDescent="0.2">
      <c r="A246" s="92">
        <v>33451</v>
      </c>
      <c r="B246">
        <v>387.81</v>
      </c>
      <c r="C246">
        <v>396.82</v>
      </c>
      <c r="D246">
        <v>374.09</v>
      </c>
      <c r="E246">
        <v>395.43</v>
      </c>
      <c r="F246">
        <v>175330000</v>
      </c>
      <c r="G246">
        <v>395.43</v>
      </c>
      <c r="H246" s="93">
        <f t="shared" si="3"/>
        <v>1.9458251428518099E-2</v>
      </c>
    </row>
    <row r="247" spans="1:11" ht="15" x14ac:dyDescent="0.2">
      <c r="A247" s="92">
        <v>33420</v>
      </c>
      <c r="B247">
        <v>371.18</v>
      </c>
      <c r="C247">
        <v>387.81</v>
      </c>
      <c r="D247">
        <v>370.92</v>
      </c>
      <c r="E247">
        <v>387.81</v>
      </c>
      <c r="F247">
        <v>165836300</v>
      </c>
      <c r="G247">
        <v>387.81</v>
      </c>
      <c r="H247" s="93">
        <f t="shared" si="3"/>
        <v>4.3882292478987416E-2</v>
      </c>
    </row>
    <row r="248" spans="1:11" ht="15" x14ac:dyDescent="0.2">
      <c r="A248" s="92">
        <v>33392</v>
      </c>
      <c r="B248">
        <v>389.81</v>
      </c>
      <c r="C248">
        <v>389.81</v>
      </c>
      <c r="D248">
        <v>367.98</v>
      </c>
      <c r="E248">
        <v>371.16</v>
      </c>
      <c r="F248">
        <v>171125000</v>
      </c>
      <c r="G248">
        <v>371.16</v>
      </c>
      <c r="H248" s="93">
        <f t="shared" si="3"/>
        <v>-4.9077510171911871E-2</v>
      </c>
    </row>
    <row r="249" spans="1:11" ht="15" x14ac:dyDescent="0.2">
      <c r="A249" s="92">
        <v>33359</v>
      </c>
      <c r="B249">
        <v>375.35</v>
      </c>
      <c r="C249">
        <v>389.85</v>
      </c>
      <c r="D249">
        <v>365.83</v>
      </c>
      <c r="E249">
        <v>389.83</v>
      </c>
      <c r="F249">
        <v>180533600</v>
      </c>
      <c r="G249">
        <v>389.83</v>
      </c>
      <c r="H249" s="93">
        <f t="shared" si="3"/>
        <v>3.7878464793764027E-2</v>
      </c>
    </row>
    <row r="250" spans="1:11" ht="15" x14ac:dyDescent="0.2">
      <c r="A250" s="92">
        <v>33329</v>
      </c>
      <c r="B250">
        <v>375.22</v>
      </c>
      <c r="C250">
        <v>391.26</v>
      </c>
      <c r="D250">
        <v>370.27</v>
      </c>
      <c r="E250">
        <v>375.34</v>
      </c>
      <c r="F250">
        <v>191974000</v>
      </c>
      <c r="G250">
        <v>375.34</v>
      </c>
      <c r="H250" s="93">
        <f t="shared" si="3"/>
        <v>3.197612476616412E-4</v>
      </c>
    </row>
    <row r="251" spans="1:11" ht="15" x14ac:dyDescent="0.2">
      <c r="A251" s="92">
        <v>33298</v>
      </c>
      <c r="B251">
        <v>367.07</v>
      </c>
      <c r="C251">
        <v>379.66</v>
      </c>
      <c r="D251">
        <v>363.73</v>
      </c>
      <c r="E251">
        <v>375.22</v>
      </c>
      <c r="F251">
        <v>203933500</v>
      </c>
      <c r="G251">
        <v>375.22</v>
      </c>
      <c r="H251" s="93">
        <f t="shared" si="3"/>
        <v>2.1959955053811844E-2</v>
      </c>
    </row>
    <row r="252" spans="1:11" ht="15" x14ac:dyDescent="0.2">
      <c r="A252" s="92">
        <v>33270</v>
      </c>
      <c r="B252">
        <v>343.91</v>
      </c>
      <c r="C252">
        <v>370.96</v>
      </c>
      <c r="D252">
        <v>340.37</v>
      </c>
      <c r="E252">
        <v>367.07</v>
      </c>
      <c r="F252">
        <v>238220000</v>
      </c>
      <c r="G252">
        <v>367.07</v>
      </c>
      <c r="H252" s="93">
        <f t="shared" si="3"/>
        <v>6.5114417266915761E-2</v>
      </c>
    </row>
    <row r="253" spans="1:11" ht="15" x14ac:dyDescent="0.2">
      <c r="A253" s="92">
        <v>33240</v>
      </c>
      <c r="B253">
        <v>330.2</v>
      </c>
      <c r="C253">
        <v>343.93</v>
      </c>
      <c r="D253">
        <v>309.35000000000002</v>
      </c>
      <c r="E253">
        <v>343.93</v>
      </c>
      <c r="F253">
        <v>175670900</v>
      </c>
      <c r="G253">
        <v>343.93</v>
      </c>
      <c r="H253" s="93">
        <f t="shared" si="3"/>
        <v>4.0679049291051018E-2</v>
      </c>
      <c r="I253" s="93"/>
    </row>
    <row r="254" spans="1:11" ht="15" x14ac:dyDescent="0.2">
      <c r="A254" s="92">
        <v>33210</v>
      </c>
      <c r="B254">
        <v>322.23</v>
      </c>
      <c r="C254">
        <v>333.98</v>
      </c>
      <c r="D254">
        <v>321.97000000000003</v>
      </c>
      <c r="E254">
        <v>330.22</v>
      </c>
      <c r="F254">
        <v>161548000</v>
      </c>
      <c r="G254">
        <v>330.22</v>
      </c>
      <c r="H254" s="93">
        <f t="shared" si="3"/>
        <v>2.4524556940845963E-2</v>
      </c>
      <c r="K254" s="97">
        <f>LN(G242/G254)</f>
        <v>0.23354292684587502</v>
      </c>
    </row>
    <row r="255" spans="1:11" ht="15" x14ac:dyDescent="0.2">
      <c r="A255" s="92">
        <v>33178</v>
      </c>
      <c r="B255">
        <v>303.99</v>
      </c>
      <c r="C255">
        <v>323.02</v>
      </c>
      <c r="D255">
        <v>301.61</v>
      </c>
      <c r="E255">
        <v>322.22000000000003</v>
      </c>
      <c r="F255">
        <v>159148500</v>
      </c>
      <c r="G255">
        <v>322.22000000000003</v>
      </c>
      <c r="H255" s="93">
        <f t="shared" si="3"/>
        <v>5.8206840656618929E-2</v>
      </c>
    </row>
    <row r="256" spans="1:11" ht="15" x14ac:dyDescent="0.2">
      <c r="A256" s="92">
        <v>33147</v>
      </c>
      <c r="B256">
        <v>306.10000000000002</v>
      </c>
      <c r="C256">
        <v>319.69</v>
      </c>
      <c r="D256">
        <v>294.51</v>
      </c>
      <c r="E256">
        <v>304</v>
      </c>
      <c r="F256">
        <v>166433000</v>
      </c>
      <c r="G256">
        <v>304</v>
      </c>
      <c r="H256" s="93">
        <f t="shared" si="3"/>
        <v>-6.7207858908572074E-3</v>
      </c>
    </row>
    <row r="257" spans="1:11" ht="15" x14ac:dyDescent="0.2">
      <c r="A257" s="92">
        <v>33120</v>
      </c>
      <c r="B257">
        <v>322.56</v>
      </c>
      <c r="C257">
        <v>326.52999999999997</v>
      </c>
      <c r="D257">
        <v>295.98</v>
      </c>
      <c r="E257">
        <v>306.05</v>
      </c>
      <c r="F257">
        <v>152015200</v>
      </c>
      <c r="G257">
        <v>306.05</v>
      </c>
      <c r="H257" s="93">
        <f t="shared" si="3"/>
        <v>-5.2540678145870282E-2</v>
      </c>
    </row>
    <row r="258" spans="1:11" ht="15" x14ac:dyDescent="0.2">
      <c r="A258" s="92">
        <v>33086</v>
      </c>
      <c r="B258">
        <v>356.15</v>
      </c>
      <c r="C258">
        <v>357.35</v>
      </c>
      <c r="D258">
        <v>306.18</v>
      </c>
      <c r="E258">
        <v>322.56</v>
      </c>
      <c r="F258">
        <v>179009100</v>
      </c>
      <c r="G258">
        <v>322.56</v>
      </c>
      <c r="H258" s="93">
        <f t="shared" ref="H258:H321" si="4">LN(G258/G259)</f>
        <v>-9.9062824981413652E-2</v>
      </c>
    </row>
    <row r="259" spans="1:11" ht="15" x14ac:dyDescent="0.2">
      <c r="A259" s="92">
        <v>33056</v>
      </c>
      <c r="B259">
        <v>358.02</v>
      </c>
      <c r="C259">
        <v>369.78</v>
      </c>
      <c r="D259">
        <v>350.09</v>
      </c>
      <c r="E259">
        <v>356.15</v>
      </c>
      <c r="F259">
        <v>168996100</v>
      </c>
      <c r="G259">
        <v>356.15</v>
      </c>
      <c r="H259" s="93">
        <f t="shared" si="4"/>
        <v>-5.236860337682712E-3</v>
      </c>
    </row>
    <row r="260" spans="1:11" ht="15" x14ac:dyDescent="0.2">
      <c r="A260" s="92">
        <v>33025</v>
      </c>
      <c r="B260">
        <v>361.26</v>
      </c>
      <c r="C260">
        <v>368.78</v>
      </c>
      <c r="D260">
        <v>351.23</v>
      </c>
      <c r="E260">
        <v>358.02</v>
      </c>
      <c r="F260">
        <v>160561400</v>
      </c>
      <c r="G260">
        <v>358.02</v>
      </c>
      <c r="H260" s="93">
        <f t="shared" si="4"/>
        <v>-8.926023810191917E-3</v>
      </c>
    </row>
    <row r="261" spans="1:11" ht="15" x14ac:dyDescent="0.2">
      <c r="A261" s="92">
        <v>32994</v>
      </c>
      <c r="B261">
        <v>330.8</v>
      </c>
      <c r="C261">
        <v>362.26</v>
      </c>
      <c r="D261">
        <v>330.8</v>
      </c>
      <c r="E261">
        <v>361.23</v>
      </c>
      <c r="F261">
        <v>171016800</v>
      </c>
      <c r="G261">
        <v>361.23</v>
      </c>
      <c r="H261" s="93">
        <f t="shared" si="4"/>
        <v>8.8000911422701028E-2</v>
      </c>
    </row>
    <row r="262" spans="1:11" ht="15" x14ac:dyDescent="0.2">
      <c r="A262" s="92">
        <v>32965</v>
      </c>
      <c r="B262">
        <v>339.94</v>
      </c>
      <c r="C262">
        <v>347.3</v>
      </c>
      <c r="D262">
        <v>327.76</v>
      </c>
      <c r="E262">
        <v>330.8</v>
      </c>
      <c r="F262">
        <v>146198500</v>
      </c>
      <c r="G262">
        <v>330.8</v>
      </c>
      <c r="H262" s="93">
        <f t="shared" si="4"/>
        <v>-2.725516829966913E-2</v>
      </c>
    </row>
    <row r="263" spans="1:11" ht="15" x14ac:dyDescent="0.2">
      <c r="A263" s="92">
        <v>32933</v>
      </c>
      <c r="B263">
        <v>331.89</v>
      </c>
      <c r="C263">
        <v>344.49</v>
      </c>
      <c r="D263">
        <v>331.08</v>
      </c>
      <c r="E263">
        <v>339.94</v>
      </c>
      <c r="F263">
        <v>155573600</v>
      </c>
      <c r="G263">
        <v>339.94</v>
      </c>
      <c r="H263" s="93">
        <f t="shared" si="4"/>
        <v>2.3965542734276302E-2</v>
      </c>
    </row>
    <row r="264" spans="1:11" ht="15" x14ac:dyDescent="0.2">
      <c r="A264" s="92">
        <v>32905</v>
      </c>
      <c r="B264">
        <v>329.08</v>
      </c>
      <c r="C264">
        <v>336.09</v>
      </c>
      <c r="D264">
        <v>322.10000000000002</v>
      </c>
      <c r="E264">
        <v>331.89</v>
      </c>
      <c r="F264">
        <v>165598400</v>
      </c>
      <c r="G264">
        <v>331.89</v>
      </c>
      <c r="H264" s="93">
        <f t="shared" si="4"/>
        <v>8.5027064141996317E-3</v>
      </c>
    </row>
    <row r="265" spans="1:11" ht="15" x14ac:dyDescent="0.2">
      <c r="A265" s="92">
        <v>32875</v>
      </c>
      <c r="B265">
        <v>353.4</v>
      </c>
      <c r="C265">
        <v>360.59</v>
      </c>
      <c r="D265">
        <v>319.83</v>
      </c>
      <c r="E265">
        <v>329.08</v>
      </c>
      <c r="F265">
        <v>181041300</v>
      </c>
      <c r="G265">
        <v>329.08</v>
      </c>
      <c r="H265" s="93">
        <f t="shared" si="4"/>
        <v>-7.1299677584866494E-2</v>
      </c>
      <c r="I265" s="93"/>
    </row>
    <row r="266" spans="1:11" ht="15" x14ac:dyDescent="0.2">
      <c r="A266" s="92">
        <v>32843</v>
      </c>
      <c r="B266">
        <v>346.01</v>
      </c>
      <c r="C266">
        <v>354.1</v>
      </c>
      <c r="D266">
        <v>339.63</v>
      </c>
      <c r="E266">
        <v>353.4</v>
      </c>
      <c r="F266">
        <v>167968000</v>
      </c>
      <c r="G266">
        <v>353.4</v>
      </c>
      <c r="H266" s="93">
        <f t="shared" si="4"/>
        <v>2.1190686979638836E-2</v>
      </c>
      <c r="K266" s="97">
        <f>LN(G254/G266)</f>
        <v>-6.7841460881909427E-2</v>
      </c>
    </row>
    <row r="267" spans="1:11" ht="15" x14ac:dyDescent="0.2">
      <c r="A267" s="92">
        <v>32813</v>
      </c>
      <c r="B267">
        <v>340.36</v>
      </c>
      <c r="C267">
        <v>346.5</v>
      </c>
      <c r="D267">
        <v>330.91</v>
      </c>
      <c r="E267">
        <v>345.99</v>
      </c>
      <c r="F267">
        <v>151683800</v>
      </c>
      <c r="G267">
        <v>345.99</v>
      </c>
      <c r="H267" s="93">
        <f t="shared" si="4"/>
        <v>1.640599192460053E-2</v>
      </c>
    </row>
    <row r="268" spans="1:11" ht="15" x14ac:dyDescent="0.2">
      <c r="A268" s="92">
        <v>32783</v>
      </c>
      <c r="B268">
        <v>349.15</v>
      </c>
      <c r="C268">
        <v>360.44</v>
      </c>
      <c r="D268">
        <v>327.12</v>
      </c>
      <c r="E268">
        <v>340.36</v>
      </c>
      <c r="F268">
        <v>190398600</v>
      </c>
      <c r="G268">
        <v>340.36</v>
      </c>
      <c r="H268" s="93">
        <f t="shared" si="4"/>
        <v>-2.5497748310687626E-2</v>
      </c>
    </row>
    <row r="269" spans="1:11" ht="15" x14ac:dyDescent="0.2">
      <c r="A269" s="92">
        <v>32752</v>
      </c>
      <c r="B269">
        <v>351.45</v>
      </c>
      <c r="C269">
        <v>354.13</v>
      </c>
      <c r="D269">
        <v>341.37</v>
      </c>
      <c r="E269">
        <v>349.15</v>
      </c>
      <c r="F269">
        <v>159516000</v>
      </c>
      <c r="G269">
        <v>349.15</v>
      </c>
      <c r="H269" s="93">
        <f t="shared" si="4"/>
        <v>-6.5658243298701386E-3</v>
      </c>
    </row>
    <row r="270" spans="1:11" ht="15" x14ac:dyDescent="0.2">
      <c r="A270" s="92">
        <v>32721</v>
      </c>
      <c r="B270">
        <v>346.08</v>
      </c>
      <c r="C270">
        <v>352.73</v>
      </c>
      <c r="D270">
        <v>339</v>
      </c>
      <c r="E270">
        <v>351.45</v>
      </c>
      <c r="F270">
        <v>177996500</v>
      </c>
      <c r="G270">
        <v>351.45</v>
      </c>
      <c r="H270" s="93">
        <f t="shared" si="4"/>
        <v>1.5397491417165792E-2</v>
      </c>
    </row>
    <row r="271" spans="1:11" ht="15" x14ac:dyDescent="0.2">
      <c r="A271" s="92">
        <v>32692</v>
      </c>
      <c r="B271">
        <v>317.98</v>
      </c>
      <c r="C271">
        <v>346.08</v>
      </c>
      <c r="D271">
        <v>317.26</v>
      </c>
      <c r="E271">
        <v>346.08</v>
      </c>
      <c r="F271">
        <v>170784000</v>
      </c>
      <c r="G271">
        <v>346.08</v>
      </c>
      <c r="H271" s="93">
        <f t="shared" si="4"/>
        <v>8.4681474484185448E-2</v>
      </c>
    </row>
    <row r="272" spans="1:11" ht="15" x14ac:dyDescent="0.2">
      <c r="A272" s="92">
        <v>32660</v>
      </c>
      <c r="B272">
        <v>320.51</v>
      </c>
      <c r="C272">
        <v>329.19</v>
      </c>
      <c r="D272">
        <v>314.38</v>
      </c>
      <c r="E272">
        <v>317.98</v>
      </c>
      <c r="F272">
        <v>188049000</v>
      </c>
      <c r="G272">
        <v>317.98</v>
      </c>
      <c r="H272" s="93">
        <f t="shared" si="4"/>
        <v>-7.9561891893066752E-3</v>
      </c>
    </row>
    <row r="273" spans="1:11" ht="15" x14ac:dyDescent="0.2">
      <c r="A273" s="92">
        <v>32629</v>
      </c>
      <c r="B273">
        <v>309.64</v>
      </c>
      <c r="C273">
        <v>323.06</v>
      </c>
      <c r="D273">
        <v>304.06</v>
      </c>
      <c r="E273">
        <v>320.52</v>
      </c>
      <c r="F273">
        <v>177720400</v>
      </c>
      <c r="G273">
        <v>320.52</v>
      </c>
      <c r="H273" s="93">
        <f t="shared" si="4"/>
        <v>3.4534344573357141E-2</v>
      </c>
    </row>
    <row r="274" spans="1:11" ht="15" x14ac:dyDescent="0.2">
      <c r="A274" s="92">
        <v>32601</v>
      </c>
      <c r="B274">
        <v>294.87</v>
      </c>
      <c r="C274">
        <v>310.45</v>
      </c>
      <c r="D274">
        <v>294.35000000000002</v>
      </c>
      <c r="E274">
        <v>309.64</v>
      </c>
      <c r="F274">
        <v>169782000</v>
      </c>
      <c r="G274">
        <v>309.64</v>
      </c>
      <c r="H274" s="93">
        <f t="shared" si="4"/>
        <v>4.8875751089864888E-2</v>
      </c>
    </row>
    <row r="275" spans="1:11" ht="15" x14ac:dyDescent="0.2">
      <c r="A275" s="92">
        <v>32568</v>
      </c>
      <c r="B275">
        <v>288.86</v>
      </c>
      <c r="C275">
        <v>299.99</v>
      </c>
      <c r="D275">
        <v>286.45999999999998</v>
      </c>
      <c r="E275">
        <v>294.87</v>
      </c>
      <c r="F275">
        <v>167067700</v>
      </c>
      <c r="G275">
        <v>294.87</v>
      </c>
      <c r="H275" s="93">
        <f t="shared" si="4"/>
        <v>2.0592439573627015E-2</v>
      </c>
    </row>
    <row r="276" spans="1:11" ht="15" x14ac:dyDescent="0.2">
      <c r="A276" s="92">
        <v>32540</v>
      </c>
      <c r="B276">
        <v>297.47000000000003</v>
      </c>
      <c r="C276">
        <v>300.57</v>
      </c>
      <c r="D276">
        <v>286.26</v>
      </c>
      <c r="E276">
        <v>288.86</v>
      </c>
      <c r="F276">
        <v>177037300</v>
      </c>
      <c r="G276">
        <v>288.86</v>
      </c>
      <c r="H276" s="93">
        <f t="shared" si="4"/>
        <v>-2.9371237891800857E-2</v>
      </c>
    </row>
    <row r="277" spans="1:11" ht="15" x14ac:dyDescent="0.2">
      <c r="A277" s="92">
        <v>32511</v>
      </c>
      <c r="B277">
        <v>277.72000000000003</v>
      </c>
      <c r="C277">
        <v>297.51</v>
      </c>
      <c r="D277">
        <v>273.81</v>
      </c>
      <c r="E277">
        <v>297.47000000000003</v>
      </c>
      <c r="F277">
        <v>177441400</v>
      </c>
      <c r="G277">
        <v>297.47000000000003</v>
      </c>
      <c r="H277" s="93">
        <f t="shared" si="4"/>
        <v>6.8699967679748813E-2</v>
      </c>
      <c r="I277" s="93"/>
    </row>
    <row r="278" spans="1:11" ht="15" x14ac:dyDescent="0.2">
      <c r="A278" s="92">
        <v>32478</v>
      </c>
      <c r="B278">
        <v>273.68</v>
      </c>
      <c r="C278">
        <v>280.45</v>
      </c>
      <c r="D278">
        <v>270.47000000000003</v>
      </c>
      <c r="E278">
        <v>277.72000000000003</v>
      </c>
      <c r="F278">
        <v>141529000</v>
      </c>
      <c r="G278">
        <v>277.72000000000003</v>
      </c>
      <c r="H278" s="93">
        <f t="shared" si="4"/>
        <v>1.4580795838439433E-2</v>
      </c>
      <c r="K278" s="97">
        <f>LN(G266/G278)</f>
        <v>0.24098714800052315</v>
      </c>
    </row>
    <row r="279" spans="1:11" ht="15" x14ac:dyDescent="0.2">
      <c r="A279" s="92">
        <v>32448</v>
      </c>
      <c r="B279">
        <v>278.97000000000003</v>
      </c>
      <c r="C279">
        <v>280.37</v>
      </c>
      <c r="D279">
        <v>262.85000000000002</v>
      </c>
      <c r="E279">
        <v>273.7</v>
      </c>
      <c r="F279">
        <v>141934700</v>
      </c>
      <c r="G279">
        <v>273.7</v>
      </c>
      <c r="H279" s="93">
        <f t="shared" si="4"/>
        <v>-1.9071633111582321E-2</v>
      </c>
    </row>
    <row r="280" spans="1:11" ht="15" x14ac:dyDescent="0.2">
      <c r="A280" s="92">
        <v>32419</v>
      </c>
      <c r="B280">
        <v>271.89</v>
      </c>
      <c r="C280">
        <v>283.95</v>
      </c>
      <c r="D280">
        <v>268.83999999999997</v>
      </c>
      <c r="E280">
        <v>278.97000000000003</v>
      </c>
      <c r="F280">
        <v>169458000</v>
      </c>
      <c r="G280">
        <v>278.97000000000003</v>
      </c>
      <c r="H280" s="93">
        <f t="shared" si="4"/>
        <v>2.5633119968803644E-2</v>
      </c>
    </row>
    <row r="281" spans="1:11" ht="15" x14ac:dyDescent="0.2">
      <c r="A281" s="92">
        <v>32387</v>
      </c>
      <c r="B281">
        <v>261.52</v>
      </c>
      <c r="C281">
        <v>274.87</v>
      </c>
      <c r="D281">
        <v>256.98</v>
      </c>
      <c r="E281">
        <v>271.91000000000003</v>
      </c>
      <c r="F281">
        <v>154057100</v>
      </c>
      <c r="G281">
        <v>271.91000000000003</v>
      </c>
      <c r="H281" s="93">
        <f t="shared" si="4"/>
        <v>3.8960366773456948E-2</v>
      </c>
    </row>
    <row r="282" spans="1:11" ht="15" x14ac:dyDescent="0.2">
      <c r="A282" s="92">
        <v>32356</v>
      </c>
      <c r="B282">
        <v>272.02999999999997</v>
      </c>
      <c r="C282">
        <v>274.2</v>
      </c>
      <c r="D282">
        <v>256.52999999999997</v>
      </c>
      <c r="E282">
        <v>261.52</v>
      </c>
      <c r="F282">
        <v>150345600</v>
      </c>
      <c r="G282">
        <v>261.52</v>
      </c>
      <c r="H282" s="93">
        <f t="shared" si="4"/>
        <v>-3.9364830588652158E-2</v>
      </c>
    </row>
    <row r="283" spans="1:11" ht="15" x14ac:dyDescent="0.2">
      <c r="A283" s="92">
        <v>32325</v>
      </c>
      <c r="B283">
        <v>273.5</v>
      </c>
      <c r="C283">
        <v>276.36</v>
      </c>
      <c r="D283">
        <v>262.48</v>
      </c>
      <c r="E283">
        <v>272.02</v>
      </c>
      <c r="F283">
        <v>176540500</v>
      </c>
      <c r="G283">
        <v>272.02</v>
      </c>
      <c r="H283" s="93">
        <f t="shared" si="4"/>
        <v>-5.4260288574285954E-3</v>
      </c>
    </row>
    <row r="284" spans="1:11" ht="15" x14ac:dyDescent="0.2">
      <c r="A284" s="92">
        <v>32295</v>
      </c>
      <c r="B284">
        <v>262.16000000000003</v>
      </c>
      <c r="C284">
        <v>276.88</v>
      </c>
      <c r="D284">
        <v>262.10000000000002</v>
      </c>
      <c r="E284">
        <v>273.5</v>
      </c>
      <c r="F284">
        <v>206096300</v>
      </c>
      <c r="G284">
        <v>273.5</v>
      </c>
      <c r="H284" s="93">
        <f t="shared" si="4"/>
        <v>4.234661747147659E-2</v>
      </c>
    </row>
    <row r="285" spans="1:11" ht="15" x14ac:dyDescent="0.2">
      <c r="A285" s="92">
        <v>32265</v>
      </c>
      <c r="B285">
        <v>261.36</v>
      </c>
      <c r="C285">
        <v>263.7</v>
      </c>
      <c r="D285">
        <v>248.85</v>
      </c>
      <c r="E285">
        <v>262.16000000000003</v>
      </c>
      <c r="F285">
        <v>165665700</v>
      </c>
      <c r="G285">
        <v>262.16000000000003</v>
      </c>
      <c r="H285" s="93">
        <f t="shared" si="4"/>
        <v>3.1710278916489078E-3</v>
      </c>
    </row>
    <row r="286" spans="1:11" ht="15" x14ac:dyDescent="0.2">
      <c r="A286" s="92">
        <v>32237</v>
      </c>
      <c r="B286">
        <v>258.89</v>
      </c>
      <c r="C286">
        <v>272.05</v>
      </c>
      <c r="D286">
        <v>254.71</v>
      </c>
      <c r="E286">
        <v>261.33</v>
      </c>
      <c r="F286">
        <v>169819000</v>
      </c>
      <c r="G286">
        <v>261.33</v>
      </c>
      <c r="H286" s="93">
        <f t="shared" si="4"/>
        <v>9.3807154390997839E-3</v>
      </c>
    </row>
    <row r="287" spans="1:11" ht="15" x14ac:dyDescent="0.2">
      <c r="A287" s="92">
        <v>32203</v>
      </c>
      <c r="B287">
        <v>267.82</v>
      </c>
      <c r="C287">
        <v>272.64</v>
      </c>
      <c r="D287">
        <v>256.07</v>
      </c>
      <c r="E287">
        <v>258.89</v>
      </c>
      <c r="F287">
        <v>182297300</v>
      </c>
      <c r="G287">
        <v>258.89</v>
      </c>
      <c r="H287" s="93">
        <f t="shared" si="4"/>
        <v>-3.3911852007609634E-2</v>
      </c>
    </row>
    <row r="288" spans="1:11" ht="15" x14ac:dyDescent="0.2">
      <c r="A288" s="92">
        <v>32174</v>
      </c>
      <c r="B288">
        <v>257.05</v>
      </c>
      <c r="C288">
        <v>267.82</v>
      </c>
      <c r="D288">
        <v>247.82</v>
      </c>
      <c r="E288">
        <v>267.82</v>
      </c>
      <c r="F288">
        <v>196464500</v>
      </c>
      <c r="G288">
        <v>267.82</v>
      </c>
      <c r="H288" s="93">
        <f t="shared" si="4"/>
        <v>4.0966691718283009E-2</v>
      </c>
    </row>
    <row r="289" spans="1:11" ht="15" x14ac:dyDescent="0.2">
      <c r="A289" s="92">
        <v>32146</v>
      </c>
      <c r="B289">
        <v>247.1</v>
      </c>
      <c r="C289">
        <v>261.77999999999997</v>
      </c>
      <c r="D289">
        <v>240.17</v>
      </c>
      <c r="E289">
        <v>257.07</v>
      </c>
      <c r="F289">
        <v>185329000</v>
      </c>
      <c r="G289">
        <v>257.07</v>
      </c>
      <c r="H289" s="93">
        <f t="shared" si="4"/>
        <v>3.9636250521438751E-2</v>
      </c>
      <c r="I289" s="93"/>
    </row>
    <row r="290" spans="1:11" ht="15" x14ac:dyDescent="0.2">
      <c r="A290" s="92">
        <v>32112</v>
      </c>
      <c r="B290">
        <v>230.32</v>
      </c>
      <c r="C290">
        <v>253.35</v>
      </c>
      <c r="D290">
        <v>221.24</v>
      </c>
      <c r="E290">
        <v>247.08</v>
      </c>
      <c r="F290">
        <v>186222200</v>
      </c>
      <c r="G290">
        <v>247.08</v>
      </c>
      <c r="H290" s="93">
        <f t="shared" si="4"/>
        <v>7.0329364001058853E-2</v>
      </c>
      <c r="K290" s="97">
        <f>LN(G278/G290)</f>
        <v>0.11690124105737434</v>
      </c>
    </row>
    <row r="291" spans="1:11" ht="15" x14ac:dyDescent="0.2">
      <c r="A291" s="92">
        <v>32083</v>
      </c>
      <c r="B291">
        <v>251.73</v>
      </c>
      <c r="C291">
        <v>257.20999999999998</v>
      </c>
      <c r="D291">
        <v>225.75</v>
      </c>
      <c r="E291">
        <v>230.3</v>
      </c>
      <c r="F291">
        <v>192922000</v>
      </c>
      <c r="G291">
        <v>230.3</v>
      </c>
      <c r="H291" s="93">
        <f t="shared" si="4"/>
        <v>-8.9212599936206338E-2</v>
      </c>
    </row>
    <row r="292" spans="1:11" ht="15" x14ac:dyDescent="0.2">
      <c r="A292" s="92">
        <v>32051</v>
      </c>
      <c r="B292">
        <v>321.83</v>
      </c>
      <c r="C292">
        <v>328.94</v>
      </c>
      <c r="D292">
        <v>216.46</v>
      </c>
      <c r="E292">
        <v>251.79</v>
      </c>
      <c r="F292">
        <v>290813600</v>
      </c>
      <c r="G292">
        <v>251.79</v>
      </c>
      <c r="H292" s="93">
        <f t="shared" si="4"/>
        <v>-0.24542804905616661</v>
      </c>
    </row>
    <row r="293" spans="1:11" ht="15" x14ac:dyDescent="0.2">
      <c r="A293" s="92">
        <v>32021</v>
      </c>
      <c r="B293">
        <v>329.81</v>
      </c>
      <c r="C293">
        <v>332.18</v>
      </c>
      <c r="D293">
        <v>308.56</v>
      </c>
      <c r="E293">
        <v>321.83</v>
      </c>
      <c r="F293">
        <v>186014200</v>
      </c>
      <c r="G293">
        <v>321.83</v>
      </c>
      <c r="H293" s="93">
        <f t="shared" si="4"/>
        <v>-2.4462954306486141E-2</v>
      </c>
    </row>
    <row r="294" spans="1:11" ht="15" x14ac:dyDescent="0.2">
      <c r="A294" s="92">
        <v>31992</v>
      </c>
      <c r="B294">
        <v>318.62</v>
      </c>
      <c r="C294">
        <v>337.89</v>
      </c>
      <c r="D294">
        <v>314.51</v>
      </c>
      <c r="E294">
        <v>329.8</v>
      </c>
      <c r="F294">
        <v>201342800</v>
      </c>
      <c r="G294">
        <v>329.8</v>
      </c>
      <c r="H294" s="93">
        <f t="shared" si="4"/>
        <v>3.4361706463135709E-2</v>
      </c>
    </row>
    <row r="295" spans="1:11" ht="15" x14ac:dyDescent="0.2">
      <c r="A295" s="92">
        <v>31959</v>
      </c>
      <c r="B295">
        <v>303.99</v>
      </c>
      <c r="C295">
        <v>318.85000000000002</v>
      </c>
      <c r="D295">
        <v>302.52999999999997</v>
      </c>
      <c r="E295">
        <v>318.66000000000003</v>
      </c>
      <c r="F295">
        <v>188559000</v>
      </c>
      <c r="G295">
        <v>318.66000000000003</v>
      </c>
      <c r="H295" s="93">
        <f t="shared" si="4"/>
        <v>4.7097002256141135E-2</v>
      </c>
    </row>
    <row r="296" spans="1:11" ht="15" x14ac:dyDescent="0.2">
      <c r="A296" s="92">
        <v>31929</v>
      </c>
      <c r="B296">
        <v>290.12</v>
      </c>
      <c r="C296">
        <v>310.27</v>
      </c>
      <c r="D296">
        <v>286.93</v>
      </c>
      <c r="E296">
        <v>304</v>
      </c>
      <c r="F296">
        <v>170931800</v>
      </c>
      <c r="G296">
        <v>304</v>
      </c>
      <c r="H296" s="93">
        <f t="shared" si="4"/>
        <v>4.6802010278863354E-2</v>
      </c>
    </row>
    <row r="297" spans="1:11" ht="15" x14ac:dyDescent="0.2">
      <c r="A297" s="92">
        <v>31898</v>
      </c>
      <c r="B297">
        <v>286.99</v>
      </c>
      <c r="C297">
        <v>298.69</v>
      </c>
      <c r="D297">
        <v>277.01</v>
      </c>
      <c r="E297">
        <v>290.10000000000002</v>
      </c>
      <c r="F297">
        <v>178560000</v>
      </c>
      <c r="G297">
        <v>290.10000000000002</v>
      </c>
      <c r="H297" s="93">
        <f t="shared" si="4"/>
        <v>6.0159915909805302E-3</v>
      </c>
    </row>
    <row r="298" spans="1:11" ht="15" x14ac:dyDescent="0.2">
      <c r="A298" s="92">
        <v>31868</v>
      </c>
      <c r="B298">
        <v>291.58999999999997</v>
      </c>
      <c r="C298">
        <v>303.64999999999998</v>
      </c>
      <c r="D298">
        <v>275.67</v>
      </c>
      <c r="E298">
        <v>288.36</v>
      </c>
      <c r="F298">
        <v>195942800</v>
      </c>
      <c r="G298">
        <v>288.36</v>
      </c>
      <c r="H298" s="93">
        <f t="shared" si="4"/>
        <v>-1.1516177337297796E-2</v>
      </c>
    </row>
    <row r="299" spans="1:11" ht="15" x14ac:dyDescent="0.2">
      <c r="A299" s="92">
        <v>31838</v>
      </c>
      <c r="B299">
        <v>284.17</v>
      </c>
      <c r="C299">
        <v>302.72000000000003</v>
      </c>
      <c r="D299">
        <v>282.3</v>
      </c>
      <c r="E299">
        <v>291.7</v>
      </c>
      <c r="F299">
        <v>188040900</v>
      </c>
      <c r="G299">
        <v>291.7</v>
      </c>
      <c r="H299" s="93">
        <f t="shared" si="4"/>
        <v>2.6047661210675557E-2</v>
      </c>
    </row>
    <row r="300" spans="1:11" ht="15" x14ac:dyDescent="0.2">
      <c r="A300" s="92">
        <v>31810</v>
      </c>
      <c r="B300">
        <v>274.08</v>
      </c>
      <c r="C300">
        <v>287.55</v>
      </c>
      <c r="D300">
        <v>273.16000000000003</v>
      </c>
      <c r="E300">
        <v>284.2</v>
      </c>
      <c r="F300">
        <v>190952600</v>
      </c>
      <c r="G300">
        <v>284.2</v>
      </c>
      <c r="H300" s="93">
        <f t="shared" si="4"/>
        <v>3.6258181087190464E-2</v>
      </c>
    </row>
    <row r="301" spans="1:11" ht="15" x14ac:dyDescent="0.2">
      <c r="A301" s="92">
        <v>31779</v>
      </c>
      <c r="B301">
        <v>242.17</v>
      </c>
      <c r="C301">
        <v>280.95999999999998</v>
      </c>
      <c r="D301">
        <v>242.17</v>
      </c>
      <c r="E301">
        <v>274.08</v>
      </c>
      <c r="F301">
        <v>200203800</v>
      </c>
      <c r="G301">
        <v>274.08</v>
      </c>
      <c r="H301" s="93">
        <f t="shared" si="4"/>
        <v>0.12378007570339945</v>
      </c>
      <c r="I301" s="93"/>
    </row>
    <row r="302" spans="1:11" ht="15" x14ac:dyDescent="0.2">
      <c r="A302" s="92">
        <v>31747</v>
      </c>
      <c r="B302">
        <v>249.22</v>
      </c>
      <c r="C302">
        <v>254.87</v>
      </c>
      <c r="D302">
        <v>241.28</v>
      </c>
      <c r="E302">
        <v>242.17</v>
      </c>
      <c r="F302">
        <v>154548600</v>
      </c>
      <c r="G302">
        <v>242.17</v>
      </c>
      <c r="H302" s="93">
        <f t="shared" si="4"/>
        <v>-2.8696081642311289E-2</v>
      </c>
      <c r="K302" s="97">
        <f>LN(G290/G302)</f>
        <v>2.0072211955288202E-2</v>
      </c>
    </row>
    <row r="303" spans="1:11" ht="15" x14ac:dyDescent="0.2">
      <c r="A303" s="92">
        <v>31719</v>
      </c>
      <c r="B303">
        <v>243.97</v>
      </c>
      <c r="C303">
        <v>249.22</v>
      </c>
      <c r="D303">
        <v>235.51</v>
      </c>
      <c r="E303">
        <v>249.22</v>
      </c>
      <c r="F303">
        <v>159703100</v>
      </c>
      <c r="G303">
        <v>249.22</v>
      </c>
      <c r="H303" s="93">
        <f t="shared" si="4"/>
        <v>2.124978579413014E-2</v>
      </c>
    </row>
    <row r="304" spans="1:11" ht="15" x14ac:dyDescent="0.2">
      <c r="A304" s="92">
        <v>31686</v>
      </c>
      <c r="B304">
        <v>231.32</v>
      </c>
      <c r="C304">
        <v>244.51</v>
      </c>
      <c r="D304">
        <v>231.32</v>
      </c>
      <c r="E304">
        <v>243.98</v>
      </c>
      <c r="F304">
        <v>137562600</v>
      </c>
      <c r="G304">
        <v>243.98</v>
      </c>
      <c r="H304" s="93">
        <f t="shared" si="4"/>
        <v>5.3284221430574034E-2</v>
      </c>
    </row>
    <row r="305" spans="1:11" ht="15" x14ac:dyDescent="0.2">
      <c r="A305" s="92">
        <v>31657</v>
      </c>
      <c r="B305">
        <v>252.93</v>
      </c>
      <c r="C305">
        <v>254.13</v>
      </c>
      <c r="D305">
        <v>228.08</v>
      </c>
      <c r="E305">
        <v>231.32</v>
      </c>
      <c r="F305">
        <v>156723800</v>
      </c>
      <c r="G305">
        <v>231.32</v>
      </c>
      <c r="H305" s="93">
        <f t="shared" si="4"/>
        <v>-8.9310737312676566E-2</v>
      </c>
    </row>
    <row r="306" spans="1:11" ht="15" x14ac:dyDescent="0.2">
      <c r="A306" s="92">
        <v>31625</v>
      </c>
      <c r="B306">
        <v>236.12</v>
      </c>
      <c r="C306">
        <v>254.24</v>
      </c>
      <c r="D306">
        <v>231.92</v>
      </c>
      <c r="E306">
        <v>252.93</v>
      </c>
      <c r="F306">
        <v>134628500</v>
      </c>
      <c r="G306">
        <v>252.93</v>
      </c>
      <c r="H306" s="93">
        <f t="shared" si="4"/>
        <v>6.8772620230205417E-2</v>
      </c>
    </row>
    <row r="307" spans="1:11" ht="15" x14ac:dyDescent="0.2">
      <c r="A307" s="92">
        <v>31594</v>
      </c>
      <c r="B307">
        <v>250.67</v>
      </c>
      <c r="C307">
        <v>253.2</v>
      </c>
      <c r="D307">
        <v>233.07</v>
      </c>
      <c r="E307">
        <v>236.12</v>
      </c>
      <c r="F307">
        <v>142845400</v>
      </c>
      <c r="G307">
        <v>236.12</v>
      </c>
      <c r="H307" s="93">
        <f t="shared" si="4"/>
        <v>-6.0475135302331479E-2</v>
      </c>
    </row>
    <row r="308" spans="1:11" ht="15" x14ac:dyDescent="0.2">
      <c r="A308" s="92">
        <v>31565</v>
      </c>
      <c r="B308">
        <v>246.04</v>
      </c>
      <c r="C308">
        <v>251.81</v>
      </c>
      <c r="D308">
        <v>238.23</v>
      </c>
      <c r="E308">
        <v>250.84</v>
      </c>
      <c r="F308">
        <v>132604700</v>
      </c>
      <c r="G308">
        <v>250.84</v>
      </c>
      <c r="H308" s="93">
        <f t="shared" si="4"/>
        <v>1.4010948001102428E-2</v>
      </c>
    </row>
    <row r="309" spans="1:11" ht="15" x14ac:dyDescent="0.2">
      <c r="A309" s="92">
        <v>31533</v>
      </c>
      <c r="B309">
        <v>235.52</v>
      </c>
      <c r="C309">
        <v>249.19</v>
      </c>
      <c r="D309">
        <v>232.26</v>
      </c>
      <c r="E309">
        <v>247.35</v>
      </c>
      <c r="F309">
        <v>134830400</v>
      </c>
      <c r="G309">
        <v>247.35</v>
      </c>
      <c r="H309" s="93">
        <f t="shared" si="4"/>
        <v>4.9008502133206053E-2</v>
      </c>
    </row>
    <row r="310" spans="1:11" ht="15" x14ac:dyDescent="0.2">
      <c r="A310" s="92">
        <v>31503</v>
      </c>
      <c r="B310">
        <v>238.9</v>
      </c>
      <c r="C310">
        <v>245.47</v>
      </c>
      <c r="D310">
        <v>226.3</v>
      </c>
      <c r="E310">
        <v>235.52</v>
      </c>
      <c r="F310">
        <v>153995400</v>
      </c>
      <c r="G310">
        <v>235.52</v>
      </c>
      <c r="H310" s="93">
        <f t="shared" si="4"/>
        <v>-1.4249218791252374E-2</v>
      </c>
    </row>
    <row r="311" spans="1:11" ht="15" x14ac:dyDescent="0.2">
      <c r="A311" s="92">
        <v>31474</v>
      </c>
      <c r="B311">
        <v>226.92</v>
      </c>
      <c r="C311">
        <v>240.11</v>
      </c>
      <c r="D311">
        <v>222.18</v>
      </c>
      <c r="E311">
        <v>238.9</v>
      </c>
      <c r="F311">
        <v>167450000</v>
      </c>
      <c r="G311">
        <v>238.9</v>
      </c>
      <c r="H311" s="93">
        <f t="shared" si="4"/>
        <v>5.1447521873397468E-2</v>
      </c>
    </row>
    <row r="312" spans="1:11" ht="15" x14ac:dyDescent="0.2">
      <c r="A312" s="92">
        <v>31446</v>
      </c>
      <c r="B312">
        <v>211.78</v>
      </c>
      <c r="C312">
        <v>227.92</v>
      </c>
      <c r="D312">
        <v>210.82</v>
      </c>
      <c r="E312">
        <v>226.92</v>
      </c>
      <c r="F312">
        <v>162673600</v>
      </c>
      <c r="G312">
        <v>226.92</v>
      </c>
      <c r="H312" s="93">
        <f t="shared" si="4"/>
        <v>6.9049532456057994E-2</v>
      </c>
    </row>
    <row r="313" spans="1:11" ht="15" x14ac:dyDescent="0.2">
      <c r="A313" s="92">
        <v>31414</v>
      </c>
      <c r="B313">
        <v>211.28</v>
      </c>
      <c r="C313">
        <v>214.57</v>
      </c>
      <c r="D313">
        <v>202.6</v>
      </c>
      <c r="E313">
        <v>211.78</v>
      </c>
      <c r="F313">
        <v>137386800</v>
      </c>
      <c r="G313">
        <v>211.78</v>
      </c>
      <c r="H313" s="93">
        <f t="shared" si="4"/>
        <v>2.3637320134316047E-3</v>
      </c>
      <c r="I313" s="93"/>
    </row>
    <row r="314" spans="1:11" ht="15" x14ac:dyDescent="0.2">
      <c r="A314" s="92">
        <v>31383</v>
      </c>
      <c r="B314">
        <v>202.17</v>
      </c>
      <c r="C314">
        <v>213.08</v>
      </c>
      <c r="D314">
        <v>200.1</v>
      </c>
      <c r="E314">
        <v>211.28</v>
      </c>
      <c r="F314">
        <v>138908500</v>
      </c>
      <c r="G314">
        <v>211.28</v>
      </c>
      <c r="H314" s="93">
        <f t="shared" si="4"/>
        <v>4.4075340362641491E-2</v>
      </c>
      <c r="K314" s="97">
        <f>LN(G302/G314)</f>
        <v>0.13645569088353351</v>
      </c>
    </row>
    <row r="315" spans="1:11" ht="15" x14ac:dyDescent="0.2">
      <c r="A315" s="92">
        <v>31352</v>
      </c>
      <c r="B315">
        <v>189.82</v>
      </c>
      <c r="C315">
        <v>203.4</v>
      </c>
      <c r="D315">
        <v>189.37</v>
      </c>
      <c r="E315">
        <v>202.17</v>
      </c>
      <c r="F315">
        <v>126471500</v>
      </c>
      <c r="G315">
        <v>202.17</v>
      </c>
      <c r="H315" s="93">
        <f t="shared" si="4"/>
        <v>6.3032672923889199E-2</v>
      </c>
    </row>
    <row r="316" spans="1:11" ht="15" x14ac:dyDescent="0.2">
      <c r="A316" s="92">
        <v>31321</v>
      </c>
      <c r="B316">
        <v>182.06</v>
      </c>
      <c r="C316">
        <v>190.15</v>
      </c>
      <c r="D316">
        <v>181.16</v>
      </c>
      <c r="E316">
        <v>189.82</v>
      </c>
      <c r="F316">
        <v>115858200</v>
      </c>
      <c r="G316">
        <v>189.82</v>
      </c>
      <c r="H316" s="93">
        <f t="shared" si="4"/>
        <v>4.1630103764379922E-2</v>
      </c>
    </row>
    <row r="317" spans="1:11" ht="15" x14ac:dyDescent="0.2">
      <c r="A317" s="92">
        <v>31293</v>
      </c>
      <c r="B317">
        <v>188.63</v>
      </c>
      <c r="C317">
        <v>188.8</v>
      </c>
      <c r="D317">
        <v>179.45</v>
      </c>
      <c r="E317">
        <v>182.08</v>
      </c>
      <c r="F317">
        <v>103355700</v>
      </c>
      <c r="G317">
        <v>182.08</v>
      </c>
      <c r="H317" s="93">
        <f t="shared" si="4"/>
        <v>-3.5341273419667057E-2</v>
      </c>
    </row>
    <row r="318" spans="1:11" ht="15" x14ac:dyDescent="0.2">
      <c r="A318" s="92">
        <v>31260</v>
      </c>
      <c r="B318">
        <v>190.92</v>
      </c>
      <c r="C318">
        <v>192.17</v>
      </c>
      <c r="D318">
        <v>186.1</v>
      </c>
      <c r="E318">
        <v>188.63</v>
      </c>
      <c r="F318">
        <v>91128100</v>
      </c>
      <c r="G318">
        <v>188.63</v>
      </c>
      <c r="H318" s="93">
        <f t="shared" si="4"/>
        <v>-1.2067067780062529E-2</v>
      </c>
    </row>
    <row r="319" spans="1:11" ht="15" x14ac:dyDescent="0.2">
      <c r="A319" s="92">
        <v>31229</v>
      </c>
      <c r="B319">
        <v>191.85</v>
      </c>
      <c r="C319">
        <v>196.07</v>
      </c>
      <c r="D319">
        <v>189.3</v>
      </c>
      <c r="E319">
        <v>190.92</v>
      </c>
      <c r="F319">
        <v>117603100</v>
      </c>
      <c r="G319">
        <v>190.92</v>
      </c>
      <c r="H319" s="93">
        <f t="shared" si="4"/>
        <v>-4.85932455526558E-3</v>
      </c>
    </row>
    <row r="320" spans="1:11" ht="15" x14ac:dyDescent="0.2">
      <c r="A320" s="92">
        <v>31201</v>
      </c>
      <c r="B320">
        <v>189.55</v>
      </c>
      <c r="C320">
        <v>191.85</v>
      </c>
      <c r="D320">
        <v>185.03</v>
      </c>
      <c r="E320">
        <v>191.85</v>
      </c>
      <c r="F320">
        <v>111110000</v>
      </c>
      <c r="G320">
        <v>191.85</v>
      </c>
      <c r="H320" s="93">
        <f t="shared" si="4"/>
        <v>1.2060974730617525E-2</v>
      </c>
    </row>
    <row r="321" spans="1:11" ht="15" x14ac:dyDescent="0.2">
      <c r="A321" s="92">
        <v>31168</v>
      </c>
      <c r="B321">
        <v>179.83</v>
      </c>
      <c r="C321">
        <v>189.98</v>
      </c>
      <c r="D321">
        <v>178.35</v>
      </c>
      <c r="E321">
        <v>189.55</v>
      </c>
      <c r="F321">
        <v>112929000</v>
      </c>
      <c r="G321">
        <v>189.55</v>
      </c>
      <c r="H321" s="93">
        <f t="shared" si="4"/>
        <v>5.2640881785238229E-2</v>
      </c>
    </row>
    <row r="322" spans="1:11" ht="15" x14ac:dyDescent="0.2">
      <c r="A322" s="92">
        <v>31138</v>
      </c>
      <c r="B322">
        <v>180.66</v>
      </c>
      <c r="C322">
        <v>183.61</v>
      </c>
      <c r="D322">
        <v>177.86</v>
      </c>
      <c r="E322">
        <v>179.83</v>
      </c>
      <c r="F322">
        <v>99699000</v>
      </c>
      <c r="G322">
        <v>179.83</v>
      </c>
      <c r="H322" s="93">
        <f t="shared" ref="H322:H385" si="5">LN(G322/G323)</f>
        <v>-4.6048515445918188E-3</v>
      </c>
    </row>
    <row r="323" spans="1:11" ht="15" x14ac:dyDescent="0.2">
      <c r="A323" s="92">
        <v>31107</v>
      </c>
      <c r="B323">
        <v>181.18</v>
      </c>
      <c r="C323">
        <v>183.89</v>
      </c>
      <c r="D323">
        <v>176.53</v>
      </c>
      <c r="E323">
        <v>180.66</v>
      </c>
      <c r="F323">
        <v>107356600</v>
      </c>
      <c r="G323">
        <v>180.66</v>
      </c>
      <c r="H323" s="93">
        <f t="shared" si="5"/>
        <v>-2.874200519444346E-3</v>
      </c>
    </row>
    <row r="324" spans="1:11" ht="15" x14ac:dyDescent="0.2">
      <c r="A324" s="92">
        <v>31079</v>
      </c>
      <c r="B324">
        <v>179.63</v>
      </c>
      <c r="C324">
        <v>183.95</v>
      </c>
      <c r="D324">
        <v>177.75</v>
      </c>
      <c r="E324">
        <v>181.18</v>
      </c>
      <c r="F324">
        <v>120806300</v>
      </c>
      <c r="G324">
        <v>181.18</v>
      </c>
      <c r="H324" s="93">
        <f t="shared" si="5"/>
        <v>8.591832460397528E-3</v>
      </c>
    </row>
    <row r="325" spans="1:11" ht="15" x14ac:dyDescent="0.2">
      <c r="A325" s="92">
        <v>31049</v>
      </c>
      <c r="B325">
        <v>167.2</v>
      </c>
      <c r="C325">
        <v>180.27</v>
      </c>
      <c r="D325">
        <v>163.36000000000001</v>
      </c>
      <c r="E325">
        <v>179.63</v>
      </c>
      <c r="F325">
        <v>127555000</v>
      </c>
      <c r="G325">
        <v>179.63</v>
      </c>
      <c r="H325" s="93">
        <f t="shared" si="5"/>
        <v>7.1469273292379884E-2</v>
      </c>
      <c r="I325" s="93"/>
    </row>
    <row r="326" spans="1:11" ht="15" x14ac:dyDescent="0.2">
      <c r="A326" s="92">
        <v>31019</v>
      </c>
      <c r="B326">
        <v>163.58000000000001</v>
      </c>
      <c r="C326">
        <v>169.03</v>
      </c>
      <c r="D326">
        <v>161.54</v>
      </c>
      <c r="E326">
        <v>167.24</v>
      </c>
      <c r="F326">
        <v>93063000</v>
      </c>
      <c r="G326">
        <v>167.24</v>
      </c>
      <c r="H326" s="93">
        <f t="shared" si="5"/>
        <v>2.2127739181536214E-2</v>
      </c>
      <c r="K326" s="97">
        <f>LN(G314/G326)</f>
        <v>0.23375436150051249</v>
      </c>
    </row>
    <row r="327" spans="1:11" ht="15" x14ac:dyDescent="0.2">
      <c r="A327" s="92">
        <v>30987</v>
      </c>
      <c r="B327">
        <v>166.09</v>
      </c>
      <c r="C327">
        <v>170.41</v>
      </c>
      <c r="D327">
        <v>162.99</v>
      </c>
      <c r="E327">
        <v>163.58000000000001</v>
      </c>
      <c r="F327">
        <v>87374200</v>
      </c>
      <c r="G327">
        <v>163.58000000000001</v>
      </c>
      <c r="H327" s="93">
        <f t="shared" si="5"/>
        <v>-1.5227642804079362E-2</v>
      </c>
    </row>
    <row r="328" spans="1:11" ht="15" x14ac:dyDescent="0.2">
      <c r="A328" s="92">
        <v>30956</v>
      </c>
      <c r="B328">
        <v>166.1</v>
      </c>
      <c r="C328">
        <v>169.62</v>
      </c>
      <c r="D328">
        <v>160.02000000000001</v>
      </c>
      <c r="E328">
        <v>166.09</v>
      </c>
      <c r="F328">
        <v>95744300</v>
      </c>
      <c r="G328">
        <v>166.09</v>
      </c>
      <c r="H328" s="93">
        <f t="shared" si="5"/>
        <v>-6.0206508341688133E-5</v>
      </c>
    </row>
    <row r="329" spans="1:11" ht="15" x14ac:dyDescent="0.2">
      <c r="A329" s="92">
        <v>30929</v>
      </c>
      <c r="B329">
        <v>166.68</v>
      </c>
      <c r="C329">
        <v>169.65</v>
      </c>
      <c r="D329">
        <v>163.06</v>
      </c>
      <c r="E329">
        <v>166.1</v>
      </c>
      <c r="F329">
        <v>97242600</v>
      </c>
      <c r="G329">
        <v>166.1</v>
      </c>
      <c r="H329" s="93">
        <f t="shared" si="5"/>
        <v>-3.4857899350035828E-3</v>
      </c>
    </row>
    <row r="330" spans="1:11" ht="15" x14ac:dyDescent="0.2">
      <c r="A330" s="92">
        <v>30895</v>
      </c>
      <c r="B330">
        <v>150.66</v>
      </c>
      <c r="C330">
        <v>168.8</v>
      </c>
      <c r="D330">
        <v>150.66</v>
      </c>
      <c r="E330">
        <v>166.68</v>
      </c>
      <c r="F330">
        <v>112364300</v>
      </c>
      <c r="G330">
        <v>166.68</v>
      </c>
      <c r="H330" s="93">
        <f t="shared" si="5"/>
        <v>0.10105016415670413</v>
      </c>
    </row>
    <row r="331" spans="1:11" ht="15" x14ac:dyDescent="0.2">
      <c r="A331" s="92">
        <v>30865</v>
      </c>
      <c r="B331">
        <v>153.16</v>
      </c>
      <c r="C331">
        <v>153.87</v>
      </c>
      <c r="D331">
        <v>147.26</v>
      </c>
      <c r="E331">
        <v>150.66</v>
      </c>
      <c r="F331">
        <v>83290900</v>
      </c>
      <c r="G331">
        <v>150.66</v>
      </c>
      <c r="H331" s="93">
        <f t="shared" si="5"/>
        <v>-1.6588058083898842E-2</v>
      </c>
    </row>
    <row r="332" spans="1:11" ht="15" x14ac:dyDescent="0.2">
      <c r="A332" s="92">
        <v>30834</v>
      </c>
      <c r="B332">
        <v>150.55000000000001</v>
      </c>
      <c r="C332">
        <v>155.63999999999999</v>
      </c>
      <c r="D332">
        <v>148.53</v>
      </c>
      <c r="E332">
        <v>153.18</v>
      </c>
      <c r="F332">
        <v>90649500</v>
      </c>
      <c r="G332">
        <v>153.18</v>
      </c>
      <c r="H332" s="93">
        <f t="shared" si="5"/>
        <v>1.7318445553704525E-2</v>
      </c>
    </row>
    <row r="333" spans="1:11" ht="15" x14ac:dyDescent="0.2">
      <c r="A333" s="92">
        <v>30803</v>
      </c>
      <c r="B333">
        <v>160.05000000000001</v>
      </c>
      <c r="C333">
        <v>162.11000000000001</v>
      </c>
      <c r="D333">
        <v>148.68</v>
      </c>
      <c r="E333">
        <v>150.55000000000001</v>
      </c>
      <c r="F333">
        <v>91883600</v>
      </c>
      <c r="G333">
        <v>150.55000000000001</v>
      </c>
      <c r="H333" s="93">
        <f t="shared" si="5"/>
        <v>-6.1191011488129228E-2</v>
      </c>
    </row>
    <row r="334" spans="1:11" ht="15" x14ac:dyDescent="0.2">
      <c r="A334" s="92">
        <v>30774</v>
      </c>
      <c r="B334">
        <v>159.18</v>
      </c>
      <c r="C334">
        <v>160.69</v>
      </c>
      <c r="D334">
        <v>154.12</v>
      </c>
      <c r="E334">
        <v>160.05000000000001</v>
      </c>
      <c r="F334">
        <v>89513500</v>
      </c>
      <c r="G334">
        <v>160.05000000000001</v>
      </c>
      <c r="H334" s="93">
        <f t="shared" si="5"/>
        <v>5.4506290381688156E-3</v>
      </c>
    </row>
    <row r="335" spans="1:11" ht="15" x14ac:dyDescent="0.2">
      <c r="A335" s="92">
        <v>30742</v>
      </c>
      <c r="B335">
        <v>157.06</v>
      </c>
      <c r="C335">
        <v>160.46</v>
      </c>
      <c r="D335">
        <v>153.77000000000001</v>
      </c>
      <c r="E335">
        <v>159.18</v>
      </c>
      <c r="F335">
        <v>87568600</v>
      </c>
      <c r="G335">
        <v>159.18</v>
      </c>
      <c r="H335" s="93">
        <f t="shared" si="5"/>
        <v>1.3407739430974706E-2</v>
      </c>
    </row>
    <row r="336" spans="1:11" ht="15" x14ac:dyDescent="0.2">
      <c r="A336" s="92">
        <v>30713</v>
      </c>
      <c r="B336">
        <v>163.41</v>
      </c>
      <c r="C336">
        <v>164</v>
      </c>
      <c r="D336">
        <v>152.13</v>
      </c>
      <c r="E336">
        <v>157.06</v>
      </c>
      <c r="F336">
        <v>101281000</v>
      </c>
      <c r="G336">
        <v>157.06</v>
      </c>
      <c r="H336" s="93">
        <f t="shared" si="5"/>
        <v>-3.9634482116964138E-2</v>
      </c>
    </row>
    <row r="337" spans="1:11" ht="15" x14ac:dyDescent="0.2">
      <c r="A337" s="92">
        <v>30684</v>
      </c>
      <c r="B337">
        <v>164.93</v>
      </c>
      <c r="C337">
        <v>169.54</v>
      </c>
      <c r="D337">
        <v>162.03</v>
      </c>
      <c r="E337">
        <v>163.41</v>
      </c>
      <c r="F337">
        <v>110912800</v>
      </c>
      <c r="G337">
        <v>163.41</v>
      </c>
      <c r="H337" s="93">
        <f t="shared" si="5"/>
        <v>-9.258761396368111E-3</v>
      </c>
      <c r="I337" s="93"/>
    </row>
    <row r="338" spans="1:11" ht="15" x14ac:dyDescent="0.2">
      <c r="A338" s="92">
        <v>30651</v>
      </c>
      <c r="B338">
        <v>166.37</v>
      </c>
      <c r="C338">
        <v>166.77</v>
      </c>
      <c r="D338">
        <v>161.58000000000001</v>
      </c>
      <c r="E338">
        <v>164.93</v>
      </c>
      <c r="F338">
        <v>91461900</v>
      </c>
      <c r="G338">
        <v>164.93</v>
      </c>
      <c r="H338" s="93">
        <f t="shared" si="5"/>
        <v>-8.873386927047356E-3</v>
      </c>
      <c r="K338" s="97">
        <f>LN(G326/G338)</f>
        <v>1.3908765028303472E-2</v>
      </c>
    </row>
    <row r="339" spans="1:11" ht="15" x14ac:dyDescent="0.2">
      <c r="A339" s="92">
        <v>30621</v>
      </c>
      <c r="B339">
        <v>163.55000000000001</v>
      </c>
      <c r="C339">
        <v>168.07</v>
      </c>
      <c r="D339">
        <v>161.63</v>
      </c>
      <c r="E339">
        <v>166.4</v>
      </c>
      <c r="F339">
        <v>92130400</v>
      </c>
      <c r="G339">
        <v>166.4</v>
      </c>
      <c r="H339" s="93">
        <f t="shared" si="5"/>
        <v>1.7275774402715219E-2</v>
      </c>
    </row>
    <row r="340" spans="1:11" ht="15" x14ac:dyDescent="0.2">
      <c r="A340" s="92">
        <v>30592</v>
      </c>
      <c r="B340">
        <v>165.99</v>
      </c>
      <c r="C340">
        <v>172.65</v>
      </c>
      <c r="D340">
        <v>162.86000000000001</v>
      </c>
      <c r="E340">
        <v>163.55000000000001</v>
      </c>
      <c r="F340">
        <v>89241900</v>
      </c>
      <c r="G340">
        <v>163.55000000000001</v>
      </c>
      <c r="H340" s="93">
        <f t="shared" si="5"/>
        <v>-1.5290632234268693E-2</v>
      </c>
    </row>
    <row r="341" spans="1:11" ht="15" x14ac:dyDescent="0.2">
      <c r="A341" s="92">
        <v>30560</v>
      </c>
      <c r="B341">
        <v>164.4</v>
      </c>
      <c r="C341">
        <v>170.41</v>
      </c>
      <c r="D341">
        <v>163.95</v>
      </c>
      <c r="E341">
        <v>166.07</v>
      </c>
      <c r="F341">
        <v>86222300</v>
      </c>
      <c r="G341">
        <v>166.07</v>
      </c>
      <c r="H341" s="93">
        <f t="shared" si="5"/>
        <v>1.0106903596582019E-2</v>
      </c>
    </row>
    <row r="342" spans="1:11" ht="15" x14ac:dyDescent="0.2">
      <c r="A342" s="92">
        <v>30529</v>
      </c>
      <c r="B342">
        <v>162.34</v>
      </c>
      <c r="C342">
        <v>165.91</v>
      </c>
      <c r="D342">
        <v>158.5</v>
      </c>
      <c r="E342">
        <v>164.4</v>
      </c>
      <c r="F342">
        <v>77705600</v>
      </c>
      <c r="G342">
        <v>164.4</v>
      </c>
      <c r="H342" s="93">
        <f t="shared" si="5"/>
        <v>1.1255318231962561E-2</v>
      </c>
    </row>
    <row r="343" spans="1:11" ht="15" x14ac:dyDescent="0.2">
      <c r="A343" s="92">
        <v>30498</v>
      </c>
      <c r="B343">
        <v>168.11</v>
      </c>
      <c r="C343">
        <v>170.72</v>
      </c>
      <c r="D343">
        <v>161.5</v>
      </c>
      <c r="E343">
        <v>162.56</v>
      </c>
      <c r="F343">
        <v>84270500</v>
      </c>
      <c r="G343">
        <v>162.56</v>
      </c>
      <c r="H343" s="93">
        <f t="shared" si="5"/>
        <v>-3.0771658666753545E-2</v>
      </c>
    </row>
    <row r="344" spans="1:11" ht="15" x14ac:dyDescent="0.2">
      <c r="A344" s="92">
        <v>30468</v>
      </c>
      <c r="B344">
        <v>162.38</v>
      </c>
      <c r="C344">
        <v>171.6</v>
      </c>
      <c r="D344">
        <v>160.80000000000001</v>
      </c>
      <c r="E344">
        <v>167.64</v>
      </c>
      <c r="F344">
        <v>93189500</v>
      </c>
      <c r="G344">
        <v>167.64</v>
      </c>
      <c r="H344" s="93">
        <f t="shared" si="5"/>
        <v>3.1817973579874613E-2</v>
      </c>
    </row>
    <row r="345" spans="1:11" ht="15" x14ac:dyDescent="0.2">
      <c r="A345" s="92">
        <v>30438</v>
      </c>
      <c r="B345">
        <v>164.41</v>
      </c>
      <c r="C345">
        <v>166.99</v>
      </c>
      <c r="D345">
        <v>160.29</v>
      </c>
      <c r="E345">
        <v>162.38999999999999</v>
      </c>
      <c r="F345">
        <v>96525700</v>
      </c>
      <c r="G345">
        <v>162.38999999999999</v>
      </c>
      <c r="H345" s="93">
        <f t="shared" si="5"/>
        <v>-1.2484098249138598E-2</v>
      </c>
    </row>
    <row r="346" spans="1:11" ht="15" x14ac:dyDescent="0.2">
      <c r="A346" s="92">
        <v>30410</v>
      </c>
      <c r="B346">
        <v>152.91999999999999</v>
      </c>
      <c r="C346">
        <v>164.43</v>
      </c>
      <c r="D346">
        <v>150.16999999999999</v>
      </c>
      <c r="E346">
        <v>164.43</v>
      </c>
      <c r="F346">
        <v>94631000</v>
      </c>
      <c r="G346">
        <v>164.43</v>
      </c>
      <c r="H346" s="93">
        <f t="shared" si="5"/>
        <v>7.2308498423043599E-2</v>
      </c>
    </row>
    <row r="347" spans="1:11" ht="15" x14ac:dyDescent="0.2">
      <c r="A347" s="92">
        <v>30376</v>
      </c>
      <c r="B347">
        <v>148.07</v>
      </c>
      <c r="C347">
        <v>155.02000000000001</v>
      </c>
      <c r="D347">
        <v>148.07</v>
      </c>
      <c r="E347">
        <v>152.96</v>
      </c>
      <c r="F347">
        <v>87064700</v>
      </c>
      <c r="G347">
        <v>152.96</v>
      </c>
      <c r="H347" s="93">
        <f t="shared" si="5"/>
        <v>3.2558852288138887E-2</v>
      </c>
    </row>
    <row r="348" spans="1:11" ht="15" x14ac:dyDescent="0.2">
      <c r="A348" s="92">
        <v>30348</v>
      </c>
      <c r="B348">
        <v>145.29</v>
      </c>
      <c r="C348">
        <v>150.88</v>
      </c>
      <c r="D348">
        <v>141.9</v>
      </c>
      <c r="E348">
        <v>148.06</v>
      </c>
      <c r="F348">
        <v>89431500</v>
      </c>
      <c r="G348">
        <v>148.06</v>
      </c>
      <c r="H348" s="93">
        <f t="shared" si="5"/>
        <v>1.8817026438714916E-2</v>
      </c>
    </row>
    <row r="349" spans="1:11" ht="15" x14ac:dyDescent="0.2">
      <c r="A349" s="92">
        <v>30319</v>
      </c>
      <c r="B349">
        <v>140.65</v>
      </c>
      <c r="C349">
        <v>148.36000000000001</v>
      </c>
      <c r="D349">
        <v>138.08000000000001</v>
      </c>
      <c r="E349">
        <v>145.30000000000001</v>
      </c>
      <c r="F349">
        <v>91654200</v>
      </c>
      <c r="G349">
        <v>145.30000000000001</v>
      </c>
      <c r="H349" s="93">
        <f t="shared" si="5"/>
        <v>3.2597136639370625E-2</v>
      </c>
      <c r="I349" s="93"/>
    </row>
    <row r="350" spans="1:11" ht="15" x14ac:dyDescent="0.2">
      <c r="A350" s="92">
        <v>30286</v>
      </c>
      <c r="B350">
        <v>138.56</v>
      </c>
      <c r="C350">
        <v>143.68</v>
      </c>
      <c r="D350">
        <v>134.79</v>
      </c>
      <c r="E350">
        <v>140.63999999999999</v>
      </c>
      <c r="F350">
        <v>78372200</v>
      </c>
      <c r="G350">
        <v>140.63999999999999</v>
      </c>
      <c r="H350" s="93">
        <f t="shared" si="5"/>
        <v>1.5116525267079191E-2</v>
      </c>
      <c r="K350" s="97">
        <f>LN(G338/G350)</f>
        <v>0.15931770752319407</v>
      </c>
    </row>
    <row r="351" spans="1:11" ht="15" x14ac:dyDescent="0.2">
      <c r="A351" s="92">
        <v>30256</v>
      </c>
      <c r="B351">
        <v>133.72</v>
      </c>
      <c r="C351">
        <v>144.36000000000001</v>
      </c>
      <c r="D351">
        <v>132.88999999999999</v>
      </c>
      <c r="E351">
        <v>138.53</v>
      </c>
      <c r="F351">
        <v>92881400</v>
      </c>
      <c r="G351">
        <v>138.53</v>
      </c>
      <c r="H351" s="93">
        <f t="shared" si="5"/>
        <v>3.5338847117889746E-2</v>
      </c>
    </row>
    <row r="352" spans="1:11" ht="15" x14ac:dyDescent="0.2">
      <c r="A352" s="92">
        <v>30225</v>
      </c>
      <c r="B352">
        <v>120.4</v>
      </c>
      <c r="C352">
        <v>140.4</v>
      </c>
      <c r="D352">
        <v>120.15</v>
      </c>
      <c r="E352">
        <v>133.72</v>
      </c>
      <c r="F352">
        <v>102066100</v>
      </c>
      <c r="G352">
        <v>133.72</v>
      </c>
      <c r="H352" s="93">
        <f t="shared" si="5"/>
        <v>0.1047624295155961</v>
      </c>
    </row>
    <row r="353" spans="1:11" ht="15" x14ac:dyDescent="0.2">
      <c r="A353" s="92">
        <v>30195</v>
      </c>
      <c r="B353">
        <v>119.52</v>
      </c>
      <c r="C353">
        <v>126.43</v>
      </c>
      <c r="D353">
        <v>117.84</v>
      </c>
      <c r="E353">
        <v>120.42</v>
      </c>
      <c r="F353">
        <v>76697600</v>
      </c>
      <c r="G353">
        <v>120.42</v>
      </c>
      <c r="H353" s="93">
        <f t="shared" si="5"/>
        <v>7.5855821575121791E-3</v>
      </c>
    </row>
    <row r="354" spans="1:11" ht="15" x14ac:dyDescent="0.2">
      <c r="A354" s="92">
        <v>30165</v>
      </c>
      <c r="B354">
        <v>107.71</v>
      </c>
      <c r="C354">
        <v>120.26</v>
      </c>
      <c r="D354">
        <v>102.2</v>
      </c>
      <c r="E354">
        <v>119.51</v>
      </c>
      <c r="F354">
        <v>79960400</v>
      </c>
      <c r="G354">
        <v>119.51</v>
      </c>
      <c r="H354" s="93">
        <f t="shared" si="5"/>
        <v>0.10973044746600602</v>
      </c>
    </row>
    <row r="355" spans="1:11" ht="15" x14ac:dyDescent="0.2">
      <c r="A355" s="92">
        <v>30133</v>
      </c>
      <c r="B355">
        <v>109.52</v>
      </c>
      <c r="C355">
        <v>112.39</v>
      </c>
      <c r="D355">
        <v>105.57</v>
      </c>
      <c r="E355">
        <v>107.09</v>
      </c>
      <c r="F355">
        <v>56402800</v>
      </c>
      <c r="G355">
        <v>107.09</v>
      </c>
      <c r="H355" s="93">
        <f t="shared" si="5"/>
        <v>-2.3259008814848291E-2</v>
      </c>
    </row>
    <row r="356" spans="1:11" ht="15" x14ac:dyDescent="0.2">
      <c r="A356" s="92">
        <v>30103</v>
      </c>
      <c r="B356">
        <v>111.97</v>
      </c>
      <c r="C356">
        <v>112.48</v>
      </c>
      <c r="D356">
        <v>107.01</v>
      </c>
      <c r="E356">
        <v>109.61</v>
      </c>
      <c r="F356">
        <v>53445900</v>
      </c>
      <c r="G356">
        <v>109.61</v>
      </c>
      <c r="H356" s="93">
        <f t="shared" si="5"/>
        <v>-2.0498257106126939E-2</v>
      </c>
    </row>
    <row r="357" spans="1:11" ht="15" x14ac:dyDescent="0.2">
      <c r="A357" s="92">
        <v>30074</v>
      </c>
      <c r="B357">
        <v>115.96</v>
      </c>
      <c r="C357">
        <v>119.92</v>
      </c>
      <c r="D357">
        <v>111.66</v>
      </c>
      <c r="E357">
        <v>111.88</v>
      </c>
      <c r="F357">
        <v>53518000</v>
      </c>
      <c r="G357">
        <v>111.88</v>
      </c>
      <c r="H357" s="93">
        <f t="shared" si="5"/>
        <v>-3.9949250543663543E-2</v>
      </c>
    </row>
    <row r="358" spans="1:11" ht="15" x14ac:dyDescent="0.2">
      <c r="A358" s="92">
        <v>30042</v>
      </c>
      <c r="B358">
        <v>111.96</v>
      </c>
      <c r="C358">
        <v>119.33</v>
      </c>
      <c r="D358">
        <v>111.48</v>
      </c>
      <c r="E358">
        <v>116.44</v>
      </c>
      <c r="F358">
        <v>56413800</v>
      </c>
      <c r="G358">
        <v>116.44</v>
      </c>
      <c r="H358" s="93">
        <f t="shared" si="5"/>
        <v>3.9234454230169705E-2</v>
      </c>
    </row>
    <row r="359" spans="1:11" ht="15" x14ac:dyDescent="0.2">
      <c r="A359" s="92">
        <v>30011</v>
      </c>
      <c r="B359">
        <v>113.11</v>
      </c>
      <c r="C359">
        <v>114.8</v>
      </c>
      <c r="D359">
        <v>104.46</v>
      </c>
      <c r="E359">
        <v>111.96</v>
      </c>
      <c r="F359">
        <v>57043000</v>
      </c>
      <c r="G359">
        <v>111.96</v>
      </c>
      <c r="H359" s="93">
        <f t="shared" si="5"/>
        <v>-1.0219131896037013E-2</v>
      </c>
    </row>
    <row r="360" spans="1:11" ht="15" x14ac:dyDescent="0.2">
      <c r="A360" s="92">
        <v>29983</v>
      </c>
      <c r="B360">
        <v>119.81</v>
      </c>
      <c r="C360">
        <v>119.81</v>
      </c>
      <c r="D360">
        <v>110.03</v>
      </c>
      <c r="E360">
        <v>113.11</v>
      </c>
      <c r="F360">
        <v>53475200</v>
      </c>
      <c r="G360">
        <v>113.11</v>
      </c>
      <c r="H360" s="93">
        <f t="shared" si="5"/>
        <v>-6.2458736331431036E-2</v>
      </c>
    </row>
    <row r="361" spans="1:11" ht="15" x14ac:dyDescent="0.2">
      <c r="A361" s="92">
        <v>29955</v>
      </c>
      <c r="B361">
        <v>122.55</v>
      </c>
      <c r="C361">
        <v>123.72</v>
      </c>
      <c r="D361">
        <v>113.63</v>
      </c>
      <c r="E361">
        <v>120.4</v>
      </c>
      <c r="F361">
        <v>52087000</v>
      </c>
      <c r="G361">
        <v>120.4</v>
      </c>
      <c r="H361" s="93">
        <f t="shared" si="5"/>
        <v>-1.769957709940086E-2</v>
      </c>
      <c r="I361" s="93"/>
    </row>
    <row r="362" spans="1:11" ht="15" x14ac:dyDescent="0.2">
      <c r="A362" s="92">
        <v>29921</v>
      </c>
      <c r="B362">
        <v>126.35</v>
      </c>
      <c r="C362">
        <v>127.32</v>
      </c>
      <c r="D362">
        <v>121.04</v>
      </c>
      <c r="E362">
        <v>122.55</v>
      </c>
      <c r="F362">
        <v>45465900</v>
      </c>
      <c r="G362">
        <v>122.55</v>
      </c>
      <c r="H362" s="93">
        <f t="shared" si="5"/>
        <v>-3.053672386008165E-2</v>
      </c>
      <c r="K362" s="97">
        <f>LN(G350/G362)</f>
        <v>0.13768432396274524</v>
      </c>
    </row>
    <row r="363" spans="1:11" ht="15" x14ac:dyDescent="0.2">
      <c r="A363" s="92">
        <v>29892</v>
      </c>
      <c r="B363">
        <v>122.35</v>
      </c>
      <c r="C363">
        <v>126.97</v>
      </c>
      <c r="D363">
        <v>119.13</v>
      </c>
      <c r="E363">
        <v>126.35</v>
      </c>
      <c r="F363">
        <v>51775000</v>
      </c>
      <c r="G363">
        <v>126.35</v>
      </c>
      <c r="H363" s="93">
        <f t="shared" si="5"/>
        <v>3.5936835166458111E-2</v>
      </c>
    </row>
    <row r="364" spans="1:11" ht="15" x14ac:dyDescent="0.2">
      <c r="A364" s="92">
        <v>29860</v>
      </c>
      <c r="B364">
        <v>116.18</v>
      </c>
      <c r="C364">
        <v>123.28</v>
      </c>
      <c r="D364">
        <v>115</v>
      </c>
      <c r="E364">
        <v>121.89</v>
      </c>
      <c r="F364">
        <v>48051300</v>
      </c>
      <c r="G364">
        <v>121.89</v>
      </c>
      <c r="H364" s="93">
        <f t="shared" si="5"/>
        <v>4.7978286103358497E-2</v>
      </c>
    </row>
    <row r="365" spans="1:11" ht="15" x14ac:dyDescent="0.2">
      <c r="A365" s="92">
        <v>29830</v>
      </c>
      <c r="B365">
        <v>122.79</v>
      </c>
      <c r="C365">
        <v>124.58</v>
      </c>
      <c r="D365">
        <v>110.19</v>
      </c>
      <c r="E365">
        <v>116.18</v>
      </c>
      <c r="F365">
        <v>47611400</v>
      </c>
      <c r="G365">
        <v>116.18</v>
      </c>
      <c r="H365" s="93">
        <f t="shared" si="5"/>
        <v>-5.5334866608034862E-2</v>
      </c>
    </row>
    <row r="366" spans="1:11" ht="15" x14ac:dyDescent="0.2">
      <c r="A366" s="92">
        <v>29801</v>
      </c>
      <c r="B366">
        <v>130.91999999999999</v>
      </c>
      <c r="C366">
        <v>135.18</v>
      </c>
      <c r="D366">
        <v>122.29</v>
      </c>
      <c r="E366">
        <v>122.79</v>
      </c>
      <c r="F366">
        <v>45757600</v>
      </c>
      <c r="G366">
        <v>122.79</v>
      </c>
      <c r="H366" s="93">
        <f t="shared" si="5"/>
        <v>-6.4110870460558328E-2</v>
      </c>
    </row>
    <row r="367" spans="1:11" ht="15" x14ac:dyDescent="0.2">
      <c r="A367" s="92">
        <v>29768</v>
      </c>
      <c r="B367">
        <v>131.21</v>
      </c>
      <c r="C367">
        <v>131.78</v>
      </c>
      <c r="D367">
        <v>125.96</v>
      </c>
      <c r="E367">
        <v>130.91999999999999</v>
      </c>
      <c r="F367">
        <v>45338600</v>
      </c>
      <c r="G367">
        <v>130.91999999999999</v>
      </c>
      <c r="H367" s="93">
        <f t="shared" si="5"/>
        <v>-2.2126434846447339E-3</v>
      </c>
    </row>
    <row r="368" spans="1:11" ht="15" x14ac:dyDescent="0.2">
      <c r="A368" s="92">
        <v>29738</v>
      </c>
      <c r="B368">
        <v>132.59</v>
      </c>
      <c r="C368">
        <v>135.66999999999999</v>
      </c>
      <c r="D368">
        <v>128.77000000000001</v>
      </c>
      <c r="E368">
        <v>131.21</v>
      </c>
      <c r="F368">
        <v>51932700</v>
      </c>
      <c r="G368">
        <v>131.21</v>
      </c>
      <c r="H368" s="93">
        <f t="shared" si="5"/>
        <v>-1.0462567009002974E-2</v>
      </c>
    </row>
    <row r="369" spans="1:11" ht="15" x14ac:dyDescent="0.2">
      <c r="A369" s="92">
        <v>29707</v>
      </c>
      <c r="B369">
        <v>132.81</v>
      </c>
      <c r="C369">
        <v>134.91999999999999</v>
      </c>
      <c r="D369">
        <v>128.78</v>
      </c>
      <c r="E369">
        <v>132.59</v>
      </c>
      <c r="F369">
        <v>47850500</v>
      </c>
      <c r="G369">
        <v>132.59</v>
      </c>
      <c r="H369" s="93">
        <f t="shared" si="5"/>
        <v>-1.6578752855319718E-3</v>
      </c>
    </row>
    <row r="370" spans="1:11" ht="15" x14ac:dyDescent="0.2">
      <c r="A370" s="92">
        <v>29677</v>
      </c>
      <c r="B370">
        <v>136</v>
      </c>
      <c r="C370">
        <v>137.72</v>
      </c>
      <c r="D370">
        <v>131.58000000000001</v>
      </c>
      <c r="E370">
        <v>132.81</v>
      </c>
      <c r="F370">
        <v>55782800</v>
      </c>
      <c r="G370">
        <v>132.81</v>
      </c>
      <c r="H370" s="93">
        <f t="shared" si="5"/>
        <v>-2.3735350323892644E-2</v>
      </c>
    </row>
    <row r="371" spans="1:11" ht="15" x14ac:dyDescent="0.2">
      <c r="A371" s="92">
        <v>29647</v>
      </c>
      <c r="B371">
        <v>131.27000000000001</v>
      </c>
      <c r="C371">
        <v>138.38</v>
      </c>
      <c r="D371">
        <v>128.56</v>
      </c>
      <c r="E371">
        <v>136</v>
      </c>
      <c r="F371">
        <v>55705000</v>
      </c>
      <c r="G371">
        <v>136</v>
      </c>
      <c r="H371" s="93">
        <f t="shared" si="5"/>
        <v>3.5398614920735837E-2</v>
      </c>
    </row>
    <row r="372" spans="1:11" ht="15" x14ac:dyDescent="0.2">
      <c r="A372" s="92">
        <v>29619</v>
      </c>
      <c r="B372">
        <v>129.47999999999999</v>
      </c>
      <c r="C372">
        <v>132.02000000000001</v>
      </c>
      <c r="D372">
        <v>124.66</v>
      </c>
      <c r="E372">
        <v>131.27000000000001</v>
      </c>
      <c r="F372">
        <v>45764200</v>
      </c>
      <c r="G372">
        <v>131.27000000000001</v>
      </c>
      <c r="H372" s="93">
        <f t="shared" si="5"/>
        <v>1.318936380719701E-2</v>
      </c>
    </row>
    <row r="373" spans="1:11" ht="15" x14ac:dyDescent="0.2">
      <c r="A373" s="92">
        <v>29588</v>
      </c>
      <c r="B373">
        <v>135.76</v>
      </c>
      <c r="C373">
        <v>140.32</v>
      </c>
      <c r="D373">
        <v>128.57</v>
      </c>
      <c r="E373">
        <v>129.55000000000001</v>
      </c>
      <c r="F373">
        <v>47460900</v>
      </c>
      <c r="G373">
        <v>129.55000000000001</v>
      </c>
      <c r="H373" s="93">
        <f t="shared" si="5"/>
        <v>-4.6821713917851795E-2</v>
      </c>
      <c r="I373" s="93"/>
    </row>
    <row r="374" spans="1:11" ht="15" x14ac:dyDescent="0.2">
      <c r="A374" s="92">
        <v>29556</v>
      </c>
      <c r="B374">
        <v>140.52000000000001</v>
      </c>
      <c r="C374">
        <v>140.66</v>
      </c>
      <c r="D374">
        <v>125.32</v>
      </c>
      <c r="E374">
        <v>135.76</v>
      </c>
      <c r="F374">
        <v>48493600</v>
      </c>
      <c r="G374">
        <v>135.76</v>
      </c>
      <c r="H374" s="93">
        <f t="shared" si="5"/>
        <v>-3.4461206471655598E-2</v>
      </c>
      <c r="K374" s="97">
        <f>LN(G362/G374)</f>
        <v>-0.1023695109518493</v>
      </c>
    </row>
    <row r="375" spans="1:11" ht="15" x14ac:dyDescent="0.2">
      <c r="A375" s="92">
        <v>29528</v>
      </c>
      <c r="B375">
        <v>127.47</v>
      </c>
      <c r="C375">
        <v>141.96</v>
      </c>
      <c r="D375">
        <v>127.23</v>
      </c>
      <c r="E375">
        <v>140.52000000000001</v>
      </c>
      <c r="F375">
        <v>56797200</v>
      </c>
      <c r="G375">
        <v>140.52000000000001</v>
      </c>
      <c r="H375" s="93">
        <f t="shared" si="5"/>
        <v>9.7468784602796441E-2</v>
      </c>
    </row>
    <row r="376" spans="1:11" ht="15" x14ac:dyDescent="0.2">
      <c r="A376" s="92">
        <v>29495</v>
      </c>
      <c r="B376">
        <v>125.46</v>
      </c>
      <c r="C376">
        <v>135.88</v>
      </c>
      <c r="D376">
        <v>124.66</v>
      </c>
      <c r="E376">
        <v>127.47</v>
      </c>
      <c r="F376">
        <v>46604300</v>
      </c>
      <c r="G376">
        <v>127.47</v>
      </c>
      <c r="H376" s="93">
        <f t="shared" si="5"/>
        <v>1.5894060126232765E-2</v>
      </c>
    </row>
    <row r="377" spans="1:11" ht="15" x14ac:dyDescent="0.2">
      <c r="A377" s="92">
        <v>29466</v>
      </c>
      <c r="B377">
        <v>122.38</v>
      </c>
      <c r="C377">
        <v>132.16999999999999</v>
      </c>
      <c r="D377">
        <v>121.79</v>
      </c>
      <c r="E377">
        <v>125.46</v>
      </c>
      <c r="F377">
        <v>52285700</v>
      </c>
      <c r="G377">
        <v>125.46</v>
      </c>
      <c r="H377" s="93">
        <f t="shared" si="5"/>
        <v>2.485602463420267E-2</v>
      </c>
    </row>
    <row r="378" spans="1:11" ht="15" x14ac:dyDescent="0.2">
      <c r="A378" s="92">
        <v>29434</v>
      </c>
      <c r="B378">
        <v>121.67</v>
      </c>
      <c r="C378">
        <v>127.78</v>
      </c>
      <c r="D378">
        <v>119.42</v>
      </c>
      <c r="E378">
        <v>122.38</v>
      </c>
      <c r="F378">
        <v>47579500</v>
      </c>
      <c r="G378">
        <v>122.38</v>
      </c>
      <c r="H378" s="93">
        <f t="shared" si="5"/>
        <v>5.8184962350366614E-3</v>
      </c>
    </row>
    <row r="379" spans="1:11" ht="15" x14ac:dyDescent="0.2">
      <c r="A379" s="92">
        <v>29403</v>
      </c>
      <c r="B379">
        <v>114.24</v>
      </c>
      <c r="C379">
        <v>123.93</v>
      </c>
      <c r="D379">
        <v>113.54</v>
      </c>
      <c r="E379">
        <v>121.67</v>
      </c>
      <c r="F379">
        <v>48926300</v>
      </c>
      <c r="G379">
        <v>121.67</v>
      </c>
      <c r="H379" s="93">
        <f t="shared" si="5"/>
        <v>6.301096320808354E-2</v>
      </c>
    </row>
    <row r="380" spans="1:11" ht="15" x14ac:dyDescent="0.2">
      <c r="A380" s="92">
        <v>29374</v>
      </c>
      <c r="B380">
        <v>111.24</v>
      </c>
      <c r="C380">
        <v>117.98</v>
      </c>
      <c r="D380">
        <v>109.77</v>
      </c>
      <c r="E380">
        <v>114.24</v>
      </c>
      <c r="F380">
        <v>40931900</v>
      </c>
      <c r="G380">
        <v>114.24</v>
      </c>
      <c r="H380" s="93">
        <f t="shared" si="5"/>
        <v>2.6611469225510099E-2</v>
      </c>
    </row>
    <row r="381" spans="1:11" ht="15" x14ac:dyDescent="0.2">
      <c r="A381" s="92">
        <v>29342</v>
      </c>
      <c r="B381">
        <v>106.29</v>
      </c>
      <c r="C381">
        <v>112.72</v>
      </c>
      <c r="D381">
        <v>103.5</v>
      </c>
      <c r="E381">
        <v>111.24</v>
      </c>
      <c r="F381">
        <v>38082800</v>
      </c>
      <c r="G381">
        <v>111.24</v>
      </c>
      <c r="H381" s="93">
        <f t="shared" si="5"/>
        <v>4.5518821820273746E-2</v>
      </c>
    </row>
    <row r="382" spans="1:11" ht="15" x14ac:dyDescent="0.2">
      <c r="A382" s="92">
        <v>29312</v>
      </c>
      <c r="B382">
        <v>102.09</v>
      </c>
      <c r="C382">
        <v>106.79</v>
      </c>
      <c r="D382">
        <v>98.95</v>
      </c>
      <c r="E382">
        <v>106.29</v>
      </c>
      <c r="F382">
        <v>33570900</v>
      </c>
      <c r="G382">
        <v>106.29</v>
      </c>
      <c r="H382" s="93">
        <f t="shared" si="5"/>
        <v>4.0316430364566211E-2</v>
      </c>
    </row>
    <row r="383" spans="1:11" ht="15" x14ac:dyDescent="0.2">
      <c r="A383" s="92">
        <v>29283</v>
      </c>
      <c r="B383">
        <v>113.66</v>
      </c>
      <c r="C383">
        <v>114.34</v>
      </c>
      <c r="D383">
        <v>94.23</v>
      </c>
      <c r="E383">
        <v>102.09</v>
      </c>
      <c r="F383">
        <v>43442300</v>
      </c>
      <c r="G383">
        <v>102.09</v>
      </c>
      <c r="H383" s="93">
        <f t="shared" si="5"/>
        <v>-0.10735675868805132</v>
      </c>
    </row>
    <row r="384" spans="1:11" ht="15" x14ac:dyDescent="0.2">
      <c r="A384" s="92">
        <v>29252</v>
      </c>
      <c r="B384">
        <v>114.16</v>
      </c>
      <c r="C384">
        <v>120.22</v>
      </c>
      <c r="D384">
        <v>111.33</v>
      </c>
      <c r="E384">
        <v>113.66</v>
      </c>
      <c r="F384">
        <v>49767000</v>
      </c>
      <c r="G384">
        <v>113.66</v>
      </c>
      <c r="H384" s="93">
        <f t="shared" si="5"/>
        <v>-4.3894372996055283E-3</v>
      </c>
    </row>
    <row r="385" spans="1:11" ht="15" x14ac:dyDescent="0.2">
      <c r="A385" s="92">
        <v>29222</v>
      </c>
      <c r="B385">
        <v>107.94</v>
      </c>
      <c r="C385">
        <v>117.17</v>
      </c>
      <c r="D385">
        <v>103.26</v>
      </c>
      <c r="E385">
        <v>114.16</v>
      </c>
      <c r="F385">
        <v>55642700</v>
      </c>
      <c r="G385">
        <v>114.16</v>
      </c>
      <c r="H385" s="93">
        <f t="shared" si="5"/>
        <v>5.6025455978084254E-2</v>
      </c>
      <c r="I385" s="93"/>
    </row>
    <row r="386" spans="1:11" ht="15" x14ac:dyDescent="0.2">
      <c r="A386" s="92">
        <v>29192</v>
      </c>
      <c r="B386">
        <v>106.16</v>
      </c>
      <c r="C386">
        <v>110.33</v>
      </c>
      <c r="D386">
        <v>105.07</v>
      </c>
      <c r="E386">
        <v>107.94</v>
      </c>
      <c r="F386">
        <v>37087000</v>
      </c>
      <c r="G386">
        <v>107.94</v>
      </c>
      <c r="H386" s="93">
        <f t="shared" ref="H386:H449" si="6">LN(G386/G387)</f>
        <v>1.6628127166544611E-2</v>
      </c>
      <c r="K386" s="97">
        <f>LN(G374/G386)</f>
        <v>0.22931310373547412</v>
      </c>
    </row>
    <row r="387" spans="1:11" ht="15" x14ac:dyDescent="0.2">
      <c r="A387" s="92">
        <v>29160</v>
      </c>
      <c r="B387">
        <v>101.82</v>
      </c>
      <c r="C387">
        <v>107.89</v>
      </c>
      <c r="D387">
        <v>99.42</v>
      </c>
      <c r="E387">
        <v>106.16</v>
      </c>
      <c r="F387">
        <v>32577600</v>
      </c>
      <c r="G387">
        <v>106.16</v>
      </c>
      <c r="H387" s="93">
        <f t="shared" si="6"/>
        <v>4.1740841549762188E-2</v>
      </c>
    </row>
    <row r="388" spans="1:11" ht="15" x14ac:dyDescent="0.2">
      <c r="A388" s="92">
        <v>29129</v>
      </c>
      <c r="B388">
        <v>109.19</v>
      </c>
      <c r="C388">
        <v>112.16</v>
      </c>
      <c r="D388">
        <v>99.06</v>
      </c>
      <c r="E388">
        <v>101.82</v>
      </c>
      <c r="F388">
        <v>38509100</v>
      </c>
      <c r="G388">
        <v>101.82</v>
      </c>
      <c r="H388" s="93">
        <f t="shared" si="6"/>
        <v>-7.1072812585677256E-2</v>
      </c>
    </row>
    <row r="389" spans="1:11" ht="15" x14ac:dyDescent="0.2">
      <c r="A389" s="92">
        <v>29102</v>
      </c>
      <c r="B389">
        <v>109.32</v>
      </c>
      <c r="C389">
        <v>111.58</v>
      </c>
      <c r="D389">
        <v>105.38</v>
      </c>
      <c r="E389">
        <v>109.32</v>
      </c>
      <c r="F389">
        <v>39467800</v>
      </c>
      <c r="G389">
        <v>109.32</v>
      </c>
      <c r="H389" s="93">
        <f t="shared" si="6"/>
        <v>0</v>
      </c>
    </row>
    <row r="390" spans="1:11" ht="15" x14ac:dyDescent="0.2">
      <c r="A390" s="92">
        <v>29068</v>
      </c>
      <c r="B390">
        <v>103.81</v>
      </c>
      <c r="C390">
        <v>109.84</v>
      </c>
      <c r="D390">
        <v>103.14</v>
      </c>
      <c r="E390">
        <v>109.32</v>
      </c>
      <c r="F390">
        <v>37018200</v>
      </c>
      <c r="G390">
        <v>109.32</v>
      </c>
      <c r="H390" s="93">
        <f t="shared" si="6"/>
        <v>5.1717055854713249E-2</v>
      </c>
    </row>
    <row r="391" spans="1:11" ht="15" x14ac:dyDescent="0.2">
      <c r="A391" s="92">
        <v>29038</v>
      </c>
      <c r="B391">
        <v>102.91</v>
      </c>
      <c r="C391">
        <v>105.17</v>
      </c>
      <c r="D391">
        <v>100.35</v>
      </c>
      <c r="E391">
        <v>103.81</v>
      </c>
      <c r="F391">
        <v>34052300</v>
      </c>
      <c r="G391">
        <v>103.81</v>
      </c>
      <c r="H391" s="93">
        <f t="shared" si="6"/>
        <v>8.7074853571538161E-3</v>
      </c>
    </row>
    <row r="392" spans="1:11" ht="15" x14ac:dyDescent="0.2">
      <c r="A392" s="92">
        <v>29007</v>
      </c>
      <c r="B392">
        <v>99.08</v>
      </c>
      <c r="C392">
        <v>103.67</v>
      </c>
      <c r="D392">
        <v>98.57</v>
      </c>
      <c r="E392">
        <v>102.91</v>
      </c>
      <c r="F392">
        <v>36685700</v>
      </c>
      <c r="G392">
        <v>102.91</v>
      </c>
      <c r="H392" s="93">
        <f t="shared" si="6"/>
        <v>3.79272152268414E-2</v>
      </c>
    </row>
    <row r="393" spans="1:11" ht="15" x14ac:dyDescent="0.2">
      <c r="A393" s="92">
        <v>28976</v>
      </c>
      <c r="B393">
        <v>101.76</v>
      </c>
      <c r="C393">
        <v>102.57</v>
      </c>
      <c r="D393">
        <v>97.49</v>
      </c>
      <c r="E393">
        <v>99.08</v>
      </c>
      <c r="F393">
        <v>29729000</v>
      </c>
      <c r="G393">
        <v>99.08</v>
      </c>
      <c r="H393" s="93">
        <f t="shared" si="6"/>
        <v>-2.6689494970653271E-2</v>
      </c>
    </row>
    <row r="394" spans="1:11" ht="15" x14ac:dyDescent="0.2">
      <c r="A394" s="92">
        <v>28947</v>
      </c>
      <c r="B394">
        <v>101.56</v>
      </c>
      <c r="C394">
        <v>103.95</v>
      </c>
      <c r="D394">
        <v>100.14</v>
      </c>
      <c r="E394">
        <v>101.76</v>
      </c>
      <c r="F394">
        <v>32354500</v>
      </c>
      <c r="G394">
        <v>101.76</v>
      </c>
      <c r="H394" s="93">
        <f t="shared" si="6"/>
        <v>1.6719944883584112E-3</v>
      </c>
    </row>
    <row r="395" spans="1:11" ht="15" x14ac:dyDescent="0.2">
      <c r="A395" s="92">
        <v>28915</v>
      </c>
      <c r="B395">
        <v>96.28</v>
      </c>
      <c r="C395">
        <v>103.31</v>
      </c>
      <c r="D395">
        <v>95.98</v>
      </c>
      <c r="E395">
        <v>101.59</v>
      </c>
      <c r="F395">
        <v>30898600</v>
      </c>
      <c r="G395">
        <v>101.59</v>
      </c>
      <c r="H395" s="93">
        <f t="shared" si="6"/>
        <v>5.3684492188582338E-2</v>
      </c>
    </row>
    <row r="396" spans="1:11" ht="15" x14ac:dyDescent="0.2">
      <c r="A396" s="92">
        <v>28887</v>
      </c>
      <c r="B396">
        <v>99.93</v>
      </c>
      <c r="C396">
        <v>100.52</v>
      </c>
      <c r="D396">
        <v>95.38</v>
      </c>
      <c r="E396">
        <v>96.28</v>
      </c>
      <c r="F396">
        <v>26357800</v>
      </c>
      <c r="G396">
        <v>96.28</v>
      </c>
      <c r="H396" s="93">
        <f t="shared" si="6"/>
        <v>-3.7209327958826872E-2</v>
      </c>
    </row>
    <row r="397" spans="1:11" ht="15" x14ac:dyDescent="0.2">
      <c r="A397" s="92">
        <v>28857</v>
      </c>
      <c r="B397">
        <v>96.11</v>
      </c>
      <c r="C397">
        <v>102.59</v>
      </c>
      <c r="D397">
        <v>95.22</v>
      </c>
      <c r="E397">
        <v>99.93</v>
      </c>
      <c r="F397">
        <v>29366300</v>
      </c>
      <c r="G397">
        <v>99.93</v>
      </c>
      <c r="H397" s="93">
        <f t="shared" si="6"/>
        <v>3.8976572038505124E-2</v>
      </c>
      <c r="I397" s="93"/>
    </row>
    <row r="398" spans="1:11" ht="15" x14ac:dyDescent="0.2">
      <c r="A398" s="92">
        <v>28825</v>
      </c>
      <c r="B398">
        <v>95.01</v>
      </c>
      <c r="C398">
        <v>98.58</v>
      </c>
      <c r="D398">
        <v>92.64</v>
      </c>
      <c r="E398">
        <v>96.11</v>
      </c>
      <c r="F398">
        <v>26123500</v>
      </c>
      <c r="G398">
        <v>96.11</v>
      </c>
      <c r="H398" s="93">
        <f t="shared" si="6"/>
        <v>1.4779368643160356E-2</v>
      </c>
      <c r="K398" s="97">
        <f>LN(G386/G398)</f>
        <v>0.11608214835530381</v>
      </c>
    </row>
    <row r="399" spans="1:11" ht="15" x14ac:dyDescent="0.2">
      <c r="A399" s="92">
        <v>28795</v>
      </c>
      <c r="B399">
        <v>94.13</v>
      </c>
      <c r="C399">
        <v>97.41</v>
      </c>
      <c r="D399">
        <v>91.77</v>
      </c>
      <c r="E399">
        <v>94.7</v>
      </c>
      <c r="F399">
        <v>25452800</v>
      </c>
      <c r="G399">
        <v>94.7</v>
      </c>
      <c r="H399" s="93">
        <f t="shared" si="6"/>
        <v>1.6502903144435168E-2</v>
      </c>
    </row>
    <row r="400" spans="1:11" ht="15" x14ac:dyDescent="0.2">
      <c r="A400" s="92">
        <v>28765</v>
      </c>
      <c r="B400">
        <v>102.54</v>
      </c>
      <c r="C400">
        <v>106.23</v>
      </c>
      <c r="D400">
        <v>91.65</v>
      </c>
      <c r="E400">
        <v>93.15</v>
      </c>
      <c r="F400">
        <v>32957200</v>
      </c>
      <c r="G400">
        <v>93.15</v>
      </c>
      <c r="H400" s="93">
        <f t="shared" si="6"/>
        <v>-9.6041869307957106E-2</v>
      </c>
    </row>
    <row r="401" spans="1:11" ht="15" x14ac:dyDescent="0.2">
      <c r="A401" s="92">
        <v>28734</v>
      </c>
      <c r="B401">
        <v>103.29</v>
      </c>
      <c r="C401">
        <v>108.05</v>
      </c>
      <c r="D401">
        <v>100.66</v>
      </c>
      <c r="E401">
        <v>102.54</v>
      </c>
      <c r="F401">
        <v>34795000</v>
      </c>
      <c r="G401">
        <v>102.54</v>
      </c>
      <c r="H401" s="93">
        <f t="shared" si="6"/>
        <v>-7.2875996629875655E-3</v>
      </c>
    </row>
    <row r="402" spans="1:11" ht="15" x14ac:dyDescent="0.2">
      <c r="A402" s="92">
        <v>28703</v>
      </c>
      <c r="B402">
        <v>100.68</v>
      </c>
      <c r="C402">
        <v>106.27</v>
      </c>
      <c r="D402">
        <v>99.95</v>
      </c>
      <c r="E402">
        <v>103.29</v>
      </c>
      <c r="F402">
        <v>39078200</v>
      </c>
      <c r="G402">
        <v>103.29</v>
      </c>
      <c r="H402" s="93">
        <f t="shared" si="6"/>
        <v>2.5593395751426919E-2</v>
      </c>
    </row>
    <row r="403" spans="1:11" ht="15" x14ac:dyDescent="0.2">
      <c r="A403" s="92">
        <v>28674</v>
      </c>
      <c r="B403">
        <v>95.53</v>
      </c>
      <c r="C403">
        <v>101.18</v>
      </c>
      <c r="D403">
        <v>93.59</v>
      </c>
      <c r="E403">
        <v>100.68</v>
      </c>
      <c r="F403">
        <v>28774000</v>
      </c>
      <c r="G403">
        <v>100.68</v>
      </c>
      <c r="H403" s="93">
        <f t="shared" si="6"/>
        <v>5.2506835985198161E-2</v>
      </c>
    </row>
    <row r="404" spans="1:11" ht="15" x14ac:dyDescent="0.2">
      <c r="A404" s="92">
        <v>28642</v>
      </c>
      <c r="B404">
        <v>97.24</v>
      </c>
      <c r="C404">
        <v>101.84</v>
      </c>
      <c r="D404">
        <v>93.99</v>
      </c>
      <c r="E404">
        <v>95.53</v>
      </c>
      <c r="F404">
        <v>31108600</v>
      </c>
      <c r="G404">
        <v>95.53</v>
      </c>
      <c r="H404" s="93">
        <f t="shared" si="6"/>
        <v>-1.7741815166005578E-2</v>
      </c>
    </row>
    <row r="405" spans="1:11" ht="15" x14ac:dyDescent="0.2">
      <c r="A405" s="92">
        <v>28611</v>
      </c>
      <c r="B405">
        <v>96.83</v>
      </c>
      <c r="C405">
        <v>100.32</v>
      </c>
      <c r="D405">
        <v>94.57</v>
      </c>
      <c r="E405">
        <v>97.24</v>
      </c>
      <c r="F405">
        <v>36582700</v>
      </c>
      <c r="G405">
        <v>97.24</v>
      </c>
      <c r="H405" s="93">
        <f t="shared" si="6"/>
        <v>4.2252858244829139E-3</v>
      </c>
    </row>
    <row r="406" spans="1:11" ht="15" x14ac:dyDescent="0.2">
      <c r="A406" s="92">
        <v>28583</v>
      </c>
      <c r="B406">
        <v>89.2</v>
      </c>
      <c r="C406">
        <v>97.91</v>
      </c>
      <c r="D406">
        <v>88.07</v>
      </c>
      <c r="E406">
        <v>96.83</v>
      </c>
      <c r="F406">
        <v>36422500</v>
      </c>
      <c r="G406">
        <v>96.83</v>
      </c>
      <c r="H406" s="93">
        <f t="shared" si="6"/>
        <v>8.1963722697747793E-2</v>
      </c>
    </row>
    <row r="407" spans="1:11" ht="15" x14ac:dyDescent="0.2">
      <c r="A407" s="92">
        <v>28550</v>
      </c>
      <c r="B407">
        <v>87.04</v>
      </c>
      <c r="C407">
        <v>91.35</v>
      </c>
      <c r="D407">
        <v>86.45</v>
      </c>
      <c r="E407">
        <v>89.21</v>
      </c>
      <c r="F407">
        <v>23532200</v>
      </c>
      <c r="G407">
        <v>89.21</v>
      </c>
      <c r="H407" s="93">
        <f t="shared" si="6"/>
        <v>2.4625357818059357E-2</v>
      </c>
    </row>
    <row r="408" spans="1:11" ht="15" x14ac:dyDescent="0.2">
      <c r="A408" s="92">
        <v>28522</v>
      </c>
      <c r="B408">
        <v>89.25</v>
      </c>
      <c r="C408">
        <v>91.32</v>
      </c>
      <c r="D408">
        <v>86.58</v>
      </c>
      <c r="E408">
        <v>87.04</v>
      </c>
      <c r="F408">
        <v>20439400</v>
      </c>
      <c r="G408">
        <v>87.04</v>
      </c>
      <c r="H408" s="93">
        <f t="shared" si="6"/>
        <v>-2.5073637552115849E-2</v>
      </c>
    </row>
    <row r="409" spans="1:11" ht="15" x14ac:dyDescent="0.2">
      <c r="A409" s="92">
        <v>28493</v>
      </c>
      <c r="B409">
        <v>95.1</v>
      </c>
      <c r="C409">
        <v>95.15</v>
      </c>
      <c r="D409">
        <v>88.02</v>
      </c>
      <c r="E409">
        <v>89.25</v>
      </c>
      <c r="F409">
        <v>21333800</v>
      </c>
      <c r="G409">
        <v>89.25</v>
      </c>
      <c r="H409" s="93">
        <f t="shared" si="6"/>
        <v>-6.3487548891596107E-2</v>
      </c>
      <c r="I409" s="93"/>
    </row>
    <row r="410" spans="1:11" ht="15" x14ac:dyDescent="0.2">
      <c r="A410" s="92">
        <v>28460</v>
      </c>
      <c r="B410">
        <v>94.83</v>
      </c>
      <c r="C410">
        <v>95.67</v>
      </c>
      <c r="D410">
        <v>91.76</v>
      </c>
      <c r="E410">
        <v>95.1</v>
      </c>
      <c r="F410">
        <v>22596600</v>
      </c>
      <c r="G410">
        <v>95.1</v>
      </c>
      <c r="H410" s="93">
        <f t="shared" si="6"/>
        <v>2.843154655708485E-3</v>
      </c>
      <c r="K410" s="97">
        <f>LN(G398/G410)</f>
        <v>1.0564399283848343E-2</v>
      </c>
    </row>
    <row r="411" spans="1:11" ht="15" x14ac:dyDescent="0.2">
      <c r="A411" s="92">
        <v>28430</v>
      </c>
      <c r="B411">
        <v>92.19</v>
      </c>
      <c r="C411">
        <v>97.11</v>
      </c>
      <c r="D411">
        <v>90.01</v>
      </c>
      <c r="E411">
        <v>94.83</v>
      </c>
      <c r="F411">
        <v>24635700</v>
      </c>
      <c r="G411">
        <v>94.83</v>
      </c>
      <c r="H411" s="93">
        <f t="shared" si="6"/>
        <v>2.6608397816793219E-2</v>
      </c>
    </row>
    <row r="412" spans="1:11" ht="15" x14ac:dyDescent="0.2">
      <c r="A412" s="92">
        <v>28401</v>
      </c>
      <c r="B412">
        <v>96.53</v>
      </c>
      <c r="C412">
        <v>97.27</v>
      </c>
      <c r="D412">
        <v>90.2</v>
      </c>
      <c r="E412">
        <v>92.34</v>
      </c>
      <c r="F412">
        <v>20501900</v>
      </c>
      <c r="G412">
        <v>92.34</v>
      </c>
      <c r="H412" s="93">
        <f t="shared" si="6"/>
        <v>-4.4376423781680871E-2</v>
      </c>
    </row>
    <row r="413" spans="1:11" ht="15" x14ac:dyDescent="0.2">
      <c r="A413" s="92">
        <v>28369</v>
      </c>
      <c r="B413">
        <v>96.77</v>
      </c>
      <c r="C413">
        <v>98.43</v>
      </c>
      <c r="D413">
        <v>94.44</v>
      </c>
      <c r="E413">
        <v>96.53</v>
      </c>
      <c r="F413">
        <v>19278000</v>
      </c>
      <c r="G413">
        <v>96.53</v>
      </c>
      <c r="H413" s="93">
        <f t="shared" si="6"/>
        <v>-2.4831880323273004E-3</v>
      </c>
    </row>
    <row r="414" spans="1:11" ht="15" x14ac:dyDescent="0.2">
      <c r="A414" s="92">
        <v>28338</v>
      </c>
      <c r="B414">
        <v>98.85</v>
      </c>
      <c r="C414">
        <v>99.84</v>
      </c>
      <c r="D414">
        <v>95.04</v>
      </c>
      <c r="E414">
        <v>96.77</v>
      </c>
      <c r="F414">
        <v>19683900</v>
      </c>
      <c r="G414">
        <v>96.77</v>
      </c>
      <c r="H414" s="93">
        <f t="shared" si="6"/>
        <v>-2.1266520723774749E-2</v>
      </c>
    </row>
    <row r="415" spans="1:11" ht="15" x14ac:dyDescent="0.2">
      <c r="A415" s="92">
        <v>28307</v>
      </c>
      <c r="B415">
        <v>100.48</v>
      </c>
      <c r="C415">
        <v>102.57</v>
      </c>
      <c r="D415">
        <v>97.71</v>
      </c>
      <c r="E415">
        <v>98.85</v>
      </c>
      <c r="F415">
        <v>24885700</v>
      </c>
      <c r="G415">
        <v>98.85</v>
      </c>
      <c r="H415" s="93">
        <f t="shared" si="6"/>
        <v>-1.6355153103262736E-2</v>
      </c>
    </row>
    <row r="416" spans="1:11" ht="15" x14ac:dyDescent="0.2">
      <c r="A416" s="92">
        <v>28277</v>
      </c>
      <c r="B416">
        <v>96.12</v>
      </c>
      <c r="C416">
        <v>101.65</v>
      </c>
      <c r="D416">
        <v>95.89</v>
      </c>
      <c r="E416">
        <v>100.48</v>
      </c>
      <c r="F416">
        <v>22934500</v>
      </c>
      <c r="G416">
        <v>100.48</v>
      </c>
      <c r="H416" s="93">
        <f t="shared" si="6"/>
        <v>4.4361291851620417E-2</v>
      </c>
    </row>
    <row r="417" spans="1:11" ht="15" x14ac:dyDescent="0.2">
      <c r="A417" s="92">
        <v>28247</v>
      </c>
      <c r="B417">
        <v>98.44</v>
      </c>
      <c r="C417">
        <v>100.93</v>
      </c>
      <c r="D417">
        <v>95.52</v>
      </c>
      <c r="E417">
        <v>96.12</v>
      </c>
      <c r="F417">
        <v>21124700</v>
      </c>
      <c r="G417">
        <v>96.12</v>
      </c>
      <c r="H417" s="93">
        <f t="shared" si="6"/>
        <v>-2.3849814654586837E-2</v>
      </c>
    </row>
    <row r="418" spans="1:11" ht="15" x14ac:dyDescent="0.2">
      <c r="A418" s="92">
        <v>28216</v>
      </c>
      <c r="B418">
        <v>98.42</v>
      </c>
      <c r="C418">
        <v>102.07</v>
      </c>
      <c r="D418">
        <v>96.53</v>
      </c>
      <c r="E418">
        <v>98.44</v>
      </c>
      <c r="F418">
        <v>21069500</v>
      </c>
      <c r="G418">
        <v>98.44</v>
      </c>
      <c r="H418" s="93">
        <f t="shared" si="6"/>
        <v>2.0319008502289352E-4</v>
      </c>
    </row>
    <row r="419" spans="1:11" ht="15" x14ac:dyDescent="0.2">
      <c r="A419" s="92">
        <v>28185</v>
      </c>
      <c r="B419">
        <v>99.82</v>
      </c>
      <c r="C419">
        <v>102.7</v>
      </c>
      <c r="D419">
        <v>97.8</v>
      </c>
      <c r="E419">
        <v>98.42</v>
      </c>
      <c r="F419">
        <v>19617300</v>
      </c>
      <c r="G419">
        <v>98.42</v>
      </c>
      <c r="H419" s="93">
        <f t="shared" si="6"/>
        <v>-1.4124528603630976E-2</v>
      </c>
    </row>
    <row r="420" spans="1:11" ht="15" x14ac:dyDescent="0.2">
      <c r="A420" s="92">
        <v>28157</v>
      </c>
      <c r="B420">
        <v>102.03</v>
      </c>
      <c r="C420">
        <v>103.32</v>
      </c>
      <c r="D420">
        <v>98.82</v>
      </c>
      <c r="E420">
        <v>99.82</v>
      </c>
      <c r="F420">
        <v>21824200</v>
      </c>
      <c r="G420">
        <v>99.82</v>
      </c>
      <c r="H420" s="93">
        <f t="shared" si="6"/>
        <v>-2.1898323645750714E-2</v>
      </c>
    </row>
    <row r="421" spans="1:11" ht="15" x14ac:dyDescent="0.2">
      <c r="A421" s="92">
        <v>28128</v>
      </c>
      <c r="B421">
        <v>107.46</v>
      </c>
      <c r="C421">
        <v>107.97</v>
      </c>
      <c r="D421">
        <v>100.91</v>
      </c>
      <c r="E421">
        <v>102.03</v>
      </c>
      <c r="F421">
        <v>24978000</v>
      </c>
      <c r="G421">
        <v>102.03</v>
      </c>
      <c r="H421" s="93">
        <f t="shared" si="6"/>
        <v>-5.1851797613461516E-2</v>
      </c>
      <c r="I421" s="93"/>
    </row>
    <row r="422" spans="1:11" ht="15" x14ac:dyDescent="0.2">
      <c r="A422" s="92">
        <v>28095</v>
      </c>
      <c r="B422">
        <v>102.1</v>
      </c>
      <c r="C422">
        <v>107.82</v>
      </c>
      <c r="D422">
        <v>101.62</v>
      </c>
      <c r="E422">
        <v>107.46</v>
      </c>
      <c r="F422">
        <v>25169000</v>
      </c>
      <c r="G422">
        <v>107.46</v>
      </c>
      <c r="H422" s="93">
        <f t="shared" si="6"/>
        <v>5.1165960130055449E-2</v>
      </c>
      <c r="K422" s="97">
        <f>LN(G410/G422)</f>
        <v>-0.12218971574933084</v>
      </c>
    </row>
    <row r="423" spans="1:11" ht="15" x14ac:dyDescent="0.2">
      <c r="A423" s="92">
        <v>28065</v>
      </c>
      <c r="B423">
        <v>102.9</v>
      </c>
      <c r="C423">
        <v>103.78</v>
      </c>
      <c r="D423">
        <v>98.18</v>
      </c>
      <c r="E423">
        <v>102.1</v>
      </c>
      <c r="F423">
        <v>19902500</v>
      </c>
      <c r="G423">
        <v>102.1</v>
      </c>
      <c r="H423" s="93">
        <f t="shared" si="6"/>
        <v>-7.8049176693842032E-3</v>
      </c>
    </row>
    <row r="424" spans="1:11" ht="15" x14ac:dyDescent="0.2">
      <c r="A424" s="92">
        <v>28034</v>
      </c>
      <c r="B424">
        <v>105.24</v>
      </c>
      <c r="C424">
        <v>105.75</v>
      </c>
      <c r="D424">
        <v>99.21</v>
      </c>
      <c r="E424">
        <v>102.9</v>
      </c>
      <c r="F424">
        <v>18020000</v>
      </c>
      <c r="G424">
        <v>102.9</v>
      </c>
      <c r="H424" s="93">
        <f t="shared" si="6"/>
        <v>-2.2485813332087955E-2</v>
      </c>
    </row>
    <row r="425" spans="1:11" ht="15" x14ac:dyDescent="0.2">
      <c r="A425" s="92">
        <v>28004</v>
      </c>
      <c r="B425">
        <v>102.91</v>
      </c>
      <c r="C425">
        <v>108.72</v>
      </c>
      <c r="D425">
        <v>102.6</v>
      </c>
      <c r="E425">
        <v>105.24</v>
      </c>
      <c r="F425">
        <v>20450000</v>
      </c>
      <c r="G425">
        <v>105.24</v>
      </c>
      <c r="H425" s="93">
        <f t="shared" si="6"/>
        <v>2.2388636324091705E-2</v>
      </c>
    </row>
    <row r="426" spans="1:11" ht="15" x14ac:dyDescent="0.2">
      <c r="A426" s="92">
        <v>27974</v>
      </c>
      <c r="B426">
        <v>103.44</v>
      </c>
      <c r="C426">
        <v>105.41</v>
      </c>
      <c r="D426">
        <v>100.43</v>
      </c>
      <c r="E426">
        <v>102.91</v>
      </c>
      <c r="F426">
        <v>16461800</v>
      </c>
      <c r="G426">
        <v>102.91</v>
      </c>
      <c r="H426" s="93">
        <f t="shared" si="6"/>
        <v>-5.1369146156017269E-3</v>
      </c>
    </row>
    <row r="427" spans="1:11" ht="15" x14ac:dyDescent="0.2">
      <c r="A427" s="92">
        <v>27942</v>
      </c>
      <c r="B427">
        <v>104.28</v>
      </c>
      <c r="C427">
        <v>106.78</v>
      </c>
      <c r="D427">
        <v>102.31</v>
      </c>
      <c r="E427">
        <v>103.44</v>
      </c>
      <c r="F427">
        <v>19456600</v>
      </c>
      <c r="G427">
        <v>103.44</v>
      </c>
      <c r="H427" s="93">
        <f t="shared" si="6"/>
        <v>-8.0878546016990051E-3</v>
      </c>
    </row>
    <row r="428" spans="1:11" ht="15" x14ac:dyDescent="0.2">
      <c r="A428" s="92">
        <v>27912</v>
      </c>
      <c r="B428">
        <v>100.18</v>
      </c>
      <c r="C428">
        <v>105.07</v>
      </c>
      <c r="D428">
        <v>97.97</v>
      </c>
      <c r="E428">
        <v>104.28</v>
      </c>
      <c r="F428">
        <v>20048100</v>
      </c>
      <c r="G428">
        <v>104.28</v>
      </c>
      <c r="H428" s="93">
        <f t="shared" si="6"/>
        <v>4.0111021135830226E-2</v>
      </c>
    </row>
    <row r="429" spans="1:11" ht="15" x14ac:dyDescent="0.2">
      <c r="A429" s="92">
        <v>27883</v>
      </c>
      <c r="B429">
        <v>101.64</v>
      </c>
      <c r="C429">
        <v>103.99</v>
      </c>
      <c r="D429">
        <v>98.26</v>
      </c>
      <c r="E429">
        <v>100.18</v>
      </c>
      <c r="F429">
        <v>18638500</v>
      </c>
      <c r="G429">
        <v>100.18</v>
      </c>
      <c r="H429" s="93">
        <f t="shared" si="6"/>
        <v>-1.4468590522492556E-2</v>
      </c>
    </row>
    <row r="430" spans="1:11" ht="15" x14ac:dyDescent="0.2">
      <c r="A430" s="92">
        <v>27851</v>
      </c>
      <c r="B430">
        <v>102.77</v>
      </c>
      <c r="C430">
        <v>104.63</v>
      </c>
      <c r="D430">
        <v>99.57</v>
      </c>
      <c r="E430">
        <v>101.64</v>
      </c>
      <c r="F430">
        <v>19370900</v>
      </c>
      <c r="G430">
        <v>101.64</v>
      </c>
      <c r="H430" s="93">
        <f t="shared" si="6"/>
        <v>-1.1056323185018374E-2</v>
      </c>
    </row>
    <row r="431" spans="1:11" ht="15" x14ac:dyDescent="0.2">
      <c r="A431" s="92">
        <v>27820</v>
      </c>
      <c r="B431">
        <v>99.71</v>
      </c>
      <c r="C431">
        <v>104.39</v>
      </c>
      <c r="D431">
        <v>98.23</v>
      </c>
      <c r="E431">
        <v>102.77</v>
      </c>
      <c r="F431">
        <v>23787800</v>
      </c>
      <c r="G431">
        <v>102.77</v>
      </c>
      <c r="H431" s="93">
        <f t="shared" si="6"/>
        <v>3.0227508796280198E-2</v>
      </c>
    </row>
    <row r="432" spans="1:11" ht="15" x14ac:dyDescent="0.2">
      <c r="A432" s="92">
        <v>27792</v>
      </c>
      <c r="B432">
        <v>100.86</v>
      </c>
      <c r="C432">
        <v>103.07</v>
      </c>
      <c r="D432">
        <v>98.5</v>
      </c>
      <c r="E432">
        <v>99.71</v>
      </c>
      <c r="F432">
        <v>32793100</v>
      </c>
      <c r="G432">
        <v>99.71</v>
      </c>
      <c r="H432" s="93">
        <f t="shared" si="6"/>
        <v>-1.1467443807877717E-2</v>
      </c>
    </row>
    <row r="433" spans="1:11" ht="15" x14ac:dyDescent="0.2">
      <c r="A433" s="92">
        <v>27761</v>
      </c>
      <c r="B433">
        <v>90.19</v>
      </c>
      <c r="C433">
        <v>101.99</v>
      </c>
      <c r="D433">
        <v>89.81</v>
      </c>
      <c r="E433">
        <v>100.86</v>
      </c>
      <c r="F433">
        <v>32111400</v>
      </c>
      <c r="G433">
        <v>100.86</v>
      </c>
      <c r="H433" s="93">
        <f t="shared" si="6"/>
        <v>0.11181486047096256</v>
      </c>
      <c r="I433" s="93"/>
    </row>
    <row r="434" spans="1:11" ht="15" x14ac:dyDescent="0.2">
      <c r="A434" s="92">
        <v>27729</v>
      </c>
      <c r="B434">
        <v>91.24</v>
      </c>
      <c r="C434">
        <v>91.9</v>
      </c>
      <c r="D434">
        <v>86.15</v>
      </c>
      <c r="E434">
        <v>90.19</v>
      </c>
      <c r="F434">
        <v>16633600</v>
      </c>
      <c r="G434">
        <v>90.19</v>
      </c>
      <c r="H434" s="93">
        <f t="shared" si="6"/>
        <v>-1.1574841238570501E-2</v>
      </c>
      <c r="K434" s="97">
        <f>LN(G422/G434)</f>
        <v>0.17520012912305855</v>
      </c>
    </row>
    <row r="435" spans="1:11" ht="15" x14ac:dyDescent="0.2">
      <c r="A435" s="92">
        <v>27701</v>
      </c>
      <c r="B435">
        <v>89.04</v>
      </c>
      <c r="C435">
        <v>92.33</v>
      </c>
      <c r="D435">
        <v>87.63</v>
      </c>
      <c r="E435">
        <v>91.24</v>
      </c>
      <c r="F435">
        <v>17456800</v>
      </c>
      <c r="G435">
        <v>91.24</v>
      </c>
      <c r="H435" s="93">
        <f t="shared" si="6"/>
        <v>2.4407690448897717E-2</v>
      </c>
    </row>
    <row r="436" spans="1:11" ht="15" x14ac:dyDescent="0.2">
      <c r="A436" s="92">
        <v>27668</v>
      </c>
      <c r="B436">
        <v>83.87</v>
      </c>
      <c r="C436">
        <v>91.75</v>
      </c>
      <c r="D436">
        <v>82.57</v>
      </c>
      <c r="E436">
        <v>89.04</v>
      </c>
      <c r="F436">
        <v>16454300</v>
      </c>
      <c r="G436">
        <v>89.04</v>
      </c>
      <c r="H436" s="93">
        <f t="shared" si="6"/>
        <v>5.9817725970969321E-2</v>
      </c>
    </row>
    <row r="437" spans="1:11" ht="15" x14ac:dyDescent="0.2">
      <c r="A437" s="92">
        <v>27639</v>
      </c>
      <c r="B437">
        <v>86.88</v>
      </c>
      <c r="C437">
        <v>87.42</v>
      </c>
      <c r="D437">
        <v>81.569999999999993</v>
      </c>
      <c r="E437">
        <v>83.87</v>
      </c>
      <c r="F437">
        <v>13697100</v>
      </c>
      <c r="G437">
        <v>83.87</v>
      </c>
      <c r="H437" s="93">
        <f t="shared" si="6"/>
        <v>-3.5259875189305102E-2</v>
      </c>
    </row>
    <row r="438" spans="1:11" ht="15" x14ac:dyDescent="0.2">
      <c r="A438" s="92">
        <v>27607</v>
      </c>
      <c r="B438">
        <v>88.75</v>
      </c>
      <c r="C438">
        <v>89.04</v>
      </c>
      <c r="D438">
        <v>82.21</v>
      </c>
      <c r="E438">
        <v>86.88</v>
      </c>
      <c r="F438">
        <v>14140400</v>
      </c>
      <c r="G438">
        <v>86.88</v>
      </c>
      <c r="H438" s="93">
        <f t="shared" si="6"/>
        <v>-2.1295572169899898E-2</v>
      </c>
    </row>
    <row r="439" spans="1:11" ht="15" x14ac:dyDescent="0.2">
      <c r="A439" s="92">
        <v>27576</v>
      </c>
      <c r="B439">
        <v>95.19</v>
      </c>
      <c r="C439">
        <v>96.58</v>
      </c>
      <c r="D439">
        <v>87.68</v>
      </c>
      <c r="E439">
        <v>88.75</v>
      </c>
      <c r="F439">
        <v>20737200</v>
      </c>
      <c r="G439">
        <v>88.75</v>
      </c>
      <c r="H439" s="93">
        <f t="shared" si="6"/>
        <v>-7.0051465907688751E-2</v>
      </c>
    </row>
    <row r="440" spans="1:11" ht="15" x14ac:dyDescent="0.2">
      <c r="A440" s="92">
        <v>27547</v>
      </c>
      <c r="B440">
        <v>91.32</v>
      </c>
      <c r="C440">
        <v>95.85</v>
      </c>
      <c r="D440">
        <v>89.3</v>
      </c>
      <c r="E440">
        <v>95.19</v>
      </c>
      <c r="F440">
        <v>22210900</v>
      </c>
      <c r="G440">
        <v>95.19</v>
      </c>
      <c r="H440" s="93">
        <f t="shared" si="6"/>
        <v>4.3368393138541753E-2</v>
      </c>
    </row>
    <row r="441" spans="1:11" ht="15" x14ac:dyDescent="0.2">
      <c r="A441" s="92">
        <v>27515</v>
      </c>
      <c r="B441">
        <v>87.3</v>
      </c>
      <c r="C441">
        <v>93.51</v>
      </c>
      <c r="D441">
        <v>86.94</v>
      </c>
      <c r="E441">
        <v>91.15</v>
      </c>
      <c r="F441">
        <v>22864700</v>
      </c>
      <c r="G441">
        <v>91.15</v>
      </c>
      <c r="H441" s="93">
        <f t="shared" si="6"/>
        <v>4.3156038279115586E-2</v>
      </c>
    </row>
    <row r="442" spans="1:11" ht="15" x14ac:dyDescent="0.2">
      <c r="A442" s="92">
        <v>27485</v>
      </c>
      <c r="B442">
        <v>83.36</v>
      </c>
      <c r="C442">
        <v>88.79</v>
      </c>
      <c r="D442">
        <v>79.66</v>
      </c>
      <c r="E442">
        <v>87.3</v>
      </c>
      <c r="F442">
        <v>21336800</v>
      </c>
      <c r="G442">
        <v>87.3</v>
      </c>
      <c r="H442" s="93">
        <f t="shared" si="6"/>
        <v>4.618188484049969E-2</v>
      </c>
    </row>
    <row r="443" spans="1:11" ht="15" x14ac:dyDescent="0.2">
      <c r="A443" s="92">
        <v>27456</v>
      </c>
      <c r="B443">
        <v>81.59</v>
      </c>
      <c r="C443">
        <v>87.08</v>
      </c>
      <c r="D443">
        <v>80.08</v>
      </c>
      <c r="E443">
        <v>83.36</v>
      </c>
      <c r="F443">
        <v>23494000</v>
      </c>
      <c r="G443">
        <v>83.36</v>
      </c>
      <c r="H443" s="93">
        <f t="shared" si="6"/>
        <v>2.1461872564347919E-2</v>
      </c>
    </row>
    <row r="444" spans="1:11" ht="15" x14ac:dyDescent="0.2">
      <c r="A444" s="92">
        <v>27428</v>
      </c>
      <c r="B444">
        <v>76.98</v>
      </c>
      <c r="C444">
        <v>83.56</v>
      </c>
      <c r="D444">
        <v>76</v>
      </c>
      <c r="E444">
        <v>81.59</v>
      </c>
      <c r="F444">
        <v>23221000</v>
      </c>
      <c r="G444">
        <v>81.59</v>
      </c>
      <c r="H444" s="93">
        <f t="shared" si="6"/>
        <v>5.8161057585108714E-2</v>
      </c>
    </row>
    <row r="445" spans="1:11" ht="15" x14ac:dyDescent="0.2">
      <c r="A445" s="92">
        <v>27396</v>
      </c>
      <c r="B445">
        <v>68.650000000000006</v>
      </c>
      <c r="C445">
        <v>78.69</v>
      </c>
      <c r="D445">
        <v>68.650000000000006</v>
      </c>
      <c r="E445">
        <v>76.98</v>
      </c>
      <c r="F445">
        <v>20781300</v>
      </c>
      <c r="G445">
        <v>76.98</v>
      </c>
      <c r="H445" s="93">
        <f t="shared" si="6"/>
        <v>0.11583637356607571</v>
      </c>
      <c r="I445" s="93"/>
    </row>
    <row r="446" spans="1:11" ht="15" x14ac:dyDescent="0.2">
      <c r="A446" s="92">
        <v>27365</v>
      </c>
      <c r="B446">
        <v>69.8</v>
      </c>
      <c r="C446">
        <v>69.8</v>
      </c>
      <c r="D446">
        <v>64.13</v>
      </c>
      <c r="E446">
        <v>68.56</v>
      </c>
      <c r="F446">
        <v>16005700</v>
      </c>
      <c r="G446">
        <v>68.56</v>
      </c>
      <c r="H446" s="93">
        <f t="shared" si="6"/>
        <v>-2.0357304468280935E-2</v>
      </c>
      <c r="K446" s="97">
        <f>LN(G434/G446)</f>
        <v>0.27420928188809235</v>
      </c>
    </row>
    <row r="447" spans="1:11" ht="15" x14ac:dyDescent="0.2">
      <c r="A447" s="92">
        <v>27334</v>
      </c>
      <c r="B447">
        <v>73.900000000000006</v>
      </c>
      <c r="C447">
        <v>77.41</v>
      </c>
      <c r="D447">
        <v>66.849999999999994</v>
      </c>
      <c r="E447">
        <v>69.97</v>
      </c>
      <c r="F447">
        <v>14709500</v>
      </c>
      <c r="G447">
        <v>69.97</v>
      </c>
      <c r="H447" s="93">
        <f t="shared" si="6"/>
        <v>-5.4646249196350832E-2</v>
      </c>
    </row>
    <row r="448" spans="1:11" ht="15" x14ac:dyDescent="0.2">
      <c r="A448" s="92">
        <v>27303</v>
      </c>
      <c r="B448">
        <v>63.54</v>
      </c>
      <c r="C448">
        <v>75.900000000000006</v>
      </c>
      <c r="D448">
        <v>60.96</v>
      </c>
      <c r="E448">
        <v>73.900000000000006</v>
      </c>
      <c r="F448">
        <v>17214700</v>
      </c>
      <c r="G448">
        <v>73.900000000000006</v>
      </c>
      <c r="H448" s="93">
        <f t="shared" si="6"/>
        <v>0.15104319911278605</v>
      </c>
    </row>
    <row r="449" spans="1:11" ht="15" x14ac:dyDescent="0.2">
      <c r="A449" s="92">
        <v>27275</v>
      </c>
      <c r="B449">
        <v>72.150000000000006</v>
      </c>
      <c r="C449">
        <v>73.010000000000005</v>
      </c>
      <c r="D449">
        <v>62.52</v>
      </c>
      <c r="E449">
        <v>63.54</v>
      </c>
      <c r="F449">
        <v>14752500</v>
      </c>
      <c r="G449">
        <v>63.54</v>
      </c>
      <c r="H449" s="93">
        <f t="shared" si="6"/>
        <v>-0.12707765637850985</v>
      </c>
    </row>
    <row r="450" spans="1:11" ht="15" x14ac:dyDescent="0.2">
      <c r="A450" s="92">
        <v>27242</v>
      </c>
      <c r="B450">
        <v>79.31</v>
      </c>
      <c r="C450">
        <v>83.53</v>
      </c>
      <c r="D450">
        <v>69.37</v>
      </c>
      <c r="E450">
        <v>72.150000000000006</v>
      </c>
      <c r="F450">
        <v>13469500</v>
      </c>
      <c r="G450">
        <v>72.150000000000006</v>
      </c>
      <c r="H450" s="93">
        <f t="shared" ref="H450:H513" si="7">LN(G450/G451)</f>
        <v>-9.4616938875348361E-2</v>
      </c>
    </row>
    <row r="451" spans="1:11" ht="15" x14ac:dyDescent="0.2">
      <c r="A451" s="92">
        <v>27211</v>
      </c>
      <c r="B451">
        <v>86</v>
      </c>
      <c r="C451">
        <v>86.89</v>
      </c>
      <c r="D451">
        <v>78.959999999999994</v>
      </c>
      <c r="E451">
        <v>79.31</v>
      </c>
      <c r="F451">
        <v>12956800</v>
      </c>
      <c r="G451">
        <v>79.31</v>
      </c>
      <c r="H451" s="93">
        <f t="shared" si="7"/>
        <v>-8.0983072158279476E-2</v>
      </c>
    </row>
    <row r="452" spans="1:11" ht="15" x14ac:dyDescent="0.2">
      <c r="A452" s="92">
        <v>27183</v>
      </c>
      <c r="B452">
        <v>87.28</v>
      </c>
      <c r="C452">
        <v>93.76</v>
      </c>
      <c r="D452">
        <v>85.13</v>
      </c>
      <c r="E452">
        <v>86</v>
      </c>
      <c r="F452">
        <v>12867500</v>
      </c>
      <c r="G452">
        <v>86</v>
      </c>
      <c r="H452" s="93">
        <f t="shared" si="7"/>
        <v>-1.4774045271307656E-2</v>
      </c>
    </row>
    <row r="453" spans="1:11" ht="15" x14ac:dyDescent="0.2">
      <c r="A453" s="92">
        <v>27150</v>
      </c>
      <c r="B453">
        <v>90.31</v>
      </c>
      <c r="C453">
        <v>93.59</v>
      </c>
      <c r="D453">
        <v>85.87</v>
      </c>
      <c r="E453">
        <v>87.28</v>
      </c>
      <c r="F453">
        <v>12998100</v>
      </c>
      <c r="G453">
        <v>87.28</v>
      </c>
      <c r="H453" s="93">
        <f t="shared" si="7"/>
        <v>-3.4126854737892037E-2</v>
      </c>
    </row>
    <row r="454" spans="1:11" ht="15" x14ac:dyDescent="0.2">
      <c r="A454" s="92">
        <v>27120</v>
      </c>
      <c r="B454">
        <v>93.98</v>
      </c>
      <c r="C454">
        <v>95.42</v>
      </c>
      <c r="D454">
        <v>88.62</v>
      </c>
      <c r="E454">
        <v>90.31</v>
      </c>
      <c r="F454">
        <v>12630900</v>
      </c>
      <c r="G454">
        <v>90.31</v>
      </c>
      <c r="H454" s="93">
        <f t="shared" si="7"/>
        <v>-3.9833797411962253E-2</v>
      </c>
    </row>
    <row r="455" spans="1:11" ht="15" x14ac:dyDescent="0.2">
      <c r="A455" s="92">
        <v>27089</v>
      </c>
      <c r="B455">
        <v>96.22</v>
      </c>
      <c r="C455">
        <v>101.05</v>
      </c>
      <c r="D455">
        <v>93.44</v>
      </c>
      <c r="E455">
        <v>93.98</v>
      </c>
      <c r="F455">
        <v>15321400</v>
      </c>
      <c r="G455">
        <v>93.98</v>
      </c>
      <c r="H455" s="93">
        <f t="shared" si="7"/>
        <v>-2.3555242596637976E-2</v>
      </c>
    </row>
    <row r="456" spans="1:11" ht="15" x14ac:dyDescent="0.2">
      <c r="A456" s="92">
        <v>27061</v>
      </c>
      <c r="B456">
        <v>96.57</v>
      </c>
      <c r="C456">
        <v>97.43</v>
      </c>
      <c r="D456">
        <v>89.53</v>
      </c>
      <c r="E456">
        <v>96.22</v>
      </c>
      <c r="F456">
        <v>14236300</v>
      </c>
      <c r="G456">
        <v>96.22</v>
      </c>
      <c r="H456" s="93">
        <f t="shared" si="7"/>
        <v>-3.6308977075188197E-3</v>
      </c>
    </row>
    <row r="457" spans="1:11" ht="15" x14ac:dyDescent="0.2">
      <c r="A457" s="92">
        <v>27031</v>
      </c>
      <c r="B457">
        <v>97.55</v>
      </c>
      <c r="C457">
        <v>100.94</v>
      </c>
      <c r="D457">
        <v>91.62</v>
      </c>
      <c r="E457">
        <v>96.57</v>
      </c>
      <c r="F457">
        <v>17144000</v>
      </c>
      <c r="G457">
        <v>96.57</v>
      </c>
      <c r="H457" s="93">
        <f t="shared" si="7"/>
        <v>-1.0096933090293792E-2</v>
      </c>
      <c r="I457" s="93"/>
    </row>
    <row r="458" spans="1:11" ht="15" x14ac:dyDescent="0.2">
      <c r="A458" s="92">
        <v>27001</v>
      </c>
      <c r="B458">
        <v>95.83</v>
      </c>
      <c r="C458">
        <v>99.09</v>
      </c>
      <c r="D458">
        <v>91.05</v>
      </c>
      <c r="E458">
        <v>97.55</v>
      </c>
      <c r="F458">
        <v>20392500</v>
      </c>
      <c r="G458">
        <v>97.55</v>
      </c>
      <c r="H458" s="93">
        <f t="shared" si="7"/>
        <v>1.6433629097626409E-2</v>
      </c>
      <c r="K458" s="97">
        <f>LN(G446/G458)</f>
        <v>-0.35265579277959586</v>
      </c>
    </row>
    <row r="459" spans="1:11" ht="15" x14ac:dyDescent="0.2">
      <c r="A459" s="92">
        <v>26969</v>
      </c>
      <c r="B459">
        <v>108.29</v>
      </c>
      <c r="C459">
        <v>109.2</v>
      </c>
      <c r="D459">
        <v>94.88</v>
      </c>
      <c r="E459">
        <v>95.96</v>
      </c>
      <c r="F459">
        <v>19775200</v>
      </c>
      <c r="G459">
        <v>95.96</v>
      </c>
      <c r="H459" s="93">
        <f t="shared" si="7"/>
        <v>-0.12088137566879437</v>
      </c>
    </row>
    <row r="460" spans="1:11" ht="15" x14ac:dyDescent="0.2">
      <c r="A460" s="92">
        <v>26938</v>
      </c>
      <c r="B460">
        <v>108.43</v>
      </c>
      <c r="C460">
        <v>112.82</v>
      </c>
      <c r="D460">
        <v>107.08</v>
      </c>
      <c r="E460">
        <v>108.29</v>
      </c>
      <c r="F460">
        <v>19164700</v>
      </c>
      <c r="G460">
        <v>108.29</v>
      </c>
      <c r="H460" s="93">
        <f t="shared" si="7"/>
        <v>-1.2919898438024683E-3</v>
      </c>
    </row>
    <row r="461" spans="1:11" ht="15" x14ac:dyDescent="0.2">
      <c r="A461" s="92">
        <v>26911</v>
      </c>
      <c r="B461">
        <v>104.25</v>
      </c>
      <c r="C461">
        <v>110.45</v>
      </c>
      <c r="D461">
        <v>102.13</v>
      </c>
      <c r="E461">
        <v>108.43</v>
      </c>
      <c r="F461">
        <v>18177300</v>
      </c>
      <c r="G461">
        <v>108.43</v>
      </c>
      <c r="H461" s="93">
        <f t="shared" si="7"/>
        <v>3.9312942805179739E-2</v>
      </c>
    </row>
    <row r="462" spans="1:11" ht="15" x14ac:dyDescent="0.2">
      <c r="A462" s="92">
        <v>26877</v>
      </c>
      <c r="B462">
        <v>108.17</v>
      </c>
      <c r="C462">
        <v>108.17</v>
      </c>
      <c r="D462">
        <v>99.74</v>
      </c>
      <c r="E462">
        <v>104.25</v>
      </c>
      <c r="F462">
        <v>12390800</v>
      </c>
      <c r="G462">
        <v>104.25</v>
      </c>
      <c r="H462" s="93">
        <f t="shared" si="7"/>
        <v>-3.7374331535678373E-2</v>
      </c>
    </row>
    <row r="463" spans="1:11" ht="15" x14ac:dyDescent="0.2">
      <c r="A463" s="92">
        <v>26847</v>
      </c>
      <c r="B463">
        <v>104.1</v>
      </c>
      <c r="C463">
        <v>111.04</v>
      </c>
      <c r="D463">
        <v>100.44</v>
      </c>
      <c r="E463">
        <v>108.22</v>
      </c>
      <c r="F463">
        <v>15300400</v>
      </c>
      <c r="G463">
        <v>108.22</v>
      </c>
      <c r="H463" s="93">
        <f t="shared" si="7"/>
        <v>3.7278412874629255E-2</v>
      </c>
    </row>
    <row r="464" spans="1:11" ht="15" x14ac:dyDescent="0.2">
      <c r="A464" s="92">
        <v>26816</v>
      </c>
      <c r="B464">
        <v>104.95</v>
      </c>
      <c r="C464">
        <v>109.52</v>
      </c>
      <c r="D464">
        <v>101.45</v>
      </c>
      <c r="E464">
        <v>104.26</v>
      </c>
      <c r="F464">
        <v>13308000</v>
      </c>
      <c r="G464">
        <v>104.26</v>
      </c>
      <c r="H464" s="93">
        <f t="shared" si="7"/>
        <v>-6.5962669266821086E-3</v>
      </c>
    </row>
    <row r="465" spans="1:11" ht="15" x14ac:dyDescent="0.2">
      <c r="A465" s="92">
        <v>26785</v>
      </c>
      <c r="B465">
        <v>106.97</v>
      </c>
      <c r="C465">
        <v>112.25</v>
      </c>
      <c r="D465">
        <v>101.36</v>
      </c>
      <c r="E465">
        <v>104.95</v>
      </c>
      <c r="F465">
        <v>15884000</v>
      </c>
      <c r="G465">
        <v>104.95</v>
      </c>
      <c r="H465" s="93">
        <f t="shared" si="7"/>
        <v>-1.9064375051397429E-2</v>
      </c>
    </row>
    <row r="466" spans="1:11" ht="15" x14ac:dyDescent="0.2">
      <c r="A466" s="92">
        <v>26756</v>
      </c>
      <c r="B466">
        <v>111.52</v>
      </c>
      <c r="C466">
        <v>113.65</v>
      </c>
      <c r="D466">
        <v>105.44</v>
      </c>
      <c r="E466">
        <v>106.97</v>
      </c>
      <c r="F466">
        <v>14640500</v>
      </c>
      <c r="G466">
        <v>106.97</v>
      </c>
      <c r="H466" s="93">
        <f t="shared" si="7"/>
        <v>-4.1655525694174252E-2</v>
      </c>
    </row>
    <row r="467" spans="1:11" ht="15" x14ac:dyDescent="0.2">
      <c r="A467" s="92">
        <v>26724</v>
      </c>
      <c r="B467">
        <v>111.68</v>
      </c>
      <c r="C467">
        <v>115.61</v>
      </c>
      <c r="D467">
        <v>107.41</v>
      </c>
      <c r="E467">
        <v>111.52</v>
      </c>
      <c r="F467">
        <v>16233600</v>
      </c>
      <c r="G467">
        <v>111.52</v>
      </c>
      <c r="H467" s="93">
        <f t="shared" si="7"/>
        <v>-1.4336920018486968E-3</v>
      </c>
    </row>
    <row r="468" spans="1:11" ht="15" x14ac:dyDescent="0.2">
      <c r="A468" s="92">
        <v>26696</v>
      </c>
      <c r="B468">
        <v>116.03</v>
      </c>
      <c r="C468">
        <v>118.98</v>
      </c>
      <c r="D468">
        <v>109.8</v>
      </c>
      <c r="E468">
        <v>111.68</v>
      </c>
      <c r="F468">
        <v>17691500</v>
      </c>
      <c r="G468">
        <v>111.68</v>
      </c>
      <c r="H468" s="93">
        <f t="shared" si="7"/>
        <v>-3.8211139345391713E-2</v>
      </c>
    </row>
    <row r="469" spans="1:11" ht="15" x14ac:dyDescent="0.2">
      <c r="A469" s="92">
        <v>26666</v>
      </c>
      <c r="B469">
        <v>118.06</v>
      </c>
      <c r="C469">
        <v>121.74</v>
      </c>
      <c r="D469">
        <v>114.97</v>
      </c>
      <c r="E469">
        <v>116.03</v>
      </c>
      <c r="F469">
        <v>19458000</v>
      </c>
      <c r="G469">
        <v>116.03</v>
      </c>
      <c r="H469" s="93">
        <f t="shared" si="7"/>
        <v>-1.7259485172067785E-2</v>
      </c>
      <c r="I469" s="93"/>
    </row>
    <row r="470" spans="1:11" ht="15" x14ac:dyDescent="0.2">
      <c r="A470" s="92">
        <v>26634</v>
      </c>
      <c r="B470">
        <v>116.67</v>
      </c>
      <c r="C470">
        <v>119.79</v>
      </c>
      <c r="D470">
        <v>114.63</v>
      </c>
      <c r="E470">
        <v>118.05</v>
      </c>
      <c r="F470">
        <v>19593600</v>
      </c>
      <c r="G470">
        <v>118.05</v>
      </c>
      <c r="H470" s="93">
        <f t="shared" si="7"/>
        <v>1.1758826695756243E-2</v>
      </c>
      <c r="K470" s="97">
        <f>LN(G458/G470)</f>
        <v>-0.19074319646240165</v>
      </c>
    </row>
    <row r="471" spans="1:11" ht="15" x14ac:dyDescent="0.2">
      <c r="A471" s="92">
        <v>26604</v>
      </c>
      <c r="B471">
        <v>111.58</v>
      </c>
      <c r="C471">
        <v>117.91</v>
      </c>
      <c r="D471">
        <v>111.32</v>
      </c>
      <c r="E471">
        <v>116.67</v>
      </c>
      <c r="F471">
        <v>21245500</v>
      </c>
      <c r="G471">
        <v>116.67</v>
      </c>
      <c r="H471" s="93">
        <f t="shared" si="7"/>
        <v>4.4607614418383339E-2</v>
      </c>
    </row>
    <row r="472" spans="1:11" ht="15" x14ac:dyDescent="0.2">
      <c r="A472" s="92">
        <v>26574</v>
      </c>
      <c r="B472">
        <v>110.55</v>
      </c>
      <c r="C472">
        <v>112.26</v>
      </c>
      <c r="D472">
        <v>106.27</v>
      </c>
      <c r="E472">
        <v>111.58</v>
      </c>
      <c r="F472">
        <v>15125000</v>
      </c>
      <c r="G472">
        <v>111.58</v>
      </c>
      <c r="H472" s="93">
        <f t="shared" si="7"/>
        <v>9.2739151139270958E-3</v>
      </c>
    </row>
    <row r="473" spans="1:11" ht="15" x14ac:dyDescent="0.2">
      <c r="A473" s="92">
        <v>26543</v>
      </c>
      <c r="B473">
        <v>111.09</v>
      </c>
      <c r="C473">
        <v>112.12</v>
      </c>
      <c r="D473">
        <v>107.35</v>
      </c>
      <c r="E473">
        <v>110.55</v>
      </c>
      <c r="F473">
        <v>13122000</v>
      </c>
      <c r="G473">
        <v>110.55</v>
      </c>
      <c r="H473" s="93">
        <f t="shared" si="7"/>
        <v>-4.8727762901757711E-3</v>
      </c>
    </row>
    <row r="474" spans="1:11" ht="15" x14ac:dyDescent="0.2">
      <c r="A474" s="92">
        <v>26512</v>
      </c>
      <c r="B474">
        <v>107.39</v>
      </c>
      <c r="C474">
        <v>113.45</v>
      </c>
      <c r="D474">
        <v>107.06</v>
      </c>
      <c r="E474">
        <v>111.09</v>
      </c>
      <c r="F474">
        <v>16055200</v>
      </c>
      <c r="G474">
        <v>111.09</v>
      </c>
      <c r="H474" s="93">
        <f t="shared" si="7"/>
        <v>3.3873615723505897E-2</v>
      </c>
    </row>
    <row r="475" spans="1:11" ht="15" x14ac:dyDescent="0.2">
      <c r="A475" s="92">
        <v>26483</v>
      </c>
      <c r="B475">
        <v>107.14</v>
      </c>
      <c r="C475">
        <v>110.27</v>
      </c>
      <c r="D475">
        <v>104.43</v>
      </c>
      <c r="E475">
        <v>107.39</v>
      </c>
      <c r="F475">
        <v>15001000</v>
      </c>
      <c r="G475">
        <v>107.39</v>
      </c>
      <c r="H475" s="93">
        <f t="shared" si="7"/>
        <v>2.3306774173108944E-3</v>
      </c>
    </row>
    <row r="476" spans="1:11" ht="15" x14ac:dyDescent="0.2">
      <c r="A476" s="92">
        <v>26451</v>
      </c>
      <c r="B476">
        <v>109.53</v>
      </c>
      <c r="C476">
        <v>110.51</v>
      </c>
      <c r="D476">
        <v>105.94</v>
      </c>
      <c r="E476">
        <v>107.14</v>
      </c>
      <c r="F476">
        <v>14880400</v>
      </c>
      <c r="G476">
        <v>107.14</v>
      </c>
      <c r="H476" s="93">
        <f t="shared" si="7"/>
        <v>-2.2062093882840899E-2</v>
      </c>
    </row>
    <row r="477" spans="1:11" ht="15" x14ac:dyDescent="0.2">
      <c r="A477" s="92">
        <v>26420</v>
      </c>
      <c r="B477">
        <v>107.67</v>
      </c>
      <c r="C477">
        <v>111.48</v>
      </c>
      <c r="D477">
        <v>103.83</v>
      </c>
      <c r="E477">
        <v>109.53</v>
      </c>
      <c r="F477">
        <v>15958100</v>
      </c>
      <c r="G477">
        <v>109.53</v>
      </c>
      <c r="H477" s="93">
        <f t="shared" si="7"/>
        <v>1.7127490508029572E-2</v>
      </c>
    </row>
    <row r="478" spans="1:11" ht="15" x14ac:dyDescent="0.2">
      <c r="A478" s="92">
        <v>26392</v>
      </c>
      <c r="B478">
        <v>107.2</v>
      </c>
      <c r="C478">
        <v>111.11</v>
      </c>
      <c r="D478">
        <v>106.18</v>
      </c>
      <c r="E478">
        <v>107.67</v>
      </c>
      <c r="F478">
        <v>19107500</v>
      </c>
      <c r="G478">
        <v>107.67</v>
      </c>
      <c r="H478" s="93">
        <f t="shared" si="7"/>
        <v>4.374745190924032E-3</v>
      </c>
    </row>
    <row r="479" spans="1:11" ht="15" x14ac:dyDescent="0.2">
      <c r="A479" s="92">
        <v>26359</v>
      </c>
      <c r="B479">
        <v>106.57</v>
      </c>
      <c r="C479">
        <v>109.75</v>
      </c>
      <c r="D479">
        <v>105.86</v>
      </c>
      <c r="E479">
        <v>107.2</v>
      </c>
      <c r="F479">
        <v>19000400</v>
      </c>
      <c r="G479">
        <v>107.2</v>
      </c>
      <c r="H479" s="93">
        <f t="shared" si="7"/>
        <v>5.8942024038369737E-3</v>
      </c>
    </row>
    <row r="480" spans="1:11" ht="15" x14ac:dyDescent="0.2">
      <c r="A480" s="92">
        <v>26330</v>
      </c>
      <c r="B480">
        <v>103.94</v>
      </c>
      <c r="C480">
        <v>107.16</v>
      </c>
      <c r="D480">
        <v>103.1</v>
      </c>
      <c r="E480">
        <v>106.57</v>
      </c>
      <c r="F480">
        <v>19829000</v>
      </c>
      <c r="G480">
        <v>106.57</v>
      </c>
      <c r="H480" s="93">
        <f t="shared" si="7"/>
        <v>2.4988236652569062E-2</v>
      </c>
    </row>
    <row r="481" spans="1:11" ht="15" x14ac:dyDescent="0.2">
      <c r="A481" s="92">
        <v>26301</v>
      </c>
      <c r="B481">
        <v>102.09</v>
      </c>
      <c r="C481">
        <v>105</v>
      </c>
      <c r="D481">
        <v>100.87</v>
      </c>
      <c r="E481">
        <v>103.94</v>
      </c>
      <c r="F481">
        <v>18940000</v>
      </c>
      <c r="G481">
        <v>103.94</v>
      </c>
      <c r="H481" s="93">
        <f t="shared" si="7"/>
        <v>1.7959032399371778E-2</v>
      </c>
      <c r="I481" s="93"/>
    </row>
    <row r="482" spans="1:11" ht="15" x14ac:dyDescent="0.2">
      <c r="A482" s="92">
        <v>26268</v>
      </c>
      <c r="B482">
        <v>93.99</v>
      </c>
      <c r="C482">
        <v>102.21</v>
      </c>
      <c r="D482">
        <v>93.95</v>
      </c>
      <c r="E482">
        <v>102.09</v>
      </c>
      <c r="F482">
        <v>17805400</v>
      </c>
      <c r="G482">
        <v>102.09</v>
      </c>
      <c r="H482" s="93">
        <f t="shared" si="7"/>
        <v>8.2666383548714126E-2</v>
      </c>
      <c r="K482" s="97">
        <f>LN(G470/G482)</f>
        <v>0.14525348635059787</v>
      </c>
    </row>
    <row r="483" spans="1:11" ht="15" x14ac:dyDescent="0.2">
      <c r="A483" s="92">
        <v>26238</v>
      </c>
      <c r="B483">
        <v>94.23</v>
      </c>
      <c r="C483">
        <v>96.08</v>
      </c>
      <c r="D483">
        <v>89.34</v>
      </c>
      <c r="E483">
        <v>93.99</v>
      </c>
      <c r="F483">
        <v>14034700</v>
      </c>
      <c r="G483">
        <v>93.99</v>
      </c>
      <c r="H483" s="93">
        <f t="shared" si="7"/>
        <v>-2.5502085864549454E-3</v>
      </c>
    </row>
    <row r="484" spans="1:11" ht="15" x14ac:dyDescent="0.2">
      <c r="A484" s="92">
        <v>26207</v>
      </c>
      <c r="B484">
        <v>98.34</v>
      </c>
      <c r="C484">
        <v>100.96</v>
      </c>
      <c r="D484">
        <v>92.96</v>
      </c>
      <c r="E484">
        <v>94.23</v>
      </c>
      <c r="F484">
        <v>13894700</v>
      </c>
      <c r="G484">
        <v>94.23</v>
      </c>
      <c r="H484" s="93">
        <f t="shared" si="7"/>
        <v>-4.2692259765128478E-2</v>
      </c>
    </row>
    <row r="485" spans="1:11" ht="15" x14ac:dyDescent="0.2">
      <c r="A485" s="92">
        <v>26177</v>
      </c>
      <c r="B485">
        <v>99.03</v>
      </c>
      <c r="C485">
        <v>102.25</v>
      </c>
      <c r="D485">
        <v>96.97</v>
      </c>
      <c r="E485">
        <v>98.34</v>
      </c>
      <c r="F485">
        <v>12676600</v>
      </c>
      <c r="G485">
        <v>98.34</v>
      </c>
      <c r="H485" s="93">
        <f t="shared" si="7"/>
        <v>-6.9919725494180067E-3</v>
      </c>
    </row>
    <row r="486" spans="1:11" ht="15" x14ac:dyDescent="0.2">
      <c r="A486" s="92">
        <v>26147</v>
      </c>
      <c r="B486">
        <v>95.58</v>
      </c>
      <c r="C486">
        <v>101.51</v>
      </c>
      <c r="D486">
        <v>92.81</v>
      </c>
      <c r="E486">
        <v>99.03</v>
      </c>
      <c r="F486">
        <v>15043100</v>
      </c>
      <c r="G486">
        <v>99.03</v>
      </c>
      <c r="H486" s="93">
        <f t="shared" si="7"/>
        <v>3.5459241383199218E-2</v>
      </c>
    </row>
    <row r="487" spans="1:11" ht="15" x14ac:dyDescent="0.2">
      <c r="A487" s="92">
        <v>26115</v>
      </c>
      <c r="B487">
        <v>99.16</v>
      </c>
      <c r="C487">
        <v>101.52</v>
      </c>
      <c r="D487">
        <v>95.08</v>
      </c>
      <c r="E487">
        <v>95.58</v>
      </c>
      <c r="F487">
        <v>13248000</v>
      </c>
      <c r="G487">
        <v>95.58</v>
      </c>
      <c r="H487" s="93">
        <f t="shared" si="7"/>
        <v>-3.2121353289423837E-2</v>
      </c>
    </row>
    <row r="488" spans="1:11" ht="15" x14ac:dyDescent="0.2">
      <c r="A488" s="92">
        <v>26085</v>
      </c>
      <c r="B488">
        <v>99.63</v>
      </c>
      <c r="C488">
        <v>102.07</v>
      </c>
      <c r="D488">
        <v>96.92</v>
      </c>
      <c r="E488">
        <v>98.7</v>
      </c>
      <c r="F488">
        <v>14500000</v>
      </c>
      <c r="G488">
        <v>98.7</v>
      </c>
      <c r="H488" s="93">
        <f t="shared" si="7"/>
        <v>-9.3783776173289451E-3</v>
      </c>
    </row>
    <row r="489" spans="1:11" ht="15" x14ac:dyDescent="0.2">
      <c r="A489" s="92">
        <v>26056</v>
      </c>
      <c r="B489">
        <v>103.95</v>
      </c>
      <c r="C489">
        <v>104.42</v>
      </c>
      <c r="D489">
        <v>98.68</v>
      </c>
      <c r="E489">
        <v>99.63</v>
      </c>
      <c r="F489">
        <v>15956000</v>
      </c>
      <c r="G489">
        <v>99.63</v>
      </c>
      <c r="H489" s="93">
        <f t="shared" si="7"/>
        <v>-4.2446690247257168E-2</v>
      </c>
    </row>
    <row r="490" spans="1:11" ht="15" x14ac:dyDescent="0.2">
      <c r="A490" s="92">
        <v>26024</v>
      </c>
      <c r="B490">
        <v>100.31</v>
      </c>
      <c r="C490">
        <v>105.6</v>
      </c>
      <c r="D490">
        <v>99.63</v>
      </c>
      <c r="E490">
        <v>103.95</v>
      </c>
      <c r="F490">
        <v>19955700</v>
      </c>
      <c r="G490">
        <v>103.95</v>
      </c>
      <c r="H490" s="93">
        <f t="shared" si="7"/>
        <v>3.5644623408628145E-2</v>
      </c>
    </row>
    <row r="491" spans="1:11" ht="15" x14ac:dyDescent="0.2">
      <c r="A491" s="92">
        <v>25993</v>
      </c>
      <c r="B491">
        <v>96.75</v>
      </c>
      <c r="C491">
        <v>102.03</v>
      </c>
      <c r="D491">
        <v>96.11</v>
      </c>
      <c r="E491">
        <v>100.31</v>
      </c>
      <c r="F491">
        <v>17716900</v>
      </c>
      <c r="G491">
        <v>100.31</v>
      </c>
      <c r="H491" s="93">
        <f t="shared" si="7"/>
        <v>3.6135058985502573E-2</v>
      </c>
    </row>
    <row r="492" spans="1:11" ht="15" x14ac:dyDescent="0.2">
      <c r="A492" s="92">
        <v>25965</v>
      </c>
      <c r="B492">
        <v>95.88</v>
      </c>
      <c r="C492">
        <v>99.59</v>
      </c>
      <c r="D492">
        <v>94.92</v>
      </c>
      <c r="E492">
        <v>96.75</v>
      </c>
      <c r="F492">
        <v>20444200</v>
      </c>
      <c r="G492">
        <v>96.75</v>
      </c>
      <c r="H492" s="93">
        <f t="shared" si="7"/>
        <v>9.0329223437076445E-3</v>
      </c>
    </row>
    <row r="493" spans="1:11" ht="15" x14ac:dyDescent="0.2">
      <c r="A493" s="92">
        <v>25937</v>
      </c>
      <c r="B493">
        <v>92.15</v>
      </c>
      <c r="C493">
        <v>96.49</v>
      </c>
      <c r="D493">
        <v>90.64</v>
      </c>
      <c r="E493">
        <v>95.88</v>
      </c>
      <c r="F493">
        <v>18472500</v>
      </c>
      <c r="G493">
        <v>95.88</v>
      </c>
      <c r="H493" s="93">
        <f t="shared" si="7"/>
        <v>3.9679725450351158E-2</v>
      </c>
      <c r="I493" s="93"/>
    </row>
    <row r="494" spans="1:11" ht="15" x14ac:dyDescent="0.2">
      <c r="A494" s="92">
        <v>25903</v>
      </c>
      <c r="B494">
        <v>87.2</v>
      </c>
      <c r="C494">
        <v>92.99</v>
      </c>
      <c r="D494">
        <v>86.11</v>
      </c>
      <c r="E494">
        <v>92.15</v>
      </c>
      <c r="F494">
        <v>15846800</v>
      </c>
      <c r="G494">
        <v>92.15</v>
      </c>
      <c r="H494" s="93">
        <f t="shared" si="7"/>
        <v>5.5213353200898298E-2</v>
      </c>
      <c r="K494" s="97">
        <f>LN(G482/G494)</f>
        <v>0.1024370930650918</v>
      </c>
    </row>
    <row r="495" spans="1:11" ht="15" x14ac:dyDescent="0.2">
      <c r="A495" s="92">
        <v>25874</v>
      </c>
      <c r="B495">
        <v>83.25</v>
      </c>
      <c r="C495">
        <v>87.6</v>
      </c>
      <c r="D495">
        <v>82.23</v>
      </c>
      <c r="E495">
        <v>87.2</v>
      </c>
      <c r="F495">
        <v>12399500</v>
      </c>
      <c r="G495">
        <v>87.2</v>
      </c>
      <c r="H495" s="93">
        <f t="shared" si="7"/>
        <v>4.6356202054380839E-2</v>
      </c>
    </row>
    <row r="496" spans="1:11" ht="15" x14ac:dyDescent="0.2">
      <c r="A496" s="92">
        <v>25842</v>
      </c>
      <c r="B496">
        <v>84.3</v>
      </c>
      <c r="C496">
        <v>87.75</v>
      </c>
      <c r="D496">
        <v>82.29</v>
      </c>
      <c r="E496">
        <v>83.25</v>
      </c>
      <c r="F496">
        <v>12358600</v>
      </c>
      <c r="G496">
        <v>83.25</v>
      </c>
      <c r="H496" s="93">
        <f t="shared" si="7"/>
        <v>-1.253373614725658E-2</v>
      </c>
    </row>
    <row r="497" spans="1:11" ht="15" x14ac:dyDescent="0.2">
      <c r="A497" s="92">
        <v>25812</v>
      </c>
      <c r="B497">
        <v>81.52</v>
      </c>
      <c r="C497">
        <v>84.99</v>
      </c>
      <c r="D497">
        <v>79.95</v>
      </c>
      <c r="E497">
        <v>84.3</v>
      </c>
      <c r="F497">
        <v>15148500</v>
      </c>
      <c r="G497">
        <v>84.3</v>
      </c>
      <c r="H497" s="93">
        <f t="shared" si="7"/>
        <v>3.3533476093340342E-2</v>
      </c>
    </row>
    <row r="498" spans="1:11" ht="15" x14ac:dyDescent="0.2">
      <c r="A498" s="92">
        <v>25783</v>
      </c>
      <c r="B498">
        <v>78.05</v>
      </c>
      <c r="C498">
        <v>82.47</v>
      </c>
      <c r="D498">
        <v>74.13</v>
      </c>
      <c r="E498">
        <v>81.52</v>
      </c>
      <c r="F498">
        <v>10925200</v>
      </c>
      <c r="G498">
        <v>81.52</v>
      </c>
      <c r="H498" s="93">
        <f t="shared" si="7"/>
        <v>4.349874195302824E-2</v>
      </c>
    </row>
    <row r="499" spans="1:11" ht="15" x14ac:dyDescent="0.2">
      <c r="A499" s="92">
        <v>25750</v>
      </c>
      <c r="B499">
        <v>72.72</v>
      </c>
      <c r="C499">
        <v>79.03</v>
      </c>
      <c r="D499">
        <v>70.69</v>
      </c>
      <c r="E499">
        <v>78.05</v>
      </c>
      <c r="F499">
        <v>10880900</v>
      </c>
      <c r="G499">
        <v>78.05</v>
      </c>
      <c r="H499" s="93">
        <f t="shared" si="7"/>
        <v>7.0733197092217676E-2</v>
      </c>
    </row>
    <row r="500" spans="1:11" ht="15" x14ac:dyDescent="0.2">
      <c r="A500" s="92">
        <v>25720</v>
      </c>
      <c r="B500">
        <v>76.55</v>
      </c>
      <c r="C500">
        <v>79.959999999999994</v>
      </c>
      <c r="D500">
        <v>72.25</v>
      </c>
      <c r="E500">
        <v>72.72</v>
      </c>
      <c r="F500">
        <v>10713600</v>
      </c>
      <c r="G500">
        <v>72.72</v>
      </c>
      <c r="H500" s="93">
        <f t="shared" si="7"/>
        <v>-5.1327672234469345E-2</v>
      </c>
    </row>
    <row r="501" spans="1:11" ht="15" x14ac:dyDescent="0.2">
      <c r="A501" s="92">
        <v>25689</v>
      </c>
      <c r="B501">
        <v>81.52</v>
      </c>
      <c r="C501">
        <v>82.32</v>
      </c>
      <c r="D501">
        <v>68.61</v>
      </c>
      <c r="E501">
        <v>76.55</v>
      </c>
      <c r="F501">
        <v>12992800</v>
      </c>
      <c r="G501">
        <v>76.55</v>
      </c>
      <c r="H501" s="93">
        <f t="shared" si="7"/>
        <v>-6.2904266810776599E-2</v>
      </c>
    </row>
    <row r="502" spans="1:11" ht="15" x14ac:dyDescent="0.2">
      <c r="A502" s="92">
        <v>25659</v>
      </c>
      <c r="B502">
        <v>89.63</v>
      </c>
      <c r="C502">
        <v>90.7</v>
      </c>
      <c r="D502">
        <v>79.31</v>
      </c>
      <c r="E502">
        <v>81.52</v>
      </c>
      <c r="F502">
        <v>10590900</v>
      </c>
      <c r="G502">
        <v>81.52</v>
      </c>
      <c r="H502" s="93">
        <f t="shared" si="7"/>
        <v>-9.4841696454800978E-2</v>
      </c>
    </row>
    <row r="503" spans="1:11" ht="15" x14ac:dyDescent="0.2">
      <c r="A503" s="92">
        <v>25629</v>
      </c>
      <c r="B503">
        <v>89.5</v>
      </c>
      <c r="C503">
        <v>91.07</v>
      </c>
      <c r="D503">
        <v>86.19</v>
      </c>
      <c r="E503">
        <v>89.63</v>
      </c>
      <c r="F503">
        <v>10535700</v>
      </c>
      <c r="G503">
        <v>89.63</v>
      </c>
      <c r="H503" s="93">
        <f t="shared" si="7"/>
        <v>1.4514600884606829E-3</v>
      </c>
    </row>
    <row r="504" spans="1:11" ht="15" x14ac:dyDescent="0.2">
      <c r="A504" s="92">
        <v>25601</v>
      </c>
      <c r="B504">
        <v>85.02</v>
      </c>
      <c r="C504">
        <v>90.33</v>
      </c>
      <c r="D504">
        <v>84.64</v>
      </c>
      <c r="E504">
        <v>89.5</v>
      </c>
      <c r="F504">
        <v>12698400</v>
      </c>
      <c r="G504">
        <v>89.5</v>
      </c>
      <c r="H504" s="93">
        <f t="shared" si="7"/>
        <v>5.1352102350165761E-2</v>
      </c>
    </row>
    <row r="505" spans="1:11" ht="15" x14ac:dyDescent="0.2">
      <c r="A505" s="92">
        <v>25570</v>
      </c>
      <c r="B505">
        <v>92.06</v>
      </c>
      <c r="C505">
        <v>94.25</v>
      </c>
      <c r="D505">
        <v>84.42</v>
      </c>
      <c r="E505">
        <v>85.02</v>
      </c>
      <c r="F505">
        <v>11114700</v>
      </c>
      <c r="G505">
        <v>85.02</v>
      </c>
      <c r="H505" s="93">
        <f t="shared" si="7"/>
        <v>-7.9554015458451421E-2</v>
      </c>
      <c r="I505" s="93"/>
    </row>
    <row r="506" spans="1:11" ht="15" x14ac:dyDescent="0.2">
      <c r="A506" s="92">
        <v>25538</v>
      </c>
      <c r="B506">
        <v>93.81</v>
      </c>
      <c r="C506">
        <v>94.47</v>
      </c>
      <c r="D506">
        <v>88.62</v>
      </c>
      <c r="E506">
        <v>92.06</v>
      </c>
      <c r="F506">
        <v>13260400</v>
      </c>
      <c r="G506">
        <v>92.06</v>
      </c>
      <c r="H506" s="93">
        <f t="shared" si="7"/>
        <v>-1.8830921748764207E-2</v>
      </c>
      <c r="K506" s="97">
        <f>LN(G494/G506)</f>
        <v>9.7714572673684649E-4</v>
      </c>
    </row>
    <row r="507" spans="1:11" ht="15" x14ac:dyDescent="0.2">
      <c r="A507" s="92">
        <v>25510</v>
      </c>
      <c r="B507">
        <v>97.12</v>
      </c>
      <c r="C507">
        <v>99.23</v>
      </c>
      <c r="D507">
        <v>92.24</v>
      </c>
      <c r="E507">
        <v>93.81</v>
      </c>
      <c r="F507">
        <v>11692100</v>
      </c>
      <c r="G507">
        <v>93.81</v>
      </c>
      <c r="H507" s="93">
        <f t="shared" si="7"/>
        <v>-3.467586717332851E-2</v>
      </c>
    </row>
    <row r="508" spans="1:11" ht="15" x14ac:dyDescent="0.2">
      <c r="A508" s="92">
        <v>25477</v>
      </c>
      <c r="B508">
        <v>93.12</v>
      </c>
      <c r="C508">
        <v>98.83</v>
      </c>
      <c r="D508">
        <v>91.66</v>
      </c>
      <c r="E508">
        <v>97.12</v>
      </c>
      <c r="F508">
        <v>14052600</v>
      </c>
      <c r="G508">
        <v>97.12</v>
      </c>
      <c r="H508" s="93">
        <f t="shared" si="7"/>
        <v>4.2058343328060507E-2</v>
      </c>
    </row>
    <row r="509" spans="1:11" ht="15" x14ac:dyDescent="0.2">
      <c r="A509" s="92">
        <v>25448</v>
      </c>
      <c r="B509">
        <v>95.51</v>
      </c>
      <c r="C509">
        <v>96.62</v>
      </c>
      <c r="D509">
        <v>91.77</v>
      </c>
      <c r="E509">
        <v>93.12</v>
      </c>
      <c r="F509">
        <v>10872800</v>
      </c>
      <c r="G509">
        <v>93.12</v>
      </c>
      <c r="H509" s="93">
        <f t="shared" si="7"/>
        <v>-2.5341970063518512E-2</v>
      </c>
    </row>
    <row r="510" spans="1:11" ht="15" x14ac:dyDescent="0.2">
      <c r="A510" s="92">
        <v>25416</v>
      </c>
      <c r="B510">
        <v>91.92</v>
      </c>
      <c r="C510">
        <v>96.43</v>
      </c>
      <c r="D510">
        <v>91.48</v>
      </c>
      <c r="E510">
        <v>95.51</v>
      </c>
      <c r="F510">
        <v>10025200</v>
      </c>
      <c r="G510">
        <v>95.51</v>
      </c>
      <c r="H510" s="93">
        <f t="shared" si="7"/>
        <v>3.9291912421215477E-2</v>
      </c>
    </row>
    <row r="511" spans="1:11" ht="15" x14ac:dyDescent="0.2">
      <c r="A511" s="92">
        <v>25385</v>
      </c>
      <c r="B511">
        <v>97.71</v>
      </c>
      <c r="C511">
        <v>100.33</v>
      </c>
      <c r="D511">
        <v>88.04</v>
      </c>
      <c r="E511">
        <v>91.83</v>
      </c>
      <c r="F511">
        <v>11543300</v>
      </c>
      <c r="G511">
        <v>91.83</v>
      </c>
      <c r="H511" s="93">
        <f t="shared" si="7"/>
        <v>-6.2064866330820895E-2</v>
      </c>
    </row>
    <row r="512" spans="1:11" ht="15" x14ac:dyDescent="0.2">
      <c r="A512" s="92">
        <v>25356</v>
      </c>
      <c r="B512">
        <v>103.46</v>
      </c>
      <c r="C512">
        <v>103.75</v>
      </c>
      <c r="D512">
        <v>95.21</v>
      </c>
      <c r="E512">
        <v>97.71</v>
      </c>
      <c r="F512">
        <v>11608000</v>
      </c>
      <c r="G512">
        <v>97.71</v>
      </c>
      <c r="H512" s="93">
        <f t="shared" si="7"/>
        <v>-5.7181156619117171E-2</v>
      </c>
    </row>
    <row r="513" spans="1:11" ht="15" x14ac:dyDescent="0.2">
      <c r="A513" s="92">
        <v>25324</v>
      </c>
      <c r="B513">
        <v>103.69</v>
      </c>
      <c r="C513">
        <v>106.74</v>
      </c>
      <c r="D513">
        <v>102.29</v>
      </c>
      <c r="E513">
        <v>103.46</v>
      </c>
      <c r="F513">
        <v>12778500</v>
      </c>
      <c r="G513">
        <v>103.46</v>
      </c>
      <c r="H513" s="93">
        <f t="shared" si="7"/>
        <v>-2.2206139948177674E-3</v>
      </c>
    </row>
    <row r="514" spans="1:11" ht="15" x14ac:dyDescent="0.2">
      <c r="A514" s="92">
        <v>25294</v>
      </c>
      <c r="B514">
        <v>101.51</v>
      </c>
      <c r="C514">
        <v>104.56</v>
      </c>
      <c r="D514">
        <v>99.08</v>
      </c>
      <c r="E514">
        <v>103.69</v>
      </c>
      <c r="F514">
        <v>12203800</v>
      </c>
      <c r="G514">
        <v>103.69</v>
      </c>
      <c r="H514" s="93">
        <f t="shared" ref="H514:H577" si="8">LN(G514/G515)</f>
        <v>2.124836277384691E-2</v>
      </c>
    </row>
    <row r="515" spans="1:11" ht="15" x14ac:dyDescent="0.2">
      <c r="A515" s="92">
        <v>25265</v>
      </c>
      <c r="B515">
        <v>98.13</v>
      </c>
      <c r="C515">
        <v>102.35</v>
      </c>
      <c r="D515">
        <v>97.06</v>
      </c>
      <c r="E515">
        <v>101.51</v>
      </c>
      <c r="F515">
        <v>10577000</v>
      </c>
      <c r="G515">
        <v>101.51</v>
      </c>
      <c r="H515" s="93">
        <f t="shared" si="8"/>
        <v>3.3864185577937488E-2</v>
      </c>
    </row>
    <row r="516" spans="1:11" ht="15" x14ac:dyDescent="0.2">
      <c r="A516" s="92">
        <v>25237</v>
      </c>
      <c r="B516">
        <v>103.01</v>
      </c>
      <c r="C516">
        <v>104.61</v>
      </c>
      <c r="D516">
        <v>97.36</v>
      </c>
      <c r="E516">
        <v>98.13</v>
      </c>
      <c r="F516">
        <v>12026600</v>
      </c>
      <c r="G516">
        <v>98.13</v>
      </c>
      <c r="H516" s="93">
        <f t="shared" si="8"/>
        <v>-4.8532940677199848E-2</v>
      </c>
    </row>
    <row r="517" spans="1:11" ht="15" x14ac:dyDescent="0.2">
      <c r="A517" s="92">
        <v>25205</v>
      </c>
      <c r="B517">
        <v>103.86</v>
      </c>
      <c r="C517">
        <v>104.87</v>
      </c>
      <c r="D517">
        <v>96.63</v>
      </c>
      <c r="E517">
        <v>103.01</v>
      </c>
      <c r="F517">
        <v>12664500</v>
      </c>
      <c r="G517">
        <v>103.01</v>
      </c>
      <c r="H517" s="93">
        <f t="shared" si="8"/>
        <v>-8.2177675205707644E-3</v>
      </c>
      <c r="I517" s="93"/>
    </row>
    <row r="518" spans="1:11" ht="15" x14ac:dyDescent="0.2">
      <c r="A518" s="92">
        <v>25174</v>
      </c>
      <c r="B518">
        <v>108.37</v>
      </c>
      <c r="C518">
        <v>109.37</v>
      </c>
      <c r="D518">
        <v>102.98</v>
      </c>
      <c r="E518">
        <v>103.86</v>
      </c>
      <c r="F518">
        <v>15589400</v>
      </c>
      <c r="G518">
        <v>103.86</v>
      </c>
      <c r="H518" s="93">
        <f t="shared" si="8"/>
        <v>-4.2507459518730945E-2</v>
      </c>
      <c r="K518" s="97">
        <f>LN(G506/G518)</f>
        <v>-0.12060330002707749</v>
      </c>
    </row>
    <row r="519" spans="1:11" ht="15" x14ac:dyDescent="0.2">
      <c r="A519" s="92">
        <v>25143</v>
      </c>
      <c r="B519">
        <v>103.41</v>
      </c>
      <c r="C519">
        <v>109.09</v>
      </c>
      <c r="D519">
        <v>101.85</v>
      </c>
      <c r="E519">
        <v>108.37</v>
      </c>
      <c r="F519">
        <v>15661100</v>
      </c>
      <c r="G519">
        <v>108.37</v>
      </c>
      <c r="H519" s="93">
        <f t="shared" si="8"/>
        <v>4.6849628738020115E-2</v>
      </c>
    </row>
    <row r="520" spans="1:11" ht="15" x14ac:dyDescent="0.2">
      <c r="A520" s="92">
        <v>25112</v>
      </c>
      <c r="B520">
        <v>102.67</v>
      </c>
      <c r="C520">
        <v>105.78</v>
      </c>
      <c r="D520">
        <v>101.8</v>
      </c>
      <c r="E520">
        <v>103.41</v>
      </c>
      <c r="F520">
        <v>16102700</v>
      </c>
      <c r="G520">
        <v>103.41</v>
      </c>
      <c r="H520" s="93">
        <f t="shared" si="8"/>
        <v>7.1817078860102164E-3</v>
      </c>
    </row>
    <row r="521" spans="1:11" ht="15" x14ac:dyDescent="0.2">
      <c r="A521" s="92">
        <v>25084</v>
      </c>
      <c r="B521">
        <v>98.86</v>
      </c>
      <c r="C521">
        <v>103.63</v>
      </c>
      <c r="D521">
        <v>98.31</v>
      </c>
      <c r="E521">
        <v>102.67</v>
      </c>
      <c r="F521">
        <v>14230000</v>
      </c>
      <c r="G521">
        <v>102.67</v>
      </c>
      <c r="H521" s="93">
        <f t="shared" si="8"/>
        <v>3.7815253432060145E-2</v>
      </c>
    </row>
    <row r="522" spans="1:11" ht="15" x14ac:dyDescent="0.2">
      <c r="A522" s="92">
        <v>25051</v>
      </c>
      <c r="B522">
        <v>97.74</v>
      </c>
      <c r="C522">
        <v>99.67</v>
      </c>
      <c r="D522">
        <v>95.79</v>
      </c>
      <c r="E522">
        <v>98.86</v>
      </c>
      <c r="F522">
        <v>11231100</v>
      </c>
      <c r="G522">
        <v>98.86</v>
      </c>
      <c r="H522" s="93">
        <f t="shared" si="8"/>
        <v>1.1393816036804519E-2</v>
      </c>
    </row>
    <row r="523" spans="1:11" ht="15" x14ac:dyDescent="0.2">
      <c r="A523" s="92">
        <v>25020</v>
      </c>
      <c r="B523">
        <v>99.58</v>
      </c>
      <c r="C523">
        <v>103.67</v>
      </c>
      <c r="D523">
        <v>96.84</v>
      </c>
      <c r="E523">
        <v>97.74</v>
      </c>
      <c r="F523">
        <v>14864700</v>
      </c>
      <c r="G523">
        <v>97.74</v>
      </c>
      <c r="H523" s="93">
        <f t="shared" si="8"/>
        <v>-1.8650449372027981E-2</v>
      </c>
    </row>
    <row r="524" spans="1:11" ht="15" x14ac:dyDescent="0.2">
      <c r="A524" s="92">
        <v>24992</v>
      </c>
      <c r="B524">
        <v>98.72</v>
      </c>
      <c r="C524">
        <v>102.84</v>
      </c>
      <c r="D524">
        <v>98.72</v>
      </c>
      <c r="E524">
        <v>99.58</v>
      </c>
      <c r="F524">
        <v>15842900</v>
      </c>
      <c r="G524">
        <v>99.58</v>
      </c>
      <c r="H524" s="93">
        <f t="shared" si="8"/>
        <v>9.0790495528807365E-3</v>
      </c>
    </row>
    <row r="525" spans="1:11" ht="15" x14ac:dyDescent="0.2">
      <c r="A525" s="92">
        <v>24959</v>
      </c>
      <c r="B525">
        <v>97.46</v>
      </c>
      <c r="C525">
        <v>100.19</v>
      </c>
      <c r="D525">
        <v>95.8</v>
      </c>
      <c r="E525">
        <v>98.68</v>
      </c>
      <c r="F525">
        <v>13866800</v>
      </c>
      <c r="G525">
        <v>98.68</v>
      </c>
      <c r="H525" s="93">
        <f t="shared" si="8"/>
        <v>1.2440254245795961E-2</v>
      </c>
    </row>
    <row r="526" spans="1:11" ht="15" x14ac:dyDescent="0.2">
      <c r="A526" s="92">
        <v>24929</v>
      </c>
      <c r="B526">
        <v>91.11</v>
      </c>
      <c r="C526">
        <v>98.61</v>
      </c>
      <c r="D526">
        <v>91.11</v>
      </c>
      <c r="E526">
        <v>97.46</v>
      </c>
      <c r="F526">
        <v>15490000</v>
      </c>
      <c r="G526">
        <v>97.46</v>
      </c>
      <c r="H526" s="93">
        <f t="shared" si="8"/>
        <v>7.7412610346782013E-2</v>
      </c>
    </row>
    <row r="527" spans="1:11" ht="15" x14ac:dyDescent="0.2">
      <c r="A527" s="92">
        <v>24898</v>
      </c>
      <c r="B527">
        <v>89.36</v>
      </c>
      <c r="C527">
        <v>91.09</v>
      </c>
      <c r="D527">
        <v>86.99</v>
      </c>
      <c r="E527">
        <v>90.2</v>
      </c>
      <c r="F527">
        <v>9600400</v>
      </c>
      <c r="G527">
        <v>90.2</v>
      </c>
      <c r="H527" s="93">
        <f t="shared" si="8"/>
        <v>9.3562723076327931E-3</v>
      </c>
    </row>
    <row r="528" spans="1:11" ht="15" x14ac:dyDescent="0.2">
      <c r="A528" s="92">
        <v>24869</v>
      </c>
      <c r="B528">
        <v>92.24</v>
      </c>
      <c r="C528">
        <v>93.44</v>
      </c>
      <c r="D528">
        <v>86.73</v>
      </c>
      <c r="E528">
        <v>89.36</v>
      </c>
      <c r="F528">
        <v>9583100</v>
      </c>
      <c r="G528">
        <v>89.36</v>
      </c>
      <c r="H528" s="93">
        <f t="shared" si="8"/>
        <v>-3.1720721199858269E-2</v>
      </c>
    </row>
    <row r="529" spans="1:11" ht="15" x14ac:dyDescent="0.2">
      <c r="A529" s="92">
        <v>24839</v>
      </c>
      <c r="B529">
        <v>96.47</v>
      </c>
      <c r="C529">
        <v>97.84</v>
      </c>
      <c r="D529">
        <v>91.27</v>
      </c>
      <c r="E529">
        <v>92.24</v>
      </c>
      <c r="F529">
        <v>12371800</v>
      </c>
      <c r="G529">
        <v>92.24</v>
      </c>
      <c r="H529" s="93">
        <f t="shared" si="8"/>
        <v>-4.4838203221658705E-2</v>
      </c>
      <c r="I529" s="93"/>
    </row>
    <row r="530" spans="1:11" ht="15" x14ac:dyDescent="0.2">
      <c r="A530" s="92">
        <v>24807</v>
      </c>
      <c r="B530">
        <v>94</v>
      </c>
      <c r="C530">
        <v>96.9</v>
      </c>
      <c r="D530">
        <v>93.41</v>
      </c>
      <c r="E530">
        <v>96.47</v>
      </c>
      <c r="F530">
        <v>12220500</v>
      </c>
      <c r="G530">
        <v>96.47</v>
      </c>
      <c r="H530" s="93">
        <f t="shared" si="8"/>
        <v>2.5937296912458354E-2</v>
      </c>
      <c r="K530" s="97">
        <f>LN(G518/G530)</f>
        <v>7.3811759233710639E-2</v>
      </c>
    </row>
    <row r="531" spans="1:11" ht="15" x14ac:dyDescent="0.2">
      <c r="A531" s="92">
        <v>24777</v>
      </c>
      <c r="B531">
        <v>93.3</v>
      </c>
      <c r="C531">
        <v>95.51</v>
      </c>
      <c r="D531">
        <v>90.09</v>
      </c>
      <c r="E531">
        <v>94</v>
      </c>
      <c r="F531">
        <v>11014500</v>
      </c>
      <c r="G531">
        <v>94</v>
      </c>
      <c r="H531" s="93">
        <f t="shared" si="8"/>
        <v>7.4746744167057538E-3</v>
      </c>
    </row>
    <row r="532" spans="1:11" ht="15" x14ac:dyDescent="0.2">
      <c r="A532" s="92">
        <v>24747</v>
      </c>
      <c r="B532">
        <v>96.71</v>
      </c>
      <c r="C532">
        <v>98.25</v>
      </c>
      <c r="D532">
        <v>93.29</v>
      </c>
      <c r="E532">
        <v>93.3</v>
      </c>
      <c r="F532">
        <v>10763600</v>
      </c>
      <c r="G532">
        <v>93.3</v>
      </c>
      <c r="H532" s="93">
        <f t="shared" si="8"/>
        <v>-3.5896701875573631E-2</v>
      </c>
    </row>
    <row r="533" spans="1:11" ht="15" x14ac:dyDescent="0.2">
      <c r="A533" s="92">
        <v>24716</v>
      </c>
      <c r="B533">
        <v>93.64</v>
      </c>
      <c r="C533">
        <v>98.31</v>
      </c>
      <c r="D533">
        <v>93</v>
      </c>
      <c r="E533">
        <v>96.71</v>
      </c>
      <c r="F533">
        <v>10733500</v>
      </c>
      <c r="G533">
        <v>96.71</v>
      </c>
      <c r="H533" s="93">
        <f t="shared" si="8"/>
        <v>3.2259167106161696E-2</v>
      </c>
    </row>
    <row r="534" spans="1:11" ht="15" x14ac:dyDescent="0.2">
      <c r="A534" s="92">
        <v>24685</v>
      </c>
      <c r="B534">
        <v>94.75</v>
      </c>
      <c r="C534">
        <v>96.67</v>
      </c>
      <c r="D534">
        <v>92.01</v>
      </c>
      <c r="E534">
        <v>93.64</v>
      </c>
      <c r="F534">
        <v>9419100</v>
      </c>
      <c r="G534">
        <v>93.64</v>
      </c>
      <c r="H534" s="93">
        <f t="shared" si="8"/>
        <v>-1.1784201339825672E-2</v>
      </c>
    </row>
    <row r="535" spans="1:11" ht="15" x14ac:dyDescent="0.2">
      <c r="A535" s="92">
        <v>24656</v>
      </c>
      <c r="B535">
        <v>90.64</v>
      </c>
      <c r="C535">
        <v>95.51</v>
      </c>
      <c r="D535">
        <v>90.12</v>
      </c>
      <c r="E535">
        <v>94.75</v>
      </c>
      <c r="F535">
        <v>11353000</v>
      </c>
      <c r="G535">
        <v>94.75</v>
      </c>
      <c r="H535" s="93">
        <f t="shared" si="8"/>
        <v>4.4346227242784933E-2</v>
      </c>
    </row>
    <row r="536" spans="1:11" ht="15" x14ac:dyDescent="0.2">
      <c r="A536" s="92">
        <v>24624</v>
      </c>
      <c r="B536">
        <v>89.08</v>
      </c>
      <c r="C536">
        <v>93.28</v>
      </c>
      <c r="D536">
        <v>87.19</v>
      </c>
      <c r="E536">
        <v>90.64</v>
      </c>
      <c r="F536">
        <v>10020000</v>
      </c>
      <c r="G536">
        <v>90.64</v>
      </c>
      <c r="H536" s="93">
        <f t="shared" si="8"/>
        <v>1.7360774330584111E-2</v>
      </c>
    </row>
    <row r="537" spans="1:11" ht="15" x14ac:dyDescent="0.2">
      <c r="A537" s="92">
        <v>24593</v>
      </c>
      <c r="B537">
        <v>94.01</v>
      </c>
      <c r="C537">
        <v>95.25</v>
      </c>
      <c r="D537">
        <v>88.71</v>
      </c>
      <c r="E537">
        <v>89.08</v>
      </c>
      <c r="F537">
        <v>10331300</v>
      </c>
      <c r="G537">
        <v>89.08</v>
      </c>
      <c r="H537" s="93">
        <f t="shared" si="8"/>
        <v>-5.3866317201292729E-2</v>
      </c>
    </row>
    <row r="538" spans="1:11" ht="15" x14ac:dyDescent="0.2">
      <c r="A538" s="92">
        <v>24565</v>
      </c>
      <c r="B538">
        <v>90.2</v>
      </c>
      <c r="C538">
        <v>94.77</v>
      </c>
      <c r="D538">
        <v>87.86</v>
      </c>
      <c r="E538">
        <v>94.01</v>
      </c>
      <c r="F538">
        <v>9942500</v>
      </c>
      <c r="G538">
        <v>94.01</v>
      </c>
      <c r="H538" s="93">
        <f t="shared" si="8"/>
        <v>4.1371732521881532E-2</v>
      </c>
    </row>
    <row r="539" spans="1:11" ht="15" x14ac:dyDescent="0.2">
      <c r="A539" s="92">
        <v>24532</v>
      </c>
      <c r="B539">
        <v>86.78</v>
      </c>
      <c r="C539">
        <v>91.72</v>
      </c>
      <c r="D539">
        <v>86.67</v>
      </c>
      <c r="E539">
        <v>90.2</v>
      </c>
      <c r="F539">
        <v>10580400</v>
      </c>
      <c r="G539">
        <v>90.2</v>
      </c>
      <c r="H539" s="93">
        <f t="shared" si="8"/>
        <v>3.8653246698373445E-2</v>
      </c>
    </row>
    <row r="540" spans="1:11" ht="15" x14ac:dyDescent="0.2">
      <c r="A540" s="92">
        <v>24504</v>
      </c>
      <c r="B540">
        <v>86.61</v>
      </c>
      <c r="C540">
        <v>89</v>
      </c>
      <c r="D540">
        <v>85.61</v>
      </c>
      <c r="E540">
        <v>86.78</v>
      </c>
      <c r="F540">
        <v>10153600</v>
      </c>
      <c r="G540">
        <v>86.78</v>
      </c>
      <c r="H540" s="93">
        <f t="shared" si="8"/>
        <v>1.9608980272511679E-3</v>
      </c>
    </row>
    <row r="541" spans="1:11" ht="15" x14ac:dyDescent="0.2">
      <c r="A541" s="92">
        <v>24475</v>
      </c>
      <c r="B541">
        <v>80.33</v>
      </c>
      <c r="C541">
        <v>88.17</v>
      </c>
      <c r="D541">
        <v>79.430000000000007</v>
      </c>
      <c r="E541">
        <v>86.61</v>
      </c>
      <c r="F541">
        <v>10426100</v>
      </c>
      <c r="G541">
        <v>86.61</v>
      </c>
      <c r="H541" s="93">
        <f t="shared" si="8"/>
        <v>7.527213215723233E-2</v>
      </c>
      <c r="I541" s="93"/>
    </row>
    <row r="542" spans="1:11" ht="15" x14ac:dyDescent="0.2">
      <c r="A542" s="92">
        <v>24442</v>
      </c>
      <c r="B542">
        <v>80.45</v>
      </c>
      <c r="C542">
        <v>83.88</v>
      </c>
      <c r="D542">
        <v>79.489999999999995</v>
      </c>
      <c r="E542">
        <v>80.33</v>
      </c>
      <c r="F542">
        <v>8400000</v>
      </c>
      <c r="G542">
        <v>80.33</v>
      </c>
      <c r="H542" s="93">
        <f t="shared" si="8"/>
        <v>-1.4927232526710616E-3</v>
      </c>
      <c r="K542" s="97">
        <f>LN(G530/G542)</f>
        <v>0.18308892899674109</v>
      </c>
    </row>
    <row r="543" spans="1:11" ht="15" x14ac:dyDescent="0.2">
      <c r="A543" s="92">
        <v>24412</v>
      </c>
      <c r="B543">
        <v>80.2</v>
      </c>
      <c r="C543">
        <v>83.01</v>
      </c>
      <c r="D543">
        <v>78.89</v>
      </c>
      <c r="E543">
        <v>80.45</v>
      </c>
      <c r="F543">
        <v>7650500</v>
      </c>
      <c r="G543">
        <v>80.45</v>
      </c>
      <c r="H543" s="93">
        <f t="shared" si="8"/>
        <v>3.1123585659233494E-3</v>
      </c>
    </row>
    <row r="544" spans="1:11" ht="15" x14ac:dyDescent="0.2">
      <c r="A544" s="92">
        <v>24383</v>
      </c>
      <c r="B544">
        <v>76.56</v>
      </c>
      <c r="C544">
        <v>80.91</v>
      </c>
      <c r="D544">
        <v>72.28</v>
      </c>
      <c r="E544">
        <v>80.2</v>
      </c>
      <c r="F544">
        <v>7241400</v>
      </c>
      <c r="G544">
        <v>80.2</v>
      </c>
      <c r="H544" s="93">
        <f t="shared" si="8"/>
        <v>4.6448767727769888E-2</v>
      </c>
    </row>
    <row r="545" spans="1:11" ht="15" x14ac:dyDescent="0.2">
      <c r="A545" s="92">
        <v>24351</v>
      </c>
      <c r="B545">
        <v>77.099999999999994</v>
      </c>
      <c r="C545">
        <v>80.81</v>
      </c>
      <c r="D545">
        <v>75.03</v>
      </c>
      <c r="E545">
        <v>76.56</v>
      </c>
      <c r="F545">
        <v>6009500</v>
      </c>
      <c r="G545">
        <v>76.56</v>
      </c>
      <c r="H545" s="93">
        <f t="shared" si="8"/>
        <v>-7.0285334245848456E-3</v>
      </c>
    </row>
    <row r="546" spans="1:11" ht="15" x14ac:dyDescent="0.2">
      <c r="A546" s="92">
        <v>24320</v>
      </c>
      <c r="B546">
        <v>83.5</v>
      </c>
      <c r="C546">
        <v>84.7</v>
      </c>
      <c r="D546">
        <v>73.91</v>
      </c>
      <c r="E546">
        <v>77.099999999999994</v>
      </c>
      <c r="F546">
        <v>7440000</v>
      </c>
      <c r="G546">
        <v>77.099999999999994</v>
      </c>
      <c r="H546" s="93">
        <f t="shared" si="8"/>
        <v>-8.0940239521372123E-2</v>
      </c>
    </row>
    <row r="547" spans="1:11" ht="15" x14ac:dyDescent="0.2">
      <c r="A547" s="92">
        <v>24289</v>
      </c>
      <c r="B547">
        <v>84.74</v>
      </c>
      <c r="C547">
        <v>88.19</v>
      </c>
      <c r="D547">
        <v>83.05</v>
      </c>
      <c r="E547">
        <v>83.6</v>
      </c>
      <c r="F547">
        <v>6248000</v>
      </c>
      <c r="G547">
        <v>83.6</v>
      </c>
      <c r="H547" s="93">
        <f t="shared" si="8"/>
        <v>-1.354422510775726E-2</v>
      </c>
    </row>
    <row r="548" spans="1:11" ht="15" x14ac:dyDescent="0.2">
      <c r="A548" s="92">
        <v>24259</v>
      </c>
      <c r="B548">
        <v>86.13</v>
      </c>
      <c r="C548">
        <v>87.74</v>
      </c>
      <c r="D548">
        <v>83.75</v>
      </c>
      <c r="E548">
        <v>84.74</v>
      </c>
      <c r="F548">
        <v>6713600</v>
      </c>
      <c r="G548">
        <v>84.74</v>
      </c>
      <c r="H548" s="93">
        <f t="shared" si="8"/>
        <v>-1.6270037602669134E-2</v>
      </c>
    </row>
    <row r="549" spans="1:11" ht="15" x14ac:dyDescent="0.2">
      <c r="A549" s="92">
        <v>24229</v>
      </c>
      <c r="B549">
        <v>91.06</v>
      </c>
      <c r="C549">
        <v>91.75</v>
      </c>
      <c r="D549">
        <v>83.18</v>
      </c>
      <c r="E549">
        <v>86.13</v>
      </c>
      <c r="F549">
        <v>8431400</v>
      </c>
      <c r="G549">
        <v>86.13</v>
      </c>
      <c r="H549" s="93">
        <f t="shared" si="8"/>
        <v>-5.5660847105553857E-2</v>
      </c>
    </row>
    <row r="550" spans="1:11" ht="15" x14ac:dyDescent="0.2">
      <c r="A550" s="92">
        <v>24198</v>
      </c>
      <c r="B550">
        <v>89.23</v>
      </c>
      <c r="C550">
        <v>93.02</v>
      </c>
      <c r="D550">
        <v>88.96</v>
      </c>
      <c r="E550">
        <v>91.06</v>
      </c>
      <c r="F550">
        <v>9669000</v>
      </c>
      <c r="G550">
        <v>91.06</v>
      </c>
      <c r="H550" s="93">
        <f t="shared" si="8"/>
        <v>2.0301323994575845E-2</v>
      </c>
    </row>
    <row r="551" spans="1:11" ht="15" x14ac:dyDescent="0.2">
      <c r="A551" s="92">
        <v>24167</v>
      </c>
      <c r="B551">
        <v>91.22</v>
      </c>
      <c r="C551">
        <v>91.65</v>
      </c>
      <c r="D551">
        <v>86.69</v>
      </c>
      <c r="E551">
        <v>89.23</v>
      </c>
      <c r="F551">
        <v>8610800</v>
      </c>
      <c r="G551">
        <v>89.23</v>
      </c>
      <c r="H551" s="93">
        <f t="shared" si="8"/>
        <v>-2.2056865371494212E-2</v>
      </c>
    </row>
    <row r="552" spans="1:11" ht="15" x14ac:dyDescent="0.2">
      <c r="A552" s="92">
        <v>24139</v>
      </c>
      <c r="B552">
        <v>92.88</v>
      </c>
      <c r="C552">
        <v>94.72</v>
      </c>
      <c r="D552">
        <v>90.43</v>
      </c>
      <c r="E552">
        <v>91.22</v>
      </c>
      <c r="F552">
        <v>9247300</v>
      </c>
      <c r="G552">
        <v>91.22</v>
      </c>
      <c r="H552" s="93">
        <f t="shared" si="8"/>
        <v>-1.8034166106081693E-2</v>
      </c>
    </row>
    <row r="553" spans="1:11" ht="15" x14ac:dyDescent="0.2">
      <c r="A553" s="92">
        <v>24110</v>
      </c>
      <c r="B553">
        <v>92.43</v>
      </c>
      <c r="C553">
        <v>94.64</v>
      </c>
      <c r="D553">
        <v>91.63</v>
      </c>
      <c r="E553">
        <v>92.88</v>
      </c>
      <c r="F553">
        <v>9081400</v>
      </c>
      <c r="G553">
        <v>92.88</v>
      </c>
      <c r="H553" s="93">
        <f t="shared" si="8"/>
        <v>4.8567361129497541E-3</v>
      </c>
      <c r="I553" s="93"/>
    </row>
    <row r="554" spans="1:11" ht="15" x14ac:dyDescent="0.2">
      <c r="A554" s="92">
        <v>24077</v>
      </c>
      <c r="B554">
        <v>91.61</v>
      </c>
      <c r="C554">
        <v>93.07</v>
      </c>
      <c r="D554">
        <v>89.2</v>
      </c>
      <c r="E554">
        <v>92.43</v>
      </c>
      <c r="F554">
        <v>9013100</v>
      </c>
      <c r="G554">
        <v>92.43</v>
      </c>
      <c r="H554" s="93">
        <f t="shared" si="8"/>
        <v>8.911165249568977E-3</v>
      </c>
      <c r="K554" s="97">
        <f>LN(G542/G554)</f>
        <v>-0.14030845109096513</v>
      </c>
    </row>
    <row r="555" spans="1:11" ht="15" x14ac:dyDescent="0.2">
      <c r="A555" s="92">
        <v>24047</v>
      </c>
      <c r="B555">
        <v>92.42</v>
      </c>
      <c r="C555">
        <v>93.3</v>
      </c>
      <c r="D555">
        <v>90.81</v>
      </c>
      <c r="E555">
        <v>91.61</v>
      </c>
      <c r="F555">
        <v>7805000</v>
      </c>
      <c r="G555">
        <v>91.61</v>
      </c>
      <c r="H555" s="93">
        <f t="shared" si="8"/>
        <v>-8.8029694150031038E-3</v>
      </c>
    </row>
    <row r="556" spans="1:11" ht="15" x14ac:dyDescent="0.2">
      <c r="A556" s="92">
        <v>24016</v>
      </c>
      <c r="B556">
        <v>89.96</v>
      </c>
      <c r="C556">
        <v>93.19</v>
      </c>
      <c r="D556">
        <v>89.3</v>
      </c>
      <c r="E556">
        <v>92.42</v>
      </c>
      <c r="F556">
        <v>8158500</v>
      </c>
      <c r="G556">
        <v>92.42</v>
      </c>
      <c r="H556" s="93">
        <f t="shared" si="8"/>
        <v>2.6978278351005407E-2</v>
      </c>
    </row>
    <row r="557" spans="1:11" ht="15" x14ac:dyDescent="0.2">
      <c r="A557" s="92">
        <v>23986</v>
      </c>
      <c r="B557">
        <v>87.17</v>
      </c>
      <c r="C557">
        <v>91.13</v>
      </c>
      <c r="D557">
        <v>86.69</v>
      </c>
      <c r="E557">
        <v>89.96</v>
      </c>
      <c r="F557">
        <v>7802300</v>
      </c>
      <c r="G557">
        <v>89.96</v>
      </c>
      <c r="H557" s="93">
        <f t="shared" si="8"/>
        <v>3.1504892067630234E-2</v>
      </c>
    </row>
    <row r="558" spans="1:11" ht="15" x14ac:dyDescent="0.2">
      <c r="A558" s="92">
        <v>23956</v>
      </c>
      <c r="B558">
        <v>85.25</v>
      </c>
      <c r="C558">
        <v>87.79</v>
      </c>
      <c r="D558">
        <v>84.8</v>
      </c>
      <c r="E558">
        <v>87.17</v>
      </c>
      <c r="F558">
        <v>5192700</v>
      </c>
      <c r="G558">
        <v>87.17</v>
      </c>
      <c r="H558" s="93">
        <f t="shared" si="8"/>
        <v>2.2272118859858445E-2</v>
      </c>
    </row>
    <row r="559" spans="1:11" ht="15" x14ac:dyDescent="0.2">
      <c r="A559" s="92">
        <v>23924</v>
      </c>
      <c r="B559">
        <v>84.12</v>
      </c>
      <c r="C559">
        <v>86.47</v>
      </c>
      <c r="D559">
        <v>83.3</v>
      </c>
      <c r="E559">
        <v>85.25</v>
      </c>
      <c r="F559">
        <v>4302300</v>
      </c>
      <c r="G559">
        <v>85.25</v>
      </c>
      <c r="H559" s="93">
        <f t="shared" si="8"/>
        <v>1.3343765329127103E-2</v>
      </c>
    </row>
    <row r="560" spans="1:11" ht="15" x14ac:dyDescent="0.2">
      <c r="A560" s="92">
        <v>23894</v>
      </c>
      <c r="B560">
        <v>88.42</v>
      </c>
      <c r="C560">
        <v>88.8</v>
      </c>
      <c r="D560">
        <v>80.73</v>
      </c>
      <c r="E560">
        <v>84.12</v>
      </c>
      <c r="F560">
        <v>6140400</v>
      </c>
      <c r="G560">
        <v>84.12</v>
      </c>
      <c r="H560" s="93">
        <f t="shared" si="8"/>
        <v>-4.9853837563598097E-2</v>
      </c>
    </row>
    <row r="561" spans="1:11" ht="15" x14ac:dyDescent="0.2">
      <c r="A561" s="92">
        <v>23865</v>
      </c>
      <c r="B561">
        <v>89.11</v>
      </c>
      <c r="C561">
        <v>90.68</v>
      </c>
      <c r="D561">
        <v>87.24</v>
      </c>
      <c r="E561">
        <v>88.42</v>
      </c>
      <c r="F561">
        <v>5723000</v>
      </c>
      <c r="G561">
        <v>88.42</v>
      </c>
      <c r="H561" s="93">
        <f t="shared" si="8"/>
        <v>-7.7733732265312773E-3</v>
      </c>
    </row>
    <row r="562" spans="1:11" ht="15" x14ac:dyDescent="0.2">
      <c r="A562" s="92">
        <v>23833</v>
      </c>
      <c r="B562">
        <v>86.16</v>
      </c>
      <c r="C562">
        <v>89.64</v>
      </c>
      <c r="D562">
        <v>85.87</v>
      </c>
      <c r="E562">
        <v>89.11</v>
      </c>
      <c r="F562">
        <v>5919500</v>
      </c>
      <c r="G562">
        <v>89.11</v>
      </c>
      <c r="H562" s="93">
        <f t="shared" si="8"/>
        <v>3.3665528776495438E-2</v>
      </c>
    </row>
    <row r="563" spans="1:11" ht="15" x14ac:dyDescent="0.2">
      <c r="A563" s="92">
        <v>23802</v>
      </c>
      <c r="B563">
        <v>87.43</v>
      </c>
      <c r="C563">
        <v>87.93</v>
      </c>
      <c r="D563">
        <v>85.65</v>
      </c>
      <c r="E563">
        <v>86.16</v>
      </c>
      <c r="F563">
        <v>5621700</v>
      </c>
      <c r="G563">
        <v>86.16</v>
      </c>
      <c r="H563" s="93">
        <f t="shared" si="8"/>
        <v>-1.4632440344666634E-2</v>
      </c>
    </row>
    <row r="564" spans="1:11" ht="15" x14ac:dyDescent="0.2">
      <c r="A564" s="92">
        <v>23774</v>
      </c>
      <c r="B564">
        <v>87.56</v>
      </c>
      <c r="C564">
        <v>88.06</v>
      </c>
      <c r="D564">
        <v>85.25</v>
      </c>
      <c r="E564">
        <v>87.43</v>
      </c>
      <c r="F564">
        <v>6214700</v>
      </c>
      <c r="G564">
        <v>87.43</v>
      </c>
      <c r="H564" s="93">
        <f t="shared" si="8"/>
        <v>-1.4857994618625412E-3</v>
      </c>
    </row>
    <row r="565" spans="1:11" ht="15" x14ac:dyDescent="0.2">
      <c r="A565" s="92">
        <v>23746</v>
      </c>
      <c r="B565">
        <v>84.75</v>
      </c>
      <c r="C565">
        <v>88.19</v>
      </c>
      <c r="D565">
        <v>83.77</v>
      </c>
      <c r="E565">
        <v>87.56</v>
      </c>
      <c r="F565">
        <v>5803500</v>
      </c>
      <c r="G565">
        <v>87.56</v>
      </c>
      <c r="H565" s="93">
        <f t="shared" si="8"/>
        <v>3.2618526394102565E-2</v>
      </c>
      <c r="I565" s="93"/>
    </row>
    <row r="566" spans="1:11" ht="15" x14ac:dyDescent="0.2">
      <c r="A566" s="92">
        <v>23712</v>
      </c>
      <c r="B566">
        <v>84.42</v>
      </c>
      <c r="C566">
        <v>85.18</v>
      </c>
      <c r="D566">
        <v>82.65</v>
      </c>
      <c r="E566">
        <v>84.75</v>
      </c>
      <c r="F566">
        <v>5021800</v>
      </c>
      <c r="G566">
        <v>84.75</v>
      </c>
      <c r="H566" s="93">
        <f t="shared" si="8"/>
        <v>3.9014059062069581E-3</v>
      </c>
      <c r="K566" s="97">
        <f>LN(G554/G566)</f>
        <v>8.6745855016126638E-2</v>
      </c>
    </row>
    <row r="567" spans="1:11" ht="15" x14ac:dyDescent="0.2">
      <c r="A567" s="92">
        <v>23683</v>
      </c>
      <c r="B567">
        <v>84.86</v>
      </c>
      <c r="C567">
        <v>86.8</v>
      </c>
      <c r="D567">
        <v>84.1</v>
      </c>
      <c r="E567">
        <v>84.42</v>
      </c>
      <c r="F567">
        <v>5185700</v>
      </c>
      <c r="G567">
        <v>84.42</v>
      </c>
      <c r="H567" s="93">
        <f t="shared" si="8"/>
        <v>-5.1984994198261284E-3</v>
      </c>
    </row>
    <row r="568" spans="1:11" ht="15" x14ac:dyDescent="0.2">
      <c r="A568" s="92">
        <v>23651</v>
      </c>
      <c r="B568">
        <v>84.18</v>
      </c>
      <c r="C568">
        <v>85.7</v>
      </c>
      <c r="D568">
        <v>83.65</v>
      </c>
      <c r="E568">
        <v>84.86</v>
      </c>
      <c r="F568">
        <v>5030400</v>
      </c>
      <c r="G568">
        <v>84.86</v>
      </c>
      <c r="H568" s="93">
        <f t="shared" si="8"/>
        <v>8.0454764317541942E-3</v>
      </c>
    </row>
    <row r="569" spans="1:11" ht="15" x14ac:dyDescent="0.2">
      <c r="A569" s="92">
        <v>23621</v>
      </c>
      <c r="B569">
        <v>81.83</v>
      </c>
      <c r="C569">
        <v>84.8</v>
      </c>
      <c r="D569">
        <v>81.569999999999993</v>
      </c>
      <c r="E569">
        <v>84.18</v>
      </c>
      <c r="F569">
        <v>5451900</v>
      </c>
      <c r="G569">
        <v>84.18</v>
      </c>
      <c r="H569" s="93">
        <f t="shared" si="8"/>
        <v>2.8313438803134347E-2</v>
      </c>
    </row>
    <row r="570" spans="1:11" ht="15" x14ac:dyDescent="0.2">
      <c r="A570" s="92">
        <v>23592</v>
      </c>
      <c r="B570">
        <v>83.18</v>
      </c>
      <c r="C570">
        <v>83.49</v>
      </c>
      <c r="D570">
        <v>80.8</v>
      </c>
      <c r="E570">
        <v>81.83</v>
      </c>
      <c r="F570">
        <v>4077100</v>
      </c>
      <c r="G570">
        <v>81.83</v>
      </c>
      <c r="H570" s="93">
        <f t="shared" si="8"/>
        <v>-1.6363009775475404E-2</v>
      </c>
    </row>
    <row r="571" spans="1:11" ht="15" x14ac:dyDescent="0.2">
      <c r="A571" s="92">
        <v>23559</v>
      </c>
      <c r="B571">
        <v>81.69</v>
      </c>
      <c r="C571">
        <v>84.33</v>
      </c>
      <c r="D571">
        <v>81.459999999999994</v>
      </c>
      <c r="E571">
        <v>83.18</v>
      </c>
      <c r="F571">
        <v>4855000</v>
      </c>
      <c r="G571">
        <v>83.18</v>
      </c>
      <c r="H571" s="93">
        <f t="shared" si="8"/>
        <v>1.8075338960987862E-2</v>
      </c>
    </row>
    <row r="572" spans="1:11" ht="15" x14ac:dyDescent="0.2">
      <c r="A572" s="92">
        <v>23529</v>
      </c>
      <c r="B572">
        <v>80.37</v>
      </c>
      <c r="C572">
        <v>82.1</v>
      </c>
      <c r="D572">
        <v>78.150000000000006</v>
      </c>
      <c r="E572">
        <v>81.69</v>
      </c>
      <c r="F572">
        <v>4568600</v>
      </c>
      <c r="G572">
        <v>81.69</v>
      </c>
      <c r="H572" s="93">
        <f t="shared" si="8"/>
        <v>1.6290623129150757E-2</v>
      </c>
    </row>
    <row r="573" spans="1:11" ht="15" x14ac:dyDescent="0.2">
      <c r="A573" s="92">
        <v>23498</v>
      </c>
      <c r="B573">
        <v>79.459999999999994</v>
      </c>
      <c r="C573">
        <v>81.81</v>
      </c>
      <c r="D573">
        <v>79.459999999999994</v>
      </c>
      <c r="E573">
        <v>80.37</v>
      </c>
      <c r="F573">
        <v>5185500</v>
      </c>
      <c r="G573">
        <v>80.37</v>
      </c>
      <c r="H573" s="93">
        <f t="shared" si="8"/>
        <v>1.1387221838174219E-2</v>
      </c>
    </row>
    <row r="574" spans="1:11" ht="15" x14ac:dyDescent="0.2">
      <c r="A574" s="92">
        <v>23468</v>
      </c>
      <c r="B574">
        <v>78.98</v>
      </c>
      <c r="C574">
        <v>81.2</v>
      </c>
      <c r="D574">
        <v>78.67</v>
      </c>
      <c r="E574">
        <v>79.459999999999994</v>
      </c>
      <c r="F574">
        <v>5871800</v>
      </c>
      <c r="G574">
        <v>79.459999999999994</v>
      </c>
      <c r="H574" s="93">
        <f t="shared" si="8"/>
        <v>6.0590945279494542E-3</v>
      </c>
    </row>
    <row r="575" spans="1:11" ht="15" x14ac:dyDescent="0.2">
      <c r="A575" s="92">
        <v>23438</v>
      </c>
      <c r="B575">
        <v>77.8</v>
      </c>
      <c r="C575">
        <v>79.89</v>
      </c>
      <c r="D575">
        <v>77.5</v>
      </c>
      <c r="E575">
        <v>78.98</v>
      </c>
      <c r="F575">
        <v>5668000</v>
      </c>
      <c r="G575">
        <v>78.98</v>
      </c>
      <c r="H575" s="93">
        <f t="shared" si="8"/>
        <v>1.5053224674157468E-2</v>
      </c>
    </row>
    <row r="576" spans="1:11" ht="15" x14ac:dyDescent="0.2">
      <c r="A576" s="92">
        <v>23410</v>
      </c>
      <c r="B576">
        <v>77.040000000000006</v>
      </c>
      <c r="C576">
        <v>78.31</v>
      </c>
      <c r="D576">
        <v>76.36</v>
      </c>
      <c r="E576">
        <v>77.8</v>
      </c>
      <c r="F576">
        <v>4899400</v>
      </c>
      <c r="G576">
        <v>77.8</v>
      </c>
      <c r="H576" s="93">
        <f t="shared" si="8"/>
        <v>9.8166636944756747E-3</v>
      </c>
    </row>
    <row r="577" spans="1:11" ht="15" x14ac:dyDescent="0.2">
      <c r="A577" s="92">
        <v>23378</v>
      </c>
      <c r="B577">
        <v>75.02</v>
      </c>
      <c r="C577">
        <v>77.78</v>
      </c>
      <c r="D577">
        <v>74.819999999999993</v>
      </c>
      <c r="E577">
        <v>77.040000000000006</v>
      </c>
      <c r="F577">
        <v>5482700</v>
      </c>
      <c r="G577">
        <v>77.040000000000006</v>
      </c>
      <c r="H577" s="93">
        <f t="shared" si="8"/>
        <v>2.6570022836129054E-2</v>
      </c>
      <c r="I577" s="93"/>
    </row>
    <row r="578" spans="1:11" ht="15" x14ac:dyDescent="0.2">
      <c r="A578" s="92">
        <v>23347</v>
      </c>
      <c r="B578">
        <v>73.23</v>
      </c>
      <c r="C578">
        <v>75.36</v>
      </c>
      <c r="D578">
        <v>73.02</v>
      </c>
      <c r="E578">
        <v>75.02</v>
      </c>
      <c r="F578">
        <v>5018500</v>
      </c>
      <c r="G578">
        <v>75.02</v>
      </c>
      <c r="H578" s="93">
        <f t="shared" ref="H578:H641" si="9">LN(G578/G579)</f>
        <v>2.41495715807627E-2</v>
      </c>
      <c r="K578" s="97">
        <f>LN(G566/G578)</f>
        <v>0.12195100160681834</v>
      </c>
    </row>
    <row r="579" spans="1:11" ht="15" x14ac:dyDescent="0.2">
      <c r="A579" s="92">
        <v>23316</v>
      </c>
      <c r="B579">
        <v>74.010000000000005</v>
      </c>
      <c r="C579">
        <v>74.44</v>
      </c>
      <c r="D579">
        <v>69.48</v>
      </c>
      <c r="E579">
        <v>73.23</v>
      </c>
      <c r="F579">
        <v>5488800</v>
      </c>
      <c r="G579">
        <v>73.23</v>
      </c>
      <c r="H579" s="93">
        <f t="shared" si="9"/>
        <v>-1.0595046136396625E-2</v>
      </c>
    </row>
    <row r="580" spans="1:11" ht="15" x14ac:dyDescent="0.2">
      <c r="A580" s="92">
        <v>23285</v>
      </c>
      <c r="B580">
        <v>71.7</v>
      </c>
      <c r="C580">
        <v>75.180000000000007</v>
      </c>
      <c r="D580">
        <v>71.569999999999993</v>
      </c>
      <c r="E580">
        <v>74.010000000000005</v>
      </c>
      <c r="F580">
        <v>5538600</v>
      </c>
      <c r="G580">
        <v>74.010000000000005</v>
      </c>
      <c r="H580" s="93">
        <f t="shared" si="9"/>
        <v>3.170947160380036E-2</v>
      </c>
    </row>
    <row r="581" spans="1:11" ht="15" x14ac:dyDescent="0.2">
      <c r="A581" s="92">
        <v>23257</v>
      </c>
      <c r="B581">
        <v>72.5</v>
      </c>
      <c r="C581">
        <v>73.87</v>
      </c>
      <c r="D581">
        <v>71.28</v>
      </c>
      <c r="E581">
        <v>71.7</v>
      </c>
      <c r="F581">
        <v>5517500</v>
      </c>
      <c r="G581">
        <v>71.7</v>
      </c>
      <c r="H581" s="93">
        <f t="shared" si="9"/>
        <v>-1.109581425505435E-2</v>
      </c>
    </row>
    <row r="582" spans="1:11" ht="15" x14ac:dyDescent="0.2">
      <c r="A582" s="92">
        <v>23224</v>
      </c>
      <c r="B582">
        <v>69.13</v>
      </c>
      <c r="C582">
        <v>72.709999999999994</v>
      </c>
      <c r="D582">
        <v>68.64</v>
      </c>
      <c r="E582">
        <v>72.5</v>
      </c>
      <c r="F582">
        <v>4373100</v>
      </c>
      <c r="G582">
        <v>72.5</v>
      </c>
      <c r="H582" s="93">
        <f t="shared" si="9"/>
        <v>4.7597771903455599E-2</v>
      </c>
    </row>
    <row r="583" spans="1:11" ht="15" x14ac:dyDescent="0.2">
      <c r="A583" s="92">
        <v>23193</v>
      </c>
      <c r="B583">
        <v>69.37</v>
      </c>
      <c r="C583">
        <v>70.48</v>
      </c>
      <c r="D583">
        <v>67.540000000000006</v>
      </c>
      <c r="E583">
        <v>69.13</v>
      </c>
      <c r="F583">
        <v>3648600</v>
      </c>
      <c r="G583">
        <v>69.13</v>
      </c>
      <c r="H583" s="93">
        <f t="shared" si="9"/>
        <v>-3.4657074400364723E-3</v>
      </c>
    </row>
    <row r="584" spans="1:11" ht="15" x14ac:dyDescent="0.2">
      <c r="A584" s="92">
        <v>23165</v>
      </c>
      <c r="B584">
        <v>70.8</v>
      </c>
      <c r="C584">
        <v>71.239999999999995</v>
      </c>
      <c r="D584">
        <v>68.78</v>
      </c>
      <c r="E584">
        <v>69.37</v>
      </c>
      <c r="F584">
        <v>4680000</v>
      </c>
      <c r="G584">
        <v>69.37</v>
      </c>
      <c r="H584" s="93">
        <f t="shared" si="9"/>
        <v>-2.0404503302464041E-2</v>
      </c>
    </row>
    <row r="585" spans="1:11" ht="15" x14ac:dyDescent="0.2">
      <c r="A585" s="92">
        <v>23132</v>
      </c>
      <c r="B585">
        <v>69.8</v>
      </c>
      <c r="C585">
        <v>71.14</v>
      </c>
      <c r="D585">
        <v>69.03</v>
      </c>
      <c r="E585">
        <v>70.8</v>
      </c>
      <c r="F585">
        <v>4988600</v>
      </c>
      <c r="G585">
        <v>70.8</v>
      </c>
      <c r="H585" s="93">
        <f t="shared" si="9"/>
        <v>1.422499093134726E-2</v>
      </c>
    </row>
    <row r="586" spans="1:11" ht="15" x14ac:dyDescent="0.2">
      <c r="A586" s="92">
        <v>23102</v>
      </c>
      <c r="B586">
        <v>66.569999999999993</v>
      </c>
      <c r="C586">
        <v>70.180000000000007</v>
      </c>
      <c r="D586">
        <v>66.23</v>
      </c>
      <c r="E586">
        <v>69.8</v>
      </c>
      <c r="F586">
        <v>5284200</v>
      </c>
      <c r="G586">
        <v>69.8</v>
      </c>
      <c r="H586" s="93">
        <f t="shared" si="9"/>
        <v>4.7379984155714532E-2</v>
      </c>
    </row>
    <row r="587" spans="1:11" ht="15" x14ac:dyDescent="0.2">
      <c r="A587" s="92">
        <v>23071</v>
      </c>
      <c r="B587">
        <v>64.290000000000006</v>
      </c>
      <c r="C587">
        <v>67.010000000000005</v>
      </c>
      <c r="D587">
        <v>63.8</v>
      </c>
      <c r="E587">
        <v>66.569999999999993</v>
      </c>
      <c r="F587">
        <v>3721400</v>
      </c>
      <c r="G587">
        <v>66.569999999999993</v>
      </c>
      <c r="H587" s="93">
        <f t="shared" si="9"/>
        <v>3.4849927459016675E-2</v>
      </c>
    </row>
    <row r="588" spans="1:11" ht="15" x14ac:dyDescent="0.2">
      <c r="A588" s="92">
        <v>23043</v>
      </c>
      <c r="B588">
        <v>66.31</v>
      </c>
      <c r="C588">
        <v>66.959999999999994</v>
      </c>
      <c r="D588">
        <v>64.08</v>
      </c>
      <c r="E588">
        <v>64.290000000000006</v>
      </c>
      <c r="F588">
        <v>4379400</v>
      </c>
      <c r="G588">
        <v>64.290000000000006</v>
      </c>
      <c r="H588" s="93">
        <f t="shared" si="9"/>
        <v>-2.9276364789367182E-2</v>
      </c>
    </row>
    <row r="589" spans="1:11" ht="15" x14ac:dyDescent="0.2">
      <c r="A589" s="92">
        <v>23013</v>
      </c>
      <c r="B589">
        <v>63.1</v>
      </c>
      <c r="C589">
        <v>66.59</v>
      </c>
      <c r="D589">
        <v>62.32</v>
      </c>
      <c r="E589">
        <v>66.2</v>
      </c>
      <c r="F589">
        <v>4829000</v>
      </c>
      <c r="G589">
        <v>66.2</v>
      </c>
      <c r="H589" s="93">
        <f t="shared" si="9"/>
        <v>4.7959693395794992E-2</v>
      </c>
      <c r="I589" s="93"/>
    </row>
    <row r="590" spans="1:11" ht="15" x14ac:dyDescent="0.2">
      <c r="A590" s="92">
        <v>22983</v>
      </c>
      <c r="B590">
        <v>62.26</v>
      </c>
      <c r="C590">
        <v>63.5</v>
      </c>
      <c r="D590">
        <v>61.28</v>
      </c>
      <c r="E590">
        <v>63.1</v>
      </c>
      <c r="F590">
        <v>4314500</v>
      </c>
      <c r="G590">
        <v>63.1</v>
      </c>
      <c r="H590" s="93">
        <f t="shared" si="9"/>
        <v>1.3401604533705418E-2</v>
      </c>
      <c r="K590" s="97">
        <f>LN(G578/G590)</f>
        <v>0.17303397510657365</v>
      </c>
    </row>
    <row r="591" spans="1:11" ht="15" x14ac:dyDescent="0.2">
      <c r="A591" s="92">
        <v>22951</v>
      </c>
      <c r="B591">
        <v>56.52</v>
      </c>
      <c r="C591">
        <v>62.78</v>
      </c>
      <c r="D591">
        <v>55.9</v>
      </c>
      <c r="E591">
        <v>62.26</v>
      </c>
      <c r="F591">
        <v>5029500</v>
      </c>
      <c r="G591">
        <v>62.26</v>
      </c>
      <c r="H591" s="93">
        <f t="shared" si="9"/>
        <v>9.6724607197135368E-2</v>
      </c>
    </row>
    <row r="592" spans="1:11" ht="15" x14ac:dyDescent="0.2">
      <c r="A592" s="92">
        <v>22920</v>
      </c>
      <c r="B592">
        <v>56.27</v>
      </c>
      <c r="C592">
        <v>57.83</v>
      </c>
      <c r="D592">
        <v>52.55</v>
      </c>
      <c r="E592">
        <v>56.52</v>
      </c>
      <c r="F592">
        <v>3555600</v>
      </c>
      <c r="G592">
        <v>56.52</v>
      </c>
      <c r="H592" s="93">
        <f t="shared" si="9"/>
        <v>4.4330243711390993E-3</v>
      </c>
    </row>
    <row r="593" spans="1:11" ht="15" x14ac:dyDescent="0.2">
      <c r="A593" s="92">
        <v>22893</v>
      </c>
      <c r="B593">
        <v>59.12</v>
      </c>
      <c r="C593">
        <v>59.54</v>
      </c>
      <c r="D593">
        <v>55.53</v>
      </c>
      <c r="E593">
        <v>56.27</v>
      </c>
      <c r="F593">
        <v>3460000</v>
      </c>
      <c r="G593">
        <v>56.27</v>
      </c>
      <c r="H593" s="93">
        <f t="shared" si="9"/>
        <v>-4.9407743194758678E-2</v>
      </c>
    </row>
    <row r="594" spans="1:11" ht="15" x14ac:dyDescent="0.2">
      <c r="A594" s="92">
        <v>22859</v>
      </c>
      <c r="B594">
        <v>58.23</v>
      </c>
      <c r="C594">
        <v>60.33</v>
      </c>
      <c r="D594">
        <v>56.76</v>
      </c>
      <c r="E594">
        <v>59.12</v>
      </c>
      <c r="F594">
        <v>3618600</v>
      </c>
      <c r="G594">
        <v>59.12</v>
      </c>
      <c r="H594" s="93">
        <f t="shared" si="9"/>
        <v>1.5168590790917837E-2</v>
      </c>
    </row>
    <row r="595" spans="1:11" ht="15" x14ac:dyDescent="0.2">
      <c r="A595" s="92">
        <v>22829</v>
      </c>
      <c r="B595">
        <v>54.75</v>
      </c>
      <c r="C595">
        <v>58.67</v>
      </c>
      <c r="D595">
        <v>54.47</v>
      </c>
      <c r="E595">
        <v>58.23</v>
      </c>
      <c r="F595">
        <v>3730900</v>
      </c>
      <c r="G595">
        <v>58.23</v>
      </c>
      <c r="H595" s="93">
        <f t="shared" si="9"/>
        <v>6.1623317152418297E-2</v>
      </c>
    </row>
    <row r="596" spans="1:11" ht="15" x14ac:dyDescent="0.2">
      <c r="A596" s="92">
        <v>22798</v>
      </c>
      <c r="B596">
        <v>59.63</v>
      </c>
      <c r="C596">
        <v>59.96</v>
      </c>
      <c r="D596">
        <v>51.35</v>
      </c>
      <c r="E596">
        <v>54.75</v>
      </c>
      <c r="F596">
        <v>4994200</v>
      </c>
      <c r="G596">
        <v>54.75</v>
      </c>
      <c r="H596" s="93">
        <f t="shared" si="9"/>
        <v>-8.5381434438404374E-2</v>
      </c>
    </row>
    <row r="597" spans="1:11" ht="15" x14ac:dyDescent="0.2">
      <c r="A597" s="92">
        <v>22767</v>
      </c>
      <c r="B597">
        <v>65.239999999999995</v>
      </c>
      <c r="C597">
        <v>66.930000000000007</v>
      </c>
      <c r="D597">
        <v>53.13</v>
      </c>
      <c r="E597">
        <v>59.63</v>
      </c>
      <c r="F597">
        <v>5533600</v>
      </c>
      <c r="G597">
        <v>59.63</v>
      </c>
      <c r="H597" s="93">
        <f t="shared" si="9"/>
        <v>-8.9913974617798417E-2</v>
      </c>
    </row>
    <row r="598" spans="1:11" ht="15" x14ac:dyDescent="0.2">
      <c r="A598" s="92">
        <v>22738</v>
      </c>
      <c r="B598">
        <v>69.55</v>
      </c>
      <c r="C598">
        <v>69.819999999999993</v>
      </c>
      <c r="D598">
        <v>64.95</v>
      </c>
      <c r="E598">
        <v>65.239999999999995</v>
      </c>
      <c r="F598">
        <v>3469500</v>
      </c>
      <c r="G598">
        <v>65.239999999999995</v>
      </c>
      <c r="H598" s="93">
        <f t="shared" si="9"/>
        <v>-6.3973140616638779E-2</v>
      </c>
    </row>
    <row r="599" spans="1:11" ht="15" x14ac:dyDescent="0.2">
      <c r="A599" s="92">
        <v>22706</v>
      </c>
      <c r="B599">
        <v>69.959999999999994</v>
      </c>
      <c r="C599">
        <v>71.44</v>
      </c>
      <c r="D599">
        <v>69.16</v>
      </c>
      <c r="E599">
        <v>69.55</v>
      </c>
      <c r="F599">
        <v>3245000</v>
      </c>
      <c r="G599">
        <v>69.55</v>
      </c>
      <c r="H599" s="93">
        <f t="shared" si="9"/>
        <v>-5.8777317809493674E-3</v>
      </c>
    </row>
    <row r="600" spans="1:11" ht="15" x14ac:dyDescent="0.2">
      <c r="A600" s="92">
        <v>22678</v>
      </c>
      <c r="B600">
        <v>68.84</v>
      </c>
      <c r="C600">
        <v>71.13</v>
      </c>
      <c r="D600">
        <v>68.56</v>
      </c>
      <c r="E600">
        <v>69.959999999999994</v>
      </c>
      <c r="F600">
        <v>3640000</v>
      </c>
      <c r="G600">
        <v>69.959999999999994</v>
      </c>
      <c r="H600" s="93">
        <f t="shared" si="9"/>
        <v>1.613867880706258E-2</v>
      </c>
    </row>
    <row r="601" spans="1:11" ht="15" x14ac:dyDescent="0.2">
      <c r="A601" s="92">
        <v>22648</v>
      </c>
      <c r="B601">
        <v>71.55</v>
      </c>
      <c r="C601">
        <v>71.959999999999994</v>
      </c>
      <c r="D601">
        <v>67.55</v>
      </c>
      <c r="E601">
        <v>68.84</v>
      </c>
      <c r="F601">
        <v>3846800</v>
      </c>
      <c r="G601">
        <v>68.84</v>
      </c>
      <c r="H601" s="93">
        <f t="shared" si="9"/>
        <v>-3.8611534659121108E-2</v>
      </c>
      <c r="I601" s="93"/>
    </row>
    <row r="602" spans="1:11" ht="15" x14ac:dyDescent="0.2">
      <c r="A602" s="92">
        <v>22616</v>
      </c>
      <c r="B602">
        <v>71.78</v>
      </c>
      <c r="C602">
        <v>72.64</v>
      </c>
      <c r="D602">
        <v>70.86</v>
      </c>
      <c r="E602">
        <v>71.55</v>
      </c>
      <c r="F602">
        <v>4387500</v>
      </c>
      <c r="G602">
        <v>71.55</v>
      </c>
      <c r="H602" s="93">
        <f t="shared" si="9"/>
        <v>3.2197130075202751E-3</v>
      </c>
      <c r="K602" s="97">
        <f>LN(G590/G602)</f>
        <v>-0.12567573645529242</v>
      </c>
    </row>
    <row r="603" spans="1:11" ht="15" x14ac:dyDescent="0.2">
      <c r="A603" s="92">
        <v>22586</v>
      </c>
      <c r="B603">
        <v>68.73</v>
      </c>
      <c r="C603">
        <v>71.849999999999994</v>
      </c>
      <c r="D603">
        <v>68.73</v>
      </c>
      <c r="E603">
        <v>71.319999999999993</v>
      </c>
      <c r="F603">
        <v>4599000</v>
      </c>
      <c r="G603">
        <v>71.319999999999993</v>
      </c>
      <c r="H603" s="93">
        <f t="shared" si="9"/>
        <v>3.8592755564635893E-2</v>
      </c>
    </row>
    <row r="604" spans="1:11" ht="15" x14ac:dyDescent="0.2">
      <c r="A604" s="92">
        <v>22556</v>
      </c>
      <c r="B604">
        <v>66.77</v>
      </c>
      <c r="C604">
        <v>68.62</v>
      </c>
      <c r="D604">
        <v>66.73</v>
      </c>
      <c r="E604">
        <v>68.62</v>
      </c>
      <c r="F604">
        <v>3469500</v>
      </c>
      <c r="G604">
        <v>68.62</v>
      </c>
      <c r="H604" s="93">
        <f t="shared" si="9"/>
        <v>2.7929410514788412E-2</v>
      </c>
    </row>
    <row r="605" spans="1:11" ht="15" x14ac:dyDescent="0.2">
      <c r="A605" s="92">
        <v>22525</v>
      </c>
      <c r="B605">
        <v>68.19</v>
      </c>
      <c r="C605">
        <v>68.459999999999994</v>
      </c>
      <c r="D605">
        <v>65.77</v>
      </c>
      <c r="E605">
        <v>66.73</v>
      </c>
      <c r="F605">
        <v>3344000</v>
      </c>
      <c r="G605">
        <v>66.73</v>
      </c>
      <c r="H605" s="93">
        <f t="shared" si="9"/>
        <v>-1.9881960544344664E-2</v>
      </c>
    </row>
    <row r="606" spans="1:11" ht="15" x14ac:dyDescent="0.2">
      <c r="A606" s="92">
        <v>22494</v>
      </c>
      <c r="B606">
        <v>67.37</v>
      </c>
      <c r="C606">
        <v>68.44</v>
      </c>
      <c r="D606">
        <v>66.94</v>
      </c>
      <c r="E606">
        <v>68.069999999999993</v>
      </c>
      <c r="F606">
        <v>3670000</v>
      </c>
      <c r="G606">
        <v>68.069999999999993</v>
      </c>
      <c r="H606" s="93">
        <f t="shared" si="9"/>
        <v>1.9432488666225607E-2</v>
      </c>
    </row>
    <row r="607" spans="1:11" ht="15" x14ac:dyDescent="0.2">
      <c r="A607" s="92">
        <v>22465</v>
      </c>
      <c r="B607">
        <v>65.209999999999994</v>
      </c>
      <c r="C607">
        <v>66.760000000000005</v>
      </c>
      <c r="D607">
        <v>64.41</v>
      </c>
      <c r="E607">
        <v>66.760000000000005</v>
      </c>
      <c r="F607">
        <v>3200500</v>
      </c>
      <c r="G607">
        <v>66.760000000000005</v>
      </c>
      <c r="H607" s="93">
        <f t="shared" si="9"/>
        <v>3.2270684580794365E-2</v>
      </c>
    </row>
    <row r="608" spans="1:11" ht="15" x14ac:dyDescent="0.2">
      <c r="A608" s="92">
        <v>22433</v>
      </c>
      <c r="B608">
        <v>66.56</v>
      </c>
      <c r="C608">
        <v>67.08</v>
      </c>
      <c r="D608">
        <v>64.47</v>
      </c>
      <c r="E608">
        <v>64.64</v>
      </c>
      <c r="F608">
        <v>3430400</v>
      </c>
      <c r="G608">
        <v>64.64</v>
      </c>
      <c r="H608" s="93">
        <f t="shared" si="9"/>
        <v>-2.9270382300113224E-2</v>
      </c>
    </row>
    <row r="609" spans="1:11" ht="15" x14ac:dyDescent="0.2">
      <c r="A609" s="92">
        <v>22402</v>
      </c>
      <c r="B609">
        <v>65.17</v>
      </c>
      <c r="C609">
        <v>67.39</v>
      </c>
      <c r="D609">
        <v>65.17</v>
      </c>
      <c r="E609">
        <v>66.56</v>
      </c>
      <c r="F609">
        <v>4821900</v>
      </c>
      <c r="G609">
        <v>66.56</v>
      </c>
      <c r="H609" s="93">
        <f t="shared" si="9"/>
        <v>1.895863259838744E-2</v>
      </c>
    </row>
    <row r="610" spans="1:11" ht="15" x14ac:dyDescent="0.2">
      <c r="A610" s="92">
        <v>22374</v>
      </c>
      <c r="B610">
        <v>65.599999999999994</v>
      </c>
      <c r="C610">
        <v>68.680000000000007</v>
      </c>
      <c r="D610">
        <v>64.400000000000006</v>
      </c>
      <c r="E610">
        <v>65.31</v>
      </c>
      <c r="F610">
        <v>5273500</v>
      </c>
      <c r="G610">
        <v>65.31</v>
      </c>
      <c r="H610" s="93">
        <f t="shared" si="9"/>
        <v>3.8352428693603311E-3</v>
      </c>
    </row>
    <row r="611" spans="1:11" ht="15" x14ac:dyDescent="0.2">
      <c r="A611" s="92">
        <v>22341</v>
      </c>
      <c r="B611">
        <v>63.43</v>
      </c>
      <c r="C611">
        <v>65.06</v>
      </c>
      <c r="D611">
        <v>63.38</v>
      </c>
      <c r="E611">
        <v>65.06</v>
      </c>
      <c r="F611">
        <v>5484500</v>
      </c>
      <c r="G611">
        <v>65.06</v>
      </c>
      <c r="H611" s="93">
        <f t="shared" si="9"/>
        <v>2.5215343718612959E-2</v>
      </c>
    </row>
    <row r="612" spans="1:11" ht="15" x14ac:dyDescent="0.2">
      <c r="A612" s="92">
        <v>22313</v>
      </c>
      <c r="B612">
        <v>61.9</v>
      </c>
      <c r="C612">
        <v>63.44</v>
      </c>
      <c r="D612">
        <v>61.14</v>
      </c>
      <c r="E612">
        <v>63.44</v>
      </c>
      <c r="F612">
        <v>5187300</v>
      </c>
      <c r="G612">
        <v>63.44</v>
      </c>
      <c r="H612" s="93">
        <f t="shared" si="9"/>
        <v>2.6514889836156925E-2</v>
      </c>
    </row>
    <row r="613" spans="1:11" ht="15" x14ac:dyDescent="0.2">
      <c r="A613" s="92">
        <v>22284</v>
      </c>
      <c r="B613">
        <v>57.57</v>
      </c>
      <c r="C613">
        <v>61.97</v>
      </c>
      <c r="D613">
        <v>57.57</v>
      </c>
      <c r="E613">
        <v>61.78</v>
      </c>
      <c r="F613">
        <v>4461900</v>
      </c>
      <c r="G613">
        <v>61.78</v>
      </c>
      <c r="H613" s="93">
        <f t="shared" si="9"/>
        <v>6.1241921403421495E-2</v>
      </c>
      <c r="I613" s="93"/>
    </row>
    <row r="614" spans="1:11" ht="15" x14ac:dyDescent="0.2">
      <c r="A614" s="92">
        <v>22251</v>
      </c>
      <c r="B614">
        <v>55.3</v>
      </c>
      <c r="C614">
        <v>58.11</v>
      </c>
      <c r="D614">
        <v>55.3</v>
      </c>
      <c r="E614">
        <v>58.11</v>
      </c>
      <c r="F614">
        <v>3934700</v>
      </c>
      <c r="G614">
        <v>58.11</v>
      </c>
      <c r="H614" s="93">
        <f t="shared" si="9"/>
        <v>4.5234284208360648E-2</v>
      </c>
      <c r="K614" s="97">
        <f>LN(G602/G614)</f>
        <v>0.20805873991544577</v>
      </c>
    </row>
    <row r="615" spans="1:11" ht="15" x14ac:dyDescent="0.2">
      <c r="A615" s="92">
        <v>22221</v>
      </c>
      <c r="B615">
        <v>53.94</v>
      </c>
      <c r="C615">
        <v>56.43</v>
      </c>
      <c r="D615">
        <v>53.94</v>
      </c>
      <c r="E615">
        <v>55.54</v>
      </c>
      <c r="F615">
        <v>3254500</v>
      </c>
      <c r="G615">
        <v>55.54</v>
      </c>
      <c r="H615" s="93">
        <f t="shared" si="9"/>
        <v>3.9480019366558615E-2</v>
      </c>
    </row>
    <row r="616" spans="1:11" ht="15" x14ac:dyDescent="0.2">
      <c r="A616" s="92">
        <v>22192</v>
      </c>
      <c r="B616">
        <v>53.36</v>
      </c>
      <c r="C616">
        <v>54.86</v>
      </c>
      <c r="D616">
        <v>52.2</v>
      </c>
      <c r="E616">
        <v>53.39</v>
      </c>
      <c r="F616">
        <v>2706100</v>
      </c>
      <c r="G616">
        <v>53.39</v>
      </c>
      <c r="H616" s="93">
        <f t="shared" si="9"/>
        <v>-2.4319533078781693E-3</v>
      </c>
    </row>
    <row r="617" spans="1:11" ht="15" x14ac:dyDescent="0.2">
      <c r="A617" s="92">
        <v>22160</v>
      </c>
      <c r="B617">
        <v>57.09</v>
      </c>
      <c r="C617">
        <v>57.09</v>
      </c>
      <c r="D617">
        <v>52.48</v>
      </c>
      <c r="E617">
        <v>53.52</v>
      </c>
      <c r="F617">
        <v>3057600</v>
      </c>
      <c r="G617">
        <v>53.52</v>
      </c>
      <c r="H617" s="93">
        <f t="shared" si="9"/>
        <v>-6.2293851283747328E-2</v>
      </c>
    </row>
    <row r="618" spans="1:11" ht="15" x14ac:dyDescent="0.2">
      <c r="A618" s="92">
        <v>22129</v>
      </c>
      <c r="B618">
        <v>55.53</v>
      </c>
      <c r="C618">
        <v>58.07</v>
      </c>
      <c r="D618">
        <v>54.72</v>
      </c>
      <c r="E618">
        <v>56.96</v>
      </c>
      <c r="F618">
        <v>2976500</v>
      </c>
      <c r="G618">
        <v>56.96</v>
      </c>
      <c r="H618" s="93">
        <f t="shared" si="9"/>
        <v>2.578608240165035E-2</v>
      </c>
    </row>
    <row r="619" spans="1:11" ht="15" x14ac:dyDescent="0.2">
      <c r="A619" s="92">
        <v>22098</v>
      </c>
      <c r="B619">
        <v>57.06</v>
      </c>
      <c r="C619">
        <v>57.38</v>
      </c>
      <c r="D619">
        <v>54.17</v>
      </c>
      <c r="E619">
        <v>55.51</v>
      </c>
      <c r="F619">
        <v>2829500</v>
      </c>
      <c r="G619">
        <v>55.51</v>
      </c>
      <c r="H619" s="93">
        <f t="shared" si="9"/>
        <v>-2.5083588519581774E-2</v>
      </c>
    </row>
    <row r="620" spans="1:11" ht="15" x14ac:dyDescent="0.2">
      <c r="A620" s="92">
        <v>22068</v>
      </c>
      <c r="B620">
        <v>55.89</v>
      </c>
      <c r="C620">
        <v>58</v>
      </c>
      <c r="D620">
        <v>55.89</v>
      </c>
      <c r="E620">
        <v>56.92</v>
      </c>
      <c r="F620">
        <v>3610000</v>
      </c>
      <c r="G620">
        <v>56.92</v>
      </c>
      <c r="H620" s="93">
        <f t="shared" si="9"/>
        <v>1.9335413899382613E-2</v>
      </c>
    </row>
    <row r="621" spans="1:11" ht="15" x14ac:dyDescent="0.2">
      <c r="A621" s="92">
        <v>22038</v>
      </c>
      <c r="B621">
        <v>54.13</v>
      </c>
      <c r="C621">
        <v>55.83</v>
      </c>
      <c r="D621">
        <v>54.13</v>
      </c>
      <c r="E621">
        <v>55.83</v>
      </c>
      <c r="F621">
        <v>3454200</v>
      </c>
      <c r="G621">
        <v>55.83</v>
      </c>
      <c r="H621" s="93">
        <f t="shared" si="9"/>
        <v>2.6498828164439877E-2</v>
      </c>
    </row>
    <row r="622" spans="1:11" ht="15" x14ac:dyDescent="0.2">
      <c r="A622" s="92">
        <v>22007</v>
      </c>
      <c r="B622">
        <v>55.43</v>
      </c>
      <c r="C622">
        <v>56.59</v>
      </c>
      <c r="D622">
        <v>54.37</v>
      </c>
      <c r="E622">
        <v>54.37</v>
      </c>
      <c r="F622">
        <v>3007500</v>
      </c>
      <c r="G622">
        <v>54.37</v>
      </c>
      <c r="H622" s="93">
        <f t="shared" si="9"/>
        <v>-1.7683443200950673E-2</v>
      </c>
    </row>
    <row r="623" spans="1:11" ht="15" x14ac:dyDescent="0.2">
      <c r="A623" s="92">
        <v>21976</v>
      </c>
      <c r="B623">
        <v>56.01</v>
      </c>
      <c r="C623">
        <v>56.01</v>
      </c>
      <c r="D623">
        <v>53.47</v>
      </c>
      <c r="E623">
        <v>55.34</v>
      </c>
      <c r="F623">
        <v>2973900</v>
      </c>
      <c r="G623">
        <v>55.34</v>
      </c>
      <c r="H623" s="93">
        <f t="shared" si="9"/>
        <v>-1.3996280875480212E-2</v>
      </c>
    </row>
    <row r="624" spans="1:11" ht="15" x14ac:dyDescent="0.2">
      <c r="A624" s="92">
        <v>21947</v>
      </c>
      <c r="B624">
        <v>55.96</v>
      </c>
      <c r="C624">
        <v>56.82</v>
      </c>
      <c r="D624">
        <v>54.73</v>
      </c>
      <c r="E624">
        <v>56.12</v>
      </c>
      <c r="F624">
        <v>3174500</v>
      </c>
      <c r="G624">
        <v>56.12</v>
      </c>
      <c r="H624" s="93">
        <f t="shared" si="9"/>
        <v>9.1292140347876086E-3</v>
      </c>
    </row>
    <row r="625" spans="1:11" ht="15" x14ac:dyDescent="0.2">
      <c r="A625" s="92">
        <v>21919</v>
      </c>
      <c r="B625">
        <v>59.91</v>
      </c>
      <c r="C625">
        <v>60.39</v>
      </c>
      <c r="D625">
        <v>55.61</v>
      </c>
      <c r="E625">
        <v>55.61</v>
      </c>
      <c r="F625">
        <v>3349000</v>
      </c>
      <c r="G625">
        <v>55.61</v>
      </c>
      <c r="H625" s="93">
        <f t="shared" si="9"/>
        <v>-7.4146505076898434E-2</v>
      </c>
      <c r="I625" s="93"/>
    </row>
    <row r="626" spans="1:11" ht="15" x14ac:dyDescent="0.2">
      <c r="A626" s="92">
        <v>21885</v>
      </c>
      <c r="B626">
        <v>58.7</v>
      </c>
      <c r="C626">
        <v>59.89</v>
      </c>
      <c r="D626">
        <v>58.6</v>
      </c>
      <c r="E626">
        <v>59.89</v>
      </c>
      <c r="F626">
        <v>3455400</v>
      </c>
      <c r="G626">
        <v>59.89</v>
      </c>
      <c r="H626" s="93">
        <f t="shared" si="9"/>
        <v>2.7250564949366958E-2</v>
      </c>
      <c r="K626" s="97">
        <f>LN(G614/G626)</f>
        <v>-3.0171780189356887E-2</v>
      </c>
    </row>
    <row r="627" spans="1:11" ht="15" x14ac:dyDescent="0.2">
      <c r="A627" s="92">
        <v>21856</v>
      </c>
      <c r="B627">
        <v>57.41</v>
      </c>
      <c r="C627">
        <v>58.28</v>
      </c>
      <c r="D627">
        <v>56.22</v>
      </c>
      <c r="E627">
        <v>58.28</v>
      </c>
      <c r="F627">
        <v>3587800</v>
      </c>
      <c r="G627">
        <v>58.28</v>
      </c>
      <c r="H627" s="93">
        <f t="shared" si="9"/>
        <v>1.312626791421286E-2</v>
      </c>
    </row>
    <row r="628" spans="1:11" ht="15" x14ac:dyDescent="0.2">
      <c r="A628" s="92">
        <v>21824</v>
      </c>
      <c r="B628">
        <v>56.94</v>
      </c>
      <c r="C628">
        <v>57.52</v>
      </c>
      <c r="D628">
        <v>56</v>
      </c>
      <c r="E628">
        <v>57.52</v>
      </c>
      <c r="F628">
        <v>2949500</v>
      </c>
      <c r="G628">
        <v>57.52</v>
      </c>
      <c r="H628" s="93">
        <f t="shared" si="9"/>
        <v>1.1188927917805822E-2</v>
      </c>
    </row>
    <row r="629" spans="1:11" ht="15" x14ac:dyDescent="0.2">
      <c r="A629" s="92">
        <v>21794</v>
      </c>
      <c r="B629">
        <v>58.87</v>
      </c>
      <c r="C629">
        <v>58.92</v>
      </c>
      <c r="D629">
        <v>55.14</v>
      </c>
      <c r="E629">
        <v>56.88</v>
      </c>
      <c r="F629">
        <v>2873800</v>
      </c>
      <c r="G629">
        <v>56.88</v>
      </c>
      <c r="H629" s="93">
        <f t="shared" si="9"/>
        <v>-4.6711788576318594E-2</v>
      </c>
    </row>
    <row r="630" spans="1:11" ht="15" x14ac:dyDescent="0.2">
      <c r="A630" s="92">
        <v>21765</v>
      </c>
      <c r="B630">
        <v>60.71</v>
      </c>
      <c r="C630">
        <v>60.71</v>
      </c>
      <c r="D630">
        <v>58.27</v>
      </c>
      <c r="E630">
        <v>59.6</v>
      </c>
      <c r="F630">
        <v>2532800</v>
      </c>
      <c r="G630">
        <v>59.6</v>
      </c>
      <c r="H630" s="93">
        <f t="shared" si="9"/>
        <v>-1.5153066562925923E-2</v>
      </c>
    </row>
    <row r="631" spans="1:11" ht="15" x14ac:dyDescent="0.2">
      <c r="A631" s="92">
        <v>21732</v>
      </c>
      <c r="B631">
        <v>58.97</v>
      </c>
      <c r="C631">
        <v>60.62</v>
      </c>
      <c r="D631">
        <v>58.91</v>
      </c>
      <c r="E631">
        <v>60.51</v>
      </c>
      <c r="F631">
        <v>3325900</v>
      </c>
      <c r="G631">
        <v>60.51</v>
      </c>
      <c r="H631" s="93">
        <f t="shared" si="9"/>
        <v>3.429483844665096E-2</v>
      </c>
    </row>
    <row r="632" spans="1:11" ht="15" x14ac:dyDescent="0.2">
      <c r="A632" s="92">
        <v>21702</v>
      </c>
      <c r="B632">
        <v>58.63</v>
      </c>
      <c r="C632">
        <v>58.63</v>
      </c>
      <c r="D632">
        <v>56.36</v>
      </c>
      <c r="E632">
        <v>58.47</v>
      </c>
      <c r="F632">
        <v>3068600</v>
      </c>
      <c r="G632">
        <v>58.47</v>
      </c>
      <c r="H632" s="93">
        <f t="shared" si="9"/>
        <v>-3.5851510872018867E-3</v>
      </c>
    </row>
    <row r="633" spans="1:11" ht="15" x14ac:dyDescent="0.2">
      <c r="A633" s="92">
        <v>21671</v>
      </c>
      <c r="B633">
        <v>57.65</v>
      </c>
      <c r="C633">
        <v>58.68</v>
      </c>
      <c r="D633">
        <v>56.88</v>
      </c>
      <c r="E633">
        <v>58.68</v>
      </c>
      <c r="F633">
        <v>3511400</v>
      </c>
      <c r="G633">
        <v>58.68</v>
      </c>
      <c r="H633" s="93">
        <f t="shared" si="9"/>
        <v>1.8750011756199818E-2</v>
      </c>
    </row>
    <row r="634" spans="1:11" ht="15" x14ac:dyDescent="0.2">
      <c r="A634" s="92">
        <v>21641</v>
      </c>
      <c r="B634">
        <v>55.69</v>
      </c>
      <c r="C634">
        <v>58.17</v>
      </c>
      <c r="D634">
        <v>55.69</v>
      </c>
      <c r="E634">
        <v>57.59</v>
      </c>
      <c r="F634">
        <v>3606800</v>
      </c>
      <c r="G634">
        <v>57.59</v>
      </c>
      <c r="H634" s="93">
        <f t="shared" si="9"/>
        <v>3.8047586636933237E-2</v>
      </c>
    </row>
    <row r="635" spans="1:11" ht="15" x14ac:dyDescent="0.2">
      <c r="A635" s="92">
        <v>21611</v>
      </c>
      <c r="B635">
        <v>55.73</v>
      </c>
      <c r="C635">
        <v>56.67</v>
      </c>
      <c r="D635">
        <v>55.44</v>
      </c>
      <c r="E635">
        <v>55.44</v>
      </c>
      <c r="F635">
        <v>4059500</v>
      </c>
      <c r="G635">
        <v>55.44</v>
      </c>
      <c r="H635" s="93">
        <f t="shared" si="9"/>
        <v>5.4127200238959046E-4</v>
      </c>
    </row>
    <row r="636" spans="1:11" ht="15" x14ac:dyDescent="0.2">
      <c r="A636" s="92">
        <v>21583</v>
      </c>
      <c r="B636">
        <v>55.21</v>
      </c>
      <c r="C636">
        <v>55.52</v>
      </c>
      <c r="D636">
        <v>53.58</v>
      </c>
      <c r="E636">
        <v>55.41</v>
      </c>
      <c r="F636">
        <v>3688900</v>
      </c>
      <c r="G636">
        <v>55.41</v>
      </c>
      <c r="H636" s="93">
        <f t="shared" si="9"/>
        <v>-7.2163091711788415E-4</v>
      </c>
    </row>
    <row r="637" spans="1:11" ht="15" x14ac:dyDescent="0.2">
      <c r="A637" s="92">
        <v>21552</v>
      </c>
      <c r="B637">
        <v>55.44</v>
      </c>
      <c r="C637">
        <v>56.04</v>
      </c>
      <c r="D637">
        <v>54.89</v>
      </c>
      <c r="E637">
        <v>55.45</v>
      </c>
      <c r="F637">
        <v>4135200</v>
      </c>
      <c r="G637">
        <v>55.45</v>
      </c>
      <c r="H637" s="93">
        <f t="shared" si="9"/>
        <v>4.3376175004229472E-3</v>
      </c>
      <c r="I637" s="93"/>
    </row>
    <row r="638" spans="1:11" ht="15" x14ac:dyDescent="0.2">
      <c r="A638" s="92">
        <v>21520</v>
      </c>
      <c r="B638">
        <v>52.69</v>
      </c>
      <c r="C638">
        <v>55.21</v>
      </c>
      <c r="D638">
        <v>52.46</v>
      </c>
      <c r="E638">
        <v>55.21</v>
      </c>
      <c r="F638">
        <v>3805200</v>
      </c>
      <c r="G638">
        <v>55.21</v>
      </c>
      <c r="H638" s="93">
        <f t="shared" si="9"/>
        <v>5.0711951660119624E-2</v>
      </c>
      <c r="K638" s="97">
        <f>LN(G626/G638)</f>
        <v>8.1365449980417864E-2</v>
      </c>
    </row>
    <row r="639" spans="1:11" ht="15" x14ac:dyDescent="0.2">
      <c r="A639" s="92">
        <v>21492</v>
      </c>
      <c r="B639">
        <v>51.56</v>
      </c>
      <c r="C639">
        <v>53.24</v>
      </c>
      <c r="D639">
        <v>51.02</v>
      </c>
      <c r="E639">
        <v>52.48</v>
      </c>
      <c r="F639">
        <v>4359400</v>
      </c>
      <c r="G639">
        <v>52.48</v>
      </c>
      <c r="H639" s="93">
        <f t="shared" si="9"/>
        <v>2.2156768063621834E-2</v>
      </c>
    </row>
    <row r="640" spans="1:11" ht="15" x14ac:dyDescent="0.2">
      <c r="A640" s="92">
        <v>21459</v>
      </c>
      <c r="B640">
        <v>49.98</v>
      </c>
      <c r="C640">
        <v>51.62</v>
      </c>
      <c r="D640">
        <v>49.98</v>
      </c>
      <c r="E640">
        <v>51.33</v>
      </c>
      <c r="F640">
        <v>4301700</v>
      </c>
      <c r="G640">
        <v>51.33</v>
      </c>
      <c r="H640" s="93">
        <f t="shared" si="9"/>
        <v>2.5053090568583462E-2</v>
      </c>
    </row>
    <row r="641" spans="1:11" ht="15" x14ac:dyDescent="0.2">
      <c r="A641" s="92">
        <v>21430</v>
      </c>
      <c r="B641">
        <v>48</v>
      </c>
      <c r="C641">
        <v>50.06</v>
      </c>
      <c r="D641">
        <v>47.97</v>
      </c>
      <c r="E641">
        <v>50.06</v>
      </c>
      <c r="F641">
        <v>3623800</v>
      </c>
      <c r="G641">
        <v>50.06</v>
      </c>
      <c r="H641" s="93">
        <f t="shared" si="9"/>
        <v>4.7243219076888901E-2</v>
      </c>
    </row>
    <row r="642" spans="1:11" ht="15" x14ac:dyDescent="0.2">
      <c r="A642" s="92">
        <v>21398</v>
      </c>
      <c r="B642">
        <v>47.49</v>
      </c>
      <c r="C642">
        <v>48.16</v>
      </c>
      <c r="D642">
        <v>47.22</v>
      </c>
      <c r="E642">
        <v>47.75</v>
      </c>
      <c r="F642">
        <v>3074200</v>
      </c>
      <c r="G642">
        <v>47.75</v>
      </c>
      <c r="H642" s="93">
        <f t="shared" ref="H642:H705" si="10">LN(G642/G643)</f>
        <v>1.1797061188443208E-2</v>
      </c>
    </row>
    <row r="643" spans="1:11" ht="15" x14ac:dyDescent="0.2">
      <c r="A643" s="92">
        <v>21367</v>
      </c>
      <c r="B643">
        <v>45.28</v>
      </c>
      <c r="C643">
        <v>47.19</v>
      </c>
      <c r="D643">
        <v>45.11</v>
      </c>
      <c r="E643">
        <v>47.19</v>
      </c>
      <c r="F643">
        <v>3357700</v>
      </c>
      <c r="G643">
        <v>47.19</v>
      </c>
      <c r="H643" s="93">
        <f t="shared" si="10"/>
        <v>4.2200354490376256E-2</v>
      </c>
    </row>
    <row r="644" spans="1:11" ht="15" x14ac:dyDescent="0.2">
      <c r="A644" s="92">
        <v>21338</v>
      </c>
      <c r="B644">
        <v>44.31</v>
      </c>
      <c r="C644">
        <v>45.34</v>
      </c>
      <c r="D644">
        <v>44.31</v>
      </c>
      <c r="E644">
        <v>45.24</v>
      </c>
      <c r="F644">
        <v>2830000</v>
      </c>
      <c r="G644">
        <v>45.24</v>
      </c>
      <c r="H644" s="93">
        <f t="shared" si="10"/>
        <v>2.5748651878073417E-2</v>
      </c>
    </row>
    <row r="645" spans="1:11" ht="15" x14ac:dyDescent="0.2">
      <c r="A645" s="92">
        <v>21306</v>
      </c>
      <c r="B645">
        <v>43.54</v>
      </c>
      <c r="C645">
        <v>44.09</v>
      </c>
      <c r="D645">
        <v>43.12</v>
      </c>
      <c r="E645">
        <v>44.09</v>
      </c>
      <c r="F645">
        <v>2688000</v>
      </c>
      <c r="G645">
        <v>44.09</v>
      </c>
      <c r="H645" s="93">
        <f t="shared" si="10"/>
        <v>1.4852323744166347E-2</v>
      </c>
    </row>
    <row r="646" spans="1:11" ht="15" x14ac:dyDescent="0.2">
      <c r="A646" s="92">
        <v>21276</v>
      </c>
      <c r="B646">
        <v>41.93</v>
      </c>
      <c r="C646">
        <v>43.44</v>
      </c>
      <c r="D646">
        <v>41.33</v>
      </c>
      <c r="E646">
        <v>43.44</v>
      </c>
      <c r="F646">
        <v>2531900</v>
      </c>
      <c r="G646">
        <v>43.44</v>
      </c>
      <c r="H646" s="93">
        <f t="shared" si="10"/>
        <v>3.1332934937344278E-2</v>
      </c>
    </row>
    <row r="647" spans="1:11" ht="15" x14ac:dyDescent="0.2">
      <c r="A647" s="92">
        <v>21247</v>
      </c>
      <c r="B647">
        <v>41.13</v>
      </c>
      <c r="C647">
        <v>42.58</v>
      </c>
      <c r="D647">
        <v>41.13</v>
      </c>
      <c r="E647">
        <v>42.1</v>
      </c>
      <c r="F647">
        <v>2320400</v>
      </c>
      <c r="G647">
        <v>42.1</v>
      </c>
      <c r="H647" s="93">
        <f t="shared" si="10"/>
        <v>3.0385747391870929E-2</v>
      </c>
    </row>
    <row r="648" spans="1:11" ht="15" x14ac:dyDescent="0.2">
      <c r="A648" s="92">
        <v>21219</v>
      </c>
      <c r="B648">
        <v>42.04</v>
      </c>
      <c r="C648">
        <v>42.46</v>
      </c>
      <c r="D648">
        <v>40.61</v>
      </c>
      <c r="E648">
        <v>40.840000000000003</v>
      </c>
      <c r="F648">
        <v>2088500</v>
      </c>
      <c r="G648">
        <v>40.840000000000003</v>
      </c>
      <c r="H648" s="93">
        <f t="shared" si="10"/>
        <v>-2.0839135508290963E-2</v>
      </c>
    </row>
    <row r="649" spans="1:11" ht="15" x14ac:dyDescent="0.2">
      <c r="A649" s="92">
        <v>21187</v>
      </c>
      <c r="B649">
        <v>40.33</v>
      </c>
      <c r="C649">
        <v>41.88</v>
      </c>
      <c r="D649">
        <v>40.33</v>
      </c>
      <c r="E649">
        <v>41.7</v>
      </c>
      <c r="F649">
        <v>2357200</v>
      </c>
      <c r="G649">
        <v>41.7</v>
      </c>
      <c r="H649" s="93">
        <f t="shared" si="10"/>
        <v>4.1871705946028882E-2</v>
      </c>
      <c r="I649" s="93"/>
    </row>
    <row r="650" spans="1:11" ht="15" x14ac:dyDescent="0.2">
      <c r="A650" s="92">
        <v>21156</v>
      </c>
      <c r="B650">
        <v>41.36</v>
      </c>
      <c r="C650">
        <v>41.54</v>
      </c>
      <c r="D650">
        <v>39.380000000000003</v>
      </c>
      <c r="E650">
        <v>39.99</v>
      </c>
      <c r="F650">
        <v>2833800</v>
      </c>
      <c r="G650">
        <v>39.99</v>
      </c>
      <c r="H650" s="93">
        <f t="shared" si="10"/>
        <v>-4.2351207273844664E-2</v>
      </c>
      <c r="K650" s="97">
        <f>LN(G638/G650)</f>
        <v>0.32251467343722623</v>
      </c>
    </row>
    <row r="651" spans="1:11" ht="15" x14ac:dyDescent="0.2">
      <c r="A651" s="92">
        <v>21125</v>
      </c>
      <c r="B651">
        <v>40.44</v>
      </c>
      <c r="C651">
        <v>41.72</v>
      </c>
      <c r="D651">
        <v>39.44</v>
      </c>
      <c r="E651">
        <v>41.72</v>
      </c>
      <c r="F651">
        <v>2681000</v>
      </c>
      <c r="G651">
        <v>41.72</v>
      </c>
      <c r="H651" s="93">
        <f t="shared" si="10"/>
        <v>1.5946218541783998E-2</v>
      </c>
    </row>
    <row r="652" spans="1:11" ht="15" x14ac:dyDescent="0.2">
      <c r="A652" s="92">
        <v>21094</v>
      </c>
      <c r="B652">
        <v>42.76</v>
      </c>
      <c r="C652">
        <v>43.14</v>
      </c>
      <c r="D652">
        <v>38.979999999999997</v>
      </c>
      <c r="E652">
        <v>41.06</v>
      </c>
      <c r="F652">
        <v>2875200</v>
      </c>
      <c r="G652">
        <v>41.06</v>
      </c>
      <c r="H652" s="93">
        <f t="shared" si="10"/>
        <v>-3.2585537545748833E-2</v>
      </c>
    </row>
    <row r="653" spans="1:11" ht="15" x14ac:dyDescent="0.2">
      <c r="A653" s="92">
        <v>21066</v>
      </c>
      <c r="B653">
        <v>45.44</v>
      </c>
      <c r="C653">
        <v>45.44</v>
      </c>
      <c r="D653">
        <v>42.42</v>
      </c>
      <c r="E653">
        <v>42.42</v>
      </c>
      <c r="F653">
        <v>1920500</v>
      </c>
      <c r="G653">
        <v>42.42</v>
      </c>
      <c r="H653" s="93">
        <f t="shared" si="10"/>
        <v>-6.3919517713287327E-2</v>
      </c>
    </row>
    <row r="654" spans="1:11" ht="15" x14ac:dyDescent="0.2">
      <c r="A654" s="92">
        <v>21033</v>
      </c>
      <c r="B654">
        <v>47.79</v>
      </c>
      <c r="C654">
        <v>47.79</v>
      </c>
      <c r="D654">
        <v>43.89</v>
      </c>
      <c r="E654">
        <v>45.22</v>
      </c>
      <c r="F654">
        <v>1954000</v>
      </c>
      <c r="G654">
        <v>45.22</v>
      </c>
      <c r="H654" s="93">
        <f t="shared" si="10"/>
        <v>-5.7784784045206906E-2</v>
      </c>
    </row>
    <row r="655" spans="1:11" ht="15" x14ac:dyDescent="0.2">
      <c r="A655" s="92">
        <v>21002</v>
      </c>
      <c r="B655">
        <v>47.43</v>
      </c>
      <c r="C655">
        <v>49.13</v>
      </c>
      <c r="D655">
        <v>47.43</v>
      </c>
      <c r="E655">
        <v>47.91</v>
      </c>
      <c r="F655">
        <v>2275400</v>
      </c>
      <c r="G655">
        <v>47.91</v>
      </c>
      <c r="H655" s="93">
        <f t="shared" si="10"/>
        <v>1.1335133959370355E-2</v>
      </c>
    </row>
    <row r="656" spans="1:11" ht="15" x14ac:dyDescent="0.2">
      <c r="A656" s="92">
        <v>20974</v>
      </c>
      <c r="B656">
        <v>47.37</v>
      </c>
      <c r="C656">
        <v>48.24</v>
      </c>
      <c r="D656">
        <v>46.78</v>
      </c>
      <c r="E656">
        <v>47.37</v>
      </c>
      <c r="F656">
        <v>2262000</v>
      </c>
      <c r="G656">
        <v>47.37</v>
      </c>
      <c r="H656" s="93">
        <f t="shared" si="10"/>
        <v>-1.2658229538299978E-3</v>
      </c>
    </row>
    <row r="657" spans="1:11" ht="15" x14ac:dyDescent="0.2">
      <c r="A657" s="92">
        <v>20941</v>
      </c>
      <c r="B657">
        <v>46.02</v>
      </c>
      <c r="C657">
        <v>47.43</v>
      </c>
      <c r="D657">
        <v>46.02</v>
      </c>
      <c r="E657">
        <v>47.43</v>
      </c>
      <c r="F657">
        <v>2482200</v>
      </c>
      <c r="G657">
        <v>47.43</v>
      </c>
      <c r="H657" s="93">
        <f t="shared" si="10"/>
        <v>3.6281751294855148E-2</v>
      </c>
    </row>
    <row r="658" spans="1:11" ht="15" x14ac:dyDescent="0.2">
      <c r="A658" s="92">
        <v>20911</v>
      </c>
      <c r="B658">
        <v>44.14</v>
      </c>
      <c r="C658">
        <v>45.74</v>
      </c>
      <c r="D658">
        <v>44.14</v>
      </c>
      <c r="E658">
        <v>45.74</v>
      </c>
      <c r="F658">
        <v>2404200</v>
      </c>
      <c r="G658">
        <v>45.74</v>
      </c>
      <c r="H658" s="93">
        <f t="shared" si="10"/>
        <v>3.6286674477786864E-2</v>
      </c>
    </row>
    <row r="659" spans="1:11" ht="15" x14ac:dyDescent="0.2">
      <c r="A659" s="92">
        <v>20880</v>
      </c>
      <c r="B659">
        <v>43.74</v>
      </c>
      <c r="C659">
        <v>44.23</v>
      </c>
      <c r="D659">
        <v>43.74</v>
      </c>
      <c r="E659">
        <v>44.11</v>
      </c>
      <c r="F659">
        <v>1774700</v>
      </c>
      <c r="G659">
        <v>44.11</v>
      </c>
      <c r="H659" s="93">
        <f t="shared" si="10"/>
        <v>1.9458093591935791E-2</v>
      </c>
    </row>
    <row r="660" spans="1:11" ht="15" x14ac:dyDescent="0.2">
      <c r="A660" s="92">
        <v>20852</v>
      </c>
      <c r="B660">
        <v>44.62</v>
      </c>
      <c r="C660">
        <v>44.62</v>
      </c>
      <c r="D660">
        <v>42.39</v>
      </c>
      <c r="E660">
        <v>43.26</v>
      </c>
      <c r="F660">
        <v>2060500</v>
      </c>
      <c r="G660">
        <v>43.26</v>
      </c>
      <c r="H660" s="93">
        <f t="shared" si="10"/>
        <v>-3.3192408321931086E-2</v>
      </c>
    </row>
    <row r="661" spans="1:11" ht="15" x14ac:dyDescent="0.2">
      <c r="A661" s="92">
        <v>20822</v>
      </c>
      <c r="B661">
        <v>46.2</v>
      </c>
      <c r="C661">
        <v>46.66</v>
      </c>
      <c r="D661">
        <v>44.4</v>
      </c>
      <c r="E661">
        <v>44.72</v>
      </c>
      <c r="F661">
        <v>2275400</v>
      </c>
      <c r="G661">
        <v>44.72</v>
      </c>
      <c r="H661" s="93">
        <f t="shared" si="10"/>
        <v>-4.2680731114880556E-2</v>
      </c>
      <c r="I661" s="93"/>
    </row>
    <row r="662" spans="1:11" ht="15" x14ac:dyDescent="0.2">
      <c r="A662" s="92">
        <v>20792</v>
      </c>
      <c r="B662">
        <v>45.98</v>
      </c>
      <c r="C662">
        <v>47.04</v>
      </c>
      <c r="D662">
        <v>45.84</v>
      </c>
      <c r="E662">
        <v>46.67</v>
      </c>
      <c r="F662">
        <v>2632100</v>
      </c>
      <c r="G662">
        <v>46.67</v>
      </c>
      <c r="H662" s="93">
        <f t="shared" si="10"/>
        <v>3.4662870790148757E-2</v>
      </c>
      <c r="K662" s="97">
        <f>LN(G650/G662)</f>
        <v>-0.15447213710299718</v>
      </c>
    </row>
    <row r="663" spans="1:11" ht="15" x14ac:dyDescent="0.2">
      <c r="A663" s="92">
        <v>20760</v>
      </c>
      <c r="B663">
        <v>46.52</v>
      </c>
      <c r="C663">
        <v>47.6</v>
      </c>
      <c r="D663">
        <v>44.38</v>
      </c>
      <c r="E663">
        <v>45.08</v>
      </c>
      <c r="F663">
        <v>2292500</v>
      </c>
      <c r="G663">
        <v>45.08</v>
      </c>
      <c r="H663" s="93">
        <f t="shared" si="10"/>
        <v>-1.1030334645962651E-2</v>
      </c>
    </row>
    <row r="664" spans="1:11" ht="15" x14ac:dyDescent="0.2">
      <c r="A664" s="92">
        <v>20729</v>
      </c>
      <c r="B664">
        <v>44.7</v>
      </c>
      <c r="C664">
        <v>47</v>
      </c>
      <c r="D664">
        <v>44.7</v>
      </c>
      <c r="E664">
        <v>45.58</v>
      </c>
      <c r="F664">
        <v>1851300</v>
      </c>
      <c r="G664">
        <v>45.58</v>
      </c>
      <c r="H664" s="93">
        <f t="shared" si="10"/>
        <v>5.0588472563925695E-3</v>
      </c>
    </row>
    <row r="665" spans="1:11" ht="15" x14ac:dyDescent="0.2">
      <c r="A665" s="92">
        <v>20702</v>
      </c>
      <c r="B665">
        <v>47.89</v>
      </c>
      <c r="C665">
        <v>48.1</v>
      </c>
      <c r="D665">
        <v>45.35</v>
      </c>
      <c r="E665">
        <v>45.35</v>
      </c>
      <c r="F665">
        <v>2049400</v>
      </c>
      <c r="G665">
        <v>45.35</v>
      </c>
      <c r="H665" s="93">
        <f t="shared" si="10"/>
        <v>-4.6530038637684255E-2</v>
      </c>
    </row>
    <row r="666" spans="1:11" ht="15" x14ac:dyDescent="0.2">
      <c r="A666" s="92">
        <v>20668</v>
      </c>
      <c r="B666">
        <v>49.62</v>
      </c>
      <c r="C666">
        <v>49.64</v>
      </c>
      <c r="D666">
        <v>46.94</v>
      </c>
      <c r="E666">
        <v>47.51</v>
      </c>
      <c r="F666">
        <v>2003000</v>
      </c>
      <c r="G666">
        <v>47.51</v>
      </c>
      <c r="H666" s="93">
        <f t="shared" si="10"/>
        <v>-3.8807759353703515E-2</v>
      </c>
    </row>
    <row r="667" spans="1:11" ht="15" x14ac:dyDescent="0.2">
      <c r="A667" s="92">
        <v>20638</v>
      </c>
      <c r="B667">
        <v>46.93</v>
      </c>
      <c r="C667">
        <v>49.48</v>
      </c>
      <c r="D667">
        <v>46.93</v>
      </c>
      <c r="E667">
        <v>49.39</v>
      </c>
      <c r="F667">
        <v>2293800</v>
      </c>
      <c r="G667">
        <v>49.39</v>
      </c>
      <c r="H667" s="93">
        <f t="shared" si="10"/>
        <v>5.0238874513629794E-2</v>
      </c>
    </row>
    <row r="668" spans="1:11" ht="15" x14ac:dyDescent="0.2">
      <c r="A668" s="92">
        <v>20607</v>
      </c>
      <c r="B668">
        <v>45.58</v>
      </c>
      <c r="C668">
        <v>47.13</v>
      </c>
      <c r="D668">
        <v>45.14</v>
      </c>
      <c r="E668">
        <v>46.97</v>
      </c>
      <c r="F668">
        <v>1855200</v>
      </c>
      <c r="G668">
        <v>46.97</v>
      </c>
      <c r="H668" s="93">
        <f t="shared" si="10"/>
        <v>3.8412013200718034E-2</v>
      </c>
    </row>
    <row r="669" spans="1:11" ht="15" x14ac:dyDescent="0.2">
      <c r="A669" s="92">
        <v>20576</v>
      </c>
      <c r="B669">
        <v>48.16</v>
      </c>
      <c r="C669">
        <v>48.51</v>
      </c>
      <c r="D669">
        <v>44.1</v>
      </c>
      <c r="E669">
        <v>45.2</v>
      </c>
      <c r="F669">
        <v>2510400</v>
      </c>
      <c r="G669">
        <v>45.2</v>
      </c>
      <c r="H669" s="93">
        <f t="shared" si="10"/>
        <v>-6.7989418343695693E-2</v>
      </c>
    </row>
    <row r="670" spans="1:11" ht="15" x14ac:dyDescent="0.2">
      <c r="A670" s="92">
        <v>20547</v>
      </c>
      <c r="B670">
        <v>48.7</v>
      </c>
      <c r="C670">
        <v>48.85</v>
      </c>
      <c r="D670">
        <v>47.09</v>
      </c>
      <c r="E670">
        <v>48.38</v>
      </c>
      <c r="F670">
        <v>2706100</v>
      </c>
      <c r="G670">
        <v>48.38</v>
      </c>
      <c r="H670" s="93">
        <f t="shared" si="10"/>
        <v>-2.0648365791777435E-3</v>
      </c>
    </row>
    <row r="671" spans="1:11" ht="15" x14ac:dyDescent="0.2">
      <c r="A671" s="92">
        <v>20515</v>
      </c>
      <c r="B671">
        <v>45.54</v>
      </c>
      <c r="C671">
        <v>48.87</v>
      </c>
      <c r="D671">
        <v>45.54</v>
      </c>
      <c r="E671">
        <v>48.48</v>
      </c>
      <c r="F671">
        <v>3037600</v>
      </c>
      <c r="G671">
        <v>48.48</v>
      </c>
      <c r="H671" s="93">
        <f t="shared" si="10"/>
        <v>6.6961696681675842E-2</v>
      </c>
    </row>
    <row r="672" spans="1:11" ht="15" x14ac:dyDescent="0.2">
      <c r="A672" s="92">
        <v>20486</v>
      </c>
      <c r="B672">
        <v>44.03</v>
      </c>
      <c r="C672">
        <v>45.43</v>
      </c>
      <c r="D672">
        <v>43.42</v>
      </c>
      <c r="E672">
        <v>45.34</v>
      </c>
      <c r="F672">
        <v>2513500</v>
      </c>
      <c r="G672">
        <v>45.34</v>
      </c>
      <c r="H672" s="93">
        <f t="shared" si="10"/>
        <v>3.4099310912062572E-2</v>
      </c>
    </row>
    <row r="673" spans="1:11" ht="15" x14ac:dyDescent="0.2">
      <c r="A673" s="92">
        <v>20457</v>
      </c>
      <c r="B673">
        <v>45.16</v>
      </c>
      <c r="C673">
        <v>45.16</v>
      </c>
      <c r="D673">
        <v>43.11</v>
      </c>
      <c r="E673">
        <v>43.82</v>
      </c>
      <c r="F673">
        <v>2336100</v>
      </c>
      <c r="G673">
        <v>43.82</v>
      </c>
      <c r="H673" s="93">
        <f t="shared" si="10"/>
        <v>-3.7182334715014725E-2</v>
      </c>
      <c r="I673" s="93"/>
    </row>
    <row r="674" spans="1:11" ht="15" x14ac:dyDescent="0.2">
      <c r="A674" s="92">
        <v>20424</v>
      </c>
      <c r="B674">
        <v>45.35</v>
      </c>
      <c r="C674">
        <v>45.89</v>
      </c>
      <c r="D674">
        <v>44.95</v>
      </c>
      <c r="E674">
        <v>45.48</v>
      </c>
      <c r="F674">
        <v>2562300</v>
      </c>
      <c r="G674">
        <v>45.48</v>
      </c>
      <c r="H674" s="93">
        <f t="shared" si="10"/>
        <v>-6.5941314621531825E-4</v>
      </c>
      <c r="K674" s="97">
        <f>LN(G662/G674)</f>
        <v>2.5828891079389068E-2</v>
      </c>
    </row>
    <row r="675" spans="1:11" ht="15" x14ac:dyDescent="0.2">
      <c r="A675" s="92">
        <v>20394</v>
      </c>
      <c r="B675">
        <v>42.28</v>
      </c>
      <c r="C675">
        <v>46.41</v>
      </c>
      <c r="D675">
        <v>42.28</v>
      </c>
      <c r="E675">
        <v>45.51</v>
      </c>
      <c r="F675">
        <v>2463000</v>
      </c>
      <c r="G675">
        <v>45.51</v>
      </c>
      <c r="H675" s="93">
        <f t="shared" si="10"/>
        <v>7.2199816321831256E-2</v>
      </c>
    </row>
    <row r="676" spans="1:11" ht="15" x14ac:dyDescent="0.2">
      <c r="A676" s="92">
        <v>20365</v>
      </c>
      <c r="B676">
        <v>42.49</v>
      </c>
      <c r="C676">
        <v>42.99</v>
      </c>
      <c r="D676">
        <v>40.799999999999997</v>
      </c>
      <c r="E676">
        <v>42.34</v>
      </c>
      <c r="F676">
        <v>2092800</v>
      </c>
      <c r="G676">
        <v>42.34</v>
      </c>
      <c r="H676" s="93">
        <f t="shared" si="10"/>
        <v>-3.0929101790750403E-2</v>
      </c>
    </row>
    <row r="677" spans="1:11" ht="15" x14ac:dyDescent="0.2">
      <c r="A677" s="92">
        <v>20333</v>
      </c>
      <c r="B677">
        <v>43.37</v>
      </c>
      <c r="C677">
        <v>45.63</v>
      </c>
      <c r="D677">
        <v>42.61</v>
      </c>
      <c r="E677">
        <v>43.67</v>
      </c>
      <c r="F677">
        <v>2962800</v>
      </c>
      <c r="G677">
        <v>43.67</v>
      </c>
      <c r="H677" s="93">
        <f t="shared" si="10"/>
        <v>1.1283942410808287E-2</v>
      </c>
    </row>
    <row r="678" spans="1:11" ht="15" x14ac:dyDescent="0.2">
      <c r="A678" s="92">
        <v>20302</v>
      </c>
      <c r="B678">
        <v>42.93</v>
      </c>
      <c r="C678">
        <v>43.18</v>
      </c>
      <c r="D678">
        <v>41.74</v>
      </c>
      <c r="E678">
        <v>43.18</v>
      </c>
      <c r="F678">
        <v>1897800</v>
      </c>
      <c r="G678">
        <v>43.18</v>
      </c>
      <c r="H678" s="93">
        <f t="shared" si="10"/>
        <v>-7.8431774610260054E-3</v>
      </c>
    </row>
    <row r="679" spans="1:11" ht="15" x14ac:dyDescent="0.2">
      <c r="A679" s="92">
        <v>20271</v>
      </c>
      <c r="B679">
        <v>41.19</v>
      </c>
      <c r="C679">
        <v>43.76</v>
      </c>
      <c r="D679">
        <v>41.19</v>
      </c>
      <c r="E679">
        <v>43.52</v>
      </c>
      <c r="F679">
        <v>2527000</v>
      </c>
      <c r="G679">
        <v>43.52</v>
      </c>
      <c r="H679" s="93">
        <f t="shared" si="10"/>
        <v>5.8917096093592601E-2</v>
      </c>
    </row>
    <row r="680" spans="1:11" ht="15" x14ac:dyDescent="0.2">
      <c r="A680" s="92">
        <v>20241</v>
      </c>
      <c r="B680">
        <v>37.96</v>
      </c>
      <c r="C680">
        <v>41.03</v>
      </c>
      <c r="D680">
        <v>37.96</v>
      </c>
      <c r="E680">
        <v>41.03</v>
      </c>
      <c r="F680">
        <v>2749500</v>
      </c>
      <c r="G680">
        <v>41.03</v>
      </c>
      <c r="H680" s="93">
        <f t="shared" si="10"/>
        <v>7.9088576925851445E-2</v>
      </c>
    </row>
    <row r="681" spans="1:11" ht="15" x14ac:dyDescent="0.2">
      <c r="A681" s="92">
        <v>20211</v>
      </c>
      <c r="B681">
        <v>38.04</v>
      </c>
      <c r="C681">
        <v>38.04</v>
      </c>
      <c r="D681">
        <v>36.97</v>
      </c>
      <c r="E681">
        <v>37.909999999999997</v>
      </c>
      <c r="F681">
        <v>2259000</v>
      </c>
      <c r="G681">
        <v>37.909999999999997</v>
      </c>
      <c r="H681" s="93">
        <f t="shared" si="10"/>
        <v>-1.3180442134837957E-3</v>
      </c>
    </row>
    <row r="682" spans="1:11" ht="15" x14ac:dyDescent="0.2">
      <c r="A682" s="92">
        <v>20180</v>
      </c>
      <c r="B682">
        <v>36.950000000000003</v>
      </c>
      <c r="C682">
        <v>38.32</v>
      </c>
      <c r="D682">
        <v>36.83</v>
      </c>
      <c r="E682">
        <v>37.96</v>
      </c>
      <c r="F682">
        <v>2801000</v>
      </c>
      <c r="G682">
        <v>37.96</v>
      </c>
      <c r="H682" s="93">
        <f t="shared" si="10"/>
        <v>3.703133077900761E-2</v>
      </c>
    </row>
    <row r="683" spans="1:11" ht="15" x14ac:dyDescent="0.2">
      <c r="A683" s="92">
        <v>20149</v>
      </c>
      <c r="B683">
        <v>36.83</v>
      </c>
      <c r="C683">
        <v>37.520000000000003</v>
      </c>
      <c r="D683">
        <v>34.96</v>
      </c>
      <c r="E683">
        <v>36.58</v>
      </c>
      <c r="F683">
        <v>2976500</v>
      </c>
      <c r="G683">
        <v>36.58</v>
      </c>
      <c r="H683" s="93">
        <f t="shared" si="10"/>
        <v>-4.90865452476666E-3</v>
      </c>
    </row>
    <row r="684" spans="1:11" ht="15" x14ac:dyDescent="0.2">
      <c r="A684" s="92">
        <v>20121</v>
      </c>
      <c r="B684">
        <v>36.72</v>
      </c>
      <c r="C684">
        <v>37.15</v>
      </c>
      <c r="D684">
        <v>36.44</v>
      </c>
      <c r="E684">
        <v>36.76</v>
      </c>
      <c r="F684">
        <v>3338400</v>
      </c>
      <c r="G684">
        <v>36.76</v>
      </c>
      <c r="H684" s="93">
        <f t="shared" si="10"/>
        <v>3.5427206967630865E-3</v>
      </c>
    </row>
    <row r="685" spans="1:11" ht="15" x14ac:dyDescent="0.2">
      <c r="A685" s="92">
        <v>20092</v>
      </c>
      <c r="B685">
        <v>36.75</v>
      </c>
      <c r="C685">
        <v>36.75</v>
      </c>
      <c r="D685">
        <v>34.58</v>
      </c>
      <c r="E685">
        <v>36.630000000000003</v>
      </c>
      <c r="F685">
        <v>3721400</v>
      </c>
      <c r="G685">
        <v>36.630000000000003</v>
      </c>
      <c r="H685" s="93">
        <f t="shared" si="10"/>
        <v>1.7904348268336114E-2</v>
      </c>
      <c r="I685" s="93"/>
    </row>
    <row r="686" spans="1:11" ht="15" x14ac:dyDescent="0.2">
      <c r="A686" s="92">
        <v>20059</v>
      </c>
      <c r="B686">
        <v>33.99</v>
      </c>
      <c r="C686">
        <v>35.979999999999997</v>
      </c>
      <c r="D686">
        <v>33.99</v>
      </c>
      <c r="E686">
        <v>35.979999999999997</v>
      </c>
      <c r="F686">
        <v>3650900</v>
      </c>
      <c r="G686">
        <v>35.979999999999997</v>
      </c>
      <c r="H686" s="93">
        <f t="shared" si="10"/>
        <v>4.9568677248845457E-2</v>
      </c>
      <c r="K686" s="97">
        <f>LN(G674/G686)</f>
        <v>0.23430944035994822</v>
      </c>
    </row>
    <row r="687" spans="1:11" ht="15" x14ac:dyDescent="0.2">
      <c r="A687" s="92">
        <v>20029</v>
      </c>
      <c r="B687">
        <v>31.79</v>
      </c>
      <c r="C687">
        <v>34.549999999999997</v>
      </c>
      <c r="D687">
        <v>31.79</v>
      </c>
      <c r="E687">
        <v>34.24</v>
      </c>
      <c r="F687">
        <v>3322500</v>
      </c>
      <c r="G687">
        <v>34.24</v>
      </c>
      <c r="H687" s="93">
        <f t="shared" si="10"/>
        <v>7.7708984327316322E-2</v>
      </c>
    </row>
    <row r="688" spans="1:11" ht="15" x14ac:dyDescent="0.2">
      <c r="A688" s="92">
        <v>19998</v>
      </c>
      <c r="B688">
        <v>32.29</v>
      </c>
      <c r="C688">
        <v>32.76</v>
      </c>
      <c r="D688">
        <v>31.68</v>
      </c>
      <c r="E688">
        <v>31.68</v>
      </c>
      <c r="F688">
        <v>2193800</v>
      </c>
      <c r="G688">
        <v>31.68</v>
      </c>
      <c r="H688" s="93">
        <f t="shared" si="10"/>
        <v>-1.969121289018182E-2</v>
      </c>
    </row>
    <row r="689" spans="1:11" ht="15" x14ac:dyDescent="0.2">
      <c r="A689" s="92">
        <v>19968</v>
      </c>
      <c r="B689">
        <v>30.04</v>
      </c>
      <c r="C689">
        <v>32.69</v>
      </c>
      <c r="D689">
        <v>30.04</v>
      </c>
      <c r="E689">
        <v>32.31</v>
      </c>
      <c r="F689">
        <v>2050400</v>
      </c>
      <c r="G689">
        <v>32.31</v>
      </c>
      <c r="H689" s="93">
        <f t="shared" si="10"/>
        <v>7.9862181309749952E-2</v>
      </c>
    </row>
    <row r="690" spans="1:11" ht="15" x14ac:dyDescent="0.2">
      <c r="A690" s="92">
        <v>19938</v>
      </c>
      <c r="B690">
        <v>30.99</v>
      </c>
      <c r="C690">
        <v>31.21</v>
      </c>
      <c r="D690">
        <v>29.83</v>
      </c>
      <c r="E690">
        <v>29.83</v>
      </c>
      <c r="F690">
        <v>2706300</v>
      </c>
      <c r="G690">
        <v>29.83</v>
      </c>
      <c r="H690" s="93">
        <f t="shared" si="10"/>
        <v>-3.459412662991828E-2</v>
      </c>
    </row>
    <row r="691" spans="1:11" ht="15" x14ac:dyDescent="0.2">
      <c r="A691" s="92">
        <v>19906</v>
      </c>
      <c r="B691">
        <v>29.21</v>
      </c>
      <c r="C691">
        <v>30.88</v>
      </c>
      <c r="D691">
        <v>29.21</v>
      </c>
      <c r="E691">
        <v>30.88</v>
      </c>
      <c r="F691">
        <v>2601900</v>
      </c>
      <c r="G691">
        <v>30.88</v>
      </c>
      <c r="H691" s="93">
        <f t="shared" si="10"/>
        <v>5.5597608756925855E-2</v>
      </c>
    </row>
    <row r="692" spans="1:11" ht="15" x14ac:dyDescent="0.2">
      <c r="A692" s="92">
        <v>19876</v>
      </c>
      <c r="B692">
        <v>29.19</v>
      </c>
      <c r="C692">
        <v>29.43</v>
      </c>
      <c r="D692">
        <v>28.15</v>
      </c>
      <c r="E692">
        <v>29.21</v>
      </c>
      <c r="F692">
        <v>2008100</v>
      </c>
      <c r="G692">
        <v>29.21</v>
      </c>
      <c r="H692" s="93">
        <f t="shared" si="10"/>
        <v>6.8493153362617423E-4</v>
      </c>
    </row>
    <row r="693" spans="1:11" ht="15" x14ac:dyDescent="0.2">
      <c r="A693" s="92">
        <v>19847</v>
      </c>
      <c r="B693">
        <v>28.21</v>
      </c>
      <c r="C693">
        <v>29.19</v>
      </c>
      <c r="D693">
        <v>28.21</v>
      </c>
      <c r="E693">
        <v>29.19</v>
      </c>
      <c r="F693">
        <v>2192000</v>
      </c>
      <c r="G693">
        <v>29.19</v>
      </c>
      <c r="H693" s="93">
        <f t="shared" si="10"/>
        <v>3.2378807609641888E-2</v>
      </c>
    </row>
    <row r="694" spans="1:11" ht="15" x14ac:dyDescent="0.2">
      <c r="A694" s="92">
        <v>19815</v>
      </c>
      <c r="B694">
        <v>27.17</v>
      </c>
      <c r="C694">
        <v>28.26</v>
      </c>
      <c r="D694">
        <v>27.01</v>
      </c>
      <c r="E694">
        <v>28.26</v>
      </c>
      <c r="F694">
        <v>2188000</v>
      </c>
      <c r="G694">
        <v>28.26</v>
      </c>
      <c r="H694" s="93">
        <f t="shared" si="10"/>
        <v>4.7835206274163475E-2</v>
      </c>
    </row>
    <row r="695" spans="1:11" ht="15" x14ac:dyDescent="0.2">
      <c r="A695" s="92">
        <v>19784</v>
      </c>
      <c r="B695">
        <v>26.25</v>
      </c>
      <c r="C695">
        <v>26.94</v>
      </c>
      <c r="D695">
        <v>26.25</v>
      </c>
      <c r="E695">
        <v>26.94</v>
      </c>
      <c r="F695">
        <v>2032100</v>
      </c>
      <c r="G695">
        <v>26.94</v>
      </c>
      <c r="H695" s="93">
        <f t="shared" si="10"/>
        <v>2.976298047128606E-2</v>
      </c>
    </row>
    <row r="696" spans="1:11" ht="15" x14ac:dyDescent="0.2">
      <c r="A696" s="92">
        <v>19756</v>
      </c>
      <c r="B696">
        <v>25.99</v>
      </c>
      <c r="C696">
        <v>26.3</v>
      </c>
      <c r="D696">
        <v>25.81</v>
      </c>
      <c r="E696">
        <v>26.15</v>
      </c>
      <c r="F696">
        <v>1851000</v>
      </c>
      <c r="G696">
        <v>26.15</v>
      </c>
      <c r="H696" s="93">
        <f t="shared" si="10"/>
        <v>2.6804534524797158E-3</v>
      </c>
    </row>
    <row r="697" spans="1:11" ht="15" x14ac:dyDescent="0.2">
      <c r="A697" s="92">
        <v>19728</v>
      </c>
      <c r="B697">
        <v>24.95</v>
      </c>
      <c r="C697">
        <v>26.09</v>
      </c>
      <c r="D697">
        <v>24.8</v>
      </c>
      <c r="E697">
        <v>26.08</v>
      </c>
      <c r="F697">
        <v>1768500</v>
      </c>
      <c r="G697">
        <v>26.08</v>
      </c>
      <c r="H697" s="93">
        <f t="shared" si="10"/>
        <v>4.9921939354742623E-2</v>
      </c>
      <c r="I697" s="93"/>
    </row>
    <row r="698" spans="1:11" ht="15" x14ac:dyDescent="0.2">
      <c r="A698" s="92">
        <v>19694</v>
      </c>
      <c r="B698">
        <v>24.78</v>
      </c>
      <c r="C698">
        <v>24.99</v>
      </c>
      <c r="D698">
        <v>24.55</v>
      </c>
      <c r="E698">
        <v>24.81</v>
      </c>
      <c r="F698">
        <v>1756300</v>
      </c>
      <c r="G698">
        <v>24.81</v>
      </c>
      <c r="H698" s="93">
        <f t="shared" si="10"/>
        <v>2.0173498873142536E-3</v>
      </c>
      <c r="K698" s="97">
        <f>LN(G686/G698)</f>
        <v>0.37171643081867733</v>
      </c>
    </row>
    <row r="699" spans="1:11" ht="15" x14ac:dyDescent="0.2">
      <c r="A699" s="92">
        <v>19665</v>
      </c>
      <c r="B699">
        <v>24.66</v>
      </c>
      <c r="C699">
        <v>24.76</v>
      </c>
      <c r="D699">
        <v>24.25</v>
      </c>
      <c r="E699">
        <v>24.76</v>
      </c>
      <c r="F699">
        <v>1588800</v>
      </c>
      <c r="G699">
        <v>24.76</v>
      </c>
      <c r="H699" s="93">
        <f t="shared" si="10"/>
        <v>8.9250085336300706E-3</v>
      </c>
    </row>
    <row r="700" spans="1:11" ht="15" x14ac:dyDescent="0.2">
      <c r="A700" s="92">
        <v>19633</v>
      </c>
      <c r="B700">
        <v>23.49</v>
      </c>
      <c r="C700">
        <v>24.58</v>
      </c>
      <c r="D700">
        <v>23.39</v>
      </c>
      <c r="E700">
        <v>24.54</v>
      </c>
      <c r="F700">
        <v>1290900</v>
      </c>
      <c r="G700">
        <v>24.54</v>
      </c>
      <c r="H700" s="93">
        <f t="shared" si="10"/>
        <v>4.9707455167859002E-2</v>
      </c>
    </row>
    <row r="701" spans="1:11" ht="15" x14ac:dyDescent="0.2">
      <c r="A701" s="92">
        <v>19603</v>
      </c>
      <c r="B701">
        <v>23.42</v>
      </c>
      <c r="C701">
        <v>23.65</v>
      </c>
      <c r="D701">
        <v>22.71</v>
      </c>
      <c r="E701">
        <v>23.35</v>
      </c>
      <c r="F701">
        <v>1337600</v>
      </c>
      <c r="G701">
        <v>23.35</v>
      </c>
      <c r="H701" s="93">
        <f t="shared" si="10"/>
        <v>1.2856226326146837E-3</v>
      </c>
    </row>
    <row r="702" spans="1:11" ht="15" x14ac:dyDescent="0.2">
      <c r="A702" s="92">
        <v>19574</v>
      </c>
      <c r="B702">
        <v>24.84</v>
      </c>
      <c r="C702">
        <v>24.84</v>
      </c>
      <c r="D702">
        <v>23.32</v>
      </c>
      <c r="E702">
        <v>23.32</v>
      </c>
      <c r="F702">
        <v>1241900</v>
      </c>
      <c r="G702">
        <v>23.32</v>
      </c>
      <c r="H702" s="93">
        <f t="shared" si="10"/>
        <v>-5.9514127532407722E-2</v>
      </c>
    </row>
    <row r="703" spans="1:11" ht="15" x14ac:dyDescent="0.2">
      <c r="A703" s="92">
        <v>19541</v>
      </c>
      <c r="B703">
        <v>24.24</v>
      </c>
      <c r="C703">
        <v>24.75</v>
      </c>
      <c r="D703">
        <v>24.07</v>
      </c>
      <c r="E703">
        <v>24.75</v>
      </c>
      <c r="F703">
        <v>1024300</v>
      </c>
      <c r="G703">
        <v>24.75</v>
      </c>
      <c r="H703" s="93">
        <f t="shared" si="10"/>
        <v>2.4955273345313909E-2</v>
      </c>
    </row>
    <row r="704" spans="1:11" ht="15" x14ac:dyDescent="0.2">
      <c r="A704" s="92">
        <v>19511</v>
      </c>
      <c r="B704">
        <v>24.15</v>
      </c>
      <c r="C704">
        <v>24.22</v>
      </c>
      <c r="D704">
        <v>23.54</v>
      </c>
      <c r="E704">
        <v>24.14</v>
      </c>
      <c r="F704">
        <v>1222700</v>
      </c>
      <c r="G704">
        <v>24.14</v>
      </c>
      <c r="H704" s="93">
        <f t="shared" si="10"/>
        <v>-1.64342236133799E-2</v>
      </c>
    </row>
    <row r="705" spans="1:11" ht="15" x14ac:dyDescent="0.2">
      <c r="A705" s="92">
        <v>19480</v>
      </c>
      <c r="B705">
        <v>24.73</v>
      </c>
      <c r="C705">
        <v>25.06</v>
      </c>
      <c r="D705">
        <v>24.46</v>
      </c>
      <c r="E705">
        <v>24.54</v>
      </c>
      <c r="F705">
        <v>1269000</v>
      </c>
      <c r="G705">
        <v>24.54</v>
      </c>
      <c r="H705" s="93">
        <f t="shared" si="10"/>
        <v>-3.2546814735421488E-3</v>
      </c>
    </row>
    <row r="706" spans="1:11" ht="15" x14ac:dyDescent="0.2">
      <c r="A706" s="92">
        <v>19450</v>
      </c>
      <c r="B706">
        <v>25.25</v>
      </c>
      <c r="C706">
        <v>25.25</v>
      </c>
      <c r="D706">
        <v>24.19</v>
      </c>
      <c r="E706">
        <v>24.62</v>
      </c>
      <c r="F706">
        <v>1690900</v>
      </c>
      <c r="G706">
        <v>24.62</v>
      </c>
      <c r="H706" s="93">
        <f t="shared" ref="H706:H743" si="11">LN(G706/G707)</f>
        <v>-2.684993992556628E-2</v>
      </c>
    </row>
    <row r="707" spans="1:11" ht="15" x14ac:dyDescent="0.2">
      <c r="A707" s="92">
        <v>19420</v>
      </c>
      <c r="B707">
        <v>25.93</v>
      </c>
      <c r="C707">
        <v>26.33</v>
      </c>
      <c r="D707">
        <v>25.29</v>
      </c>
      <c r="E707">
        <v>25.29</v>
      </c>
      <c r="F707">
        <v>2074000</v>
      </c>
      <c r="G707">
        <v>25.29</v>
      </c>
      <c r="H707" s="93">
        <f t="shared" si="11"/>
        <v>-2.3833908023618282E-2</v>
      </c>
    </row>
    <row r="708" spans="1:11" ht="15" x14ac:dyDescent="0.2">
      <c r="A708" s="92">
        <v>19392</v>
      </c>
      <c r="B708">
        <v>26.51</v>
      </c>
      <c r="C708">
        <v>26.54</v>
      </c>
      <c r="D708">
        <v>25.48</v>
      </c>
      <c r="E708">
        <v>25.9</v>
      </c>
      <c r="F708">
        <v>1786600</v>
      </c>
      <c r="G708">
        <v>25.9</v>
      </c>
      <c r="H708" s="93">
        <f t="shared" si="11"/>
        <v>-1.8363178583676462E-2</v>
      </c>
    </row>
    <row r="709" spans="1:11" ht="15" x14ac:dyDescent="0.2">
      <c r="A709" s="92">
        <v>19361</v>
      </c>
      <c r="B709">
        <v>26.54</v>
      </c>
      <c r="C709">
        <v>26.66</v>
      </c>
      <c r="D709">
        <v>25.86</v>
      </c>
      <c r="E709">
        <v>26.38</v>
      </c>
      <c r="F709">
        <v>1705700</v>
      </c>
      <c r="G709">
        <v>26.38</v>
      </c>
      <c r="H709" s="93">
        <f t="shared" si="11"/>
        <v>-7.1766124825536955E-3</v>
      </c>
      <c r="I709" s="93"/>
    </row>
    <row r="710" spans="1:11" ht="15" x14ac:dyDescent="0.2">
      <c r="A710" s="92">
        <v>19329</v>
      </c>
      <c r="B710">
        <v>25.68</v>
      </c>
      <c r="C710">
        <v>26.59</v>
      </c>
      <c r="D710">
        <v>25.61</v>
      </c>
      <c r="E710">
        <v>26.57</v>
      </c>
      <c r="F710">
        <v>1933100</v>
      </c>
      <c r="G710">
        <v>26.57</v>
      </c>
      <c r="H710" s="93">
        <f t="shared" si="11"/>
        <v>3.4849400584231707E-2</v>
      </c>
      <c r="K710" s="97">
        <f>LN(G698/G710)</f>
        <v>-6.853596206801256E-2</v>
      </c>
    </row>
    <row r="711" spans="1:11" ht="15" x14ac:dyDescent="0.2">
      <c r="A711" s="92">
        <v>19301</v>
      </c>
      <c r="B711">
        <v>24.6</v>
      </c>
      <c r="C711">
        <v>25.66</v>
      </c>
      <c r="D711">
        <v>24.6</v>
      </c>
      <c r="E711">
        <v>25.66</v>
      </c>
      <c r="F711">
        <v>1904100</v>
      </c>
      <c r="G711">
        <v>25.66</v>
      </c>
      <c r="H711" s="93">
        <f t="shared" si="11"/>
        <v>4.5444248119479815E-2</v>
      </c>
    </row>
    <row r="712" spans="1:11" ht="15" x14ac:dyDescent="0.2">
      <c r="A712" s="92">
        <v>19268</v>
      </c>
      <c r="B712">
        <v>24.48</v>
      </c>
      <c r="C712">
        <v>24.58</v>
      </c>
      <c r="D712">
        <v>23.8</v>
      </c>
      <c r="E712">
        <v>24.52</v>
      </c>
      <c r="F712">
        <v>1259000</v>
      </c>
      <c r="G712">
        <v>24.52</v>
      </c>
      <c r="H712" s="93">
        <f t="shared" si="11"/>
        <v>-8.1532821475467643E-4</v>
      </c>
    </row>
    <row r="713" spans="1:11" ht="15" x14ac:dyDescent="0.2">
      <c r="A713" s="92">
        <v>19239</v>
      </c>
      <c r="B713">
        <v>25.15</v>
      </c>
      <c r="C713">
        <v>25.25</v>
      </c>
      <c r="D713">
        <v>24.45</v>
      </c>
      <c r="E713">
        <v>24.54</v>
      </c>
      <c r="F713">
        <v>1200900</v>
      </c>
      <c r="G713">
        <v>24.54</v>
      </c>
      <c r="H713" s="93">
        <f t="shared" si="11"/>
        <v>-1.9770666160917546E-2</v>
      </c>
    </row>
    <row r="714" spans="1:11" ht="15" x14ac:dyDescent="0.2">
      <c r="A714" s="92">
        <v>19207</v>
      </c>
      <c r="B714">
        <v>25.45</v>
      </c>
      <c r="C714">
        <v>25.55</v>
      </c>
      <c r="D714">
        <v>24.83</v>
      </c>
      <c r="E714">
        <v>25.03</v>
      </c>
      <c r="F714">
        <v>1037100</v>
      </c>
      <c r="G714">
        <v>25.03</v>
      </c>
      <c r="H714" s="93">
        <f t="shared" si="11"/>
        <v>-1.4674068580807935E-2</v>
      </c>
    </row>
    <row r="715" spans="1:11" ht="15" x14ac:dyDescent="0.2">
      <c r="A715" s="92">
        <v>19176</v>
      </c>
      <c r="B715">
        <v>25.12</v>
      </c>
      <c r="C715">
        <v>25.4</v>
      </c>
      <c r="D715">
        <v>24.81</v>
      </c>
      <c r="E715">
        <v>25.4</v>
      </c>
      <c r="F715">
        <v>1151300</v>
      </c>
      <c r="G715">
        <v>25.4</v>
      </c>
      <c r="H715" s="93">
        <f t="shared" si="11"/>
        <v>1.747463052326392E-2</v>
      </c>
    </row>
    <row r="716" spans="1:11" ht="15" x14ac:dyDescent="0.2">
      <c r="A716" s="92">
        <v>19147</v>
      </c>
      <c r="B716">
        <v>23.8</v>
      </c>
      <c r="C716">
        <v>24.96</v>
      </c>
      <c r="D716">
        <v>23.78</v>
      </c>
      <c r="E716">
        <v>24.96</v>
      </c>
      <c r="F716">
        <v>1281400</v>
      </c>
      <c r="G716">
        <v>24.96</v>
      </c>
      <c r="H716" s="93">
        <f t="shared" si="11"/>
        <v>4.5071126831456948E-2</v>
      </c>
    </row>
    <row r="717" spans="1:11" ht="15" x14ac:dyDescent="0.2">
      <c r="A717" s="92">
        <v>19115</v>
      </c>
      <c r="B717">
        <v>23.17</v>
      </c>
      <c r="C717">
        <v>23.94</v>
      </c>
      <c r="D717">
        <v>23.17</v>
      </c>
      <c r="E717">
        <v>23.86</v>
      </c>
      <c r="F717">
        <v>1121400</v>
      </c>
      <c r="G717">
        <v>23.86</v>
      </c>
      <c r="H717" s="93">
        <f t="shared" si="11"/>
        <v>2.2892055187478333E-2</v>
      </c>
    </row>
    <row r="718" spans="1:11" ht="15" x14ac:dyDescent="0.2">
      <c r="A718" s="92">
        <v>19085</v>
      </c>
      <c r="B718">
        <v>24.18</v>
      </c>
      <c r="C718">
        <v>24.18</v>
      </c>
      <c r="D718">
        <v>23.32</v>
      </c>
      <c r="E718">
        <v>23.32</v>
      </c>
      <c r="F718">
        <v>1336100</v>
      </c>
      <c r="G718">
        <v>23.32</v>
      </c>
      <c r="H718" s="93">
        <f t="shared" si="11"/>
        <v>-4.4041506154823218E-2</v>
      </c>
    </row>
    <row r="719" spans="1:11" ht="15" x14ac:dyDescent="0.2">
      <c r="A719" s="92">
        <v>19056</v>
      </c>
      <c r="B719">
        <v>23.29</v>
      </c>
      <c r="C719">
        <v>24.37</v>
      </c>
      <c r="D719">
        <v>23.29</v>
      </c>
      <c r="E719">
        <v>24.37</v>
      </c>
      <c r="F719">
        <v>1345700</v>
      </c>
      <c r="G719">
        <v>24.37</v>
      </c>
      <c r="H719" s="93">
        <f t="shared" si="11"/>
        <v>4.6617720546596401E-2</v>
      </c>
    </row>
    <row r="720" spans="1:11" ht="15" x14ac:dyDescent="0.2">
      <c r="A720" s="92">
        <v>19025</v>
      </c>
      <c r="B720">
        <v>24.3</v>
      </c>
      <c r="C720">
        <v>24.3</v>
      </c>
      <c r="D720">
        <v>23.09</v>
      </c>
      <c r="E720">
        <v>23.26</v>
      </c>
      <c r="F720">
        <v>1377800</v>
      </c>
      <c r="G720">
        <v>23.26</v>
      </c>
      <c r="H720" s="93">
        <f t="shared" si="11"/>
        <v>-3.7135068578867073E-2</v>
      </c>
    </row>
    <row r="721" spans="1:11" ht="15" x14ac:dyDescent="0.2">
      <c r="A721" s="92">
        <v>18995</v>
      </c>
      <c r="B721">
        <v>23.8</v>
      </c>
      <c r="C721">
        <v>24.66</v>
      </c>
      <c r="D721">
        <v>23.74</v>
      </c>
      <c r="E721">
        <v>24.14</v>
      </c>
      <c r="F721">
        <v>1651300</v>
      </c>
      <c r="G721">
        <v>24.14</v>
      </c>
      <c r="H721" s="93">
        <f t="shared" si="11"/>
        <v>1.5445934297282877E-2</v>
      </c>
      <c r="I721" s="93"/>
    </row>
    <row r="722" spans="1:11" ht="15" x14ac:dyDescent="0.2">
      <c r="A722" s="92">
        <v>18965</v>
      </c>
      <c r="B722">
        <v>23.01</v>
      </c>
      <c r="C722">
        <v>23.77</v>
      </c>
      <c r="D722">
        <v>23.01</v>
      </c>
      <c r="E722">
        <v>23.77</v>
      </c>
      <c r="F722">
        <v>1450000</v>
      </c>
      <c r="G722">
        <v>23.77</v>
      </c>
      <c r="H722" s="93">
        <f t="shared" si="11"/>
        <v>3.8161114860505468E-2</v>
      </c>
      <c r="K722" s="97">
        <f>LN(G710/G722)</f>
        <v>0.11135847839961953</v>
      </c>
    </row>
    <row r="723" spans="1:11" ht="15" x14ac:dyDescent="0.2">
      <c r="A723" s="92">
        <v>18933</v>
      </c>
      <c r="B723">
        <v>23.1</v>
      </c>
      <c r="C723">
        <v>23.1</v>
      </c>
      <c r="D723">
        <v>22.4</v>
      </c>
      <c r="E723">
        <v>22.88</v>
      </c>
      <c r="F723">
        <v>1321500</v>
      </c>
      <c r="G723">
        <v>22.88</v>
      </c>
      <c r="H723" s="93">
        <f t="shared" si="11"/>
        <v>-2.6189451896276058E-3</v>
      </c>
    </row>
    <row r="724" spans="1:11" ht="15" x14ac:dyDescent="0.2">
      <c r="A724" s="92">
        <v>18902</v>
      </c>
      <c r="B724">
        <v>23.47</v>
      </c>
      <c r="C724">
        <v>23.85</v>
      </c>
      <c r="D724">
        <v>22.66</v>
      </c>
      <c r="E724">
        <v>22.94</v>
      </c>
      <c r="F724">
        <v>1851800</v>
      </c>
      <c r="G724">
        <v>22.94</v>
      </c>
      <c r="H724" s="93">
        <f t="shared" si="11"/>
        <v>-1.3853035389293755E-2</v>
      </c>
    </row>
    <row r="725" spans="1:11" ht="15" x14ac:dyDescent="0.2">
      <c r="A725" s="92">
        <v>18875</v>
      </c>
      <c r="B725">
        <v>23.28</v>
      </c>
      <c r="C725">
        <v>23.71</v>
      </c>
      <c r="D725">
        <v>23.26</v>
      </c>
      <c r="E725">
        <v>23.26</v>
      </c>
      <c r="F725">
        <v>1990000</v>
      </c>
      <c r="G725">
        <v>23.26</v>
      </c>
      <c r="H725" s="93">
        <f t="shared" si="11"/>
        <v>-8.5947577271870451E-4</v>
      </c>
    </row>
    <row r="726" spans="1:11" ht="15" x14ac:dyDescent="0.2">
      <c r="A726" s="92">
        <v>18841</v>
      </c>
      <c r="B726">
        <v>22.51</v>
      </c>
      <c r="C726">
        <v>23.28</v>
      </c>
      <c r="D726">
        <v>22.51</v>
      </c>
      <c r="E726">
        <v>23.28</v>
      </c>
      <c r="F726">
        <v>1528600</v>
      </c>
      <c r="G726">
        <v>23.28</v>
      </c>
      <c r="H726" s="93">
        <f t="shared" si="11"/>
        <v>3.8533664002242986E-2</v>
      </c>
    </row>
    <row r="727" spans="1:11" ht="15" x14ac:dyDescent="0.2">
      <c r="A727" s="92">
        <v>18811</v>
      </c>
      <c r="B727">
        <v>21.1</v>
      </c>
      <c r="C727">
        <v>22.63</v>
      </c>
      <c r="D727">
        <v>21.1</v>
      </c>
      <c r="E727">
        <v>22.4</v>
      </c>
      <c r="F727">
        <v>1406600</v>
      </c>
      <c r="G727">
        <v>22.4</v>
      </c>
      <c r="H727" s="93">
        <f t="shared" si="11"/>
        <v>6.6445099408152547E-2</v>
      </c>
    </row>
    <row r="728" spans="1:11" ht="15" x14ac:dyDescent="0.2">
      <c r="A728" s="92">
        <v>18780</v>
      </c>
      <c r="B728">
        <v>21.48</v>
      </c>
      <c r="C728">
        <v>22.05</v>
      </c>
      <c r="D728">
        <v>20.96</v>
      </c>
      <c r="E728">
        <v>20.96</v>
      </c>
      <c r="F728">
        <v>1807100</v>
      </c>
      <c r="G728">
        <v>20.96</v>
      </c>
      <c r="H728" s="93">
        <f t="shared" si="11"/>
        <v>-2.6366875840742224E-2</v>
      </c>
    </row>
    <row r="729" spans="1:11" ht="15" x14ac:dyDescent="0.2">
      <c r="A729" s="92">
        <v>18749</v>
      </c>
      <c r="B729">
        <v>22.53</v>
      </c>
      <c r="C729">
        <v>22.81</v>
      </c>
      <c r="D729">
        <v>21.03</v>
      </c>
      <c r="E729">
        <v>21.52</v>
      </c>
      <c r="F729">
        <v>1699500</v>
      </c>
      <c r="G729">
        <v>21.52</v>
      </c>
      <c r="H729" s="93">
        <f t="shared" si="11"/>
        <v>-4.1416613238533261E-2</v>
      </c>
    </row>
    <row r="730" spans="1:11" ht="15" x14ac:dyDescent="0.2">
      <c r="A730" s="92">
        <v>18720</v>
      </c>
      <c r="B730">
        <v>21.32</v>
      </c>
      <c r="C730">
        <v>22.43</v>
      </c>
      <c r="D730">
        <v>21.26</v>
      </c>
      <c r="E730">
        <v>22.43</v>
      </c>
      <c r="F730">
        <v>1597100</v>
      </c>
      <c r="G730">
        <v>22.43</v>
      </c>
      <c r="H730" s="93">
        <f t="shared" si="11"/>
        <v>4.3277078891453033E-2</v>
      </c>
    </row>
    <row r="731" spans="1:11" ht="15" x14ac:dyDescent="0.2">
      <c r="A731" s="92">
        <v>18688</v>
      </c>
      <c r="B731">
        <v>21.85</v>
      </c>
      <c r="C731">
        <v>21.95</v>
      </c>
      <c r="D731">
        <v>21.25</v>
      </c>
      <c r="E731">
        <v>21.48</v>
      </c>
      <c r="F731">
        <v>1599000</v>
      </c>
      <c r="G731">
        <v>21.48</v>
      </c>
      <c r="H731" s="93">
        <f t="shared" si="11"/>
        <v>-1.4787700154379389E-2</v>
      </c>
    </row>
    <row r="732" spans="1:11" ht="15" x14ac:dyDescent="0.2">
      <c r="A732" s="92">
        <v>18660</v>
      </c>
      <c r="B732">
        <v>21.77</v>
      </c>
      <c r="C732">
        <v>22.2</v>
      </c>
      <c r="D732">
        <v>21.76</v>
      </c>
      <c r="E732">
        <v>21.8</v>
      </c>
      <c r="F732">
        <v>2161100</v>
      </c>
      <c r="G732">
        <v>21.8</v>
      </c>
      <c r="H732" s="93">
        <f t="shared" si="11"/>
        <v>6.4427282221987117E-3</v>
      </c>
    </row>
    <row r="733" spans="1:11" ht="15" x14ac:dyDescent="0.2">
      <c r="A733" s="92">
        <v>18630</v>
      </c>
      <c r="B733">
        <v>20.77</v>
      </c>
      <c r="C733">
        <v>21.74</v>
      </c>
      <c r="D733">
        <v>20.69</v>
      </c>
      <c r="E733">
        <v>21.66</v>
      </c>
      <c r="F733">
        <v>3080000</v>
      </c>
      <c r="G733">
        <v>21.66</v>
      </c>
      <c r="H733" s="93">
        <f t="shared" si="11"/>
        <v>5.8462832743313889E-2</v>
      </c>
      <c r="I733" s="93"/>
    </row>
    <row r="734" spans="1:11" ht="15" x14ac:dyDescent="0.2">
      <c r="A734" s="92">
        <v>18598</v>
      </c>
      <c r="B734">
        <v>19.66</v>
      </c>
      <c r="C734">
        <v>20.43</v>
      </c>
      <c r="D734">
        <v>19</v>
      </c>
      <c r="E734">
        <v>20.43</v>
      </c>
      <c r="F734">
        <v>2935500</v>
      </c>
      <c r="G734">
        <v>20.43</v>
      </c>
      <c r="H734" s="93">
        <f t="shared" si="11"/>
        <v>4.6077254194510725E-2</v>
      </c>
      <c r="K734" s="97">
        <f>LN(G722/G734)</f>
        <v>0.15141987254257194</v>
      </c>
    </row>
    <row r="735" spans="1:11" ht="15" x14ac:dyDescent="0.2">
      <c r="A735" s="92">
        <v>18568</v>
      </c>
      <c r="B735">
        <v>19.559999999999999</v>
      </c>
      <c r="C735">
        <v>20.32</v>
      </c>
      <c r="D735">
        <v>19.36</v>
      </c>
      <c r="E735">
        <v>19.510000000000002</v>
      </c>
      <c r="F735">
        <v>2146000</v>
      </c>
      <c r="G735">
        <v>19.510000000000002</v>
      </c>
      <c r="H735" s="93">
        <f t="shared" si="11"/>
        <v>-1.024590253567669E-3</v>
      </c>
    </row>
    <row r="736" spans="1:11" ht="15" x14ac:dyDescent="0.2">
      <c r="A736" s="92">
        <v>18538</v>
      </c>
      <c r="B736">
        <v>19.690000000000001</v>
      </c>
      <c r="C736">
        <v>20.12</v>
      </c>
      <c r="D736">
        <v>19.53</v>
      </c>
      <c r="E736">
        <v>19.53</v>
      </c>
      <c r="F736">
        <v>2247600</v>
      </c>
      <c r="G736">
        <v>19.53</v>
      </c>
      <c r="H736" s="93">
        <f t="shared" si="11"/>
        <v>4.1046748241322624E-3</v>
      </c>
    </row>
    <row r="737" spans="1:8" ht="15" x14ac:dyDescent="0.2">
      <c r="A737" s="92">
        <v>18507</v>
      </c>
      <c r="B737">
        <v>18.55</v>
      </c>
      <c r="C737">
        <v>19.45</v>
      </c>
      <c r="D737">
        <v>18.54</v>
      </c>
      <c r="E737">
        <v>19.45</v>
      </c>
      <c r="F737">
        <v>2019500</v>
      </c>
      <c r="G737">
        <v>19.45</v>
      </c>
      <c r="H737" s="93">
        <f t="shared" si="11"/>
        <v>5.4410039237294323E-2</v>
      </c>
    </row>
    <row r="738" spans="1:8" ht="15" x14ac:dyDescent="0.2">
      <c r="A738" s="92">
        <v>18476</v>
      </c>
      <c r="B738">
        <v>18.02</v>
      </c>
      <c r="C738">
        <v>18.82</v>
      </c>
      <c r="D738">
        <v>17.95</v>
      </c>
      <c r="E738">
        <v>18.420000000000002</v>
      </c>
      <c r="F738">
        <v>1740800</v>
      </c>
      <c r="G738">
        <v>18.420000000000002</v>
      </c>
      <c r="H738" s="93">
        <f t="shared" si="11"/>
        <v>3.1993903675297614E-2</v>
      </c>
    </row>
    <row r="739" spans="1:8" ht="15" x14ac:dyDescent="0.2">
      <c r="A739" s="92">
        <v>18447</v>
      </c>
      <c r="B739">
        <v>17.64</v>
      </c>
      <c r="C739">
        <v>17.91</v>
      </c>
      <c r="D739">
        <v>16.68</v>
      </c>
      <c r="E739">
        <v>17.84</v>
      </c>
      <c r="F739">
        <v>2308000</v>
      </c>
      <c r="G739">
        <v>17.84</v>
      </c>
      <c r="H739" s="93">
        <f t="shared" si="11"/>
        <v>8.4436189801693519E-3</v>
      </c>
    </row>
    <row r="740" spans="1:8" ht="15" x14ac:dyDescent="0.2">
      <c r="A740" s="92">
        <v>18415</v>
      </c>
      <c r="B740">
        <v>18.77</v>
      </c>
      <c r="C740">
        <v>19.399999999999999</v>
      </c>
      <c r="D740">
        <v>17.440000000000001</v>
      </c>
      <c r="E740">
        <v>17.690000000000001</v>
      </c>
      <c r="F740">
        <v>2196300</v>
      </c>
      <c r="G740">
        <v>17.690000000000001</v>
      </c>
      <c r="H740" s="93">
        <f t="shared" si="11"/>
        <v>-5.9792965608422934E-2</v>
      </c>
    </row>
    <row r="741" spans="1:8" ht="15" x14ac:dyDescent="0.2">
      <c r="A741" s="92">
        <v>18384</v>
      </c>
      <c r="B741">
        <v>18.22</v>
      </c>
      <c r="C741">
        <v>18.78</v>
      </c>
      <c r="D741">
        <v>18.11</v>
      </c>
      <c r="E741">
        <v>18.78</v>
      </c>
      <c r="F741">
        <v>1989000</v>
      </c>
      <c r="G741">
        <v>18.78</v>
      </c>
      <c r="H741" s="93">
        <f t="shared" si="11"/>
        <v>4.4645410906063381E-2</v>
      </c>
    </row>
    <row r="742" spans="1:8" ht="15" x14ac:dyDescent="0.2">
      <c r="A742" s="92">
        <v>18356</v>
      </c>
      <c r="B742">
        <v>17.53</v>
      </c>
      <c r="C742">
        <v>18.05</v>
      </c>
      <c r="D742">
        <v>17.53</v>
      </c>
      <c r="E742">
        <v>17.96</v>
      </c>
      <c r="F742">
        <v>2358900</v>
      </c>
      <c r="G742">
        <v>17.96</v>
      </c>
      <c r="H742" s="93">
        <f t="shared" si="11"/>
        <v>3.8018763178854505E-2</v>
      </c>
    </row>
    <row r="743" spans="1:8" ht="15" x14ac:dyDescent="0.2">
      <c r="A743" s="92">
        <v>18323</v>
      </c>
      <c r="B743">
        <v>17.239999999999998</v>
      </c>
      <c r="C743">
        <v>17.559999999999999</v>
      </c>
      <c r="D743">
        <v>17.07</v>
      </c>
      <c r="E743">
        <v>17.29</v>
      </c>
      <c r="F743">
        <v>1710000</v>
      </c>
      <c r="G743">
        <v>17.29</v>
      </c>
      <c r="H743" s="93">
        <f t="shared" si="11"/>
        <v>4.056800695614469E-3</v>
      </c>
    </row>
    <row r="744" spans="1:8" ht="15" x14ac:dyDescent="0.2">
      <c r="A744" s="92">
        <v>18295</v>
      </c>
      <c r="B744">
        <v>17.05</v>
      </c>
      <c r="C744">
        <v>17.32</v>
      </c>
      <c r="D744">
        <v>16.989999999999998</v>
      </c>
      <c r="E744">
        <v>17.22</v>
      </c>
      <c r="F744">
        <v>1750500</v>
      </c>
      <c r="G744">
        <v>17.22</v>
      </c>
      <c r="H744" s="93">
        <f>LN(G744/G745)</f>
        <v>9.9212952700587602E-3</v>
      </c>
    </row>
    <row r="745" spans="1:8" ht="15" x14ac:dyDescent="0.2">
      <c r="A745" s="92">
        <v>18266</v>
      </c>
      <c r="B745">
        <v>16.66</v>
      </c>
      <c r="C745">
        <v>17.09</v>
      </c>
      <c r="D745">
        <v>16.66</v>
      </c>
      <c r="E745">
        <v>17.05</v>
      </c>
      <c r="F745">
        <v>1926600</v>
      </c>
      <c r="G745">
        <v>17.05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Statements</vt:lpstr>
      <vt:lpstr>Installment Loan</vt:lpstr>
      <vt:lpstr>Market Return Calculation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2013-12-03T15:49:00Z</dcterms:created>
  <dcterms:modified xsi:type="dcterms:W3CDTF">2019-08-14T21:38:20Z</dcterms:modified>
</cp:coreProperties>
</file>