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-435" windowWidth="15600" windowHeight="9240"/>
  </bookViews>
  <sheets>
    <sheet name="Answer" sheetId="1" r:id="rId1"/>
    <sheet name="Mortgage" sheetId="2" r:id="rId2"/>
    <sheet name="Sheet1" sheetId="3" r:id="rId3"/>
  </sheets>
  <calcPr calcId="145621" concurrentCalc="0"/>
</workbook>
</file>

<file path=xl/calcChain.xml><?xml version="1.0" encoding="utf-8"?>
<calcChain xmlns="http://schemas.openxmlformats.org/spreadsheetml/2006/main">
  <c r="D16" i="2" l="1"/>
  <c r="F16" i="2"/>
  <c r="G16" i="2"/>
  <c r="C17" i="2"/>
  <c r="D17" i="2"/>
  <c r="F17" i="2"/>
  <c r="G17" i="2"/>
  <c r="C18" i="2"/>
  <c r="D18" i="2"/>
  <c r="F18" i="2"/>
  <c r="G18" i="2"/>
  <c r="C19" i="2"/>
  <c r="D19" i="2"/>
  <c r="F19" i="2"/>
  <c r="G19" i="2"/>
  <c r="C20" i="2"/>
  <c r="D20" i="2"/>
  <c r="F20" i="2"/>
  <c r="G20" i="2"/>
  <c r="C21" i="2"/>
  <c r="D21" i="2"/>
  <c r="F21" i="2"/>
  <c r="G21" i="2"/>
  <c r="C22" i="2"/>
  <c r="D22" i="2"/>
  <c r="F22" i="2"/>
  <c r="G22" i="2"/>
  <c r="C23" i="2"/>
  <c r="D23" i="2"/>
  <c r="F23" i="2"/>
  <c r="G23" i="2"/>
  <c r="K68" i="1"/>
  <c r="I126" i="1"/>
  <c r="I127" i="1"/>
  <c r="I128" i="1"/>
  <c r="C132" i="1"/>
  <c r="E96" i="1"/>
  <c r="E97" i="1"/>
  <c r="E98" i="1"/>
  <c r="E99" i="1"/>
  <c r="E100" i="1"/>
  <c r="E101" i="1"/>
  <c r="D28" i="1"/>
  <c r="E28" i="1"/>
  <c r="F28" i="1"/>
  <c r="G28" i="1"/>
  <c r="H28" i="1"/>
  <c r="I28" i="1"/>
  <c r="J28" i="1"/>
  <c r="K28" i="1"/>
  <c r="E29" i="1"/>
  <c r="F29" i="1"/>
  <c r="G29" i="1"/>
  <c r="H29" i="1"/>
  <c r="I29" i="1"/>
  <c r="J29" i="1"/>
  <c r="K29" i="1"/>
  <c r="D30" i="1"/>
  <c r="E30" i="1"/>
  <c r="F30" i="1"/>
  <c r="G30" i="1"/>
  <c r="H30" i="1"/>
  <c r="I30" i="1"/>
  <c r="J30" i="1"/>
  <c r="K30" i="1"/>
  <c r="E31" i="1"/>
  <c r="F31" i="1"/>
  <c r="G31" i="1"/>
  <c r="H31" i="1"/>
  <c r="I31" i="1"/>
  <c r="J31" i="1"/>
  <c r="K31" i="1"/>
  <c r="D20" i="1"/>
  <c r="M25" i="1"/>
  <c r="E4" i="1"/>
  <c r="F4" i="1"/>
  <c r="G4" i="1"/>
  <c r="H4" i="1"/>
  <c r="I4" i="1"/>
  <c r="J4" i="1"/>
  <c r="K4" i="1"/>
  <c r="K20" i="1"/>
  <c r="K25" i="1"/>
  <c r="M26" i="1"/>
  <c r="K26" i="1"/>
  <c r="D27" i="1"/>
  <c r="E27" i="1"/>
  <c r="F27" i="1"/>
  <c r="G27" i="1"/>
  <c r="H27" i="1"/>
  <c r="I27" i="1"/>
  <c r="J27" i="1"/>
  <c r="K27" i="1"/>
  <c r="D7" i="1"/>
  <c r="E7" i="1"/>
  <c r="F7" i="1"/>
  <c r="G7" i="1"/>
  <c r="H7" i="1"/>
  <c r="I7" i="1"/>
  <c r="J7" i="1"/>
  <c r="K7" i="1"/>
  <c r="K21" i="1"/>
  <c r="K32" i="1"/>
  <c r="E33" i="1"/>
  <c r="F33" i="1"/>
  <c r="G33" i="1"/>
  <c r="H33" i="1"/>
  <c r="I33" i="1"/>
  <c r="J33" i="1"/>
  <c r="K33" i="1"/>
  <c r="E34" i="1"/>
  <c r="F34" i="1"/>
  <c r="G34" i="1"/>
  <c r="H34" i="1"/>
  <c r="I34" i="1"/>
  <c r="J34" i="1"/>
  <c r="K34" i="1"/>
  <c r="K35" i="1"/>
  <c r="K37" i="1"/>
  <c r="E23" i="2"/>
  <c r="K40" i="1"/>
  <c r="K39" i="1"/>
  <c r="K43" i="1"/>
  <c r="K44" i="1"/>
  <c r="K45" i="1"/>
  <c r="K72" i="1"/>
  <c r="C133" i="1"/>
  <c r="C134" i="1"/>
  <c r="E132" i="1"/>
  <c r="C141" i="1"/>
  <c r="E133" i="1"/>
  <c r="C142" i="1"/>
  <c r="C140" i="1"/>
  <c r="C144" i="1"/>
  <c r="C147" i="1"/>
  <c r="C148" i="1"/>
  <c r="C150" i="1"/>
  <c r="C152" i="1"/>
  <c r="C155" i="1"/>
  <c r="C156" i="1"/>
  <c r="C157" i="1"/>
  <c r="C159" i="1"/>
  <c r="H20" i="1"/>
  <c r="H25" i="1"/>
  <c r="H26" i="1"/>
  <c r="H21" i="1"/>
  <c r="H32" i="1"/>
  <c r="H35" i="1"/>
  <c r="H37" i="1"/>
  <c r="I169" i="1"/>
  <c r="H39" i="1"/>
  <c r="I170" i="1"/>
  <c r="I171" i="1"/>
  <c r="C172" i="1"/>
  <c r="I172" i="1"/>
  <c r="G20" i="1"/>
  <c r="G25" i="1"/>
  <c r="G26" i="1"/>
  <c r="G21" i="1"/>
  <c r="G32" i="1"/>
  <c r="G35" i="1"/>
  <c r="G37" i="1"/>
  <c r="H169" i="1"/>
  <c r="G39" i="1"/>
  <c r="H170" i="1"/>
  <c r="H171" i="1"/>
  <c r="H172" i="1"/>
  <c r="I183" i="1"/>
  <c r="F20" i="1"/>
  <c r="F25" i="1"/>
  <c r="F26" i="1"/>
  <c r="F21" i="1"/>
  <c r="F32" i="1"/>
  <c r="F35" i="1"/>
  <c r="F37" i="1"/>
  <c r="G169" i="1"/>
  <c r="F39" i="1"/>
  <c r="G170" i="1"/>
  <c r="G171" i="1"/>
  <c r="G172" i="1"/>
  <c r="G173" i="1"/>
  <c r="G174" i="1"/>
  <c r="G175" i="1"/>
  <c r="E20" i="1"/>
  <c r="E21" i="1"/>
  <c r="E25" i="1"/>
  <c r="E26" i="1"/>
  <c r="E32" i="1"/>
  <c r="E35" i="1"/>
  <c r="E37" i="1"/>
  <c r="F169" i="1"/>
  <c r="E39" i="1"/>
  <c r="F170" i="1"/>
  <c r="F171" i="1"/>
  <c r="F172" i="1"/>
  <c r="D21" i="1"/>
  <c r="D32" i="1"/>
  <c r="D35" i="1"/>
  <c r="D37" i="1"/>
  <c r="E169" i="1"/>
  <c r="D39" i="1"/>
  <c r="E170" i="1"/>
  <c r="E171" i="1"/>
  <c r="E172" i="1"/>
  <c r="D60" i="1"/>
  <c r="E60" i="1"/>
  <c r="F60" i="1"/>
  <c r="G60" i="1"/>
  <c r="H60" i="1"/>
  <c r="I39" i="1"/>
  <c r="I60" i="1"/>
  <c r="J39" i="1"/>
  <c r="J60" i="1"/>
  <c r="K60" i="1"/>
  <c r="L178" i="1"/>
  <c r="M179" i="1"/>
  <c r="C180" i="1"/>
  <c r="L180" i="1"/>
  <c r="L169" i="1"/>
  <c r="L170" i="1"/>
  <c r="L171" i="1"/>
  <c r="L172" i="1"/>
  <c r="L173" i="1"/>
  <c r="L174" i="1"/>
  <c r="L175" i="1"/>
  <c r="J20" i="1"/>
  <c r="J25" i="1"/>
  <c r="J26" i="1"/>
  <c r="J21" i="1"/>
  <c r="J32" i="1"/>
  <c r="J35" i="1"/>
  <c r="J37" i="1"/>
  <c r="K169" i="1"/>
  <c r="K170" i="1"/>
  <c r="K171" i="1"/>
  <c r="K172" i="1"/>
  <c r="L183" i="1"/>
  <c r="L189" i="1"/>
  <c r="K65" i="1"/>
  <c r="J65" i="1"/>
  <c r="L184" i="1"/>
  <c r="L185" i="1"/>
  <c r="J57" i="1"/>
  <c r="K57" i="1"/>
  <c r="L186" i="1"/>
  <c r="L190" i="1"/>
  <c r="L191" i="1"/>
  <c r="L192" i="1"/>
  <c r="L194" i="1"/>
  <c r="E16" i="2"/>
  <c r="D40" i="1"/>
  <c r="D43" i="1"/>
  <c r="D44" i="1"/>
  <c r="D66" i="1"/>
  <c r="E183" i="1"/>
  <c r="E173" i="1"/>
  <c r="E174" i="1"/>
  <c r="E175" i="1"/>
  <c r="D65" i="1"/>
  <c r="E184" i="1"/>
  <c r="E185" i="1"/>
  <c r="D57" i="1"/>
  <c r="E186" i="1"/>
  <c r="E194" i="1"/>
  <c r="F173" i="1"/>
  <c r="F174" i="1"/>
  <c r="F175" i="1"/>
  <c r="E17" i="2"/>
  <c r="E40" i="1"/>
  <c r="E43" i="1"/>
  <c r="E44" i="1"/>
  <c r="E66" i="1"/>
  <c r="F183" i="1"/>
  <c r="E65" i="1"/>
  <c r="F184" i="1"/>
  <c r="F185" i="1"/>
  <c r="E57" i="1"/>
  <c r="F186" i="1"/>
  <c r="F194" i="1"/>
  <c r="E18" i="2"/>
  <c r="F40" i="1"/>
  <c r="F43" i="1"/>
  <c r="F44" i="1"/>
  <c r="F66" i="1"/>
  <c r="G183" i="1"/>
  <c r="F65" i="1"/>
  <c r="G184" i="1"/>
  <c r="G185" i="1"/>
  <c r="F57" i="1"/>
  <c r="G186" i="1"/>
  <c r="G194" i="1"/>
  <c r="H173" i="1"/>
  <c r="H174" i="1"/>
  <c r="H175" i="1"/>
  <c r="H183" i="1"/>
  <c r="G65" i="1"/>
  <c r="H184" i="1"/>
  <c r="H185" i="1"/>
  <c r="G57" i="1"/>
  <c r="H186" i="1"/>
  <c r="H194" i="1"/>
  <c r="I173" i="1"/>
  <c r="I174" i="1"/>
  <c r="I175" i="1"/>
  <c r="H65" i="1"/>
  <c r="I184" i="1"/>
  <c r="I185" i="1"/>
  <c r="H57" i="1"/>
  <c r="I186" i="1"/>
  <c r="I194" i="1"/>
  <c r="I20" i="1"/>
  <c r="I25" i="1"/>
  <c r="I26" i="1"/>
  <c r="I21" i="1"/>
  <c r="I32" i="1"/>
  <c r="I35" i="1"/>
  <c r="I37" i="1"/>
  <c r="J169" i="1"/>
  <c r="J170" i="1"/>
  <c r="J171" i="1"/>
  <c r="J172" i="1"/>
  <c r="J173" i="1"/>
  <c r="J174" i="1"/>
  <c r="J175" i="1"/>
  <c r="J183" i="1"/>
  <c r="I65" i="1"/>
  <c r="J184" i="1"/>
  <c r="J185" i="1"/>
  <c r="I57" i="1"/>
  <c r="J186" i="1"/>
  <c r="J194" i="1"/>
  <c r="K173" i="1"/>
  <c r="K174" i="1"/>
  <c r="K175" i="1"/>
  <c r="K183" i="1"/>
  <c r="K184" i="1"/>
  <c r="K185" i="1"/>
  <c r="K186" i="1"/>
  <c r="K194" i="1"/>
  <c r="D178" i="1"/>
  <c r="D194" i="1"/>
  <c r="G198" i="1"/>
  <c r="E162" i="1"/>
  <c r="J126" i="1"/>
  <c r="J127" i="1"/>
  <c r="L126" i="1"/>
  <c r="G132" i="1"/>
  <c r="G162" i="1"/>
  <c r="I162" i="1"/>
  <c r="E163" i="1"/>
  <c r="I132" i="1"/>
  <c r="C129" i="1"/>
  <c r="G133" i="1"/>
  <c r="I133" i="1"/>
  <c r="I134" i="1"/>
  <c r="L196" i="1"/>
  <c r="D196" i="1"/>
  <c r="E196" i="1"/>
  <c r="F196" i="1"/>
  <c r="G196" i="1"/>
  <c r="H196" i="1"/>
  <c r="I196" i="1"/>
  <c r="J196" i="1"/>
  <c r="K196" i="1"/>
  <c r="N196" i="1"/>
  <c r="M184" i="1"/>
  <c r="M185" i="1"/>
  <c r="M186" i="1"/>
  <c r="M183" i="1"/>
  <c r="K54" i="1"/>
  <c r="J54" i="1"/>
  <c r="I54" i="1"/>
  <c r="H54" i="1"/>
  <c r="G54" i="1"/>
  <c r="F54" i="1"/>
  <c r="E54" i="1"/>
  <c r="D54" i="1"/>
  <c r="B19" i="3"/>
  <c r="B23" i="3"/>
  <c r="B7" i="3"/>
  <c r="D6" i="3"/>
  <c r="D5" i="3"/>
  <c r="B16" i="3"/>
  <c r="B21" i="3"/>
  <c r="B22" i="3"/>
  <c r="B24" i="3"/>
  <c r="C128" i="1"/>
  <c r="T20" i="1"/>
  <c r="E19" i="2"/>
  <c r="G40" i="1"/>
  <c r="G41" i="1"/>
  <c r="E20" i="2"/>
  <c r="H40" i="1"/>
  <c r="E21" i="2"/>
  <c r="I40" i="1"/>
  <c r="E22" i="2"/>
  <c r="J40" i="1"/>
  <c r="C24" i="2"/>
  <c r="D24" i="2"/>
  <c r="F24" i="2"/>
  <c r="C25" i="2"/>
  <c r="D25" i="2"/>
  <c r="F25" i="2"/>
  <c r="C26" i="2"/>
  <c r="D26" i="2"/>
  <c r="F26" i="2"/>
  <c r="C27" i="2"/>
  <c r="D27" i="2"/>
  <c r="F27" i="2"/>
  <c r="C28" i="2"/>
  <c r="D28" i="2"/>
  <c r="F28" i="2"/>
  <c r="C29" i="2"/>
  <c r="D29" i="2"/>
  <c r="F29" i="2"/>
  <c r="C30" i="2"/>
  <c r="D30" i="2"/>
  <c r="F30" i="2"/>
  <c r="E24" i="2"/>
  <c r="E25" i="2"/>
  <c r="E26" i="2"/>
  <c r="E27" i="2"/>
  <c r="E28" i="2"/>
  <c r="E29" i="2"/>
  <c r="E30" i="2"/>
  <c r="H13" i="1"/>
  <c r="I13" i="1"/>
  <c r="J13" i="1"/>
  <c r="K13" i="1"/>
  <c r="X12" i="1"/>
  <c r="Y12" i="1"/>
  <c r="R7" i="1"/>
  <c r="T12" i="1"/>
  <c r="T13" i="1"/>
  <c r="T15" i="1"/>
  <c r="T16" i="1"/>
  <c r="T17" i="1"/>
  <c r="T18" i="1"/>
  <c r="D13" i="1"/>
  <c r="E13" i="1"/>
  <c r="G13" i="1"/>
  <c r="F13" i="1"/>
  <c r="D22" i="1"/>
  <c r="B11" i="3"/>
  <c r="X13" i="1"/>
  <c r="Y13" i="1"/>
  <c r="X14" i="1"/>
  <c r="Y14" i="1"/>
  <c r="T19" i="1"/>
  <c r="D68" i="1"/>
  <c r="D62" i="1"/>
  <c r="D82" i="1"/>
  <c r="T14" i="1"/>
  <c r="T21" i="1"/>
  <c r="X15" i="1"/>
  <c r="F22" i="1"/>
  <c r="Y15" i="1"/>
  <c r="R8" i="1"/>
  <c r="R9" i="1"/>
  <c r="E68" i="1"/>
  <c r="G22" i="1"/>
  <c r="T25" i="1"/>
  <c r="E22" i="1"/>
  <c r="F68" i="1"/>
  <c r="F62" i="1"/>
  <c r="F82" i="1"/>
  <c r="E62" i="1"/>
  <c r="E82" i="1"/>
  <c r="H22" i="1"/>
  <c r="G68" i="1"/>
  <c r="G43" i="1"/>
  <c r="G44" i="1"/>
  <c r="G66" i="1"/>
  <c r="G80" i="1"/>
  <c r="D80" i="1"/>
  <c r="D45" i="1"/>
  <c r="I22" i="1"/>
  <c r="G62" i="1"/>
  <c r="G82" i="1"/>
  <c r="H68" i="1"/>
  <c r="H43" i="1"/>
  <c r="H44" i="1"/>
  <c r="I43" i="1"/>
  <c r="H62" i="1"/>
  <c r="H82" i="1"/>
  <c r="D78" i="1"/>
  <c r="D72" i="1"/>
  <c r="F80" i="1"/>
  <c r="E80" i="1"/>
  <c r="F45" i="1"/>
  <c r="G45" i="1"/>
  <c r="E45" i="1"/>
  <c r="J22" i="1"/>
  <c r="I68" i="1"/>
  <c r="H66" i="1"/>
  <c r="H80" i="1"/>
  <c r="H45" i="1"/>
  <c r="H78" i="1"/>
  <c r="J43" i="1"/>
  <c r="G72" i="1"/>
  <c r="G79" i="1"/>
  <c r="G78" i="1"/>
  <c r="D79" i="1"/>
  <c r="D74" i="1"/>
  <c r="D76" i="1"/>
  <c r="D81" i="1"/>
  <c r="E72" i="1"/>
  <c r="E78" i="1"/>
  <c r="E79" i="1"/>
  <c r="F72" i="1"/>
  <c r="F78" i="1"/>
  <c r="I44" i="1"/>
  <c r="I66" i="1"/>
  <c r="I80" i="1"/>
  <c r="K22" i="1"/>
  <c r="I62" i="1"/>
  <c r="I82" i="1"/>
  <c r="J68" i="1"/>
  <c r="H72" i="1"/>
  <c r="H79" i="1"/>
  <c r="K62" i="1"/>
  <c r="K82" i="1"/>
  <c r="J62" i="1"/>
  <c r="J82" i="1"/>
  <c r="E81" i="1"/>
  <c r="E74" i="1"/>
  <c r="E76" i="1"/>
  <c r="G74" i="1"/>
  <c r="G76" i="1"/>
  <c r="G81" i="1"/>
  <c r="J44" i="1"/>
  <c r="J66" i="1"/>
  <c r="J80" i="1"/>
  <c r="I45" i="1"/>
  <c r="F79" i="1"/>
  <c r="F81" i="1"/>
  <c r="F74" i="1"/>
  <c r="F76" i="1"/>
  <c r="H74" i="1"/>
  <c r="H76" i="1"/>
  <c r="G24" i="2"/>
  <c r="G25" i="2"/>
  <c r="G26" i="2"/>
  <c r="G27" i="2"/>
  <c r="G28" i="2"/>
  <c r="G29" i="2"/>
  <c r="G30" i="2"/>
  <c r="H81" i="1"/>
  <c r="K66" i="1"/>
  <c r="K80" i="1"/>
  <c r="I78" i="1"/>
  <c r="I72" i="1"/>
  <c r="J45" i="1"/>
  <c r="K78" i="1"/>
  <c r="J78" i="1"/>
  <c r="J72" i="1"/>
  <c r="I79" i="1"/>
  <c r="I74" i="1"/>
  <c r="I76" i="1"/>
  <c r="I81" i="1"/>
  <c r="K74" i="1"/>
  <c r="K76" i="1"/>
  <c r="K81" i="1"/>
  <c r="K79" i="1"/>
  <c r="J79" i="1"/>
  <c r="J81" i="1"/>
  <c r="J74" i="1"/>
  <c r="J76" i="1"/>
  <c r="G163" i="1"/>
  <c r="I163" i="1"/>
  <c r="I164" i="1"/>
  <c r="D211" i="1"/>
</calcChain>
</file>

<file path=xl/sharedStrings.xml><?xml version="1.0" encoding="utf-8"?>
<sst xmlns="http://schemas.openxmlformats.org/spreadsheetml/2006/main" count="259" uniqueCount="202">
  <si>
    <t>SALES UNIT FORECASTS</t>
  </si>
  <si>
    <t>Annual change</t>
  </si>
  <si>
    <t>RATIOS USED IN FORECAST</t>
  </si>
  <si>
    <t>As per schedule</t>
  </si>
  <si>
    <t>INCOME STATEMENT</t>
  </si>
  <si>
    <t>Operating Expenses</t>
  </si>
  <si>
    <t>General and Administrative</t>
  </si>
  <si>
    <t>Percent of sales - both</t>
  </si>
  <si>
    <t>Percent of sales - rent</t>
  </si>
  <si>
    <t>Total Operating Expenses</t>
  </si>
  <si>
    <t>Operating Profit</t>
  </si>
  <si>
    <t>Interest rate</t>
  </si>
  <si>
    <t>Profit Before Taxes</t>
  </si>
  <si>
    <t>Taxes</t>
  </si>
  <si>
    <t>Tax rate (zero if negative income)</t>
  </si>
  <si>
    <t>Net Profit After Taxes</t>
  </si>
  <si>
    <t>BALANCE SHEET</t>
  </si>
  <si>
    <t>Assets</t>
  </si>
  <si>
    <t>Accounts Receivable</t>
  </si>
  <si>
    <t>Inventory</t>
  </si>
  <si>
    <t>Less:  Accumulated Depreciation</t>
  </si>
  <si>
    <t>Total Assets</t>
  </si>
  <si>
    <t>Liabilities and Equity</t>
  </si>
  <si>
    <t>Accounts Payable</t>
  </si>
  <si>
    <t>Income Tax Payable</t>
  </si>
  <si>
    <t>Shareholder Contributions</t>
  </si>
  <si>
    <t>Retained Earnings</t>
  </si>
  <si>
    <t>Total Liabilities and Equity</t>
  </si>
  <si>
    <t>Principal</t>
  </si>
  <si>
    <t>Inventory turnover ratio (All food items)</t>
  </si>
  <si>
    <t>Depreciation life (straight line)</t>
  </si>
  <si>
    <t>Depreciation Expense</t>
  </si>
  <si>
    <t>DFN</t>
  </si>
  <si>
    <t>Rate</t>
  </si>
  <si>
    <t>Inventory - days</t>
  </si>
  <si>
    <t>Extra Bank Loan</t>
  </si>
  <si>
    <t>Extra Bank Loan Interest Expense</t>
  </si>
  <si>
    <t>Store Sales</t>
  </si>
  <si>
    <t>Cost of Goods</t>
  </si>
  <si>
    <t>Gross Profit</t>
  </si>
  <si>
    <t>Price</t>
  </si>
  <si>
    <t>Var. Cost</t>
  </si>
  <si>
    <t>Con. Mar.</t>
  </si>
  <si>
    <t>Fixed Expenses</t>
  </si>
  <si>
    <t>Break Even Point (Fixed Expenses/CM)</t>
  </si>
  <si>
    <t>Units Sold to Break Even</t>
  </si>
  <si>
    <t>Greek Food Gourmet</t>
  </si>
  <si>
    <t>Rent</t>
  </si>
  <si>
    <t>Utilities</t>
  </si>
  <si>
    <t>Annual Change</t>
  </si>
  <si>
    <t>Cleaning Expense</t>
  </si>
  <si>
    <t>Salaries</t>
  </si>
  <si>
    <t>Insurance</t>
  </si>
  <si>
    <t>License and Permit</t>
  </si>
  <si>
    <t>Misc. Expenses</t>
  </si>
  <si>
    <t>Notes</t>
  </si>
  <si>
    <t>Manager Salary</t>
  </si>
  <si>
    <t>COGS are variable costs.</t>
  </si>
  <si>
    <t>ASSUMPTIONS</t>
  </si>
  <si>
    <t>Shrinkage</t>
  </si>
  <si>
    <t>of COGS</t>
  </si>
  <si>
    <t>Depreciation</t>
  </si>
  <si>
    <t>Total Fixed Costs</t>
  </si>
  <si>
    <t>Year 2013</t>
  </si>
  <si>
    <t>Variable Expenses</t>
  </si>
  <si>
    <t>Per Unit</t>
  </si>
  <si>
    <t>Total Variable</t>
  </si>
  <si>
    <t>Salary information</t>
  </si>
  <si>
    <t>days</t>
  </si>
  <si>
    <t>hours</t>
  </si>
  <si>
    <t>open</t>
  </si>
  <si>
    <t>prep and cleaning</t>
  </si>
  <si>
    <t>total a week</t>
  </si>
  <si>
    <t>employees</t>
  </si>
  <si>
    <t>hours a week</t>
  </si>
  <si>
    <t>pay rate per hour</t>
  </si>
  <si>
    <t>$ per week</t>
  </si>
  <si>
    <t>always on floor</t>
  </si>
  <si>
    <t>weekend floor</t>
  </si>
  <si>
    <t>cooks</t>
  </si>
  <si>
    <t>dishwasher pt</t>
  </si>
  <si>
    <t>total</t>
  </si>
  <si>
    <t>per year</t>
  </si>
  <si>
    <t>assume 2 salaried employee's always on the floor that make 8 an hour</t>
  </si>
  <si>
    <t>assume 1 extra salaried employee on the floor on the weekend ( 20 hours a week) that makes 8 an hour</t>
  </si>
  <si>
    <t>assume 1 salaried cook at a time that makes 10 an hour</t>
  </si>
  <si>
    <t xml:space="preserve">assume the owner helps in the kitchen </t>
  </si>
  <si>
    <t>assume 1 salaried part time dishwasher (20 hours) that makes 8 an hour</t>
  </si>
  <si>
    <t>assume open 5 days a week</t>
  </si>
  <si>
    <t>assume open 10 hours a day and 2 hours of prep or closing time a day for a total of 60 hours a week for salaried employee's</t>
  </si>
  <si>
    <t>assume each person spends $10 per visit</t>
  </si>
  <si>
    <t>35000</t>
  </si>
  <si>
    <t>Gross Income</t>
  </si>
  <si>
    <t>Payables</t>
  </si>
  <si>
    <t>$5000 minimum cash balance</t>
  </si>
  <si>
    <t>Taxes for current year are payable for the coming April</t>
  </si>
  <si>
    <t>Purchase Price is 70000 with 25% down (17500)</t>
  </si>
  <si>
    <t>Loan Amount</t>
  </si>
  <si>
    <t>Rate for long term loan is 5%</t>
  </si>
  <si>
    <t>Rate for operating loan is 10%</t>
  </si>
  <si>
    <t>Nper</t>
  </si>
  <si>
    <t>Year</t>
  </si>
  <si>
    <t>Period Start</t>
  </si>
  <si>
    <t>Period End</t>
  </si>
  <si>
    <t>Interet Expense</t>
  </si>
  <si>
    <t>Payment Schedule</t>
  </si>
  <si>
    <t>Cum Princ</t>
  </si>
  <si>
    <t>FF&amp;E</t>
  </si>
  <si>
    <t>Unit Sales</t>
  </si>
  <si>
    <t>Price Per Unit</t>
  </si>
  <si>
    <t>Average Cost of Sales</t>
  </si>
  <si>
    <t>Purchase Price: 65000 to FF&amp;E and 5000 to inventory, inventory will then be leveled out to turn over every week</t>
  </si>
  <si>
    <t>ROE</t>
  </si>
  <si>
    <t>Current Ratio</t>
  </si>
  <si>
    <t>D/E</t>
  </si>
  <si>
    <t>Asset Turnover</t>
  </si>
  <si>
    <t>Profit Margin</t>
  </si>
  <si>
    <t>Break Even</t>
  </si>
  <si>
    <t>Beta</t>
  </si>
  <si>
    <t>T-bill</t>
  </si>
  <si>
    <t>Mortgage</t>
  </si>
  <si>
    <t>Blended Rate</t>
  </si>
  <si>
    <t>S&amp;P 500</t>
  </si>
  <si>
    <t>Bank Loan</t>
  </si>
  <si>
    <t>Tax Rate</t>
  </si>
  <si>
    <t>CAPM</t>
  </si>
  <si>
    <t>Total Capital</t>
  </si>
  <si>
    <t>Proportions</t>
  </si>
  <si>
    <t>WACC</t>
  </si>
  <si>
    <t>Total Debt</t>
  </si>
  <si>
    <t>Total Equity</t>
  </si>
  <si>
    <t>Unlever the Beta</t>
  </si>
  <si>
    <t>Original Beta</t>
  </si>
  <si>
    <t>Percent DEBT as is NOW</t>
  </si>
  <si>
    <t>Percent Equity as is NOW</t>
  </si>
  <si>
    <t>Unlevered Beta (theoretical no debt co)</t>
  </si>
  <si>
    <t>Relever the Beta</t>
  </si>
  <si>
    <t>Unlevered Beta</t>
  </si>
  <si>
    <t>Percent DEBT hoped for</t>
  </si>
  <si>
    <t>Percent Equity hoped for</t>
  </si>
  <si>
    <t>Relevered Beta</t>
  </si>
  <si>
    <t>Return Equity Holders Wants</t>
  </si>
  <si>
    <t>FCF, NPV, IRR</t>
  </si>
  <si>
    <t>T</t>
  </si>
  <si>
    <t>Cash from Operating Income</t>
  </si>
  <si>
    <t>less:Depreciation</t>
  </si>
  <si>
    <t>Taxable Operating Income</t>
  </si>
  <si>
    <t>less: Taxes (Operations Only=Payable)</t>
  </si>
  <si>
    <t>After Tax Income</t>
  </si>
  <si>
    <t>add: Depreciation</t>
  </si>
  <si>
    <t>Final Income</t>
  </si>
  <si>
    <t>Cash In/Out from Capital Expenditures</t>
  </si>
  <si>
    <t>Building Profit before Tax</t>
  </si>
  <si>
    <t>Tax</t>
  </si>
  <si>
    <t>Cash from Working Capital Changes</t>
  </si>
  <si>
    <t>Income Tax Payable (Operations Only)</t>
  </si>
  <si>
    <t>Cash from Liquidating Working Capital</t>
  </si>
  <si>
    <t>Total FCFs</t>
  </si>
  <si>
    <t>Total PV FCFs at t=0</t>
  </si>
  <si>
    <t>PV of FCFs at t=0</t>
  </si>
  <si>
    <t>IRR</t>
  </si>
  <si>
    <t>T-bill (5 year)</t>
  </si>
  <si>
    <t>Bloomberg</t>
  </si>
  <si>
    <t>Debt Proportions 2020</t>
  </si>
  <si>
    <t>WACC for 2020</t>
  </si>
  <si>
    <t>CAPM as a 40/60 Company</t>
  </si>
  <si>
    <t>Assumed that everything will be paid off and sold in 2020</t>
  </si>
  <si>
    <t>Need some capital expenditures</t>
  </si>
  <si>
    <t>Assume that the growth increases by 1.5%</t>
  </si>
  <si>
    <t>Perpruity amount in last year</t>
  </si>
  <si>
    <t>Tenant Improvements</t>
  </si>
  <si>
    <t>What about if Debt/Equity is 40%/60%</t>
  </si>
  <si>
    <t>IF I Wanted Perpetuity</t>
  </si>
  <si>
    <t>Last Year of FCFs equal year 2019</t>
  </si>
  <si>
    <t>Add another FCF amount to the 2019 year that is 1.5% forever afterwards</t>
  </si>
  <si>
    <t>Value of perpetuity= (cash flow in 2019)*(1+growth rate)/(WACC-growth rate)</t>
  </si>
  <si>
    <t>Changes added 11/13/12</t>
  </si>
  <si>
    <t>Added in tenant improvements.</t>
  </si>
  <si>
    <t>Changed sales growth to 1% per year.</t>
  </si>
  <si>
    <t>Pay tax only if there is profit.</t>
  </si>
  <si>
    <t>Wash Company</t>
  </si>
  <si>
    <t>Equity</t>
  </si>
  <si>
    <t>Debt</t>
  </si>
  <si>
    <t>Proportion</t>
  </si>
  <si>
    <t>Goal: Change D/E % to get WACC to 5.50%</t>
  </si>
  <si>
    <t>New Debt %</t>
  </si>
  <si>
    <t>Beta (80/20 Co.)</t>
  </si>
  <si>
    <t>WACC (80/20 Co.)</t>
  </si>
  <si>
    <t>T-Bills</t>
  </si>
  <si>
    <t>New Equity %</t>
  </si>
  <si>
    <t>Return of Equity</t>
  </si>
  <si>
    <t>Reutn of Debt</t>
  </si>
  <si>
    <t>New WACC</t>
  </si>
  <si>
    <t>Tenant Improvements Interest Expense</t>
  </si>
  <si>
    <t>Cash Minimum</t>
  </si>
  <si>
    <t>Cash above Minimum</t>
  </si>
  <si>
    <t>Tenant Improvement Purchase</t>
  </si>
  <si>
    <t>Assumed that the equipment sold for book 90% of book value</t>
  </si>
  <si>
    <r>
      <t>Sell P</t>
    </r>
    <r>
      <rPr>
        <sz val="11"/>
        <color indexed="8"/>
        <rFont val="Calibri"/>
        <family val="2"/>
      </rPr>
      <t>rofit</t>
    </r>
  </si>
  <si>
    <t>Amount of Profit from sale.</t>
  </si>
  <si>
    <t>price per unit increases by $1 every 3 years.</t>
  </si>
  <si>
    <t>sell assets for 90% of book value in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</si>
</sst>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\$* #,##0.00_);_(\$* \(#,##0.00\);_(\$* \-??_);_(@_)"/>
    <numFmt numFmtId="165" formatCode="_(* #,##0.00_);_(* \(#,##0.00\);_(* \-??_);_(@_)"/>
    <numFmt numFmtId="166" formatCode="0.0"/>
    <numFmt numFmtId="167" formatCode="_(\$* #,##0_);_(\$* \(#,##0\);_(\$* \-??_);_(@_)"/>
    <numFmt numFmtId="168" formatCode="[$$-409]#,##0.00;[Red]\-[$$-409]#,##0.00"/>
    <numFmt numFmtId="169" formatCode="0.0%"/>
    <numFmt numFmtId="170" formatCode="[$$-409]#,##0.00;[Red][$$-409]#,##0.00"/>
    <numFmt numFmtId="171" formatCode="_(&quot;$&quot;* #,##0_);_(&quot;$&quot;* \(#,##0\);_(&quot;$&quot;* &quot;-&quot;??_);_(@_)"/>
    <numFmt numFmtId="172" formatCode="&quot;$&quot;#,##0.00"/>
    <numFmt numFmtId="173" formatCode="_(* #,##0_);_(* \(#,##0\);_(* &quot;-&quot;??_);_(@_)"/>
    <numFmt numFmtId="174" formatCode="0.000"/>
    <numFmt numFmtId="175" formatCode="_(* #,##0_);_(* \(#,##0\);_(* \-??_);_(@_)"/>
    <numFmt numFmtId="176" formatCode="0.0000%"/>
  </numFmts>
  <fonts count="18">
    <font>
      <sz val="10"/>
      <name val="Arial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</font>
    <font>
      <i/>
      <sz val="11"/>
      <color indexed="8"/>
      <name val="Calibri"/>
      <family val="2"/>
    </font>
    <font>
      <sz val="8"/>
      <name val="돋움"/>
      <family val="3"/>
    </font>
    <font>
      <sz val="11"/>
      <name val="Calibri"/>
      <family val="2"/>
    </font>
    <font>
      <b/>
      <sz val="14"/>
      <color indexed="8"/>
      <name val="Calibri"/>
      <family val="2"/>
    </font>
    <font>
      <b/>
      <sz val="18"/>
      <color indexed="8"/>
      <name val="Calibri"/>
      <family val="2"/>
    </font>
    <font>
      <sz val="10"/>
      <name val="Arial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</borders>
  <cellStyleXfs count="16">
    <xf numFmtId="0" fontId="0" fillId="0" borderId="0"/>
    <xf numFmtId="165" fontId="1" fillId="0" borderId="0"/>
    <xf numFmtId="165" fontId="1" fillId="0" borderId="0"/>
    <xf numFmtId="165" fontId="12" fillId="0" borderId="0"/>
    <xf numFmtId="164" fontId="1" fillId="0" borderId="0"/>
    <xf numFmtId="164" fontId="1" fillId="0" borderId="0"/>
    <xf numFmtId="164" fontId="12" fillId="0" borderId="0"/>
    <xf numFmtId="0" fontId="1" fillId="0" borderId="0"/>
    <xf numFmtId="0" fontId="12" fillId="0" borderId="0"/>
    <xf numFmtId="0" fontId="16" fillId="0" borderId="13" applyNumberFormat="0" applyFill="0" applyAlignment="0" applyProtection="0"/>
    <xf numFmtId="0" fontId="5" fillId="0" borderId="0"/>
    <xf numFmtId="0" fontId="15" fillId="0" borderId="0"/>
    <xf numFmtId="0" fontId="11" fillId="0" borderId="0"/>
    <xf numFmtId="9" fontId="1" fillId="0" borderId="0"/>
    <xf numFmtId="9" fontId="1" fillId="0" borderId="0"/>
    <xf numFmtId="9" fontId="12" fillId="0" borderId="0"/>
  </cellStyleXfs>
  <cellXfs count="141">
    <xf numFmtId="0" fontId="0" fillId="0" borderId="0" xfId="0"/>
    <xf numFmtId="0" fontId="1" fillId="0" borderId="0" xfId="7"/>
    <xf numFmtId="0" fontId="1" fillId="0" borderId="1" xfId="7" applyBorder="1"/>
    <xf numFmtId="0" fontId="2" fillId="0" borderId="0" xfId="7" applyFont="1"/>
    <xf numFmtId="10" fontId="1" fillId="0" borderId="0" xfId="13" applyNumberFormat="1"/>
    <xf numFmtId="1" fontId="1" fillId="0" borderId="0" xfId="7" applyNumberFormat="1"/>
    <xf numFmtId="164" fontId="1" fillId="0" borderId="0" xfId="4" applyFont="1" applyFill="1" applyBorder="1" applyAlignment="1" applyProtection="1"/>
    <xf numFmtId="166" fontId="1" fillId="0" borderId="0" xfId="7" applyNumberFormat="1"/>
    <xf numFmtId="167" fontId="1" fillId="0" borderId="0" xfId="4" applyNumberFormat="1" applyFont="1" applyFill="1" applyBorder="1" applyAlignment="1" applyProtection="1"/>
    <xf numFmtId="167" fontId="1" fillId="0" borderId="0" xfId="7" applyNumberFormat="1"/>
    <xf numFmtId="14" fontId="1" fillId="0" borderId="0" xfId="7" applyNumberFormat="1"/>
    <xf numFmtId="49" fontId="1" fillId="0" borderId="0" xfId="13" applyNumberFormat="1" applyAlignment="1">
      <alignment horizontal="right"/>
    </xf>
    <xf numFmtId="171" fontId="1" fillId="0" borderId="0" xfId="4" applyNumberFormat="1" applyFont="1" applyFill="1" applyBorder="1" applyAlignment="1" applyProtection="1"/>
    <xf numFmtId="167" fontId="1" fillId="0" borderId="2" xfId="4" applyNumberFormat="1" applyFont="1" applyFill="1" applyBorder="1" applyAlignment="1" applyProtection="1"/>
    <xf numFmtId="44" fontId="1" fillId="0" borderId="0" xfId="1" applyNumberFormat="1"/>
    <xf numFmtId="0" fontId="1" fillId="0" borderId="2" xfId="7" applyBorder="1"/>
    <xf numFmtId="0" fontId="3" fillId="0" borderId="3" xfId="7" applyFont="1" applyBorder="1" applyAlignment="1">
      <alignment horizontal="centerContinuous"/>
    </xf>
    <xf numFmtId="164" fontId="1" fillId="0" borderId="0" xfId="4"/>
    <xf numFmtId="164" fontId="1" fillId="0" borderId="2" xfId="4" applyBorder="1"/>
    <xf numFmtId="0" fontId="1" fillId="0" borderId="0" xfId="7" applyBorder="1"/>
    <xf numFmtId="171" fontId="1" fillId="0" borderId="0" xfId="4" applyNumberFormat="1" applyBorder="1"/>
    <xf numFmtId="167" fontId="1" fillId="0" borderId="2" xfId="7" applyNumberFormat="1" applyFont="1" applyBorder="1"/>
    <xf numFmtId="164" fontId="1" fillId="0" borderId="0" xfId="4" applyBorder="1"/>
    <xf numFmtId="164" fontId="3" fillId="0" borderId="0" xfId="4" applyFont="1" applyBorder="1"/>
    <xf numFmtId="0" fontId="2" fillId="0" borderId="3" xfId="7" applyFont="1" applyBorder="1" applyAlignment="1"/>
    <xf numFmtId="2" fontId="1" fillId="0" borderId="0" xfId="7" applyNumberFormat="1"/>
    <xf numFmtId="0" fontId="2" fillId="0" borderId="3" xfId="7" applyFont="1" applyBorder="1" applyAlignment="1">
      <alignment horizontal="centerContinuous"/>
    </xf>
    <xf numFmtId="0" fontId="2" fillId="0" borderId="3" xfId="7" applyFont="1" applyBorder="1"/>
    <xf numFmtId="167" fontId="1" fillId="0" borderId="2" xfId="7" applyNumberFormat="1" applyBorder="1"/>
    <xf numFmtId="0" fontId="1" fillId="0" borderId="4" xfId="7" applyBorder="1"/>
    <xf numFmtId="2" fontId="1" fillId="0" borderId="0" xfId="7" applyNumberFormat="1" applyBorder="1"/>
    <xf numFmtId="2" fontId="1" fillId="0" borderId="5" xfId="7" applyNumberFormat="1" applyBorder="1"/>
    <xf numFmtId="0" fontId="1" fillId="0" borderId="6" xfId="7" applyBorder="1"/>
    <xf numFmtId="0" fontId="1" fillId="0" borderId="7" xfId="7" applyBorder="1"/>
    <xf numFmtId="0" fontId="1" fillId="0" borderId="8" xfId="7" applyBorder="1"/>
    <xf numFmtId="0" fontId="15" fillId="0" borderId="0" xfId="11"/>
    <xf numFmtId="0" fontId="5" fillId="0" borderId="0" xfId="10"/>
    <xf numFmtId="172" fontId="1" fillId="0" borderId="0" xfId="7" applyNumberFormat="1"/>
    <xf numFmtId="0" fontId="1" fillId="0" borderId="0" xfId="7" applyFill="1"/>
    <xf numFmtId="43" fontId="1" fillId="0" borderId="0" xfId="7" applyNumberFormat="1"/>
    <xf numFmtId="0" fontId="1" fillId="0" borderId="4" xfId="7" applyFont="1" applyBorder="1"/>
    <xf numFmtId="0" fontId="1" fillId="0" borderId="5" xfId="7" applyBorder="1"/>
    <xf numFmtId="167" fontId="1" fillId="0" borderId="0" xfId="4" applyNumberFormat="1" applyBorder="1"/>
    <xf numFmtId="10" fontId="1" fillId="0" borderId="0" xfId="13" applyNumberFormat="1" applyBorder="1"/>
    <xf numFmtId="0" fontId="3" fillId="0" borderId="0" xfId="7" applyFont="1" applyBorder="1"/>
    <xf numFmtId="0" fontId="3" fillId="0" borderId="4" xfId="7" applyFont="1" applyBorder="1"/>
    <xf numFmtId="0" fontId="2" fillId="0" borderId="6" xfId="7" applyFont="1" applyBorder="1"/>
    <xf numFmtId="167" fontId="17" fillId="0" borderId="7" xfId="4" applyNumberFormat="1" applyFont="1" applyBorder="1"/>
    <xf numFmtId="167" fontId="1" fillId="0" borderId="7" xfId="4" applyNumberFormat="1" applyFont="1" applyFill="1" applyBorder="1" applyAlignment="1" applyProtection="1"/>
    <xf numFmtId="172" fontId="1" fillId="0" borderId="0" xfId="7" applyNumberFormat="1" applyAlignment="1"/>
    <xf numFmtId="0" fontId="1" fillId="0" borderId="3" xfId="7" applyBorder="1"/>
    <xf numFmtId="0" fontId="16" fillId="0" borderId="14" xfId="9" applyBorder="1" applyAlignment="1">
      <alignment horizontal="centerContinuous"/>
    </xf>
    <xf numFmtId="0" fontId="16" fillId="0" borderId="15" xfId="9" applyBorder="1" applyAlignment="1">
      <alignment horizontal="centerContinuous"/>
    </xf>
    <xf numFmtId="0" fontId="16" fillId="0" borderId="16" xfId="9" applyBorder="1" applyAlignment="1">
      <alignment horizontal="centerContinuous"/>
    </xf>
    <xf numFmtId="0" fontId="0" fillId="0" borderId="0" xfId="0" applyBorder="1"/>
    <xf numFmtId="168" fontId="0" fillId="0" borderId="0" xfId="0" applyNumberFormat="1" applyBorder="1"/>
    <xf numFmtId="0" fontId="0" fillId="0" borderId="0" xfId="0" applyFont="1" applyBorder="1" applyAlignment="1">
      <alignment wrapText="1"/>
    </xf>
    <xf numFmtId="168" fontId="0" fillId="0" borderId="0" xfId="0" applyNumberFormat="1" applyFont="1" applyBorder="1" applyAlignment="1">
      <alignment wrapText="1"/>
    </xf>
    <xf numFmtId="8" fontId="0" fillId="0" borderId="0" xfId="0" applyNumberFormat="1" applyBorder="1"/>
    <xf numFmtId="0" fontId="4" fillId="0" borderId="0" xfId="0" applyFont="1" applyBorder="1"/>
    <xf numFmtId="168" fontId="4" fillId="0" borderId="0" xfId="0" applyNumberFormat="1" applyFont="1" applyBorder="1" applyAlignment="1">
      <alignment wrapText="1"/>
    </xf>
    <xf numFmtId="170" fontId="4" fillId="0" borderId="0" xfId="0" applyNumberFormat="1" applyFont="1" applyBorder="1"/>
    <xf numFmtId="164" fontId="3" fillId="0" borderId="0" xfId="4" applyNumberFormat="1" applyFont="1" applyBorder="1"/>
    <xf numFmtId="0" fontId="4" fillId="0" borderId="0" xfId="0" applyFont="1" applyBorder="1" applyAlignment="1">
      <alignment wrapText="1"/>
    </xf>
    <xf numFmtId="167" fontId="1" fillId="0" borderId="3" xfId="4" applyNumberFormat="1" applyFont="1" applyFill="1" applyBorder="1" applyAlignment="1" applyProtection="1"/>
    <xf numFmtId="167" fontId="8" fillId="0" borderId="0" xfId="4" applyNumberFormat="1" applyFont="1" applyFill="1" applyBorder="1" applyAlignment="1" applyProtection="1"/>
    <xf numFmtId="9" fontId="1" fillId="0" borderId="0" xfId="13"/>
    <xf numFmtId="165" fontId="1" fillId="0" borderId="0" xfId="1"/>
    <xf numFmtId="175" fontId="1" fillId="0" borderId="0" xfId="1" applyNumberFormat="1"/>
    <xf numFmtId="168" fontId="0" fillId="0" borderId="0" xfId="0" applyNumberFormat="1" applyFont="1" applyFill="1" applyBorder="1" applyAlignment="1">
      <alignment wrapText="1"/>
    </xf>
    <xf numFmtId="175" fontId="0" fillId="0" borderId="0" xfId="0" applyNumberFormat="1"/>
    <xf numFmtId="164" fontId="0" fillId="0" borderId="0" xfId="0" applyNumberFormat="1" applyBorder="1"/>
    <xf numFmtId="164" fontId="0" fillId="0" borderId="0" xfId="0" applyNumberFormat="1"/>
    <xf numFmtId="0" fontId="2" fillId="0" borderId="4" xfId="7" applyFont="1" applyBorder="1"/>
    <xf numFmtId="167" fontId="1" fillId="0" borderId="0" xfId="7" applyNumberFormat="1" applyBorder="1"/>
    <xf numFmtId="167" fontId="8" fillId="0" borderId="0" xfId="4" applyNumberFormat="1" applyFont="1" applyBorder="1"/>
    <xf numFmtId="164" fontId="16" fillId="0" borderId="15" xfId="9" applyNumberFormat="1" applyBorder="1" applyAlignment="1">
      <alignment horizontal="centerContinuous"/>
    </xf>
    <xf numFmtId="164" fontId="16" fillId="0" borderId="16" xfId="9" applyNumberFormat="1" applyBorder="1" applyAlignment="1">
      <alignment horizontal="centerContinuous"/>
    </xf>
    <xf numFmtId="0" fontId="15" fillId="0" borderId="4" xfId="11" applyBorder="1"/>
    <xf numFmtId="0" fontId="15" fillId="0" borderId="0" xfId="11" applyBorder="1"/>
    <xf numFmtId="0" fontId="5" fillId="0" borderId="4" xfId="10" applyBorder="1"/>
    <xf numFmtId="0" fontId="5" fillId="0" borderId="0" xfId="10" applyBorder="1"/>
    <xf numFmtId="172" fontId="1" fillId="0" borderId="0" xfId="7" applyNumberFormat="1" applyBorder="1"/>
    <xf numFmtId="0" fontId="1" fillId="0" borderId="4" xfId="7" applyFill="1" applyBorder="1"/>
    <xf numFmtId="1" fontId="1" fillId="0" borderId="7" xfId="7" applyNumberFormat="1" applyBorder="1"/>
    <xf numFmtId="14" fontId="1" fillId="0" borderId="0" xfId="7" applyNumberFormat="1" applyBorder="1"/>
    <xf numFmtId="0" fontId="6" fillId="0" borderId="0" xfId="7" applyFont="1" applyBorder="1"/>
    <xf numFmtId="0" fontId="3" fillId="0" borderId="0" xfId="7" applyFont="1" applyBorder="1" applyAlignment="1">
      <alignment horizontal="right"/>
    </xf>
    <xf numFmtId="0" fontId="1" fillId="0" borderId="9" xfId="7" applyBorder="1"/>
    <xf numFmtId="164" fontId="2" fillId="0" borderId="0" xfId="4" applyFont="1" applyBorder="1"/>
    <xf numFmtId="0" fontId="3" fillId="0" borderId="10" xfId="7" applyFont="1" applyBorder="1" applyAlignment="1"/>
    <xf numFmtId="0" fontId="2" fillId="0" borderId="11" xfId="7" applyFont="1" applyBorder="1"/>
    <xf numFmtId="2" fontId="1" fillId="0" borderId="12" xfId="7" applyNumberFormat="1" applyBorder="1"/>
    <xf numFmtId="167" fontId="1" fillId="0" borderId="0" xfId="7" applyNumberFormat="1" applyFont="1" applyBorder="1"/>
    <xf numFmtId="0" fontId="2" fillId="0" borderId="0" xfId="7" applyFont="1" applyBorder="1"/>
    <xf numFmtId="167" fontId="2" fillId="0" borderId="0" xfId="7" applyNumberFormat="1" applyFont="1" applyBorder="1"/>
    <xf numFmtId="0" fontId="3" fillId="0" borderId="10" xfId="7" applyFont="1" applyBorder="1" applyAlignment="1">
      <alignment horizontal="centerContinuous"/>
    </xf>
    <xf numFmtId="173" fontId="1" fillId="0" borderId="0" xfId="7" applyNumberFormat="1" applyBorder="1"/>
    <xf numFmtId="14" fontId="9" fillId="0" borderId="0" xfId="7" applyNumberFormat="1" applyFont="1"/>
    <xf numFmtId="0" fontId="9" fillId="0" borderId="0" xfId="7" applyFont="1"/>
    <xf numFmtId="172" fontId="9" fillId="0" borderId="0" xfId="7" applyNumberFormat="1" applyFont="1" applyAlignment="1"/>
    <xf numFmtId="0" fontId="10" fillId="0" borderId="1" xfId="7" applyFont="1" applyBorder="1" applyAlignment="1">
      <alignment horizontal="centerContinuous"/>
    </xf>
    <xf numFmtId="0" fontId="1" fillId="0" borderId="1" xfId="7" applyBorder="1" applyAlignment="1">
      <alignment horizontal="centerContinuous"/>
    </xf>
    <xf numFmtId="0" fontId="11" fillId="0" borderId="0" xfId="12"/>
    <xf numFmtId="0" fontId="12" fillId="0" borderId="0" xfId="8"/>
    <xf numFmtId="167" fontId="12" fillId="0" borderId="0" xfId="8" applyNumberFormat="1"/>
    <xf numFmtId="10" fontId="12" fillId="0" borderId="0" xfId="15" applyNumberFormat="1"/>
    <xf numFmtId="0" fontId="2" fillId="0" borderId="0" xfId="8" applyFont="1"/>
    <xf numFmtId="167" fontId="12" fillId="0" borderId="3" xfId="8" applyNumberFormat="1" applyBorder="1"/>
    <xf numFmtId="0" fontId="12" fillId="0" borderId="0" xfId="8" applyAlignment="1">
      <alignment horizontal="left" indent="1"/>
    </xf>
    <xf numFmtId="10" fontId="12" fillId="0" borderId="0" xfId="8" applyNumberFormat="1"/>
    <xf numFmtId="169" fontId="12" fillId="0" borderId="0" xfId="15" applyNumberFormat="1"/>
    <xf numFmtId="0" fontId="2" fillId="0" borderId="0" xfId="8" applyFont="1" applyAlignment="1">
      <alignment horizontal="center"/>
    </xf>
    <xf numFmtId="9" fontId="12" fillId="0" borderId="0" xfId="8" applyNumberFormat="1"/>
    <xf numFmtId="10" fontId="12" fillId="0" borderId="3" xfId="15" applyNumberFormat="1" applyBorder="1"/>
    <xf numFmtId="10" fontId="2" fillId="0" borderId="0" xfId="8" applyNumberFormat="1" applyFont="1"/>
    <xf numFmtId="0" fontId="2" fillId="0" borderId="0" xfId="8" applyFont="1" applyAlignment="1">
      <alignment horizontal="left" indent="1"/>
    </xf>
    <xf numFmtId="174" fontId="12" fillId="0" borderId="0" xfId="8" applyNumberFormat="1"/>
    <xf numFmtId="10" fontId="2" fillId="0" borderId="0" xfId="15" applyNumberFormat="1" applyFont="1"/>
    <xf numFmtId="0" fontId="13" fillId="0" borderId="0" xfId="8" applyFont="1" applyBorder="1"/>
    <xf numFmtId="0" fontId="12" fillId="0" borderId="0" xfId="8" applyBorder="1"/>
    <xf numFmtId="0" fontId="12" fillId="0" borderId="0" xfId="8" applyAlignment="1">
      <alignment horizontal="center"/>
    </xf>
    <xf numFmtId="176" fontId="12" fillId="0" borderId="0" xfId="8" applyNumberFormat="1"/>
    <xf numFmtId="9" fontId="1" fillId="0" borderId="0" xfId="13" applyNumberFormat="1"/>
    <xf numFmtId="0" fontId="1" fillId="0" borderId="0" xfId="7" applyAlignment="1">
      <alignment horizontal="center"/>
    </xf>
    <xf numFmtId="8" fontId="1" fillId="0" borderId="0" xfId="4" applyNumberFormat="1"/>
    <xf numFmtId="10" fontId="12" fillId="0" borderId="0" xfId="8" applyNumberFormat="1" applyAlignment="1">
      <alignment horizontal="right"/>
    </xf>
    <xf numFmtId="0" fontId="12" fillId="0" borderId="0" xfId="8" applyAlignment="1">
      <alignment horizontal="left"/>
    </xf>
    <xf numFmtId="0" fontId="5" fillId="0" borderId="0" xfId="0" applyFont="1"/>
    <xf numFmtId="164" fontId="14" fillId="0" borderId="0" xfId="4" applyFont="1"/>
    <xf numFmtId="164" fontId="5" fillId="0" borderId="0" xfId="0" applyNumberFormat="1" applyFont="1"/>
    <xf numFmtId="10" fontId="14" fillId="0" borderId="0" xfId="13" applyNumberFormat="1" applyFont="1"/>
    <xf numFmtId="9" fontId="0" fillId="0" borderId="0" xfId="0" applyNumberFormat="1"/>
    <xf numFmtId="10" fontId="0" fillId="0" borderId="0" xfId="0" applyNumberFormat="1"/>
    <xf numFmtId="43" fontId="1" fillId="0" borderId="0" xfId="4" applyNumberFormat="1" applyFont="1" applyFill="1" applyBorder="1" applyAlignment="1" applyProtection="1"/>
    <xf numFmtId="0" fontId="12" fillId="0" borderId="0" xfId="8" applyBorder="1" applyAlignment="1">
      <alignment horizontal="center"/>
    </xf>
    <xf numFmtId="10" fontId="1" fillId="0" borderId="0" xfId="7" applyNumberFormat="1"/>
    <xf numFmtId="44" fontId="12" fillId="0" borderId="0" xfId="8" applyNumberFormat="1"/>
    <xf numFmtId="44" fontId="1" fillId="0" borderId="0" xfId="4" applyNumberFormat="1"/>
    <xf numFmtId="44" fontId="1" fillId="0" borderId="0" xfId="7" applyNumberFormat="1"/>
    <xf numFmtId="44" fontId="1" fillId="0" borderId="0" xfId="8" applyNumberFormat="1" applyFont="1"/>
  </cellXfs>
  <cellStyles count="16">
    <cellStyle name="Comma" xfId="1" builtinId="3"/>
    <cellStyle name="Comma 2" xfId="2"/>
    <cellStyle name="Comma 3" xfId="3"/>
    <cellStyle name="Currency" xfId="4" builtinId="4"/>
    <cellStyle name="Currency 2" xfId="5"/>
    <cellStyle name="Currency 3" xfId="6"/>
    <cellStyle name="Excel Built-in Normal" xfId="7"/>
    <cellStyle name="Excel Built-in Normal 2" xfId="8"/>
    <cellStyle name="Heading 1" xfId="9" builtinId="16"/>
    <cellStyle name="Normal" xfId="0" builtinId="0"/>
    <cellStyle name="Normal 2" xfId="10"/>
    <cellStyle name="Normal 3" xfId="11"/>
    <cellStyle name="Normal 4" xfId="12"/>
    <cellStyle name="Percent" xfId="13" builtinId="5"/>
    <cellStyle name="Percent 2" xfId="14"/>
    <cellStyle name="Percent 3" xfId="1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Answer!$A$78</c:f>
              <c:strCache>
                <c:ptCount val="1"/>
                <c:pt idx="0">
                  <c:v>Profit Margin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val>
            <c:numRef>
              <c:f>Answer!$B$78:$K$78</c:f>
              <c:numCache>
                <c:formatCode>General</c:formatCode>
                <c:ptCount val="10"/>
                <c:pt idx="2" formatCode="0.00%">
                  <c:v>-9.4068998747964521E-3</c:v>
                </c:pt>
                <c:pt idx="3" formatCode="0.00%">
                  <c:v>-2.6824712029476679E-2</c:v>
                </c:pt>
                <c:pt idx="4" formatCode="0.00%">
                  <c:v>-4.465956640448366E-2</c:v>
                </c:pt>
                <c:pt idx="5" formatCode="0.00%">
                  <c:v>1.8860267523717104E-2</c:v>
                </c:pt>
                <c:pt idx="6" formatCode="0.00%">
                  <c:v>7.3049611373066318E-3</c:v>
                </c:pt>
                <c:pt idx="7" formatCode="0.00%">
                  <c:v>-6.6507840835121224E-3</c:v>
                </c:pt>
                <c:pt idx="8" formatCode="0.00%">
                  <c:v>3.7701581019683655E-2</c:v>
                </c:pt>
                <c:pt idx="9" formatCode="0.00%">
                  <c:v>2.6348072952905848E-2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Answer!$A$79</c:f>
              <c:strCache>
                <c:ptCount val="1"/>
                <c:pt idx="0">
                  <c:v>ROE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val>
            <c:numRef>
              <c:f>Answer!$B$79:$K$79</c:f>
              <c:numCache>
                <c:formatCode>General</c:formatCode>
                <c:ptCount val="10"/>
                <c:pt idx="2" formatCode="0.00%">
                  <c:v>-0.49084952850677588</c:v>
                </c:pt>
                <c:pt idx="3" formatCode="0.00%">
                  <c:v>-18.325004733208882</c:v>
                </c:pt>
                <c:pt idx="4" formatCode="0.00%">
                  <c:v>2.6820777816584203</c:v>
                </c:pt>
                <c:pt idx="5" formatCode="0.00%">
                  <c:v>0.42795769937891542</c:v>
                </c:pt>
                <c:pt idx="6" formatCode="0.00%">
                  <c:v>0.22640168290311471</c:v>
                </c:pt>
                <c:pt idx="7" formatCode="0.00%">
                  <c:v>-0.36820724891420498</c:v>
                </c:pt>
                <c:pt idx="8" formatCode="0.00%">
                  <c:v>0.62698836107124578</c:v>
                </c:pt>
                <c:pt idx="9" formatCode="0.00%">
                  <c:v>0.54263665083075552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Answer!$A$80</c:f>
              <c:strCache>
                <c:ptCount val="1"/>
                <c:pt idx="0">
                  <c:v>Current Ratio</c:v>
                </c:pt>
              </c:strCache>
            </c:strRef>
          </c:tx>
          <c:spPr>
            <a:ln w="25400">
              <a:solidFill>
                <a:srgbClr val="90713A"/>
              </a:solidFill>
              <a:prstDash val="solid"/>
            </a:ln>
          </c:spPr>
          <c:marker>
            <c:symbol val="none"/>
          </c:marker>
          <c:val>
            <c:numRef>
              <c:f>Answer!$B$80:$K$80</c:f>
              <c:numCache>
                <c:formatCode>General</c:formatCode>
                <c:ptCount val="10"/>
                <c:pt idx="2" formatCode="_(* #,##0.00_);_(* \(#,##0.00\);_(* \-??_);_(@_)">
                  <c:v>1.3139999999999974</c:v>
                </c:pt>
                <c:pt idx="3" formatCode="_(* #,##0.00_);_(* \(#,##0.00\);_(* \-??_);_(@_)">
                  <c:v>1.0027267562488658</c:v>
                </c:pt>
                <c:pt idx="4" formatCode="_(* #,##0.00_);_(* \(#,##0.00\);_(* \-??_);_(@_)">
                  <c:v>0.67938662447309839</c:v>
                </c:pt>
                <c:pt idx="5" formatCode="_(* #,##0.00_);_(* \(#,##0.00\);_(* \-??_);_(@_)">
                  <c:v>2.1375008044606094</c:v>
                </c:pt>
                <c:pt idx="6" formatCode="_(* #,##0.00_);_(* \(#,##0.00\);_(* \-??_);_(@_)">
                  <c:v>2.0537174427729985</c:v>
                </c:pt>
                <c:pt idx="7" formatCode="_(* #,##0.00_);_(* \(#,##0.00\);_(* \-??_);_(@_)">
                  <c:v>1.8182005949900535</c:v>
                </c:pt>
                <c:pt idx="8" formatCode="_(* #,##0.00_);_(* \(#,##0.00\);_(* \-??_);_(@_)">
                  <c:v>2.3628851493311012</c:v>
                </c:pt>
                <c:pt idx="9" formatCode="_(* #,##0.00_);_(* \(#,##0.00\);_(* \-??_);_(@_)">
                  <c:v>2.2614830898039622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Answer!$A$81</c:f>
              <c:strCache>
                <c:ptCount val="1"/>
                <c:pt idx="0">
                  <c:v>D/E</c:v>
                </c:pt>
              </c:strCache>
            </c:strRef>
          </c:tx>
          <c:spPr>
            <a:ln w="254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Answer!$B$81:$K$81</c:f>
              <c:numCache>
                <c:formatCode>General</c:formatCode>
                <c:ptCount val="10"/>
                <c:pt idx="2" formatCode="0.00">
                  <c:v>11.329315453094164</c:v>
                </c:pt>
                <c:pt idx="3" formatCode="0.00">
                  <c:v>143.65781237112006</c:v>
                </c:pt>
                <c:pt idx="4" formatCode="0.00">
                  <c:v>-12.19108199358892</c:v>
                </c:pt>
                <c:pt idx="5" formatCode="0.00">
                  <c:v>4.2277081835419885</c:v>
                </c:pt>
                <c:pt idx="6" formatCode="0.00">
                  <c:v>5.3699611265453795</c:v>
                </c:pt>
                <c:pt idx="7" formatCode="0.00">
                  <c:v>8.949131291814588</c:v>
                </c:pt>
                <c:pt idx="8" formatCode="0.00">
                  <c:v>2.6249751515738398</c:v>
                </c:pt>
                <c:pt idx="9" formatCode="0.00">
                  <c:v>2.9614748976436589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Answer!$A$82</c:f>
              <c:strCache>
                <c:ptCount val="1"/>
                <c:pt idx="0">
                  <c:v>Asset Turnover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Answer!$B$82:$K$82</c:f>
              <c:numCache>
                <c:formatCode>General</c:formatCode>
                <c:ptCount val="10"/>
                <c:pt idx="2" formatCode="0.00">
                  <c:v>4.2321644498186233</c:v>
                </c:pt>
                <c:pt idx="3" formatCode="0.00">
                  <c:v>4.7224334612512537</c:v>
                </c:pt>
                <c:pt idx="4" formatCode="0.00">
                  <c:v>5.366445717034166</c:v>
                </c:pt>
                <c:pt idx="5" formatCode="0.00">
                  <c:v>4.3405066913237107</c:v>
                </c:pt>
                <c:pt idx="6" formatCode="0.00">
                  <c:v>4.8654701592140102</c:v>
                </c:pt>
                <c:pt idx="7" formatCode="0.00">
                  <c:v>5.5645704482926961</c:v>
                </c:pt>
                <c:pt idx="8" formatCode="0.00">
                  <c:v>4.5877122405863293</c:v>
                </c:pt>
                <c:pt idx="9" formatCode="0.00">
                  <c:v>5.1988321640009731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7616"/>
        <c:axId val="152453504"/>
      </c:lineChart>
      <c:catAx>
        <c:axId val="15244761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52453504"/>
        <c:crosses val="autoZero"/>
        <c:auto val="1"/>
        <c:lblAlgn val="ctr"/>
        <c:lblOffset val="100"/>
        <c:noMultiLvlLbl val="0"/>
      </c:catAx>
      <c:valAx>
        <c:axId val="1524535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524476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9762066969091729"/>
          <c:y val="0.26104520050985391"/>
          <c:w val="0.29285782379516323"/>
          <c:h val="0.5220904010197078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27</xdr:row>
      <xdr:rowOff>95250</xdr:rowOff>
    </xdr:from>
    <xdr:to>
      <xdr:col>21</xdr:col>
      <xdr:colOff>123825</xdr:colOff>
      <xdr:row>39</xdr:row>
      <xdr:rowOff>180975</xdr:rowOff>
    </xdr:to>
    <xdr:graphicFrame macro="">
      <xdr:nvGraphicFramePr>
        <xdr:cNvPr id="113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5"/>
  <sheetViews>
    <sheetView tabSelected="1" zoomScale="125" zoomScaleNormal="125" workbookViewId="0">
      <pane ySplit="2" topLeftCell="A3" activePane="bottomLeft" state="frozen"/>
      <selection pane="bottomLeft" activeCell="A6" sqref="A6"/>
    </sheetView>
  </sheetViews>
  <sheetFormatPr defaultColWidth="9.42578125" defaultRowHeight="15"/>
  <cols>
    <col min="1" max="1" width="15.140625" style="1" customWidth="1"/>
    <col min="2" max="2" width="23.7109375" style="1" customWidth="1"/>
    <col min="3" max="3" width="11.7109375" style="1" customWidth="1"/>
    <col min="4" max="11" width="14.28515625" style="1" customWidth="1"/>
    <col min="12" max="12" width="14.42578125" style="1" customWidth="1"/>
    <col min="13" max="13" width="15.42578125" style="1" customWidth="1"/>
    <col min="14" max="14" width="31.42578125" style="1" customWidth="1"/>
    <col min="15" max="15" width="18.85546875" style="1" customWidth="1"/>
    <col min="16" max="16" width="10" style="1" bestFit="1" customWidth="1"/>
    <col min="17" max="17" width="12.28515625" style="1" customWidth="1"/>
    <col min="18" max="18" width="11.85546875" style="1" bestFit="1" customWidth="1"/>
    <col min="19" max="21" width="11.42578125" style="1" bestFit="1" customWidth="1"/>
    <col min="22" max="16384" width="9.42578125" style="1"/>
  </cols>
  <sheetData>
    <row r="1" spans="1:25" s="2" customFormat="1" ht="23.25">
      <c r="A1" s="101" t="s">
        <v>46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25" ht="18.75">
      <c r="C2" s="10"/>
      <c r="D2" s="98">
        <v>41639</v>
      </c>
      <c r="E2" s="98">
        <v>42004</v>
      </c>
      <c r="F2" s="98">
        <v>42369</v>
      </c>
      <c r="G2" s="98">
        <v>42735</v>
      </c>
      <c r="H2" s="98">
        <v>43100</v>
      </c>
      <c r="I2" s="98">
        <v>43465</v>
      </c>
      <c r="J2" s="98">
        <v>43830</v>
      </c>
      <c r="K2" s="98">
        <v>44196</v>
      </c>
      <c r="L2" s="99"/>
      <c r="M2" s="99"/>
      <c r="N2" s="100" t="s">
        <v>55</v>
      </c>
      <c r="O2" s="49"/>
    </row>
    <row r="3" spans="1:25">
      <c r="A3" s="3" t="s">
        <v>0</v>
      </c>
    </row>
    <row r="4" spans="1:25" ht="15.75" thickBot="1">
      <c r="A4" s="1" t="s">
        <v>108</v>
      </c>
      <c r="D4" s="11" t="s">
        <v>91</v>
      </c>
      <c r="E4" s="11">
        <f t="shared" ref="E4:K4" si="0">D4*(1+$M$4)</f>
        <v>35350</v>
      </c>
      <c r="F4" s="11">
        <f t="shared" si="0"/>
        <v>35703.5</v>
      </c>
      <c r="G4" s="11">
        <f t="shared" si="0"/>
        <v>36060.535000000003</v>
      </c>
      <c r="H4" s="11">
        <f t="shared" si="0"/>
        <v>36421.140350000001</v>
      </c>
      <c r="I4" s="11">
        <f t="shared" si="0"/>
        <v>36785.351753499999</v>
      </c>
      <c r="J4" s="11">
        <f t="shared" si="0"/>
        <v>37153.205271034996</v>
      </c>
      <c r="K4" s="11">
        <f t="shared" si="0"/>
        <v>37524.737323745343</v>
      </c>
      <c r="L4" s="5"/>
      <c r="M4" s="4">
        <v>0.01</v>
      </c>
      <c r="N4" s="1" t="s">
        <v>1</v>
      </c>
    </row>
    <row r="5" spans="1:25" ht="20.25" thickBot="1">
      <c r="D5" s="5"/>
      <c r="E5" s="5"/>
      <c r="F5" s="5"/>
      <c r="G5" s="5"/>
      <c r="H5" s="5"/>
      <c r="I5" s="5"/>
      <c r="J5" s="5"/>
      <c r="K5" s="5"/>
      <c r="L5" s="5"/>
      <c r="M5" s="4"/>
      <c r="Q5" s="51" t="s">
        <v>117</v>
      </c>
      <c r="R5" s="52"/>
      <c r="S5" s="52"/>
      <c r="T5" s="52"/>
      <c r="U5" s="52"/>
      <c r="V5" s="52"/>
      <c r="W5" s="52"/>
      <c r="X5" s="52"/>
      <c r="Y5" s="53"/>
    </row>
    <row r="6" spans="1:25" ht="15.75" thickTop="1">
      <c r="A6" s="1" t="s">
        <v>109</v>
      </c>
      <c r="D6" s="6">
        <v>10</v>
      </c>
      <c r="E6" s="6">
        <v>10</v>
      </c>
      <c r="F6" s="6">
        <v>10</v>
      </c>
      <c r="G6" s="6">
        <v>11</v>
      </c>
      <c r="H6" s="6">
        <v>11</v>
      </c>
      <c r="I6" s="6">
        <v>11</v>
      </c>
      <c r="J6" s="6">
        <v>12</v>
      </c>
      <c r="K6" s="6">
        <v>12</v>
      </c>
      <c r="L6" s="6"/>
      <c r="M6" s="4"/>
      <c r="N6" s="1" t="s">
        <v>3</v>
      </c>
      <c r="Q6" s="29"/>
      <c r="R6" s="86" t="s">
        <v>37</v>
      </c>
      <c r="S6" s="86"/>
      <c r="T6" s="87"/>
      <c r="U6" s="19"/>
      <c r="V6" s="19"/>
      <c r="W6" s="19"/>
      <c r="X6" s="19"/>
      <c r="Y6" s="41"/>
    </row>
    <row r="7" spans="1:25">
      <c r="A7" s="1" t="s">
        <v>110</v>
      </c>
      <c r="D7" s="14">
        <f>D6/2.25</f>
        <v>4.4444444444444446</v>
      </c>
      <c r="E7" s="14">
        <f t="shared" ref="E7:K7" si="1">+D7*(1+$M$7)</f>
        <v>4.5777777777777784</v>
      </c>
      <c r="F7" s="14">
        <f t="shared" si="1"/>
        <v>4.7151111111111117</v>
      </c>
      <c r="G7" s="14">
        <f t="shared" si="1"/>
        <v>4.8565644444444453</v>
      </c>
      <c r="H7" s="14">
        <f t="shared" si="1"/>
        <v>5.0022613777777787</v>
      </c>
      <c r="I7" s="14">
        <f t="shared" si="1"/>
        <v>5.1523292191111123</v>
      </c>
      <c r="J7" s="14">
        <f t="shared" si="1"/>
        <v>5.3068990956844457</v>
      </c>
      <c r="K7" s="14">
        <f t="shared" si="1"/>
        <v>5.4661060685549794</v>
      </c>
      <c r="L7" s="6"/>
      <c r="M7" s="4">
        <v>0.03</v>
      </c>
      <c r="N7" s="1" t="s">
        <v>1</v>
      </c>
      <c r="Q7" s="29" t="s">
        <v>40</v>
      </c>
      <c r="R7" s="22">
        <f>D6</f>
        <v>10</v>
      </c>
      <c r="S7" s="22"/>
      <c r="T7" s="23"/>
      <c r="U7" s="19"/>
      <c r="V7" s="19"/>
      <c r="W7" s="19"/>
      <c r="X7" s="19"/>
      <c r="Y7" s="41"/>
    </row>
    <row r="8" spans="1:25" ht="15.75" thickBot="1">
      <c r="D8" s="6"/>
      <c r="E8" s="6"/>
      <c r="F8" s="6"/>
      <c r="G8" s="6"/>
      <c r="H8" s="6"/>
      <c r="I8" s="6"/>
      <c r="J8" s="6"/>
      <c r="K8" s="6"/>
      <c r="L8" s="6"/>
      <c r="M8" s="4"/>
      <c r="Q8" s="88" t="s">
        <v>41</v>
      </c>
      <c r="R8" s="18">
        <f>D7+Y15</f>
        <v>4.6208507936507939</v>
      </c>
      <c r="S8" s="22"/>
      <c r="T8" s="23"/>
      <c r="U8" s="19"/>
      <c r="V8" s="19"/>
      <c r="W8" s="19"/>
      <c r="X8" s="19"/>
      <c r="Y8" s="41"/>
    </row>
    <row r="9" spans="1:25" ht="15.75" thickTop="1">
      <c r="C9" s="4"/>
      <c r="D9" s="6"/>
      <c r="E9" s="6"/>
      <c r="F9" s="6"/>
      <c r="G9" s="6"/>
      <c r="H9" s="6"/>
      <c r="I9" s="6"/>
      <c r="J9" s="6"/>
      <c r="K9" s="6"/>
      <c r="L9" s="6"/>
      <c r="M9" s="4"/>
      <c r="Q9" s="73" t="s">
        <v>42</v>
      </c>
      <c r="R9" s="89">
        <f>R7-R8</f>
        <v>5.3791492063492061</v>
      </c>
      <c r="S9" s="22"/>
      <c r="T9" s="23"/>
      <c r="U9" s="19"/>
      <c r="V9" s="19"/>
      <c r="W9" s="19"/>
      <c r="X9" s="19"/>
      <c r="Y9" s="41"/>
    </row>
    <row r="10" spans="1:25">
      <c r="D10" s="6"/>
      <c r="E10" s="6"/>
      <c r="F10" s="6"/>
      <c r="G10" s="6"/>
      <c r="H10" s="6"/>
      <c r="I10" s="6"/>
      <c r="J10" s="6"/>
      <c r="K10" s="6"/>
      <c r="L10" s="6"/>
      <c r="Q10" s="29"/>
      <c r="R10" s="19"/>
      <c r="S10" s="19"/>
      <c r="T10" s="19"/>
      <c r="U10" s="19"/>
      <c r="V10" s="19"/>
      <c r="W10" s="19"/>
      <c r="X10" s="19"/>
      <c r="Y10" s="41"/>
    </row>
    <row r="11" spans="1:25">
      <c r="A11" s="3" t="s">
        <v>2</v>
      </c>
      <c r="Q11" s="90"/>
      <c r="R11" s="16" t="s">
        <v>43</v>
      </c>
      <c r="S11" s="16"/>
      <c r="T11" s="24" t="s">
        <v>63</v>
      </c>
      <c r="U11" s="19"/>
      <c r="V11" s="26" t="s">
        <v>64</v>
      </c>
      <c r="W11" s="26"/>
      <c r="X11" s="27" t="s">
        <v>63</v>
      </c>
      <c r="Y11" s="91" t="s">
        <v>65</v>
      </c>
    </row>
    <row r="12" spans="1:25">
      <c r="A12" s="1" t="s">
        <v>29</v>
      </c>
      <c r="D12" s="7">
        <v>52</v>
      </c>
      <c r="E12" s="7">
        <v>52</v>
      </c>
      <c r="F12" s="7">
        <v>52</v>
      </c>
      <c r="G12" s="7">
        <v>52</v>
      </c>
      <c r="H12" s="7">
        <v>52</v>
      </c>
      <c r="I12" s="7">
        <v>52</v>
      </c>
      <c r="J12" s="7">
        <v>52</v>
      </c>
      <c r="K12" s="7">
        <v>52</v>
      </c>
      <c r="M12" s="4"/>
      <c r="Q12" s="29" t="s">
        <v>6</v>
      </c>
      <c r="R12" s="19"/>
      <c r="S12" s="19"/>
      <c r="T12" s="74">
        <f>D25</f>
        <v>2000</v>
      </c>
      <c r="U12" s="19"/>
      <c r="V12" s="19" t="s">
        <v>54</v>
      </c>
      <c r="W12" s="19"/>
      <c r="X12" s="74">
        <f>D33</f>
        <v>500</v>
      </c>
      <c r="Y12" s="31">
        <f>X12/$D$4</f>
        <v>1.4285714285714285E-2</v>
      </c>
    </row>
    <row r="13" spans="1:25">
      <c r="A13" s="1" t="s">
        <v>34</v>
      </c>
      <c r="D13" s="7">
        <f t="shared" ref="D13:K13" si="2">360/D12</f>
        <v>6.9230769230769234</v>
      </c>
      <c r="E13" s="7">
        <f t="shared" si="2"/>
        <v>6.9230769230769234</v>
      </c>
      <c r="F13" s="7">
        <f t="shared" si="2"/>
        <v>6.9230769230769234</v>
      </c>
      <c r="G13" s="7">
        <f t="shared" si="2"/>
        <v>6.9230769230769234</v>
      </c>
      <c r="H13" s="7">
        <f t="shared" si="2"/>
        <v>6.9230769230769234</v>
      </c>
      <c r="I13" s="7">
        <f t="shared" si="2"/>
        <v>6.9230769230769234</v>
      </c>
      <c r="J13" s="7">
        <f t="shared" si="2"/>
        <v>6.9230769230769234</v>
      </c>
      <c r="K13" s="7">
        <f t="shared" si="2"/>
        <v>6.9230769230769234</v>
      </c>
      <c r="M13" s="4"/>
      <c r="Q13" s="29" t="s">
        <v>47</v>
      </c>
      <c r="R13" s="19"/>
      <c r="S13" s="19"/>
      <c r="T13" s="74">
        <f>D26</f>
        <v>21000</v>
      </c>
      <c r="U13" s="19"/>
      <c r="V13" s="19" t="s">
        <v>48</v>
      </c>
      <c r="W13" s="19"/>
      <c r="X13" s="74">
        <f>D27*0.2</f>
        <v>2952</v>
      </c>
      <c r="Y13" s="31">
        <f>X13/$D$4</f>
        <v>8.4342857142857136E-2</v>
      </c>
    </row>
    <row r="14" spans="1:25" ht="15.75" thickBot="1">
      <c r="A14" s="1" t="s">
        <v>93</v>
      </c>
      <c r="D14" s="1">
        <v>30</v>
      </c>
      <c r="E14" s="1">
        <v>30</v>
      </c>
      <c r="F14" s="1">
        <v>30</v>
      </c>
      <c r="G14" s="1">
        <v>30</v>
      </c>
      <c r="H14" s="1">
        <v>30</v>
      </c>
      <c r="I14" s="1">
        <v>30</v>
      </c>
      <c r="J14" s="1">
        <v>30</v>
      </c>
      <c r="K14" s="1">
        <v>30</v>
      </c>
      <c r="M14" s="4"/>
      <c r="Q14" s="29" t="s">
        <v>51</v>
      </c>
      <c r="R14" s="19"/>
      <c r="S14" s="19"/>
      <c r="T14" s="74">
        <f>D28</f>
        <v>92560</v>
      </c>
      <c r="U14" s="19"/>
      <c r="V14" s="15" t="s">
        <v>59</v>
      </c>
      <c r="W14" s="15"/>
      <c r="X14" s="28">
        <f>D32</f>
        <v>2722.2222222222226</v>
      </c>
      <c r="Y14" s="92">
        <f>X14/$D$4</f>
        <v>7.7777777777777793E-2</v>
      </c>
    </row>
    <row r="15" spans="1:25" ht="15.75" thickTop="1">
      <c r="Q15" s="29" t="s">
        <v>56</v>
      </c>
      <c r="R15" s="19"/>
      <c r="S15" s="19"/>
      <c r="T15" s="74">
        <f>D29</f>
        <v>48000</v>
      </c>
      <c r="U15" s="19"/>
      <c r="V15" s="19" t="s">
        <v>66</v>
      </c>
      <c r="W15" s="19"/>
      <c r="X15" s="74">
        <f>SUM(X12:X14)</f>
        <v>6174.2222222222226</v>
      </c>
      <c r="Y15" s="31">
        <f>SUM(Y12:Y14)</f>
        <v>0.17640634920634923</v>
      </c>
    </row>
    <row r="16" spans="1:25">
      <c r="Q16" s="29" t="s">
        <v>52</v>
      </c>
      <c r="R16" s="19"/>
      <c r="S16" s="19"/>
      <c r="T16" s="74">
        <f>D30</f>
        <v>4500</v>
      </c>
      <c r="U16" s="19"/>
      <c r="V16" s="19"/>
      <c r="W16" s="19"/>
      <c r="X16" s="19"/>
      <c r="Y16" s="41"/>
    </row>
    <row r="17" spans="1:25" ht="15.75" thickBot="1">
      <c r="Q17" s="29" t="s">
        <v>53</v>
      </c>
      <c r="R17" s="19"/>
      <c r="S17" s="19"/>
      <c r="T17" s="20">
        <f>D31</f>
        <v>350</v>
      </c>
      <c r="U17" s="19"/>
      <c r="V17" s="19"/>
      <c r="W17" s="19"/>
      <c r="X17" s="19"/>
      <c r="Y17" s="41"/>
    </row>
    <row r="18" spans="1:25" ht="20.25" thickBot="1">
      <c r="A18" s="51" t="s">
        <v>4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3"/>
      <c r="Q18" s="29" t="s">
        <v>50</v>
      </c>
      <c r="R18" s="19"/>
      <c r="S18" s="19"/>
      <c r="T18" s="93">
        <f>D34</f>
        <v>600</v>
      </c>
      <c r="U18" s="19"/>
      <c r="V18" s="19"/>
      <c r="W18" s="19"/>
      <c r="X18" s="19"/>
      <c r="Y18" s="41"/>
    </row>
    <row r="19" spans="1:25" ht="15.75" thickTop="1">
      <c r="A19" s="2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8"/>
      <c r="M19" s="19"/>
      <c r="N19" s="41"/>
      <c r="Q19" s="29" t="s">
        <v>61</v>
      </c>
      <c r="R19" s="19"/>
      <c r="S19" s="19"/>
      <c r="T19" s="93">
        <f>D39</f>
        <v>4333.333333333333</v>
      </c>
      <c r="U19" s="19"/>
      <c r="V19" s="19"/>
      <c r="W19" s="19"/>
      <c r="X19" s="19"/>
      <c r="Y19" s="41"/>
    </row>
    <row r="20" spans="1:25" ht="15.75" thickBot="1">
      <c r="A20" s="29" t="s">
        <v>92</v>
      </c>
      <c r="B20" s="19"/>
      <c r="C20" s="19"/>
      <c r="D20" s="8">
        <f t="shared" ref="D20:K20" si="3">D4*D6</f>
        <v>350000</v>
      </c>
      <c r="E20" s="8">
        <f t="shared" si="3"/>
        <v>353500</v>
      </c>
      <c r="F20" s="8">
        <f t="shared" si="3"/>
        <v>357035</v>
      </c>
      <c r="G20" s="8">
        <f t="shared" si="3"/>
        <v>396665.88500000001</v>
      </c>
      <c r="H20" s="8">
        <f t="shared" si="3"/>
        <v>400632.54385000002</v>
      </c>
      <c r="I20" s="8">
        <f t="shared" si="3"/>
        <v>404638.86928849999</v>
      </c>
      <c r="J20" s="8">
        <f t="shared" si="3"/>
        <v>445838.46325241996</v>
      </c>
      <c r="K20" s="8">
        <f t="shared" si="3"/>
        <v>450296.84788494412</v>
      </c>
      <c r="L20" s="8"/>
      <c r="M20" s="19"/>
      <c r="N20" s="41"/>
      <c r="Q20" s="88" t="s">
        <v>48</v>
      </c>
      <c r="R20" s="15"/>
      <c r="S20" s="15"/>
      <c r="T20" s="21">
        <f>D27*0.8</f>
        <v>11808</v>
      </c>
      <c r="U20" s="19"/>
      <c r="V20" s="19"/>
      <c r="W20" s="19"/>
      <c r="X20" s="19"/>
      <c r="Y20" s="41"/>
    </row>
    <row r="21" spans="1:25" ht="15.75" thickTop="1">
      <c r="A21" s="29" t="s">
        <v>38</v>
      </c>
      <c r="B21" s="19"/>
      <c r="C21" s="19"/>
      <c r="D21" s="64">
        <f t="shared" ref="D21:K21" si="4">(D4*D7)+(D5*D9)</f>
        <v>155555.55555555556</v>
      </c>
      <c r="E21" s="64">
        <f t="shared" si="4"/>
        <v>161824.44444444447</v>
      </c>
      <c r="F21" s="64">
        <f t="shared" si="4"/>
        <v>168345.96955555558</v>
      </c>
      <c r="G21" s="64">
        <f t="shared" si="4"/>
        <v>175130.31212864449</v>
      </c>
      <c r="H21" s="64">
        <f t="shared" si="4"/>
        <v>182188.06370742887</v>
      </c>
      <c r="I21" s="64">
        <f t="shared" si="4"/>
        <v>189530.24267483823</v>
      </c>
      <c r="J21" s="64">
        <f t="shared" si="4"/>
        <v>197168.31145463421</v>
      </c>
      <c r="K21" s="64">
        <f t="shared" si="4"/>
        <v>205114.19440625596</v>
      </c>
      <c r="L21" s="8"/>
      <c r="M21" s="19"/>
      <c r="N21" s="41"/>
      <c r="Q21" s="73" t="s">
        <v>62</v>
      </c>
      <c r="R21" s="94"/>
      <c r="S21" s="94"/>
      <c r="T21" s="95">
        <f>SUM(T12:T20)</f>
        <v>185151.33333333334</v>
      </c>
      <c r="U21" s="19"/>
      <c r="V21" s="19"/>
      <c r="W21" s="19"/>
      <c r="X21" s="19"/>
      <c r="Y21" s="41"/>
    </row>
    <row r="22" spans="1:25">
      <c r="A22" s="40" t="s">
        <v>39</v>
      </c>
      <c r="B22" s="19"/>
      <c r="C22" s="19"/>
      <c r="D22" s="8">
        <f>D20-D21</f>
        <v>194444.44444444444</v>
      </c>
      <c r="E22" s="8">
        <f t="shared" ref="E22:K22" si="5">E20-E21</f>
        <v>191675.55555555553</v>
      </c>
      <c r="F22" s="8">
        <f t="shared" si="5"/>
        <v>188689.03044444442</v>
      </c>
      <c r="G22" s="8">
        <f t="shared" si="5"/>
        <v>221535.57287135551</v>
      </c>
      <c r="H22" s="8">
        <f t="shared" si="5"/>
        <v>218444.48014257115</v>
      </c>
      <c r="I22" s="8">
        <f t="shared" si="5"/>
        <v>215108.62661366176</v>
      </c>
      <c r="J22" s="8">
        <f t="shared" si="5"/>
        <v>248670.15179778574</v>
      </c>
      <c r="K22" s="8">
        <f t="shared" si="5"/>
        <v>245182.65347868815</v>
      </c>
      <c r="L22" s="8"/>
      <c r="M22" s="19"/>
      <c r="N22" s="41"/>
      <c r="Q22" s="29"/>
      <c r="R22" s="19"/>
      <c r="S22" s="19"/>
      <c r="T22" s="93"/>
      <c r="U22" s="19"/>
      <c r="V22" s="19"/>
      <c r="W22" s="19"/>
      <c r="X22" s="19"/>
      <c r="Y22" s="41"/>
    </row>
    <row r="23" spans="1:25">
      <c r="A23" s="2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41"/>
      <c r="Q23" s="29"/>
      <c r="R23" s="19"/>
      <c r="S23" s="19"/>
      <c r="T23" s="19"/>
      <c r="U23" s="19"/>
      <c r="V23" s="19"/>
      <c r="W23" s="19"/>
      <c r="X23" s="19"/>
      <c r="Y23" s="41"/>
    </row>
    <row r="24" spans="1:25">
      <c r="A24" s="29" t="s">
        <v>5</v>
      </c>
      <c r="B24" s="19"/>
      <c r="C24" s="19"/>
      <c r="D24" s="8"/>
      <c r="E24" s="8"/>
      <c r="F24" s="8"/>
      <c r="G24" s="8"/>
      <c r="H24" s="8"/>
      <c r="I24" s="8"/>
      <c r="J24" s="8"/>
      <c r="K24" s="8"/>
      <c r="L24" s="8"/>
      <c r="M24" s="19"/>
      <c r="N24" s="41"/>
      <c r="Q24" s="96" t="s">
        <v>44</v>
      </c>
      <c r="R24" s="16"/>
      <c r="S24" s="16"/>
      <c r="T24" s="16"/>
      <c r="U24" s="19"/>
      <c r="V24" s="19"/>
      <c r="W24" s="19"/>
      <c r="X24" s="19"/>
      <c r="Y24" s="41"/>
    </row>
    <row r="25" spans="1:25">
      <c r="A25" s="29"/>
      <c r="B25" s="19" t="s">
        <v>6</v>
      </c>
      <c r="C25" s="19"/>
      <c r="D25" s="42">
        <v>2000</v>
      </c>
      <c r="E25" s="42">
        <f t="shared" ref="E25:K25" si="6">$M$25*(E20)</f>
        <v>2020</v>
      </c>
      <c r="F25" s="42">
        <f t="shared" si="6"/>
        <v>2040.2</v>
      </c>
      <c r="G25" s="42">
        <f t="shared" si="6"/>
        <v>2266.6622000000002</v>
      </c>
      <c r="H25" s="42">
        <f t="shared" si="6"/>
        <v>2289.3288219999999</v>
      </c>
      <c r="I25" s="42">
        <f t="shared" si="6"/>
        <v>2312.2221102200001</v>
      </c>
      <c r="J25" s="42">
        <f t="shared" si="6"/>
        <v>2547.6483614423996</v>
      </c>
      <c r="K25" s="42">
        <f t="shared" si="6"/>
        <v>2573.1248450568237</v>
      </c>
      <c r="L25" s="8"/>
      <c r="M25" s="43">
        <f>D25/($D$20)</f>
        <v>5.7142857142857143E-3</v>
      </c>
      <c r="N25" s="41" t="s">
        <v>7</v>
      </c>
      <c r="Q25" s="29" t="s">
        <v>45</v>
      </c>
      <c r="R25" s="19"/>
      <c r="S25" s="19"/>
      <c r="T25" s="97">
        <f>T21/R9</f>
        <v>34420.189184340241</v>
      </c>
      <c r="U25" s="19"/>
      <c r="V25" s="19"/>
      <c r="W25" s="19"/>
      <c r="X25" s="19"/>
      <c r="Y25" s="41"/>
    </row>
    <row r="26" spans="1:25" ht="15.75" thickBot="1">
      <c r="A26" s="29"/>
      <c r="B26" s="19" t="s">
        <v>47</v>
      </c>
      <c r="C26" s="19"/>
      <c r="D26" s="8">
        <v>21000</v>
      </c>
      <c r="E26" s="8">
        <f t="shared" ref="E26:K26" si="7">$M$26*E20</f>
        <v>21210</v>
      </c>
      <c r="F26" s="8">
        <f t="shared" si="7"/>
        <v>21422.1</v>
      </c>
      <c r="G26" s="8">
        <f t="shared" si="7"/>
        <v>23799.953099999999</v>
      </c>
      <c r="H26" s="8">
        <f t="shared" si="7"/>
        <v>24037.952631</v>
      </c>
      <c r="I26" s="8">
        <f t="shared" si="7"/>
        <v>24278.33215731</v>
      </c>
      <c r="J26" s="8">
        <f t="shared" si="7"/>
        <v>26750.307795145196</v>
      </c>
      <c r="K26" s="8">
        <f t="shared" si="7"/>
        <v>27017.810873096645</v>
      </c>
      <c r="L26" s="8"/>
      <c r="M26" s="43">
        <f>D26/D20</f>
        <v>0.06</v>
      </c>
      <c r="N26" s="41" t="s">
        <v>8</v>
      </c>
      <c r="Q26" s="32"/>
      <c r="R26" s="33"/>
      <c r="S26" s="33"/>
      <c r="T26" s="33"/>
      <c r="U26" s="33"/>
      <c r="V26" s="19"/>
      <c r="W26" s="19"/>
      <c r="X26" s="19"/>
      <c r="Y26" s="41"/>
    </row>
    <row r="27" spans="1:25" ht="15.75" thickBot="1">
      <c r="A27" s="29"/>
      <c r="B27" s="19" t="s">
        <v>48</v>
      </c>
      <c r="C27" s="19"/>
      <c r="D27" s="8">
        <f>1230*12</f>
        <v>14760</v>
      </c>
      <c r="E27" s="8">
        <f>D27*(1+$M27)</f>
        <v>15202.800000000001</v>
      </c>
      <c r="F27" s="8">
        <f t="shared" ref="F27:K27" si="8">E27*(1+$M$27)</f>
        <v>15658.884000000002</v>
      </c>
      <c r="G27" s="8">
        <f t="shared" si="8"/>
        <v>16128.650520000003</v>
      </c>
      <c r="H27" s="8">
        <f t="shared" si="8"/>
        <v>16612.510035600004</v>
      </c>
      <c r="I27" s="8">
        <f t="shared" si="8"/>
        <v>17110.885336668005</v>
      </c>
      <c r="J27" s="8">
        <f t="shared" si="8"/>
        <v>17624.211896768047</v>
      </c>
      <c r="K27" s="8">
        <f t="shared" si="8"/>
        <v>18152.938253671087</v>
      </c>
      <c r="L27" s="8"/>
      <c r="M27" s="43">
        <v>0.03</v>
      </c>
      <c r="N27" s="41" t="s">
        <v>49</v>
      </c>
      <c r="V27" s="33"/>
      <c r="W27" s="33"/>
      <c r="X27" s="33"/>
      <c r="Y27" s="34"/>
    </row>
    <row r="28" spans="1:25">
      <c r="A28" s="29"/>
      <c r="B28" s="19" t="s">
        <v>51</v>
      </c>
      <c r="C28" s="19"/>
      <c r="D28" s="8">
        <f>E101</f>
        <v>92560</v>
      </c>
      <c r="E28" s="8">
        <f>D28*(1+$M28)</f>
        <v>93948.4</v>
      </c>
      <c r="F28" s="8">
        <f t="shared" ref="F28:K31" si="9">E28*(1+$M28)</f>
        <v>95357.625999999989</v>
      </c>
      <c r="G28" s="8">
        <f t="shared" si="9"/>
        <v>96787.990389999977</v>
      </c>
      <c r="H28" s="8">
        <f t="shared" si="9"/>
        <v>98239.810245849963</v>
      </c>
      <c r="I28" s="8">
        <f t="shared" si="9"/>
        <v>99713.407399537697</v>
      </c>
      <c r="J28" s="8">
        <f t="shared" si="9"/>
        <v>101209.10851053076</v>
      </c>
      <c r="K28" s="8">
        <f t="shared" si="9"/>
        <v>102727.24513818871</v>
      </c>
      <c r="L28" s="8"/>
      <c r="M28" s="43">
        <v>1.4999999999999999E-2</v>
      </c>
      <c r="N28" s="41" t="s">
        <v>49</v>
      </c>
    </row>
    <row r="29" spans="1:25">
      <c r="A29" s="29"/>
      <c r="B29" s="19" t="s">
        <v>56</v>
      </c>
      <c r="C29" s="19"/>
      <c r="D29" s="8">
        <v>48000</v>
      </c>
      <c r="E29" s="8">
        <f>D29*(1+$M29)</f>
        <v>49440</v>
      </c>
      <c r="F29" s="8">
        <f t="shared" si="9"/>
        <v>50923.200000000004</v>
      </c>
      <c r="G29" s="8">
        <f t="shared" si="9"/>
        <v>52450.896000000008</v>
      </c>
      <c r="H29" s="8">
        <f t="shared" si="9"/>
        <v>54024.422880000013</v>
      </c>
      <c r="I29" s="8">
        <f t="shared" si="9"/>
        <v>55645.155566400012</v>
      </c>
      <c r="J29" s="8">
        <f t="shared" si="9"/>
        <v>57314.510233392015</v>
      </c>
      <c r="K29" s="8">
        <f t="shared" si="9"/>
        <v>59033.945540393775</v>
      </c>
      <c r="L29" s="8"/>
      <c r="M29" s="43">
        <v>0.03</v>
      </c>
      <c r="N29" s="41" t="s">
        <v>49</v>
      </c>
      <c r="Q29" s="19"/>
      <c r="R29" s="85"/>
      <c r="S29" s="85"/>
      <c r="T29" s="85"/>
      <c r="U29" s="85"/>
    </row>
    <row r="30" spans="1:25">
      <c r="A30" s="29"/>
      <c r="B30" s="19" t="s">
        <v>52</v>
      </c>
      <c r="C30" s="19"/>
      <c r="D30" s="8">
        <f>375*12</f>
        <v>4500</v>
      </c>
      <c r="E30" s="8">
        <f>D30*(1+$M30)</f>
        <v>4635</v>
      </c>
      <c r="F30" s="8">
        <f t="shared" si="9"/>
        <v>4774.05</v>
      </c>
      <c r="G30" s="8">
        <f t="shared" si="9"/>
        <v>4917.2715000000007</v>
      </c>
      <c r="H30" s="8">
        <f t="shared" si="9"/>
        <v>5064.7896450000007</v>
      </c>
      <c r="I30" s="8">
        <f t="shared" si="9"/>
        <v>5216.7333343500013</v>
      </c>
      <c r="J30" s="8">
        <f t="shared" si="9"/>
        <v>5373.2353343805016</v>
      </c>
      <c r="K30" s="8">
        <f t="shared" si="9"/>
        <v>5534.4323944119169</v>
      </c>
      <c r="L30" s="8"/>
      <c r="M30" s="43">
        <v>0.03</v>
      </c>
      <c r="N30" s="41" t="s">
        <v>49</v>
      </c>
      <c r="Q30" s="19"/>
      <c r="R30" s="30"/>
      <c r="S30" s="30"/>
      <c r="T30" s="30"/>
      <c r="U30" s="30"/>
    </row>
    <row r="31" spans="1:25">
      <c r="A31" s="29"/>
      <c r="B31" s="19" t="s">
        <v>53</v>
      </c>
      <c r="C31" s="19"/>
      <c r="D31" s="8">
        <v>350</v>
      </c>
      <c r="E31" s="8">
        <f>D31*(1+$M31)</f>
        <v>360.5</v>
      </c>
      <c r="F31" s="8">
        <f t="shared" si="9"/>
        <v>371.315</v>
      </c>
      <c r="G31" s="8">
        <f t="shared" si="9"/>
        <v>382.45445000000001</v>
      </c>
      <c r="H31" s="8">
        <f t="shared" si="9"/>
        <v>393.92808350000001</v>
      </c>
      <c r="I31" s="8">
        <f t="shared" si="9"/>
        <v>405.745926005</v>
      </c>
      <c r="J31" s="8">
        <f t="shared" si="9"/>
        <v>417.91830378514999</v>
      </c>
      <c r="K31" s="8">
        <f t="shared" si="9"/>
        <v>430.45585289870451</v>
      </c>
      <c r="L31" s="8"/>
      <c r="M31" s="43">
        <v>0.03</v>
      </c>
      <c r="N31" s="41" t="s">
        <v>49</v>
      </c>
      <c r="O31" s="39"/>
      <c r="Q31" s="19"/>
      <c r="R31" s="30"/>
      <c r="S31" s="30"/>
      <c r="T31" s="30"/>
      <c r="U31" s="30"/>
    </row>
    <row r="32" spans="1:25">
      <c r="A32" s="29"/>
      <c r="B32" s="19" t="s">
        <v>59</v>
      </c>
      <c r="C32" s="19"/>
      <c r="D32" s="8">
        <f>$M$32*D21</f>
        <v>2722.2222222222226</v>
      </c>
      <c r="E32" s="134">
        <f>($M$32-0.1%)*E21</f>
        <v>2670.1033333333339</v>
      </c>
      <c r="F32" s="134">
        <f>($M$32-0.2%)*F21</f>
        <v>2609.3625281111117</v>
      </c>
      <c r="G32" s="134">
        <f>($M$32-0.3%)*G21</f>
        <v>2539.3895258653456</v>
      </c>
      <c r="H32" s="134">
        <f>($M$32-0.4%)*H21</f>
        <v>2459.5388600502902</v>
      </c>
      <c r="I32" s="134">
        <f>($M$32-0.5%)*I21</f>
        <v>2369.1280334354778</v>
      </c>
      <c r="J32" s="134">
        <f>($M$32-0.6%)*J21</f>
        <v>2267.4355817282935</v>
      </c>
      <c r="K32" s="134">
        <f>($M$32-0.7%)*K21</f>
        <v>2153.6990412656883</v>
      </c>
      <c r="L32" s="8"/>
      <c r="M32" s="43">
        <v>1.7500000000000002E-2</v>
      </c>
      <c r="N32" s="41" t="s">
        <v>60</v>
      </c>
      <c r="Q32" s="19"/>
      <c r="R32" s="30"/>
      <c r="S32" s="30"/>
      <c r="T32" s="30"/>
      <c r="U32" s="30"/>
    </row>
    <row r="33" spans="1:21">
      <c r="A33" s="29"/>
      <c r="B33" s="19" t="s">
        <v>54</v>
      </c>
      <c r="C33" s="19"/>
      <c r="D33" s="8">
        <v>500</v>
      </c>
      <c r="E33" s="8">
        <f t="shared" ref="E33:K33" si="10">D33*(1+$M33)</f>
        <v>515</v>
      </c>
      <c r="F33" s="8">
        <f t="shared" si="10"/>
        <v>530.45000000000005</v>
      </c>
      <c r="G33" s="8">
        <f t="shared" si="10"/>
        <v>546.36350000000004</v>
      </c>
      <c r="H33" s="8">
        <f t="shared" si="10"/>
        <v>562.75440500000002</v>
      </c>
      <c r="I33" s="8">
        <f t="shared" si="10"/>
        <v>579.63703715000008</v>
      </c>
      <c r="J33" s="8">
        <f t="shared" si="10"/>
        <v>597.02614826450008</v>
      </c>
      <c r="K33" s="8">
        <f t="shared" si="10"/>
        <v>614.93693271243512</v>
      </c>
      <c r="L33" s="8"/>
      <c r="M33" s="43">
        <v>0.03</v>
      </c>
      <c r="N33" s="41" t="s">
        <v>49</v>
      </c>
      <c r="Q33" s="19"/>
      <c r="R33" s="30"/>
      <c r="S33" s="30"/>
      <c r="T33" s="30"/>
      <c r="U33" s="30"/>
    </row>
    <row r="34" spans="1:21">
      <c r="A34" s="29"/>
      <c r="B34" s="19" t="s">
        <v>50</v>
      </c>
      <c r="C34" s="19"/>
      <c r="D34" s="64">
        <v>600</v>
      </c>
      <c r="E34" s="64">
        <f t="shared" ref="E34:K34" si="11">D34*(1+$M$34)</f>
        <v>618</v>
      </c>
      <c r="F34" s="64">
        <f t="shared" si="11"/>
        <v>636.54</v>
      </c>
      <c r="G34" s="64">
        <f t="shared" si="11"/>
        <v>655.63620000000003</v>
      </c>
      <c r="H34" s="64">
        <f t="shared" si="11"/>
        <v>675.30528600000002</v>
      </c>
      <c r="I34" s="64">
        <f t="shared" si="11"/>
        <v>695.56444457999999</v>
      </c>
      <c r="J34" s="64">
        <f t="shared" si="11"/>
        <v>716.43137791740003</v>
      </c>
      <c r="K34" s="64">
        <f t="shared" si="11"/>
        <v>737.92431925492201</v>
      </c>
      <c r="L34" s="8"/>
      <c r="M34" s="43">
        <v>0.03</v>
      </c>
      <c r="N34" s="41" t="s">
        <v>1</v>
      </c>
      <c r="Q34" s="19"/>
      <c r="R34" s="30"/>
      <c r="S34" s="30"/>
      <c r="T34" s="30"/>
      <c r="U34" s="30"/>
    </row>
    <row r="35" spans="1:21">
      <c r="A35" s="29"/>
      <c r="B35" s="44" t="s">
        <v>9</v>
      </c>
      <c r="C35" s="19"/>
      <c r="D35" s="8">
        <f t="shared" ref="D35:K35" si="12">SUM(D25:D34)</f>
        <v>186992.22222222222</v>
      </c>
      <c r="E35" s="8">
        <f t="shared" si="12"/>
        <v>190619.80333333334</v>
      </c>
      <c r="F35" s="8">
        <f t="shared" si="12"/>
        <v>194323.72752811114</v>
      </c>
      <c r="G35" s="8">
        <f t="shared" si="12"/>
        <v>200475.26738586533</v>
      </c>
      <c r="H35" s="8">
        <f t="shared" si="12"/>
        <v>204360.34089400031</v>
      </c>
      <c r="I35" s="8">
        <f t="shared" si="12"/>
        <v>208326.8113456562</v>
      </c>
      <c r="J35" s="8">
        <f t="shared" si="12"/>
        <v>214817.83354335427</v>
      </c>
      <c r="K35" s="8">
        <f t="shared" si="12"/>
        <v>218976.51319095073</v>
      </c>
      <c r="L35" s="8"/>
      <c r="M35" s="19"/>
      <c r="N35" s="41"/>
      <c r="Q35" s="19"/>
      <c r="R35" s="19"/>
      <c r="S35" s="19"/>
      <c r="T35" s="19"/>
      <c r="U35" s="19"/>
    </row>
    <row r="36" spans="1:21">
      <c r="A36" s="29"/>
      <c r="B36" s="19"/>
      <c r="C36" s="19"/>
      <c r="D36" s="8"/>
      <c r="E36" s="8"/>
      <c r="F36" s="8"/>
      <c r="G36" s="8"/>
      <c r="H36" s="8"/>
      <c r="I36" s="8"/>
      <c r="J36" s="8"/>
      <c r="K36" s="8"/>
      <c r="L36" s="8"/>
      <c r="M36" s="19"/>
      <c r="N36" s="41"/>
      <c r="Q36" s="19"/>
      <c r="R36" s="30"/>
      <c r="S36" s="30"/>
      <c r="T36" s="30"/>
      <c r="U36" s="30"/>
    </row>
    <row r="37" spans="1:21">
      <c r="A37" s="45" t="s">
        <v>10</v>
      </c>
      <c r="B37" s="19"/>
      <c r="C37" s="19"/>
      <c r="D37" s="8">
        <f t="shared" ref="D37:K37" si="13">(D20)-D21-D35</f>
        <v>7452.222222222219</v>
      </c>
      <c r="E37" s="8">
        <f t="shared" si="13"/>
        <v>1055.7522222221887</v>
      </c>
      <c r="F37" s="8">
        <f t="shared" si="13"/>
        <v>-5634.6970836667169</v>
      </c>
      <c r="G37" s="8">
        <f t="shared" si="13"/>
        <v>21060.305485490186</v>
      </c>
      <c r="H37" s="8">
        <f t="shared" si="13"/>
        <v>14084.139248570835</v>
      </c>
      <c r="I37" s="8">
        <f t="shared" si="13"/>
        <v>6781.8152680055646</v>
      </c>
      <c r="J37" s="8">
        <f t="shared" si="13"/>
        <v>33852.318254431477</v>
      </c>
      <c r="K37" s="8">
        <f t="shared" si="13"/>
        <v>26206.14028773742</v>
      </c>
      <c r="L37" s="8"/>
      <c r="M37" s="19"/>
      <c r="N37" s="41"/>
      <c r="R37" s="25"/>
      <c r="S37" s="25"/>
      <c r="T37" s="25"/>
      <c r="U37" s="25"/>
    </row>
    <row r="38" spans="1:21">
      <c r="A38" s="29"/>
      <c r="B38" s="19"/>
      <c r="C38" s="19"/>
      <c r="D38" s="8"/>
      <c r="E38" s="8"/>
      <c r="F38" s="8"/>
      <c r="G38" s="8"/>
      <c r="H38" s="8"/>
      <c r="I38" s="8"/>
      <c r="J38" s="8"/>
      <c r="K38" s="8"/>
      <c r="L38" s="8"/>
      <c r="M38" s="19"/>
      <c r="N38" s="41"/>
      <c r="R38" s="25"/>
      <c r="S38" s="25"/>
      <c r="T38" s="25"/>
      <c r="U38" s="25"/>
    </row>
    <row r="39" spans="1:21">
      <c r="A39" s="29" t="s">
        <v>31</v>
      </c>
      <c r="B39" s="19"/>
      <c r="C39" s="19"/>
      <c r="D39" s="8">
        <f t="shared" ref="D39:K39" si="14">+D59/$M$59</f>
        <v>4333.333333333333</v>
      </c>
      <c r="E39" s="8">
        <f t="shared" si="14"/>
        <v>4333.333333333333</v>
      </c>
      <c r="F39" s="8">
        <f t="shared" si="14"/>
        <v>4333.333333333333</v>
      </c>
      <c r="G39" s="8">
        <f t="shared" si="14"/>
        <v>4333.333333333333</v>
      </c>
      <c r="H39" s="8">
        <f t="shared" si="14"/>
        <v>4333.333333333333</v>
      </c>
      <c r="I39" s="8">
        <f t="shared" si="14"/>
        <v>4333.333333333333</v>
      </c>
      <c r="J39" s="8">
        <f t="shared" si="14"/>
        <v>4333.333333333333</v>
      </c>
      <c r="K39" s="8">
        <f t="shared" si="14"/>
        <v>4333.333333333333</v>
      </c>
      <c r="L39" s="8"/>
      <c r="M39" s="19"/>
      <c r="N39" s="41"/>
    </row>
    <row r="40" spans="1:21">
      <c r="A40" s="29" t="s">
        <v>193</v>
      </c>
      <c r="B40" s="19"/>
      <c r="C40" s="19"/>
      <c r="D40" s="8">
        <f>Mortgage!E16</f>
        <v>6411.303845067644</v>
      </c>
      <c r="E40" s="8">
        <f>Mortgage!E17</f>
        <v>6204.9545913088623</v>
      </c>
      <c r="F40" s="8">
        <f>Mortgage!E18</f>
        <v>5976.9978742247749</v>
      </c>
      <c r="G40" s="8">
        <f>Mortgage!E19</f>
        <v>5725.1711100509656</v>
      </c>
      <c r="H40" s="8">
        <f>Mortgage!E20</f>
        <v>5446.9747929367013</v>
      </c>
      <c r="I40" s="8">
        <f>Mortgage!E21</f>
        <v>5139.6476861065294</v>
      </c>
      <c r="J40" s="8">
        <f>Mortgage!E22</f>
        <v>4800.1394152123112</v>
      </c>
      <c r="K40" s="8">
        <f>Mortgage!E23</f>
        <v>4425.0801918510679</v>
      </c>
      <c r="L40" s="8"/>
      <c r="M40" s="19"/>
      <c r="N40" s="41" t="s">
        <v>3</v>
      </c>
    </row>
    <row r="41" spans="1:21">
      <c r="A41" s="29" t="s">
        <v>36</v>
      </c>
      <c r="B41" s="19"/>
      <c r="C41" s="19"/>
      <c r="D41" s="8">
        <v>0</v>
      </c>
      <c r="E41" s="8">
        <v>0</v>
      </c>
      <c r="F41" s="8">
        <v>0</v>
      </c>
      <c r="G41" s="8">
        <f>+G69*$M$41</f>
        <v>0</v>
      </c>
      <c r="H41" s="8">
        <v>0</v>
      </c>
      <c r="I41" s="8">
        <v>0</v>
      </c>
      <c r="J41" s="8">
        <v>0</v>
      </c>
      <c r="K41" s="8">
        <v>0</v>
      </c>
      <c r="L41" s="8"/>
      <c r="M41" s="43">
        <v>0.1</v>
      </c>
      <c r="N41" s="41" t="s">
        <v>11</v>
      </c>
    </row>
    <row r="42" spans="1:21">
      <c r="A42" s="29"/>
      <c r="B42" s="19"/>
      <c r="C42" s="19"/>
      <c r="D42" s="8"/>
      <c r="E42" s="8"/>
      <c r="F42" s="8"/>
      <c r="G42" s="8"/>
      <c r="H42" s="8"/>
      <c r="I42" s="8"/>
      <c r="J42" s="8"/>
      <c r="K42" s="8"/>
      <c r="L42" s="8"/>
      <c r="M42" s="19"/>
      <c r="N42" s="41"/>
    </row>
    <row r="43" spans="1:21">
      <c r="A43" s="29" t="s">
        <v>12</v>
      </c>
      <c r="B43" s="19"/>
      <c r="C43" s="19"/>
      <c r="D43" s="8">
        <f t="shared" ref="D43:K43" si="15">+D37-D39-D40-D41</f>
        <v>-3292.4149561787581</v>
      </c>
      <c r="E43" s="8">
        <f t="shared" si="15"/>
        <v>-9482.5357024200057</v>
      </c>
      <c r="F43" s="8">
        <f t="shared" si="15"/>
        <v>-15945.028291224824</v>
      </c>
      <c r="G43" s="8">
        <f t="shared" si="15"/>
        <v>11001.801042105888</v>
      </c>
      <c r="H43" s="8">
        <f t="shared" si="15"/>
        <v>4303.8311223008013</v>
      </c>
      <c r="I43" s="8">
        <f t="shared" si="15"/>
        <v>-2691.1657514342978</v>
      </c>
      <c r="J43" s="8">
        <f t="shared" si="15"/>
        <v>24718.845505885834</v>
      </c>
      <c r="K43" s="8">
        <f t="shared" si="15"/>
        <v>17447.726762553022</v>
      </c>
      <c r="L43" s="8"/>
      <c r="M43" s="19"/>
      <c r="N43" s="41"/>
      <c r="R43" s="25"/>
      <c r="S43" s="25"/>
      <c r="T43" s="25"/>
      <c r="U43" s="25"/>
    </row>
    <row r="44" spans="1:21" ht="15.75" thickBot="1">
      <c r="A44" s="29" t="s">
        <v>13</v>
      </c>
      <c r="B44" s="19"/>
      <c r="C44" s="19"/>
      <c r="D44" s="13">
        <f t="shared" ref="D44:K44" si="16">IF(D43&lt;0,0,D43*$M$44)</f>
        <v>0</v>
      </c>
      <c r="E44" s="13">
        <f t="shared" si="16"/>
        <v>0</v>
      </c>
      <c r="F44" s="13">
        <f t="shared" si="16"/>
        <v>0</v>
      </c>
      <c r="G44" s="13">
        <f t="shared" si="16"/>
        <v>3520.576333473884</v>
      </c>
      <c r="H44" s="13">
        <f t="shared" si="16"/>
        <v>1377.2259591362565</v>
      </c>
      <c r="I44" s="13">
        <f t="shared" si="16"/>
        <v>0</v>
      </c>
      <c r="J44" s="13">
        <f t="shared" si="16"/>
        <v>7910.0305618834673</v>
      </c>
      <c r="K44" s="13">
        <f t="shared" si="16"/>
        <v>5583.2725640169674</v>
      </c>
      <c r="L44" s="8"/>
      <c r="M44" s="43">
        <v>0.32</v>
      </c>
      <c r="N44" s="41" t="s">
        <v>14</v>
      </c>
    </row>
    <row r="45" spans="1:21" ht="16.5" thickTop="1" thickBot="1">
      <c r="A45" s="46" t="s">
        <v>15</v>
      </c>
      <c r="B45" s="33"/>
      <c r="C45" s="33"/>
      <c r="D45" s="47">
        <f t="shared" ref="D45:K45" si="17">D43-D44</f>
        <v>-3292.4149561787581</v>
      </c>
      <c r="E45" s="47">
        <f t="shared" si="17"/>
        <v>-9482.5357024200057</v>
      </c>
      <c r="F45" s="47">
        <f t="shared" si="17"/>
        <v>-15945.028291224824</v>
      </c>
      <c r="G45" s="47">
        <f t="shared" si="17"/>
        <v>7481.224708632004</v>
      </c>
      <c r="H45" s="47">
        <f t="shared" si="17"/>
        <v>2926.605163164545</v>
      </c>
      <c r="I45" s="47">
        <f t="shared" si="17"/>
        <v>-2691.1657514342978</v>
      </c>
      <c r="J45" s="47">
        <f t="shared" si="17"/>
        <v>16808.814944002366</v>
      </c>
      <c r="K45" s="47">
        <f t="shared" si="17"/>
        <v>11864.454198536056</v>
      </c>
      <c r="L45" s="48"/>
      <c r="M45" s="33"/>
      <c r="N45" s="34"/>
    </row>
    <row r="50" spans="1:14">
      <c r="A50" s="3"/>
      <c r="D50" s="8"/>
      <c r="E50" s="8"/>
      <c r="F50" s="8"/>
      <c r="G50" s="8"/>
      <c r="H50" s="8"/>
      <c r="I50" s="8"/>
      <c r="J50" s="8"/>
      <c r="K50" s="8"/>
      <c r="L50" s="8"/>
    </row>
    <row r="51" spans="1:14" ht="15.75" thickBot="1"/>
    <row r="52" spans="1:14" ht="20.25" thickBot="1">
      <c r="A52" s="51" t="s">
        <v>16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3"/>
    </row>
    <row r="53" spans="1:14" ht="15.75" thickTop="1">
      <c r="A53" s="73" t="s">
        <v>17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41"/>
    </row>
    <row r="54" spans="1:14">
      <c r="A54" s="29" t="s">
        <v>195</v>
      </c>
      <c r="B54" s="19"/>
      <c r="C54" s="19"/>
      <c r="D54" s="8">
        <f>17033.3333333333-D55</f>
        <v>12033.333333333299</v>
      </c>
      <c r="E54" s="8">
        <f>30477.1331412875-15967+900-5000</f>
        <v>10410.133141287501</v>
      </c>
      <c r="F54" s="17">
        <f>11293.577508547-5000</f>
        <v>6293.5775085469995</v>
      </c>
      <c r="G54" s="8">
        <f>40352.4427154748-5000</f>
        <v>35352.442715474797</v>
      </c>
      <c r="H54" s="8">
        <f>35505.0500569084-5000</f>
        <v>30505.050056908403</v>
      </c>
      <c r="I54" s="8">
        <f>30072.1876408685-5000</f>
        <v>25072.187640868498</v>
      </c>
      <c r="J54" s="8">
        <f>58722.6350361288-5000</f>
        <v>53722.635036128799</v>
      </c>
      <c r="K54" s="8">
        <f>52337.1629280848-5000</f>
        <v>47337.162928084799</v>
      </c>
      <c r="L54" s="8"/>
      <c r="M54" s="19"/>
      <c r="N54" s="41"/>
    </row>
    <row r="55" spans="1:14">
      <c r="A55" s="29" t="s">
        <v>194</v>
      </c>
      <c r="B55" s="19"/>
      <c r="C55" s="19"/>
      <c r="D55" s="8">
        <v>5000</v>
      </c>
      <c r="E55" s="8">
        <v>5000</v>
      </c>
      <c r="F55" s="8">
        <v>5000</v>
      </c>
      <c r="G55" s="8">
        <v>5000</v>
      </c>
      <c r="H55" s="8">
        <v>5000</v>
      </c>
      <c r="I55" s="8">
        <v>5000</v>
      </c>
      <c r="J55" s="8">
        <v>5000</v>
      </c>
      <c r="K55" s="8">
        <v>5000</v>
      </c>
      <c r="L55" s="8"/>
      <c r="M55" s="42"/>
      <c r="N55" s="41"/>
    </row>
    <row r="56" spans="1:14">
      <c r="A56" s="29" t="s">
        <v>18</v>
      </c>
      <c r="B56" s="19"/>
      <c r="C56" s="19"/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  <c r="L56" s="19"/>
      <c r="M56" s="19"/>
      <c r="N56" s="41"/>
    </row>
    <row r="57" spans="1:14">
      <c r="A57" s="29" t="s">
        <v>19</v>
      </c>
      <c r="B57" s="19"/>
      <c r="C57" s="19"/>
      <c r="D57" s="42">
        <f>5000</f>
        <v>5000</v>
      </c>
      <c r="E57" s="42">
        <f t="shared" ref="E57:K57" si="18">E21/E12</f>
        <v>3112.0085470085473</v>
      </c>
      <c r="F57" s="42">
        <f t="shared" si="18"/>
        <v>3237.4224914529918</v>
      </c>
      <c r="G57" s="42">
        <f t="shared" si="18"/>
        <v>3367.890617858548</v>
      </c>
      <c r="H57" s="42">
        <f t="shared" si="18"/>
        <v>3503.6166097582473</v>
      </c>
      <c r="I57" s="42">
        <f t="shared" si="18"/>
        <v>3644.8123591315043</v>
      </c>
      <c r="J57" s="42">
        <f t="shared" si="18"/>
        <v>3791.6982972045039</v>
      </c>
      <c r="K57" s="42">
        <f t="shared" si="18"/>
        <v>3944.5037385818455</v>
      </c>
      <c r="L57" s="19"/>
      <c r="M57" s="19"/>
      <c r="N57" s="41"/>
    </row>
    <row r="58" spans="1:14">
      <c r="A58" s="29"/>
      <c r="B58" s="19"/>
      <c r="C58" s="19"/>
      <c r="D58" s="42"/>
      <c r="E58" s="42"/>
      <c r="F58" s="42"/>
      <c r="G58" s="42"/>
      <c r="H58" s="42"/>
      <c r="I58" s="42"/>
      <c r="J58" s="42"/>
      <c r="K58" s="42"/>
      <c r="L58" s="19"/>
      <c r="M58" s="19"/>
      <c r="N58" s="41"/>
    </row>
    <row r="59" spans="1:14">
      <c r="A59" s="29" t="s">
        <v>107</v>
      </c>
      <c r="B59" s="19"/>
      <c r="C59" s="19"/>
      <c r="D59" s="8">
        <v>65000</v>
      </c>
      <c r="E59" s="8">
        <v>65000</v>
      </c>
      <c r="F59" s="8">
        <v>65000</v>
      </c>
      <c r="G59" s="8">
        <v>65000</v>
      </c>
      <c r="H59" s="8">
        <v>65000</v>
      </c>
      <c r="I59" s="8">
        <v>65000</v>
      </c>
      <c r="J59" s="8">
        <v>65000</v>
      </c>
      <c r="K59" s="8">
        <v>65000</v>
      </c>
      <c r="L59" s="8"/>
      <c r="M59" s="19">
        <v>15</v>
      </c>
      <c r="N59" s="41" t="s">
        <v>30</v>
      </c>
    </row>
    <row r="60" spans="1:14">
      <c r="A60" s="29" t="s">
        <v>20</v>
      </c>
      <c r="B60" s="19"/>
      <c r="C60" s="19"/>
      <c r="D60" s="8">
        <f t="shared" ref="D60:K60" si="19">C60+D39</f>
        <v>4333.333333333333</v>
      </c>
      <c r="E60" s="8">
        <f t="shared" si="19"/>
        <v>8666.6666666666661</v>
      </c>
      <c r="F60" s="8">
        <f t="shared" si="19"/>
        <v>13000</v>
      </c>
      <c r="G60" s="8">
        <f t="shared" si="19"/>
        <v>17333.333333333332</v>
      </c>
      <c r="H60" s="8">
        <f t="shared" si="19"/>
        <v>21666.666666666664</v>
      </c>
      <c r="I60" s="8">
        <f t="shared" si="19"/>
        <v>25999.999999999996</v>
      </c>
      <c r="J60" s="8">
        <f t="shared" si="19"/>
        <v>30333.333333333328</v>
      </c>
      <c r="K60" s="8">
        <f t="shared" si="19"/>
        <v>34666.666666666664</v>
      </c>
      <c r="L60" s="8"/>
      <c r="M60" s="19"/>
      <c r="N60" s="41"/>
    </row>
    <row r="61" spans="1:14">
      <c r="A61" s="29"/>
      <c r="B61" s="19"/>
      <c r="C61" s="19"/>
      <c r="D61" s="50"/>
      <c r="E61" s="50"/>
      <c r="F61" s="50"/>
      <c r="G61" s="50"/>
      <c r="H61" s="50"/>
      <c r="I61" s="50"/>
      <c r="J61" s="50"/>
      <c r="K61" s="50"/>
      <c r="L61" s="19"/>
      <c r="M61" s="19"/>
      <c r="N61" s="41"/>
    </row>
    <row r="62" spans="1:14">
      <c r="A62" s="73" t="s">
        <v>21</v>
      </c>
      <c r="B62" s="19"/>
      <c r="C62" s="19"/>
      <c r="D62" s="75">
        <f t="shared" ref="D62:K62" si="20">SUM(D54:D59)-D60</f>
        <v>82699.999999999971</v>
      </c>
      <c r="E62" s="75">
        <f t="shared" si="20"/>
        <v>74855.475021629376</v>
      </c>
      <c r="F62" s="75">
        <f t="shared" si="20"/>
        <v>66530.999999999985</v>
      </c>
      <c r="G62" s="75">
        <f t="shared" si="20"/>
        <v>91387.000000000015</v>
      </c>
      <c r="H62" s="75">
        <f t="shared" si="20"/>
        <v>82342</v>
      </c>
      <c r="I62" s="75">
        <f t="shared" si="20"/>
        <v>72717</v>
      </c>
      <c r="J62" s="75">
        <f t="shared" si="20"/>
        <v>97180.999999999971</v>
      </c>
      <c r="K62" s="75">
        <f t="shared" si="20"/>
        <v>86614.999999999971</v>
      </c>
      <c r="L62" s="19"/>
      <c r="M62" s="19"/>
      <c r="N62" s="41"/>
    </row>
    <row r="63" spans="1:14">
      <c r="A63" s="2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41"/>
    </row>
    <row r="64" spans="1:14">
      <c r="A64" s="73" t="s">
        <v>22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41"/>
    </row>
    <row r="65" spans="1:14">
      <c r="A65" s="29" t="s">
        <v>23</v>
      </c>
      <c r="B65" s="19"/>
      <c r="C65" s="19"/>
      <c r="D65" s="12">
        <f t="shared" ref="D65:K65" si="21">D21/360*D14</f>
        <v>12962.962962962964</v>
      </c>
      <c r="E65" s="12">
        <f t="shared" si="21"/>
        <v>13485.370370370372</v>
      </c>
      <c r="F65" s="12">
        <f t="shared" si="21"/>
        <v>14028.830796296299</v>
      </c>
      <c r="G65" s="12">
        <f t="shared" si="21"/>
        <v>14594.192677387042</v>
      </c>
      <c r="H65" s="12">
        <f t="shared" si="21"/>
        <v>15182.338642285738</v>
      </c>
      <c r="I65" s="12">
        <f t="shared" si="21"/>
        <v>15794.18688956985</v>
      </c>
      <c r="J65" s="12">
        <f t="shared" si="21"/>
        <v>16430.692621219518</v>
      </c>
      <c r="K65" s="12">
        <f t="shared" si="21"/>
        <v>17092.849533854664</v>
      </c>
      <c r="L65" s="8"/>
      <c r="M65" s="19"/>
      <c r="N65" s="41"/>
    </row>
    <row r="66" spans="1:14">
      <c r="A66" s="29" t="s">
        <v>24</v>
      </c>
      <c r="B66" s="19"/>
      <c r="C66" s="19"/>
      <c r="D66" s="8">
        <f t="shared" ref="D66:K66" si="22">D44</f>
        <v>0</v>
      </c>
      <c r="E66" s="8">
        <f t="shared" si="22"/>
        <v>0</v>
      </c>
      <c r="F66" s="8">
        <f t="shared" si="22"/>
        <v>0</v>
      </c>
      <c r="G66" s="8">
        <f t="shared" si="22"/>
        <v>3520.576333473884</v>
      </c>
      <c r="H66" s="8">
        <f t="shared" si="22"/>
        <v>1377.2259591362565</v>
      </c>
      <c r="I66" s="8">
        <f t="shared" si="22"/>
        <v>0</v>
      </c>
      <c r="J66" s="8">
        <f t="shared" si="22"/>
        <v>7910.0305618834673</v>
      </c>
      <c r="K66" s="8">
        <f t="shared" si="22"/>
        <v>5583.2725640169674</v>
      </c>
      <c r="L66" s="8"/>
      <c r="M66" s="19"/>
      <c r="N66" s="41"/>
    </row>
    <row r="67" spans="1:14">
      <c r="A67" s="29"/>
      <c r="B67" s="19"/>
      <c r="C67" s="19"/>
      <c r="D67" s="8"/>
      <c r="E67" s="8"/>
      <c r="F67" s="8"/>
      <c r="G67" s="8"/>
      <c r="H67" s="8"/>
      <c r="I67" s="8"/>
      <c r="J67" s="8"/>
      <c r="K67" s="8"/>
      <c r="L67" s="8"/>
      <c r="M67" s="19"/>
      <c r="N67" s="41"/>
    </row>
    <row r="68" spans="1:14">
      <c r="A68" s="29" t="s">
        <v>170</v>
      </c>
      <c r="B68" s="19"/>
      <c r="C68" s="19"/>
      <c r="D68" s="8">
        <f>Mortgage!$C$7-Mortgage!G16</f>
        <v>63029.383926944334</v>
      </c>
      <c r="E68" s="8">
        <f>Mortgage!$C$7-Mortgage!G17</f>
        <v>60852.418600129895</v>
      </c>
      <c r="F68" s="8">
        <f>Mortgage!$C$7-Mortgage!G18</f>
        <v>58447.496556231359</v>
      </c>
      <c r="G68" s="8">
        <f>Mortgage!$C$7-Mortgage!G19</f>
        <v>55790.747748159018</v>
      </c>
      <c r="H68" s="8">
        <f>Mortgage!$C$7-Mortgage!G20</f>
        <v>52855.802622972413</v>
      </c>
      <c r="I68" s="8">
        <f>Mortgage!$C$7-Mortgage!G21</f>
        <v>49613.530390955639</v>
      </c>
      <c r="J68" s="8">
        <f>Mortgage!$C$7-Mortgage!G22</f>
        <v>46031.749888044636</v>
      </c>
      <c r="K68" s="8">
        <f>Mortgage!$C$7-Mortgage!G23</f>
        <v>42074.910161772401</v>
      </c>
      <c r="L68" s="8"/>
      <c r="M68" s="19"/>
      <c r="N68" s="41" t="s">
        <v>3</v>
      </c>
    </row>
    <row r="69" spans="1:14">
      <c r="A69" s="29" t="s">
        <v>35</v>
      </c>
      <c r="B69" s="19"/>
      <c r="C69" s="19"/>
      <c r="D69" s="8"/>
      <c r="E69" s="8"/>
      <c r="F69" s="8"/>
      <c r="G69" s="8">
        <v>0</v>
      </c>
      <c r="H69" s="8"/>
      <c r="I69" s="8"/>
      <c r="J69" s="8"/>
      <c r="K69" s="8"/>
      <c r="L69" s="8"/>
      <c r="M69" s="19"/>
      <c r="N69" s="41"/>
    </row>
    <row r="70" spans="1:14">
      <c r="A70" s="29"/>
      <c r="B70" s="19"/>
      <c r="C70" s="19"/>
      <c r="D70" s="8"/>
      <c r="E70" s="8"/>
      <c r="F70" s="8"/>
      <c r="G70" s="8"/>
      <c r="H70" s="8"/>
      <c r="I70" s="8"/>
      <c r="J70" s="8"/>
      <c r="K70" s="8"/>
      <c r="L70" s="8"/>
      <c r="M70" s="19"/>
      <c r="N70" s="41"/>
    </row>
    <row r="71" spans="1:14">
      <c r="A71" s="29" t="s">
        <v>25</v>
      </c>
      <c r="B71" s="19"/>
      <c r="C71" s="19"/>
      <c r="D71" s="8">
        <v>10000</v>
      </c>
      <c r="E71" s="8">
        <v>10000</v>
      </c>
      <c r="F71" s="8">
        <v>10000</v>
      </c>
      <c r="G71" s="8">
        <v>10000</v>
      </c>
      <c r="H71" s="8">
        <v>10000</v>
      </c>
      <c r="I71" s="8">
        <v>10000</v>
      </c>
      <c r="J71" s="8">
        <v>10000</v>
      </c>
      <c r="K71" s="8">
        <v>10000</v>
      </c>
      <c r="L71" s="8"/>
      <c r="M71" s="19"/>
      <c r="N71" s="41"/>
    </row>
    <row r="72" spans="1:14">
      <c r="A72" s="29" t="s">
        <v>26</v>
      </c>
      <c r="B72" s="19"/>
      <c r="C72" s="19"/>
      <c r="D72" s="8">
        <f>D45</f>
        <v>-3292.4149561787581</v>
      </c>
      <c r="E72" s="8">
        <f t="shared" ref="E72:K72" si="23">E45</f>
        <v>-9482.5357024200057</v>
      </c>
      <c r="F72" s="8">
        <f t="shared" si="23"/>
        <v>-15945.028291224824</v>
      </c>
      <c r="G72" s="8">
        <f t="shared" si="23"/>
        <v>7481.224708632004</v>
      </c>
      <c r="H72" s="8">
        <f t="shared" si="23"/>
        <v>2926.605163164545</v>
      </c>
      <c r="I72" s="8">
        <f t="shared" si="23"/>
        <v>-2691.1657514342978</v>
      </c>
      <c r="J72" s="8">
        <f t="shared" si="23"/>
        <v>16808.814944002366</v>
      </c>
      <c r="K72" s="8">
        <f t="shared" si="23"/>
        <v>11864.454198536056</v>
      </c>
      <c r="L72" s="8"/>
      <c r="M72" s="19"/>
      <c r="N72" s="41"/>
    </row>
    <row r="73" spans="1:14">
      <c r="A73" s="29"/>
      <c r="B73" s="19"/>
      <c r="C73" s="19"/>
      <c r="D73" s="64"/>
      <c r="E73" s="64"/>
      <c r="F73" s="64"/>
      <c r="G73" s="64"/>
      <c r="H73" s="64"/>
      <c r="I73" s="64"/>
      <c r="J73" s="64"/>
      <c r="K73" s="64"/>
      <c r="L73" s="8"/>
      <c r="M73" s="19"/>
      <c r="N73" s="41"/>
    </row>
    <row r="74" spans="1:14">
      <c r="A74" s="73" t="s">
        <v>27</v>
      </c>
      <c r="B74" s="19"/>
      <c r="C74" s="19"/>
      <c r="D74" s="65">
        <f t="shared" ref="D74:K74" si="24">SUM(D65:D72)</f>
        <v>82699.931933728527</v>
      </c>
      <c r="E74" s="65">
        <f t="shared" si="24"/>
        <v>74855.253268080254</v>
      </c>
      <c r="F74" s="65">
        <f t="shared" si="24"/>
        <v>66531.299061302838</v>
      </c>
      <c r="G74" s="65">
        <f t="shared" si="24"/>
        <v>91386.74146765194</v>
      </c>
      <c r="H74" s="65">
        <f t="shared" si="24"/>
        <v>82341.972387558941</v>
      </c>
      <c r="I74" s="65">
        <f t="shared" si="24"/>
        <v>72716.551529091186</v>
      </c>
      <c r="J74" s="65">
        <f t="shared" si="24"/>
        <v>97181.288015149999</v>
      </c>
      <c r="K74" s="65">
        <f t="shared" si="24"/>
        <v>86615.486458180094</v>
      </c>
      <c r="L74" s="8"/>
      <c r="M74" s="19"/>
      <c r="N74" s="41"/>
    </row>
    <row r="75" spans="1:14">
      <c r="A75" s="2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41"/>
    </row>
    <row r="76" spans="1:14" ht="15.75" thickBot="1">
      <c r="A76" s="32" t="s">
        <v>32</v>
      </c>
      <c r="B76" s="33"/>
      <c r="C76" s="33"/>
      <c r="D76" s="84">
        <f t="shared" ref="D76:K76" si="25">+D62-D74</f>
        <v>6.8066271443967707E-2</v>
      </c>
      <c r="E76" s="84">
        <f t="shared" si="25"/>
        <v>0.22175354912178591</v>
      </c>
      <c r="F76" s="84">
        <f t="shared" si="25"/>
        <v>-0.29906130285235122</v>
      </c>
      <c r="G76" s="84">
        <f t="shared" si="25"/>
        <v>0.2585323480743682</v>
      </c>
      <c r="H76" s="84">
        <f t="shared" si="25"/>
        <v>2.7612441059318371E-2</v>
      </c>
      <c r="I76" s="84">
        <f t="shared" si="25"/>
        <v>0.44847090881376062</v>
      </c>
      <c r="J76" s="84">
        <f t="shared" si="25"/>
        <v>-0.28801515002851374</v>
      </c>
      <c r="K76" s="84">
        <f t="shared" si="25"/>
        <v>-0.48645818012300879</v>
      </c>
      <c r="L76" s="33"/>
      <c r="M76" s="33"/>
      <c r="N76" s="34"/>
    </row>
    <row r="77" spans="1:14">
      <c r="D77" s="9"/>
      <c r="E77" s="9"/>
      <c r="F77" s="9"/>
      <c r="G77" s="9"/>
      <c r="H77" s="9"/>
      <c r="I77" s="9"/>
      <c r="J77" s="9"/>
      <c r="K77" s="9"/>
    </row>
    <row r="78" spans="1:14">
      <c r="A78" s="1" t="s">
        <v>116</v>
      </c>
      <c r="D78" s="4">
        <f t="shared" ref="D78:K78" si="26">D45/D20</f>
        <v>-9.4068998747964521E-3</v>
      </c>
      <c r="E78" s="4">
        <f t="shared" si="26"/>
        <v>-2.6824712029476679E-2</v>
      </c>
      <c r="F78" s="4">
        <f t="shared" si="26"/>
        <v>-4.465956640448366E-2</v>
      </c>
      <c r="G78" s="4">
        <f t="shared" si="26"/>
        <v>1.8860267523717104E-2</v>
      </c>
      <c r="H78" s="4">
        <f t="shared" si="26"/>
        <v>7.3049611373066318E-3</v>
      </c>
      <c r="I78" s="4">
        <f t="shared" si="26"/>
        <v>-6.6507840835121224E-3</v>
      </c>
      <c r="J78" s="4">
        <f t="shared" si="26"/>
        <v>3.7701581019683655E-2</v>
      </c>
      <c r="K78" s="4">
        <f t="shared" si="26"/>
        <v>2.6348072952905848E-2</v>
      </c>
    </row>
    <row r="79" spans="1:14">
      <c r="A79" s="1" t="s">
        <v>112</v>
      </c>
      <c r="D79" s="4">
        <f>D45/(D71+D72)</f>
        <v>-0.49084952850677588</v>
      </c>
      <c r="E79" s="4">
        <f t="shared" ref="E79:K79" si="27">E45/(E71+E72)</f>
        <v>-18.325004733208882</v>
      </c>
      <c r="F79" s="4">
        <f t="shared" si="27"/>
        <v>2.6820777816584203</v>
      </c>
      <c r="G79" s="4">
        <f t="shared" si="27"/>
        <v>0.42795769937891542</v>
      </c>
      <c r="H79" s="4">
        <f t="shared" si="27"/>
        <v>0.22640168290311471</v>
      </c>
      <c r="I79" s="4">
        <f t="shared" si="27"/>
        <v>-0.36820724891420498</v>
      </c>
      <c r="J79" s="4">
        <f t="shared" si="27"/>
        <v>0.62698836107124578</v>
      </c>
      <c r="K79" s="4">
        <f t="shared" si="27"/>
        <v>0.54263665083075552</v>
      </c>
    </row>
    <row r="80" spans="1:14">
      <c r="A80" s="1" t="s">
        <v>113</v>
      </c>
      <c r="D80" s="67">
        <f>(D54+D57)/SUM(D65,D66)</f>
        <v>1.3139999999999974</v>
      </c>
      <c r="E80" s="67">
        <f t="shared" ref="E80:K80" si="28">(E54+E57)/SUM(E65,E66)</f>
        <v>1.0027267562488658</v>
      </c>
      <c r="F80" s="67">
        <f t="shared" si="28"/>
        <v>0.67938662447309839</v>
      </c>
      <c r="G80" s="67">
        <f t="shared" si="28"/>
        <v>2.1375008044606094</v>
      </c>
      <c r="H80" s="67">
        <f t="shared" si="28"/>
        <v>2.0537174427729985</v>
      </c>
      <c r="I80" s="67">
        <f t="shared" si="28"/>
        <v>1.8182005949900535</v>
      </c>
      <c r="J80" s="67">
        <f t="shared" si="28"/>
        <v>2.3628851493311012</v>
      </c>
      <c r="K80" s="67">
        <f t="shared" si="28"/>
        <v>2.2614830898039622</v>
      </c>
    </row>
    <row r="81" spans="1:18">
      <c r="A81" s="1" t="s">
        <v>114</v>
      </c>
      <c r="D81" s="25">
        <f>SUM(D65:D68)/SUM(D71+D72)</f>
        <v>11.329315453094164</v>
      </c>
      <c r="E81" s="25">
        <f t="shared" ref="E81:K81" si="29">SUM(E65:E68)/SUM(E71+E72)</f>
        <v>143.65781237112006</v>
      </c>
      <c r="F81" s="25">
        <f t="shared" si="29"/>
        <v>-12.19108199358892</v>
      </c>
      <c r="G81" s="25">
        <f t="shared" si="29"/>
        <v>4.2277081835419885</v>
      </c>
      <c r="H81" s="25">
        <f t="shared" si="29"/>
        <v>5.3699611265453795</v>
      </c>
      <c r="I81" s="25">
        <f t="shared" si="29"/>
        <v>8.949131291814588</v>
      </c>
      <c r="J81" s="25">
        <f t="shared" si="29"/>
        <v>2.6249751515738398</v>
      </c>
      <c r="K81" s="25">
        <f t="shared" si="29"/>
        <v>2.9614748976436589</v>
      </c>
      <c r="N81" s="35"/>
      <c r="O81" s="35"/>
      <c r="P81" s="35"/>
      <c r="Q81" s="35"/>
      <c r="R81" s="35"/>
    </row>
    <row r="82" spans="1:18">
      <c r="A82" s="1" t="s">
        <v>115</v>
      </c>
      <c r="D82" s="25">
        <f t="shared" ref="D82:K82" si="30">D20/D62</f>
        <v>4.2321644498186233</v>
      </c>
      <c r="E82" s="25">
        <f t="shared" si="30"/>
        <v>4.7224334612512537</v>
      </c>
      <c r="F82" s="25">
        <f t="shared" si="30"/>
        <v>5.366445717034166</v>
      </c>
      <c r="G82" s="25">
        <f t="shared" si="30"/>
        <v>4.3405066913237107</v>
      </c>
      <c r="H82" s="25">
        <f t="shared" si="30"/>
        <v>4.8654701592140102</v>
      </c>
      <c r="I82" s="25">
        <f t="shared" si="30"/>
        <v>5.5645704482926961</v>
      </c>
      <c r="J82" s="25">
        <f t="shared" si="30"/>
        <v>4.5877122405863293</v>
      </c>
      <c r="K82" s="25">
        <f t="shared" si="30"/>
        <v>5.1988321640009731</v>
      </c>
      <c r="N82" s="36"/>
      <c r="Q82" s="36"/>
      <c r="R82" s="36"/>
    </row>
    <row r="83" spans="1:18">
      <c r="Q83" s="36"/>
      <c r="R83" s="36"/>
    </row>
    <row r="84" spans="1:18">
      <c r="Q84" s="36"/>
      <c r="R84" s="36"/>
    </row>
    <row r="85" spans="1:18">
      <c r="O85" s="36"/>
      <c r="Q85" s="36"/>
      <c r="R85" s="36"/>
    </row>
    <row r="86" spans="1:18" ht="15.75" thickBot="1">
      <c r="N86" s="36"/>
      <c r="O86" s="36"/>
      <c r="P86" s="36"/>
      <c r="Q86" s="36"/>
      <c r="R86" s="36"/>
    </row>
    <row r="87" spans="1:18" ht="20.25" thickBot="1">
      <c r="A87" s="51" t="s">
        <v>58</v>
      </c>
      <c r="B87" s="52"/>
      <c r="C87" s="52"/>
      <c r="D87" s="76"/>
      <c r="E87" s="76"/>
      <c r="F87" s="76"/>
      <c r="G87" s="77"/>
      <c r="N87" s="36"/>
      <c r="O87" s="36"/>
      <c r="P87" s="36"/>
      <c r="Q87" s="36"/>
      <c r="R87" s="36"/>
    </row>
    <row r="88" spans="1:18" ht="15.75" thickTop="1">
      <c r="A88" s="78" t="s">
        <v>67</v>
      </c>
      <c r="B88" s="79"/>
      <c r="C88" s="79"/>
      <c r="D88" s="79"/>
      <c r="E88" s="79"/>
      <c r="F88" s="19"/>
      <c r="G88" s="41"/>
      <c r="N88" s="36"/>
    </row>
    <row r="89" spans="1:18">
      <c r="A89" s="80"/>
      <c r="B89" s="19" t="s">
        <v>68</v>
      </c>
      <c r="C89" s="19" t="s">
        <v>69</v>
      </c>
      <c r="D89" s="81"/>
      <c r="E89" s="81"/>
      <c r="F89" s="19"/>
      <c r="G89" s="41"/>
      <c r="R89" s="37"/>
    </row>
    <row r="90" spans="1:18">
      <c r="A90" s="29" t="s">
        <v>70</v>
      </c>
      <c r="B90" s="19">
        <v>5</v>
      </c>
      <c r="C90" s="19">
        <v>10</v>
      </c>
      <c r="D90" s="81"/>
      <c r="E90" s="81"/>
      <c r="F90" s="19"/>
      <c r="G90" s="41"/>
      <c r="R90" s="37"/>
    </row>
    <row r="91" spans="1:18">
      <c r="A91" s="29" t="s">
        <v>71</v>
      </c>
      <c r="B91" s="19">
        <v>5</v>
      </c>
      <c r="C91" s="19">
        <v>2</v>
      </c>
      <c r="D91" s="81"/>
      <c r="E91" s="81"/>
      <c r="F91" s="19"/>
      <c r="G91" s="41"/>
      <c r="R91" s="37"/>
    </row>
    <row r="92" spans="1:18">
      <c r="A92" s="29" t="s">
        <v>72</v>
      </c>
      <c r="B92" s="81"/>
      <c r="C92" s="19">
        <v>60</v>
      </c>
      <c r="D92" s="81"/>
      <c r="E92" s="81"/>
      <c r="F92" s="19"/>
      <c r="G92" s="41"/>
      <c r="R92" s="37"/>
    </row>
    <row r="93" spans="1:18">
      <c r="A93" s="80"/>
      <c r="B93" s="81"/>
      <c r="C93" s="81"/>
      <c r="D93" s="81"/>
      <c r="E93" s="81"/>
      <c r="F93" s="19"/>
      <c r="G93" s="41"/>
      <c r="P93" s="36"/>
      <c r="Q93" s="36"/>
      <c r="R93" s="37"/>
    </row>
    <row r="94" spans="1:18">
      <c r="A94" s="80"/>
      <c r="B94" s="81"/>
      <c r="C94" s="81"/>
      <c r="D94" s="81"/>
      <c r="E94" s="81"/>
      <c r="F94" s="19"/>
      <c r="G94" s="41"/>
      <c r="O94" s="36"/>
      <c r="P94" s="36"/>
      <c r="Q94" s="36"/>
      <c r="R94" s="37"/>
    </row>
    <row r="95" spans="1:18">
      <c r="A95" s="80"/>
      <c r="B95" s="19" t="s">
        <v>73</v>
      </c>
      <c r="C95" s="19" t="s">
        <v>74</v>
      </c>
      <c r="D95" s="19" t="s">
        <v>75</v>
      </c>
      <c r="E95" s="19" t="s">
        <v>76</v>
      </c>
      <c r="F95" s="19"/>
      <c r="G95" s="41"/>
      <c r="O95" s="36"/>
      <c r="P95" s="36"/>
      <c r="Q95" s="36"/>
      <c r="R95" s="37"/>
    </row>
    <row r="96" spans="1:18">
      <c r="A96" s="29" t="s">
        <v>77</v>
      </c>
      <c r="B96" s="19">
        <v>2</v>
      </c>
      <c r="C96" s="19">
        <v>60</v>
      </c>
      <c r="D96" s="19">
        <v>7.75</v>
      </c>
      <c r="E96" s="82">
        <f>D96*C96*B96</f>
        <v>930</v>
      </c>
      <c r="F96" s="19"/>
      <c r="G96" s="41"/>
      <c r="O96" s="36"/>
      <c r="P96" s="36"/>
      <c r="Q96" s="36"/>
      <c r="R96" s="37"/>
    </row>
    <row r="97" spans="1:14">
      <c r="A97" s="29" t="s">
        <v>78</v>
      </c>
      <c r="B97" s="19">
        <v>1</v>
      </c>
      <c r="C97" s="19">
        <v>20</v>
      </c>
      <c r="D97" s="19">
        <v>7.75</v>
      </c>
      <c r="E97" s="82">
        <f>D97*C97*B97</f>
        <v>155</v>
      </c>
      <c r="F97" s="19"/>
      <c r="G97" s="41"/>
    </row>
    <row r="98" spans="1:14">
      <c r="A98" s="29" t="s">
        <v>79</v>
      </c>
      <c r="B98" s="19">
        <v>1</v>
      </c>
      <c r="C98" s="19">
        <v>60</v>
      </c>
      <c r="D98" s="19">
        <v>9</v>
      </c>
      <c r="E98" s="82">
        <f>D98*C98*B98</f>
        <v>540</v>
      </c>
      <c r="F98" s="19"/>
      <c r="G98" s="41"/>
      <c r="N98" s="38"/>
    </row>
    <row r="99" spans="1:14">
      <c r="A99" s="29" t="s">
        <v>80</v>
      </c>
      <c r="B99" s="19">
        <v>1</v>
      </c>
      <c r="C99" s="19">
        <v>20</v>
      </c>
      <c r="D99" s="19">
        <v>7.75</v>
      </c>
      <c r="E99" s="82">
        <f>D99*C99*B99</f>
        <v>155</v>
      </c>
      <c r="F99" s="19"/>
      <c r="G99" s="41"/>
      <c r="N99" s="38"/>
    </row>
    <row r="100" spans="1:14">
      <c r="A100" s="29" t="s">
        <v>81</v>
      </c>
      <c r="B100" s="19">
        <v>5</v>
      </c>
      <c r="C100" s="81"/>
      <c r="D100" s="81"/>
      <c r="E100" s="82">
        <f>E96+E97+E98+E99</f>
        <v>1780</v>
      </c>
      <c r="F100" s="19"/>
      <c r="G100" s="41"/>
      <c r="N100" s="38"/>
    </row>
    <row r="101" spans="1:14">
      <c r="A101" s="29" t="s">
        <v>82</v>
      </c>
      <c r="B101" s="81"/>
      <c r="C101" s="81"/>
      <c r="D101" s="81"/>
      <c r="E101" s="82">
        <f>E100*52</f>
        <v>92560</v>
      </c>
      <c r="F101" s="19"/>
      <c r="G101" s="41"/>
      <c r="N101" s="38"/>
    </row>
    <row r="102" spans="1:14">
      <c r="A102" s="29"/>
      <c r="B102" s="19"/>
      <c r="C102" s="19"/>
      <c r="D102" s="19"/>
      <c r="E102" s="19"/>
      <c r="F102" s="19"/>
      <c r="G102" s="41"/>
      <c r="N102" s="38"/>
    </row>
    <row r="103" spans="1:14">
      <c r="A103" s="29" t="s">
        <v>96</v>
      </c>
      <c r="B103" s="19"/>
      <c r="C103" s="19"/>
      <c r="D103" s="19"/>
      <c r="E103" s="19"/>
      <c r="F103" s="19"/>
      <c r="G103" s="41"/>
      <c r="N103" s="38"/>
    </row>
    <row r="104" spans="1:14">
      <c r="A104" s="29" t="s">
        <v>111</v>
      </c>
      <c r="B104" s="19"/>
      <c r="C104" s="19"/>
      <c r="D104" s="19"/>
      <c r="E104" s="19"/>
      <c r="F104" s="19"/>
      <c r="G104" s="41"/>
      <c r="N104" s="38"/>
    </row>
    <row r="105" spans="1:14">
      <c r="A105" s="83" t="s">
        <v>83</v>
      </c>
      <c r="B105" s="19"/>
      <c r="C105" s="19"/>
      <c r="D105" s="19"/>
      <c r="E105" s="19"/>
      <c r="F105" s="19"/>
      <c r="G105" s="41"/>
      <c r="N105" s="38"/>
    </row>
    <row r="106" spans="1:14">
      <c r="A106" s="83" t="s">
        <v>84</v>
      </c>
      <c r="B106" s="19"/>
      <c r="C106" s="19"/>
      <c r="D106" s="19"/>
      <c r="E106" s="19"/>
      <c r="F106" s="19"/>
      <c r="G106" s="41"/>
    </row>
    <row r="107" spans="1:14">
      <c r="A107" s="83" t="s">
        <v>85</v>
      </c>
      <c r="B107" s="19"/>
      <c r="C107" s="19"/>
      <c r="D107" s="19"/>
      <c r="E107" s="19"/>
      <c r="F107" s="19"/>
      <c r="G107" s="41"/>
    </row>
    <row r="108" spans="1:14">
      <c r="A108" s="83" t="s">
        <v>86</v>
      </c>
      <c r="B108" s="19"/>
      <c r="C108" s="19"/>
      <c r="D108" s="19"/>
      <c r="E108" s="19"/>
      <c r="F108" s="19"/>
      <c r="G108" s="41"/>
    </row>
    <row r="109" spans="1:14">
      <c r="A109" s="83" t="s">
        <v>87</v>
      </c>
      <c r="B109" s="19"/>
      <c r="C109" s="19"/>
      <c r="D109" s="19"/>
      <c r="E109" s="19"/>
      <c r="F109" s="19"/>
      <c r="G109" s="41"/>
    </row>
    <row r="110" spans="1:14">
      <c r="A110" s="83" t="s">
        <v>88</v>
      </c>
      <c r="B110" s="19"/>
      <c r="C110" s="19"/>
      <c r="D110" s="19"/>
      <c r="E110" s="19"/>
      <c r="F110" s="19"/>
      <c r="G110" s="41"/>
    </row>
    <row r="111" spans="1:14">
      <c r="A111" s="83" t="s">
        <v>89</v>
      </c>
      <c r="B111" s="19"/>
      <c r="C111" s="19"/>
      <c r="D111" s="19"/>
      <c r="E111" s="19"/>
      <c r="F111" s="19"/>
      <c r="G111" s="41"/>
    </row>
    <row r="112" spans="1:14">
      <c r="A112" s="83" t="s">
        <v>90</v>
      </c>
      <c r="B112" s="19"/>
      <c r="C112" s="19"/>
      <c r="D112" s="19"/>
      <c r="E112" s="19"/>
      <c r="F112" s="19"/>
      <c r="G112" s="41"/>
    </row>
    <row r="113" spans="1:13">
      <c r="A113" s="29" t="s">
        <v>57</v>
      </c>
      <c r="B113" s="19"/>
      <c r="C113" s="19"/>
      <c r="D113" s="19"/>
      <c r="E113" s="19"/>
      <c r="F113" s="19"/>
      <c r="G113" s="41"/>
    </row>
    <row r="114" spans="1:13">
      <c r="A114" s="29" t="s">
        <v>94</v>
      </c>
      <c r="B114" s="19"/>
      <c r="C114" s="19"/>
      <c r="D114" s="19"/>
      <c r="E114" s="19"/>
      <c r="F114" s="19"/>
      <c r="G114" s="41"/>
    </row>
    <row r="115" spans="1:13">
      <c r="A115" s="29" t="s">
        <v>95</v>
      </c>
      <c r="B115" s="19"/>
      <c r="C115" s="19"/>
      <c r="D115" s="19"/>
      <c r="E115" s="19"/>
      <c r="F115" s="19"/>
      <c r="G115" s="41"/>
    </row>
    <row r="116" spans="1:13">
      <c r="A116" s="29" t="s">
        <v>98</v>
      </c>
      <c r="B116" s="19"/>
      <c r="C116" s="19"/>
      <c r="D116" s="19"/>
      <c r="E116" s="19"/>
      <c r="F116" s="19"/>
      <c r="G116" s="41"/>
    </row>
    <row r="117" spans="1:13">
      <c r="A117" s="29" t="s">
        <v>99</v>
      </c>
      <c r="B117" s="19"/>
      <c r="C117" s="19"/>
      <c r="D117" s="19"/>
      <c r="E117" s="19"/>
      <c r="F117" s="19"/>
      <c r="G117" s="41"/>
    </row>
    <row r="118" spans="1:13">
      <c r="A118" s="29" t="s">
        <v>200</v>
      </c>
      <c r="B118" s="19"/>
      <c r="C118" s="19"/>
      <c r="D118" s="19"/>
      <c r="E118" s="19"/>
      <c r="F118" s="19"/>
      <c r="G118" s="41"/>
    </row>
    <row r="119" spans="1:13">
      <c r="A119" s="29" t="s">
        <v>201</v>
      </c>
      <c r="B119" s="19"/>
      <c r="C119" s="19"/>
      <c r="D119" s="19"/>
      <c r="E119" s="19"/>
      <c r="F119" s="19"/>
      <c r="G119" s="41"/>
    </row>
    <row r="120" spans="1:13">
      <c r="A120" s="29"/>
      <c r="B120" s="19"/>
      <c r="C120" s="19"/>
      <c r="D120" s="19"/>
      <c r="E120" s="19"/>
      <c r="F120" s="19"/>
      <c r="G120" s="41"/>
    </row>
    <row r="121" spans="1:13" ht="15.75" thickBot="1">
      <c r="A121" s="32"/>
      <c r="B121" s="33"/>
      <c r="C121" s="33"/>
      <c r="D121" s="33"/>
      <c r="E121" s="33"/>
      <c r="F121" s="33"/>
      <c r="G121" s="34"/>
    </row>
    <row r="124" spans="1:13">
      <c r="A124" s="107" t="s">
        <v>164</v>
      </c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</row>
    <row r="125" spans="1:13">
      <c r="A125" s="103"/>
      <c r="B125" s="104" t="s">
        <v>118</v>
      </c>
      <c r="C125" s="104">
        <v>1.02</v>
      </c>
      <c r="D125" s="103"/>
      <c r="E125" s="103"/>
      <c r="F125" s="103"/>
      <c r="G125" s="103"/>
      <c r="H125" s="104" t="s">
        <v>33</v>
      </c>
      <c r="I125" s="103"/>
      <c r="J125" s="112" t="s">
        <v>163</v>
      </c>
      <c r="K125" s="103"/>
      <c r="L125" s="103"/>
      <c r="M125" s="103"/>
    </row>
    <row r="126" spans="1:13">
      <c r="A126" s="103" t="s">
        <v>162</v>
      </c>
      <c r="B126" s="104" t="s">
        <v>161</v>
      </c>
      <c r="C126" s="122">
        <v>6.13E-3</v>
      </c>
      <c r="D126" s="103"/>
      <c r="E126" s="103"/>
      <c r="F126" s="103"/>
      <c r="G126" s="104" t="s">
        <v>120</v>
      </c>
      <c r="H126" s="113">
        <v>0.1</v>
      </c>
      <c r="I126" s="105">
        <f>K68</f>
        <v>42074.910161772401</v>
      </c>
      <c r="J126" s="111">
        <f>I126/I128</f>
        <v>1</v>
      </c>
      <c r="K126" s="103"/>
      <c r="L126" s="123">
        <f>(H126*J126)+(H127*J127)</f>
        <v>0.1</v>
      </c>
      <c r="M126" s="104" t="s">
        <v>121</v>
      </c>
    </row>
    <row r="127" spans="1:13">
      <c r="A127" s="103" t="s">
        <v>162</v>
      </c>
      <c r="B127" s="104" t="s">
        <v>122</v>
      </c>
      <c r="C127" s="110">
        <v>9.7299999999999998E-2</v>
      </c>
      <c r="D127" s="103"/>
      <c r="E127" s="103"/>
      <c r="F127" s="103"/>
      <c r="G127" s="104" t="s">
        <v>123</v>
      </c>
      <c r="H127" s="113">
        <v>0.1</v>
      </c>
      <c r="I127" s="108">
        <f>K69</f>
        <v>0</v>
      </c>
      <c r="J127" s="111">
        <f>I127/I128</f>
        <v>0</v>
      </c>
      <c r="K127" s="103"/>
      <c r="L127" s="103"/>
      <c r="M127" s="103"/>
    </row>
    <row r="128" spans="1:13">
      <c r="A128" s="103"/>
      <c r="B128" s="104" t="s">
        <v>124</v>
      </c>
      <c r="C128" s="113">
        <f>M44</f>
        <v>0.32</v>
      </c>
      <c r="D128" s="103"/>
      <c r="E128" s="103"/>
      <c r="F128" s="103"/>
      <c r="G128" s="103"/>
      <c r="H128" s="103"/>
      <c r="I128" s="105">
        <f>SUM(I126:I127)</f>
        <v>42074.910161772401</v>
      </c>
      <c r="J128" s="103"/>
      <c r="K128" s="103"/>
      <c r="L128" s="103"/>
      <c r="M128" s="103"/>
    </row>
    <row r="129" spans="1:13">
      <c r="A129" s="103"/>
      <c r="B129" s="104" t="s">
        <v>125</v>
      </c>
      <c r="C129" s="106">
        <f>C126+C125*(C127-C126)</f>
        <v>9.91234E-2</v>
      </c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</row>
    <row r="131" spans="1:13">
      <c r="A131" s="103"/>
      <c r="B131" s="107" t="s">
        <v>126</v>
      </c>
      <c r="C131" s="103"/>
      <c r="D131" s="103"/>
      <c r="E131" s="107" t="s">
        <v>127</v>
      </c>
      <c r="F131" s="107"/>
      <c r="G131" s="107" t="s">
        <v>33</v>
      </c>
      <c r="H131" s="107"/>
      <c r="I131" s="107" t="s">
        <v>128</v>
      </c>
    </row>
    <row r="132" spans="1:13">
      <c r="A132" s="103"/>
      <c r="B132" s="109" t="s">
        <v>129</v>
      </c>
      <c r="C132" s="105">
        <f>I128</f>
        <v>42074.910161772401</v>
      </c>
      <c r="D132" s="103"/>
      <c r="E132" s="106">
        <f>C132/$C$134</f>
        <v>0.65804392306238157</v>
      </c>
      <c r="F132" s="103"/>
      <c r="G132" s="110">
        <f>L126</f>
        <v>0.1</v>
      </c>
      <c r="H132" s="103"/>
      <c r="I132" s="106">
        <f>E132*G132*(1-M44)</f>
        <v>4.4746986768241945E-2</v>
      </c>
    </row>
    <row r="133" spans="1:13">
      <c r="A133" s="103"/>
      <c r="B133" s="109" t="s">
        <v>130</v>
      </c>
      <c r="C133" s="108">
        <f>K71+K72</f>
        <v>21864.454198536056</v>
      </c>
      <c r="D133" s="103"/>
      <c r="E133" s="106">
        <f>C133/$C$134</f>
        <v>0.34195607693761843</v>
      </c>
      <c r="F133" s="103"/>
      <c r="G133" s="110">
        <f>C129</f>
        <v>9.91234E-2</v>
      </c>
      <c r="H133" s="103"/>
      <c r="I133" s="114">
        <f>E133*G133</f>
        <v>3.3895848996718325E-2</v>
      </c>
    </row>
    <row r="134" spans="1:13">
      <c r="A134" s="103"/>
      <c r="B134" s="103"/>
      <c r="C134" s="105">
        <f>SUM(C132:C133)</f>
        <v>63939.364360308457</v>
      </c>
      <c r="D134" s="103"/>
      <c r="E134" s="103"/>
      <c r="F134" s="103"/>
      <c r="G134" s="103"/>
      <c r="H134" s="103"/>
      <c r="I134" s="115">
        <f>SUM(I132:I133)</f>
        <v>7.864283576496027E-2</v>
      </c>
    </row>
    <row r="136" spans="1:13">
      <c r="A136" s="107" t="s">
        <v>171</v>
      </c>
      <c r="B136" s="103"/>
      <c r="C136" s="103"/>
      <c r="D136" s="103"/>
      <c r="E136" s="103"/>
      <c r="F136" s="103"/>
      <c r="G136" s="103"/>
      <c r="H136" s="103"/>
      <c r="I136" s="103"/>
    </row>
    <row r="138" spans="1:13">
      <c r="A138" s="103"/>
      <c r="B138" s="107" t="s">
        <v>131</v>
      </c>
      <c r="C138" s="103"/>
      <c r="D138" s="103"/>
      <c r="E138" s="103"/>
      <c r="F138" s="103"/>
      <c r="G138" s="103"/>
      <c r="H138" s="103"/>
      <c r="I138" s="103"/>
    </row>
    <row r="139" spans="1:13">
      <c r="A139" s="103"/>
      <c r="B139" s="109" t="s">
        <v>132</v>
      </c>
      <c r="C139" s="104">
        <v>1.02</v>
      </c>
      <c r="D139" s="103"/>
      <c r="E139" s="103"/>
      <c r="F139" s="103"/>
      <c r="G139" s="103"/>
      <c r="H139" s="103"/>
      <c r="I139" s="103"/>
    </row>
    <row r="140" spans="1:13">
      <c r="A140" s="103"/>
      <c r="B140" s="109" t="s">
        <v>124</v>
      </c>
      <c r="C140" s="113">
        <f>M44</f>
        <v>0.32</v>
      </c>
      <c r="D140" s="103"/>
      <c r="E140" s="103"/>
      <c r="F140" s="103"/>
      <c r="G140" s="103"/>
      <c r="H140" s="103"/>
      <c r="I140" s="103"/>
    </row>
    <row r="141" spans="1:13">
      <c r="A141" s="103"/>
      <c r="B141" s="109" t="s">
        <v>133</v>
      </c>
      <c r="C141" s="110">
        <f>E132</f>
        <v>0.65804392306238157</v>
      </c>
      <c r="D141" s="103"/>
      <c r="E141" s="103"/>
      <c r="F141" s="103"/>
      <c r="G141" s="103"/>
      <c r="H141" s="103"/>
      <c r="I141" s="103"/>
    </row>
    <row r="142" spans="1:13">
      <c r="A142" s="103"/>
      <c r="B142" s="109" t="s">
        <v>134</v>
      </c>
      <c r="C142" s="110">
        <f>E133</f>
        <v>0.34195607693761843</v>
      </c>
      <c r="D142" s="103"/>
      <c r="E142" s="103"/>
      <c r="F142" s="103"/>
      <c r="G142" s="103"/>
      <c r="H142" s="103"/>
      <c r="I142" s="103"/>
    </row>
    <row r="143" spans="1:13">
      <c r="A143" s="103"/>
      <c r="B143" s="109"/>
      <c r="C143" s="110"/>
      <c r="D143" s="103"/>
      <c r="E143" s="103"/>
      <c r="F143" s="103"/>
      <c r="G143" s="103"/>
      <c r="H143" s="103"/>
      <c r="I143" s="103"/>
    </row>
    <row r="144" spans="1:13">
      <c r="A144" s="103"/>
      <c r="B144" s="116" t="s">
        <v>135</v>
      </c>
      <c r="C144" s="117">
        <f>C139/(1+(1-C140)*(C141/C142))</f>
        <v>0.44183396916888884</v>
      </c>
      <c r="D144" s="103"/>
      <c r="E144" s="103"/>
      <c r="F144" s="103"/>
      <c r="G144" s="103"/>
      <c r="H144" s="103"/>
      <c r="I144" s="103"/>
    </row>
    <row r="145" spans="1:9">
      <c r="A145" s="103"/>
      <c r="B145" s="109"/>
      <c r="C145" s="110"/>
      <c r="D145" s="103"/>
      <c r="E145" s="103"/>
      <c r="F145" s="103"/>
      <c r="G145" s="103"/>
      <c r="H145" s="103"/>
      <c r="I145" s="103"/>
    </row>
    <row r="146" spans="1:9">
      <c r="A146" s="103"/>
      <c r="B146" s="107" t="s">
        <v>136</v>
      </c>
      <c r="C146" s="103"/>
      <c r="D146" s="103"/>
      <c r="E146" s="103"/>
      <c r="F146" s="103"/>
      <c r="G146" s="103"/>
      <c r="H146" s="103"/>
      <c r="I146" s="103"/>
    </row>
    <row r="147" spans="1:9">
      <c r="A147" s="103"/>
      <c r="B147" s="109" t="s">
        <v>137</v>
      </c>
      <c r="C147" s="117">
        <f>C144</f>
        <v>0.44183396916888884</v>
      </c>
      <c r="D147" s="103"/>
      <c r="E147" s="103"/>
      <c r="F147" s="103"/>
      <c r="G147" s="103"/>
      <c r="H147" s="103"/>
      <c r="I147" s="103"/>
    </row>
    <row r="148" spans="1:9">
      <c r="A148" s="103"/>
      <c r="B148" s="109" t="s">
        <v>124</v>
      </c>
      <c r="C148" s="113">
        <f>C140</f>
        <v>0.32</v>
      </c>
      <c r="D148" s="103"/>
      <c r="E148" s="103"/>
      <c r="F148" s="103"/>
      <c r="G148" s="103"/>
      <c r="H148" s="103"/>
      <c r="I148" s="103"/>
    </row>
    <row r="149" spans="1:9">
      <c r="A149" s="103"/>
      <c r="B149" s="109" t="s">
        <v>138</v>
      </c>
      <c r="C149" s="110">
        <v>0.98258540000000005</v>
      </c>
      <c r="D149" s="103"/>
      <c r="E149" s="103"/>
      <c r="F149" s="103"/>
      <c r="G149" s="103"/>
      <c r="H149" s="103"/>
      <c r="I149" s="103"/>
    </row>
    <row r="150" spans="1:9">
      <c r="A150" s="103"/>
      <c r="B150" s="109" t="s">
        <v>139</v>
      </c>
      <c r="C150" s="110">
        <f>100%-C149</f>
        <v>1.7414599999999947E-2</v>
      </c>
      <c r="D150" s="103"/>
      <c r="E150" s="103"/>
      <c r="F150" s="103"/>
      <c r="G150" s="103"/>
      <c r="H150" s="103"/>
      <c r="I150" s="103"/>
    </row>
    <row r="152" spans="1:9">
      <c r="A152" s="103"/>
      <c r="B152" s="107" t="s">
        <v>140</v>
      </c>
      <c r="C152" s="117">
        <f>C147*(1+(1-C148)*(C149/C150))</f>
        <v>17.393985209162523</v>
      </c>
      <c r="D152" s="103"/>
      <c r="E152" s="103"/>
      <c r="F152" s="103"/>
      <c r="G152" s="103"/>
      <c r="H152" s="103"/>
      <c r="I152" s="103"/>
    </row>
    <row r="154" spans="1:9">
      <c r="A154" s="107" t="s">
        <v>165</v>
      </c>
      <c r="B154" s="103"/>
      <c r="C154" s="103"/>
      <c r="D154" s="103"/>
      <c r="E154" s="103"/>
      <c r="F154" s="103"/>
      <c r="G154" s="103"/>
      <c r="H154" s="103"/>
      <c r="I154" s="103"/>
    </row>
    <row r="155" spans="1:9">
      <c r="A155" s="103"/>
      <c r="B155" s="104" t="s">
        <v>118</v>
      </c>
      <c r="C155" s="117">
        <f>C152</f>
        <v>17.393985209162523</v>
      </c>
      <c r="D155" s="103"/>
      <c r="E155" s="103"/>
      <c r="F155" s="103"/>
      <c r="G155" s="103"/>
      <c r="H155" s="103"/>
      <c r="I155" s="103"/>
    </row>
    <row r="156" spans="1:9">
      <c r="A156" s="103"/>
      <c r="B156" s="104" t="s">
        <v>119</v>
      </c>
      <c r="C156" s="110">
        <f>C126</f>
        <v>6.13E-3</v>
      </c>
      <c r="D156" s="103"/>
      <c r="E156" s="103"/>
      <c r="F156" s="103"/>
      <c r="G156" s="103"/>
      <c r="H156" s="103"/>
      <c r="I156" s="103"/>
    </row>
    <row r="157" spans="1:9">
      <c r="A157" s="103"/>
      <c r="B157" s="104" t="s">
        <v>122</v>
      </c>
      <c r="C157" s="110">
        <f>C127</f>
        <v>9.7299999999999998E-2</v>
      </c>
      <c r="D157" s="103"/>
      <c r="E157" s="103"/>
      <c r="F157" s="103"/>
      <c r="G157" s="103"/>
      <c r="H157" s="103"/>
      <c r="I157" s="103"/>
    </row>
    <row r="159" spans="1:9">
      <c r="A159" s="103"/>
      <c r="B159" s="104" t="s">
        <v>141</v>
      </c>
      <c r="C159" s="106">
        <f>C156+C155*(C157-C156)</f>
        <v>1.5919396315193473</v>
      </c>
      <c r="D159" s="103"/>
      <c r="E159" s="103"/>
      <c r="F159" s="103"/>
      <c r="G159" s="103"/>
      <c r="H159" s="103"/>
      <c r="I159" s="103"/>
    </row>
    <row r="161" spans="1:15">
      <c r="A161" s="104" t="s">
        <v>126</v>
      </c>
      <c r="B161" s="103"/>
      <c r="C161" s="103"/>
      <c r="D161" s="103"/>
      <c r="E161" s="112" t="s">
        <v>127</v>
      </c>
      <c r="F161" s="112"/>
      <c r="G161" s="112" t="s">
        <v>33</v>
      </c>
      <c r="H161" s="112"/>
      <c r="I161" s="112" t="s">
        <v>128</v>
      </c>
    </row>
    <row r="162" spans="1:15">
      <c r="B162" s="104" t="s">
        <v>129</v>
      </c>
      <c r="C162" s="103"/>
      <c r="D162" s="103"/>
      <c r="E162" s="113">
        <f>C149</f>
        <v>0.98258540000000005</v>
      </c>
      <c r="F162" s="103"/>
      <c r="G162" s="110">
        <f>G132</f>
        <v>0.1</v>
      </c>
      <c r="H162" s="103"/>
      <c r="I162" s="106">
        <f>E162*G162*(1-C148)</f>
        <v>6.6815807199999994E-2</v>
      </c>
    </row>
    <row r="163" spans="1:15">
      <c r="B163" s="104" t="s">
        <v>130</v>
      </c>
      <c r="C163" s="103"/>
      <c r="D163" s="103"/>
      <c r="E163" s="113">
        <f>C150</f>
        <v>1.7414599999999947E-2</v>
      </c>
      <c r="F163" s="103"/>
      <c r="G163" s="110">
        <f>C159</f>
        <v>1.5919396315193473</v>
      </c>
      <c r="H163" s="103"/>
      <c r="I163" s="114">
        <f>E163*G163</f>
        <v>2.7722991907056741E-2</v>
      </c>
      <c r="K163" s="136"/>
    </row>
    <row r="164" spans="1:15">
      <c r="B164" s="103"/>
      <c r="C164" s="103"/>
      <c r="D164" s="103"/>
      <c r="E164" s="103"/>
      <c r="F164" s="103"/>
      <c r="G164" s="103"/>
      <c r="H164" s="103"/>
      <c r="I164" s="118">
        <f>SUM(I162:I163)</f>
        <v>9.4538799107056731E-2</v>
      </c>
    </row>
    <row r="166" spans="1:15">
      <c r="A166" s="119" t="s">
        <v>142</v>
      </c>
      <c r="B166" s="120"/>
      <c r="C166" s="120"/>
      <c r="D166" s="135" t="s">
        <v>143</v>
      </c>
      <c r="E166" s="121" t="s">
        <v>143</v>
      </c>
      <c r="F166" s="121" t="s">
        <v>143</v>
      </c>
      <c r="G166" s="121" t="s">
        <v>143</v>
      </c>
      <c r="H166" s="121" t="s">
        <v>143</v>
      </c>
      <c r="I166" s="121" t="s">
        <v>143</v>
      </c>
      <c r="J166" s="121" t="s">
        <v>143</v>
      </c>
      <c r="K166" s="121" t="s">
        <v>143</v>
      </c>
      <c r="L166" s="121" t="s">
        <v>143</v>
      </c>
      <c r="M166" s="104"/>
      <c r="N166" s="120"/>
      <c r="O166" s="120"/>
    </row>
    <row r="167" spans="1:15">
      <c r="A167" s="104"/>
      <c r="B167" s="104"/>
      <c r="D167" s="124">
        <v>0</v>
      </c>
      <c r="E167" s="124">
        <v>1</v>
      </c>
      <c r="F167" s="124">
        <v>2</v>
      </c>
      <c r="G167" s="124">
        <v>3</v>
      </c>
      <c r="H167" s="124">
        <v>4</v>
      </c>
      <c r="I167" s="124">
        <v>5</v>
      </c>
      <c r="J167" s="124">
        <v>6</v>
      </c>
      <c r="K167" s="124">
        <v>7</v>
      </c>
      <c r="L167" s="124">
        <v>8</v>
      </c>
      <c r="M167" s="104"/>
    </row>
    <row r="168" spans="1:15">
      <c r="A168" s="107" t="s">
        <v>144</v>
      </c>
      <c r="B168" s="104"/>
      <c r="C168" s="104"/>
      <c r="D168" s="104"/>
      <c r="E168" s="121">
        <v>2013</v>
      </c>
      <c r="F168" s="121">
        <v>2014</v>
      </c>
      <c r="G168" s="121">
        <v>2015</v>
      </c>
      <c r="H168" s="121">
        <v>2016</v>
      </c>
      <c r="I168" s="121">
        <v>2017</v>
      </c>
      <c r="J168" s="121">
        <v>2018</v>
      </c>
      <c r="K168" s="121">
        <v>2019</v>
      </c>
      <c r="L168" s="121">
        <v>2020</v>
      </c>
      <c r="M168" s="104"/>
    </row>
    <row r="169" spans="1:15">
      <c r="A169" s="104"/>
      <c r="B169" s="104" t="s">
        <v>10</v>
      </c>
      <c r="C169" s="104"/>
      <c r="D169" s="137"/>
      <c r="E169" s="138">
        <f t="shared" ref="E169:L169" si="31">D37</f>
        <v>7452.222222222219</v>
      </c>
      <c r="F169" s="138">
        <f t="shared" si="31"/>
        <v>1055.7522222221887</v>
      </c>
      <c r="G169" s="138">
        <f t="shared" si="31"/>
        <v>-5634.6970836667169</v>
      </c>
      <c r="H169" s="138">
        <f t="shared" si="31"/>
        <v>21060.305485490186</v>
      </c>
      <c r="I169" s="138">
        <f t="shared" si="31"/>
        <v>14084.139248570835</v>
      </c>
      <c r="J169" s="138">
        <f t="shared" si="31"/>
        <v>6781.8152680055646</v>
      </c>
      <c r="K169" s="138">
        <f t="shared" si="31"/>
        <v>33852.318254431477</v>
      </c>
      <c r="L169" s="138">
        <f t="shared" si="31"/>
        <v>26206.14028773742</v>
      </c>
      <c r="M169" s="137"/>
    </row>
    <row r="170" spans="1:15">
      <c r="A170" s="104"/>
      <c r="B170" s="109" t="s">
        <v>145</v>
      </c>
      <c r="C170" s="104"/>
      <c r="D170" s="137"/>
      <c r="E170" s="138">
        <f t="shared" ref="E170:L170" si="32">D39</f>
        <v>4333.333333333333</v>
      </c>
      <c r="F170" s="138">
        <f t="shared" si="32"/>
        <v>4333.333333333333</v>
      </c>
      <c r="G170" s="138">
        <f t="shared" si="32"/>
        <v>4333.333333333333</v>
      </c>
      <c r="H170" s="138">
        <f t="shared" si="32"/>
        <v>4333.333333333333</v>
      </c>
      <c r="I170" s="138">
        <f t="shared" si="32"/>
        <v>4333.333333333333</v>
      </c>
      <c r="J170" s="138">
        <f t="shared" si="32"/>
        <v>4333.333333333333</v>
      </c>
      <c r="K170" s="138">
        <f t="shared" si="32"/>
        <v>4333.333333333333</v>
      </c>
      <c r="L170" s="138">
        <f t="shared" si="32"/>
        <v>4333.333333333333</v>
      </c>
      <c r="M170" s="137"/>
    </row>
    <row r="171" spans="1:15">
      <c r="A171" s="104"/>
      <c r="B171" s="104" t="s">
        <v>146</v>
      </c>
      <c r="C171" s="104"/>
      <c r="D171" s="137"/>
      <c r="E171" s="138">
        <f>E169-E170</f>
        <v>3118.888888888886</v>
      </c>
      <c r="F171" s="138">
        <f t="shared" ref="F171:L171" si="33">F169-F170</f>
        <v>-3277.5811111111443</v>
      </c>
      <c r="G171" s="138">
        <f t="shared" si="33"/>
        <v>-9968.0304170000491</v>
      </c>
      <c r="H171" s="138">
        <f t="shared" si="33"/>
        <v>16726.972152156854</v>
      </c>
      <c r="I171" s="138">
        <f t="shared" si="33"/>
        <v>9750.8059152375026</v>
      </c>
      <c r="J171" s="138">
        <f t="shared" si="33"/>
        <v>2448.4819346722315</v>
      </c>
      <c r="K171" s="138">
        <f t="shared" si="33"/>
        <v>29518.984921098145</v>
      </c>
      <c r="L171" s="138">
        <f t="shared" si="33"/>
        <v>21872.806954404088</v>
      </c>
      <c r="M171" s="137"/>
    </row>
    <row r="172" spans="1:15">
      <c r="A172" s="104"/>
      <c r="B172" s="109" t="s">
        <v>147</v>
      </c>
      <c r="C172" s="113">
        <f>C148</f>
        <v>0.32</v>
      </c>
      <c r="D172" s="137"/>
      <c r="E172" s="14">
        <f t="shared" ref="E172:L172" si="34">IF(E171*$C$172&lt;0,,E171*$C$172)</f>
        <v>998.04444444444357</v>
      </c>
      <c r="F172" s="14">
        <f t="shared" si="34"/>
        <v>0</v>
      </c>
      <c r="G172" s="14">
        <f t="shared" si="34"/>
        <v>0</v>
      </c>
      <c r="H172" s="138">
        <f t="shared" si="34"/>
        <v>5352.6310886901929</v>
      </c>
      <c r="I172" s="138">
        <f t="shared" si="34"/>
        <v>3120.2578928760008</v>
      </c>
      <c r="J172" s="138">
        <f t="shared" si="34"/>
        <v>783.51421909511407</v>
      </c>
      <c r="K172" s="138">
        <f t="shared" si="34"/>
        <v>9446.0751747514059</v>
      </c>
      <c r="L172" s="138">
        <f t="shared" si="34"/>
        <v>6999.2982254093085</v>
      </c>
      <c r="M172" s="137"/>
    </row>
    <row r="173" spans="1:15">
      <c r="A173" s="104"/>
      <c r="B173" s="104" t="s">
        <v>148</v>
      </c>
      <c r="C173" s="104"/>
      <c r="D173" s="137"/>
      <c r="E173" s="138">
        <f>E171-E172</f>
        <v>2120.8444444444422</v>
      </c>
      <c r="F173" s="138">
        <f t="shared" ref="F173:L173" si="35">F171-F172</f>
        <v>-3277.5811111111443</v>
      </c>
      <c r="G173" s="138">
        <f>G171-G172</f>
        <v>-9968.0304170000491</v>
      </c>
      <c r="H173" s="138">
        <f t="shared" si="35"/>
        <v>11374.341063466662</v>
      </c>
      <c r="I173" s="138">
        <f t="shared" si="35"/>
        <v>6630.5480223615014</v>
      </c>
      <c r="J173" s="138">
        <f t="shared" si="35"/>
        <v>1664.9677155771174</v>
      </c>
      <c r="K173" s="138">
        <f t="shared" si="35"/>
        <v>20072.909746346741</v>
      </c>
      <c r="L173" s="138">
        <f t="shared" si="35"/>
        <v>14873.508728994781</v>
      </c>
      <c r="M173" s="137"/>
    </row>
    <row r="174" spans="1:15">
      <c r="A174" s="104"/>
      <c r="B174" s="109" t="s">
        <v>149</v>
      </c>
      <c r="C174" s="104"/>
      <c r="D174" s="137"/>
      <c r="E174" s="138">
        <f>E170</f>
        <v>4333.333333333333</v>
      </c>
      <c r="F174" s="138">
        <f t="shared" ref="F174:L174" si="36">F170</f>
        <v>4333.333333333333</v>
      </c>
      <c r="G174" s="138">
        <f t="shared" si="36"/>
        <v>4333.333333333333</v>
      </c>
      <c r="H174" s="138">
        <f t="shared" si="36"/>
        <v>4333.333333333333</v>
      </c>
      <c r="I174" s="138">
        <f t="shared" si="36"/>
        <v>4333.333333333333</v>
      </c>
      <c r="J174" s="138">
        <f t="shared" si="36"/>
        <v>4333.333333333333</v>
      </c>
      <c r="K174" s="138">
        <f t="shared" si="36"/>
        <v>4333.333333333333</v>
      </c>
      <c r="L174" s="138">
        <f t="shared" si="36"/>
        <v>4333.333333333333</v>
      </c>
      <c r="M174" s="137"/>
    </row>
    <row r="175" spans="1:15">
      <c r="A175" s="104"/>
      <c r="B175" s="104" t="s">
        <v>150</v>
      </c>
      <c r="C175" s="104"/>
      <c r="D175" s="137"/>
      <c r="E175" s="138">
        <f>SUM(E173:E174)</f>
        <v>6454.1777777777752</v>
      </c>
      <c r="F175" s="138">
        <f t="shared" ref="F175:L175" si="37">SUM(F173:F174)</f>
        <v>1055.7522222221887</v>
      </c>
      <c r="G175" s="138">
        <f>SUM(G173:G174)</f>
        <v>-5634.697083666716</v>
      </c>
      <c r="H175" s="138">
        <f t="shared" si="37"/>
        <v>15707.674396799994</v>
      </c>
      <c r="I175" s="138">
        <f t="shared" si="37"/>
        <v>10963.881355694833</v>
      </c>
      <c r="J175" s="138">
        <f t="shared" si="37"/>
        <v>5998.3010489104508</v>
      </c>
      <c r="K175" s="138">
        <f t="shared" si="37"/>
        <v>24406.243079680073</v>
      </c>
      <c r="L175" s="138">
        <f t="shared" si="37"/>
        <v>19206.842062328113</v>
      </c>
      <c r="M175" s="137"/>
    </row>
    <row r="176" spans="1:15">
      <c r="A176" s="104"/>
      <c r="B176" s="104"/>
      <c r="C176" s="104"/>
      <c r="D176" s="137"/>
      <c r="E176" s="138"/>
      <c r="F176" s="138"/>
      <c r="G176" s="138"/>
      <c r="H176" s="138"/>
      <c r="I176" s="138"/>
      <c r="J176" s="138"/>
      <c r="K176" s="138"/>
      <c r="L176" s="138"/>
      <c r="M176" s="137"/>
    </row>
    <row r="177" spans="1:14">
      <c r="A177" s="107" t="s">
        <v>151</v>
      </c>
      <c r="B177" s="104"/>
      <c r="C177" s="104"/>
      <c r="D177" s="137"/>
      <c r="E177" s="138"/>
      <c r="F177" s="138"/>
      <c r="G177" s="138"/>
      <c r="H177" s="138"/>
      <c r="I177" s="138"/>
      <c r="J177" s="138"/>
      <c r="K177" s="138"/>
      <c r="L177" s="138"/>
      <c r="M177" s="137"/>
    </row>
    <row r="178" spans="1:14">
      <c r="A178" s="104"/>
      <c r="B178" s="104" t="s">
        <v>196</v>
      </c>
      <c r="C178" s="104"/>
      <c r="D178" s="138">
        <f>-D59</f>
        <v>-65000</v>
      </c>
      <c r="E178" s="139"/>
      <c r="F178" s="138"/>
      <c r="G178" s="138"/>
      <c r="H178" s="138"/>
      <c r="I178" s="138"/>
      <c r="J178" s="138"/>
      <c r="K178" s="138"/>
      <c r="L178" s="138">
        <f>(K59-K60)*0.9</f>
        <v>27300.000000000004</v>
      </c>
      <c r="M178" s="140" t="s">
        <v>198</v>
      </c>
      <c r="N178" s="1" t="s">
        <v>197</v>
      </c>
    </row>
    <row r="179" spans="1:14">
      <c r="A179" s="104"/>
      <c r="B179" s="104" t="s">
        <v>152</v>
      </c>
      <c r="C179" s="104"/>
      <c r="D179" s="137"/>
      <c r="E179" s="138"/>
      <c r="F179" s="138"/>
      <c r="G179" s="138"/>
      <c r="H179" s="138"/>
      <c r="I179" s="138"/>
      <c r="J179" s="138"/>
      <c r="K179" s="138"/>
      <c r="L179" s="138"/>
      <c r="M179" s="137">
        <f>IF(L178-(K59-K60)&gt;0,L178-(K59-K60),0)</f>
        <v>0</v>
      </c>
      <c r="N179" s="1" t="s">
        <v>199</v>
      </c>
    </row>
    <row r="180" spans="1:14">
      <c r="A180" s="104"/>
      <c r="B180" s="104" t="s">
        <v>153</v>
      </c>
      <c r="C180" s="113">
        <f>C172</f>
        <v>0.32</v>
      </c>
      <c r="D180" s="137"/>
      <c r="E180" s="138"/>
      <c r="F180" s="138"/>
      <c r="G180" s="138"/>
      <c r="H180" s="138"/>
      <c r="I180" s="138"/>
      <c r="J180" s="138"/>
      <c r="K180" s="138"/>
      <c r="L180" s="138">
        <f>IF(M179*C180&lt;0,,M179*C180)</f>
        <v>0</v>
      </c>
      <c r="M180" s="137"/>
      <c r="N180" s="1" t="s">
        <v>179</v>
      </c>
    </row>
    <row r="181" spans="1:14">
      <c r="A181" s="104"/>
      <c r="B181" s="104"/>
      <c r="C181" s="104"/>
      <c r="D181" s="137"/>
      <c r="E181" s="138"/>
      <c r="F181" s="138"/>
      <c r="G181" s="138"/>
      <c r="H181" s="138"/>
      <c r="I181" s="138"/>
      <c r="J181" s="138"/>
      <c r="K181" s="138"/>
      <c r="L181" s="138"/>
      <c r="M181" s="137"/>
    </row>
    <row r="182" spans="1:14">
      <c r="A182" s="107" t="s">
        <v>154</v>
      </c>
      <c r="B182" s="104"/>
      <c r="C182" s="104"/>
      <c r="D182" s="137"/>
      <c r="E182" s="138"/>
      <c r="F182" s="138"/>
      <c r="G182" s="138"/>
      <c r="H182" s="138"/>
      <c r="I182" s="138"/>
      <c r="J182" s="138"/>
      <c r="K182" s="138"/>
      <c r="L182" s="138"/>
      <c r="M182" s="137"/>
    </row>
    <row r="183" spans="1:14">
      <c r="A183" s="104"/>
      <c r="B183" s="104" t="s">
        <v>155</v>
      </c>
      <c r="C183" s="104"/>
      <c r="D183" s="137"/>
      <c r="E183" s="14">
        <f>D66</f>
        <v>0</v>
      </c>
      <c r="F183" s="14">
        <f>E66-D66</f>
        <v>0</v>
      </c>
      <c r="G183" s="14">
        <f>F66-E66</f>
        <v>0</v>
      </c>
      <c r="H183" s="14">
        <f>H172-G172</f>
        <v>5352.6310886901929</v>
      </c>
      <c r="I183" s="14">
        <f>I172-H172</f>
        <v>-2232.3731958141921</v>
      </c>
      <c r="J183" s="14">
        <f>J172-I172</f>
        <v>-2336.7436737808866</v>
      </c>
      <c r="K183" s="14">
        <f>K172-J172</f>
        <v>8662.5609556562922</v>
      </c>
      <c r="L183" s="14">
        <f>L172-K172</f>
        <v>-2446.7769493420974</v>
      </c>
      <c r="M183" s="137">
        <f>SUM(E183:L183)</f>
        <v>6999.2982254093085</v>
      </c>
    </row>
    <row r="184" spans="1:14">
      <c r="A184" s="104"/>
      <c r="B184" s="104" t="s">
        <v>23</v>
      </c>
      <c r="C184" s="104"/>
      <c r="D184" s="137"/>
      <c r="E184" s="138">
        <f>D65</f>
        <v>12962.962962962964</v>
      </c>
      <c r="F184" s="138">
        <f t="shared" ref="F184:L184" si="38">E65-D65</f>
        <v>522.40740740740875</v>
      </c>
      <c r="G184" s="138">
        <f t="shared" si="38"/>
        <v>543.46042592592676</v>
      </c>
      <c r="H184" s="138">
        <f t="shared" si="38"/>
        <v>565.36188109074283</v>
      </c>
      <c r="I184" s="138">
        <f t="shared" si="38"/>
        <v>588.14596489869655</v>
      </c>
      <c r="J184" s="138">
        <f t="shared" si="38"/>
        <v>611.84824728411149</v>
      </c>
      <c r="K184" s="138">
        <f t="shared" si="38"/>
        <v>636.50573164966772</v>
      </c>
      <c r="L184" s="138">
        <f t="shared" si="38"/>
        <v>662.156912635146</v>
      </c>
      <c r="M184" s="137">
        <f>SUM(E184:L184)</f>
        <v>17092.849533854664</v>
      </c>
    </row>
    <row r="185" spans="1:14">
      <c r="A185" s="104"/>
      <c r="B185" s="104" t="s">
        <v>18</v>
      </c>
      <c r="C185" s="104"/>
      <c r="D185" s="137"/>
      <c r="E185" s="14">
        <f t="shared" ref="E185:L185" si="39">-D56</f>
        <v>0</v>
      </c>
      <c r="F185" s="14">
        <f t="shared" si="39"/>
        <v>0</v>
      </c>
      <c r="G185" s="14">
        <f t="shared" si="39"/>
        <v>0</v>
      </c>
      <c r="H185" s="14">
        <f t="shared" si="39"/>
        <v>0</v>
      </c>
      <c r="I185" s="14">
        <f t="shared" si="39"/>
        <v>0</v>
      </c>
      <c r="J185" s="14">
        <f t="shared" si="39"/>
        <v>0</v>
      </c>
      <c r="K185" s="14">
        <f t="shared" si="39"/>
        <v>0</v>
      </c>
      <c r="L185" s="14">
        <f t="shared" si="39"/>
        <v>0</v>
      </c>
      <c r="M185" s="137">
        <f>SUM(E185:L185)</f>
        <v>0</v>
      </c>
    </row>
    <row r="186" spans="1:14">
      <c r="A186" s="104"/>
      <c r="B186" s="104" t="s">
        <v>19</v>
      </c>
      <c r="C186" s="104"/>
      <c r="D186" s="137"/>
      <c r="E186" s="138">
        <f>-D57</f>
        <v>-5000</v>
      </c>
      <c r="F186" s="138">
        <f t="shared" ref="F186:L186" si="40">D57-E57</f>
        <v>1887.9914529914527</v>
      </c>
      <c r="G186" s="138">
        <f t="shared" si="40"/>
        <v>-125.4139444444445</v>
      </c>
      <c r="H186" s="138">
        <f t="shared" si="40"/>
        <v>-130.46812640555618</v>
      </c>
      <c r="I186" s="138">
        <f t="shared" si="40"/>
        <v>-135.72599189969924</v>
      </c>
      <c r="J186" s="138">
        <f t="shared" si="40"/>
        <v>-141.19574937325706</v>
      </c>
      <c r="K186" s="138">
        <f t="shared" si="40"/>
        <v>-146.88593807299958</v>
      </c>
      <c r="L186" s="138">
        <f t="shared" si="40"/>
        <v>-152.80544137734159</v>
      </c>
      <c r="M186" s="137">
        <f>SUM(E186:L186)</f>
        <v>-3944.5037385818455</v>
      </c>
    </row>
    <row r="187" spans="1:14">
      <c r="A187" s="104"/>
      <c r="B187" s="104"/>
      <c r="C187" s="104"/>
      <c r="D187" s="137"/>
      <c r="E187" s="138"/>
      <c r="F187" s="138"/>
      <c r="G187" s="138"/>
      <c r="H187" s="138"/>
      <c r="I187" s="138"/>
      <c r="J187" s="138"/>
      <c r="K187" s="138"/>
      <c r="L187" s="138"/>
      <c r="M187" s="137"/>
    </row>
    <row r="188" spans="1:14">
      <c r="A188" s="107" t="s">
        <v>156</v>
      </c>
      <c r="B188" s="104"/>
      <c r="C188" s="104"/>
      <c r="D188" s="137"/>
      <c r="E188" s="138"/>
      <c r="F188" s="138"/>
      <c r="G188" s="138"/>
      <c r="H188" s="138"/>
      <c r="I188" s="138"/>
      <c r="J188" s="138"/>
      <c r="K188" s="138"/>
      <c r="L188" s="138"/>
      <c r="M188" s="137"/>
    </row>
    <row r="189" spans="1:14">
      <c r="A189" s="104"/>
      <c r="B189" s="104" t="s">
        <v>155</v>
      </c>
      <c r="C189" s="104"/>
      <c r="D189" s="137"/>
      <c r="E189" s="138"/>
      <c r="F189" s="138"/>
      <c r="G189" s="138"/>
      <c r="H189" s="138"/>
      <c r="I189" s="138"/>
      <c r="J189" s="138"/>
      <c r="K189" s="138"/>
      <c r="L189" s="138">
        <f>-L172</f>
        <v>-6999.2982254093085</v>
      </c>
      <c r="M189" s="139"/>
      <c r="N189" s="104" t="s">
        <v>166</v>
      </c>
    </row>
    <row r="190" spans="1:14">
      <c r="A190" s="104"/>
      <c r="B190" s="104" t="s">
        <v>23</v>
      </c>
      <c r="C190" s="104"/>
      <c r="D190" s="137"/>
      <c r="E190" s="138"/>
      <c r="F190" s="138"/>
      <c r="G190" s="138"/>
      <c r="H190" s="138"/>
      <c r="I190" s="138"/>
      <c r="J190" s="138"/>
      <c r="K190" s="138"/>
      <c r="L190" s="138">
        <f>-K65</f>
        <v>-17092.849533854664</v>
      </c>
      <c r="M190" s="137"/>
    </row>
    <row r="191" spans="1:14">
      <c r="A191" s="104"/>
      <c r="B191" s="104" t="s">
        <v>18</v>
      </c>
      <c r="C191" s="104"/>
      <c r="D191" s="137"/>
      <c r="E191" s="138"/>
      <c r="F191" s="138"/>
      <c r="G191" s="138"/>
      <c r="H191" s="138"/>
      <c r="I191" s="138"/>
      <c r="J191" s="138"/>
      <c r="K191" s="138"/>
      <c r="L191" s="138">
        <f>L111</f>
        <v>0</v>
      </c>
      <c r="M191" s="137"/>
    </row>
    <row r="192" spans="1:14">
      <c r="A192" s="104"/>
      <c r="B192" s="104" t="s">
        <v>19</v>
      </c>
      <c r="C192" s="104"/>
      <c r="D192" s="137"/>
      <c r="E192" s="138"/>
      <c r="F192" s="138"/>
      <c r="G192" s="138"/>
      <c r="H192" s="138"/>
      <c r="I192" s="138"/>
      <c r="J192" s="138"/>
      <c r="K192" s="138"/>
      <c r="L192" s="138">
        <f>K57</f>
        <v>3944.5037385818455</v>
      </c>
      <c r="M192" s="137"/>
    </row>
    <row r="193" spans="1:15">
      <c r="A193" s="104"/>
      <c r="B193" s="104"/>
      <c r="C193" s="104"/>
      <c r="D193" s="137"/>
      <c r="E193" s="138"/>
      <c r="F193" s="138"/>
      <c r="G193" s="138"/>
      <c r="H193" s="138"/>
      <c r="I193" s="138"/>
      <c r="J193" s="138"/>
      <c r="K193" s="138"/>
      <c r="L193" s="138"/>
      <c r="M193" s="137"/>
    </row>
    <row r="194" spans="1:15">
      <c r="A194" s="104"/>
      <c r="B194" s="104" t="s">
        <v>157</v>
      </c>
      <c r="C194" s="104"/>
      <c r="D194" s="138">
        <f>SUM(D175:D193)</f>
        <v>-65000</v>
      </c>
      <c r="E194" s="138">
        <f>SUM(E175:E193)</f>
        <v>14417.140740740739</v>
      </c>
      <c r="F194" s="138">
        <f t="shared" ref="F194:L194" si="41">SUM(F175:F193)</f>
        <v>3466.1510826210501</v>
      </c>
      <c r="G194" s="138">
        <f t="shared" si="41"/>
        <v>-5216.6506021852338</v>
      </c>
      <c r="H194" s="138">
        <f t="shared" si="41"/>
        <v>21495.199240175374</v>
      </c>
      <c r="I194" s="138">
        <f t="shared" si="41"/>
        <v>9183.9281328796387</v>
      </c>
      <c r="J194" s="138">
        <f t="shared" si="41"/>
        <v>4132.2098730404186</v>
      </c>
      <c r="K194" s="138">
        <f t="shared" si="41"/>
        <v>33558.42382891303</v>
      </c>
      <c r="L194" s="138">
        <f t="shared" si="41"/>
        <v>24421.772563561692</v>
      </c>
      <c r="M194" s="137"/>
    </row>
    <row r="195" spans="1:15">
      <c r="A195" s="104"/>
      <c r="B195" s="104"/>
      <c r="C195" s="104"/>
      <c r="D195" s="137"/>
      <c r="E195" s="138"/>
      <c r="F195" s="138"/>
      <c r="G195" s="138"/>
      <c r="H195" s="138"/>
      <c r="I195" s="138"/>
      <c r="J195" s="138"/>
      <c r="K195" s="138"/>
      <c r="L195" s="138"/>
      <c r="M195" s="137"/>
      <c r="N195" s="104" t="s">
        <v>158</v>
      </c>
    </row>
    <row r="196" spans="1:15">
      <c r="A196" s="104"/>
      <c r="B196" s="104" t="s">
        <v>159</v>
      </c>
      <c r="C196" s="104"/>
      <c r="D196" s="138">
        <f>-PV($I$134,D167,,D194)</f>
        <v>-65000</v>
      </c>
      <c r="E196" s="138">
        <f>-PV($I$134,E167,,E194)</f>
        <v>13366.000554313496</v>
      </c>
      <c r="F196" s="138">
        <f t="shared" ref="F196:L196" si="42">-PV($I$134,F167,,F194)</f>
        <v>2979.1485718027675</v>
      </c>
      <c r="G196" s="138">
        <f t="shared" si="42"/>
        <v>-4156.7964637636933</v>
      </c>
      <c r="H196" s="138">
        <f t="shared" si="42"/>
        <v>15879.280553687075</v>
      </c>
      <c r="I196" s="138">
        <f t="shared" si="42"/>
        <v>6289.8481410164732</v>
      </c>
      <c r="J196" s="138">
        <f t="shared" si="42"/>
        <v>2623.7133878710256</v>
      </c>
      <c r="K196" s="138">
        <f t="shared" si="42"/>
        <v>19754.130193724577</v>
      </c>
      <c r="L196" s="138">
        <f t="shared" si="42"/>
        <v>13327.720492128217</v>
      </c>
      <c r="M196" s="137"/>
      <c r="N196" s="125">
        <f>SUM(D196:L196)</f>
        <v>5063.0454307799446</v>
      </c>
    </row>
    <row r="197" spans="1:15">
      <c r="A197" s="104"/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25"/>
      <c r="O197" s="104"/>
    </row>
    <row r="198" spans="1:15">
      <c r="A198" s="104"/>
      <c r="B198" s="104"/>
      <c r="C198" s="104"/>
      <c r="D198" s="104"/>
      <c r="E198" s="104"/>
      <c r="F198" s="127" t="s">
        <v>160</v>
      </c>
      <c r="G198" s="126">
        <f>IRR(D194:L194)</f>
        <v>9.453880468259257E-2</v>
      </c>
      <c r="H198" s="104"/>
      <c r="I198" s="104"/>
      <c r="J198" s="104"/>
      <c r="K198" s="104"/>
      <c r="L198" s="104"/>
      <c r="M198" s="104"/>
      <c r="N198" s="104"/>
      <c r="O198" s="104"/>
    </row>
    <row r="201" spans="1:15">
      <c r="B201" s="1" t="s">
        <v>167</v>
      </c>
    </row>
    <row r="205" spans="1:15">
      <c r="B205" s="3" t="s">
        <v>172</v>
      </c>
    </row>
    <row r="206" spans="1:15">
      <c r="B206" s="1" t="s">
        <v>173</v>
      </c>
    </row>
    <row r="207" spans="1:15">
      <c r="B207" s="1" t="s">
        <v>168</v>
      </c>
    </row>
    <row r="208" spans="1:15">
      <c r="B208" s="1" t="s">
        <v>174</v>
      </c>
    </row>
    <row r="209" spans="1:4">
      <c r="B209" s="1" t="s">
        <v>175</v>
      </c>
    </row>
    <row r="211" spans="1:4">
      <c r="B211" s="1" t="s">
        <v>169</v>
      </c>
      <c r="D211" s="17">
        <f>K194*(1+0.015)/(I134-0.015)</f>
        <v>535202.42737360974</v>
      </c>
    </row>
    <row r="213" spans="1:4">
      <c r="A213" s="3" t="s">
        <v>176</v>
      </c>
    </row>
    <row r="214" spans="1:4">
      <c r="A214" s="1" t="s">
        <v>177</v>
      </c>
    </row>
    <row r="215" spans="1:4">
      <c r="A215" s="1" t="s">
        <v>178</v>
      </c>
    </row>
  </sheetData>
  <sheetProtection selectLockedCells="1" selectUnlockedCells="1"/>
  <phoneticPr fontId="7" type="noConversion"/>
  <pageMargins left="0.7" right="0.7" top="0.75" bottom="0.75" header="0.51180555555555551" footer="0.51180555555555551"/>
  <pageSetup firstPageNumber="0" fitToHeight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A4" workbookViewId="0">
      <selection activeCell="C8" sqref="C8"/>
    </sheetView>
  </sheetViews>
  <sheetFormatPr defaultColWidth="11.42578125" defaultRowHeight="12.75"/>
  <cols>
    <col min="1" max="1" width="30.140625" customWidth="1"/>
    <col min="2" max="3" width="12.7109375" customWidth="1"/>
    <col min="4" max="4" width="12.85546875" customWidth="1"/>
    <col min="5" max="5" width="13.42578125" customWidth="1"/>
    <col min="6" max="6" width="12.42578125" customWidth="1"/>
    <col min="8" max="8" width="13" bestFit="1" customWidth="1"/>
  </cols>
  <sheetData>
    <row r="1" spans="1:12">
      <c r="A1" s="54"/>
      <c r="B1" s="54"/>
      <c r="C1" s="54"/>
      <c r="D1" s="54"/>
      <c r="E1" s="54"/>
      <c r="F1" s="54"/>
      <c r="G1" s="54"/>
      <c r="H1" s="54"/>
      <c r="I1" s="54"/>
      <c r="J1" s="55"/>
      <c r="K1" s="54"/>
      <c r="L1" s="54"/>
    </row>
    <row r="2" spans="1:12">
      <c r="A2" s="56"/>
      <c r="B2" s="57"/>
      <c r="C2" s="57"/>
      <c r="D2" s="57"/>
      <c r="E2" s="57"/>
      <c r="F2" s="57"/>
      <c r="G2" s="54"/>
      <c r="H2" s="54"/>
      <c r="I2" s="54"/>
      <c r="J2" s="54"/>
      <c r="K2" s="54"/>
      <c r="L2" s="54"/>
    </row>
    <row r="3" spans="1:12">
      <c r="A3" s="56"/>
      <c r="B3" s="57"/>
      <c r="C3" s="57"/>
      <c r="D3" s="57"/>
      <c r="E3" s="57"/>
      <c r="F3" s="57"/>
      <c r="G3" s="54"/>
      <c r="H3" s="54"/>
      <c r="I3" s="54"/>
      <c r="J3" s="54"/>
      <c r="K3" s="54"/>
      <c r="L3" s="54"/>
    </row>
    <row r="4" spans="1:12">
      <c r="A4" s="56"/>
      <c r="B4" s="57"/>
      <c r="C4" s="57"/>
      <c r="D4" s="57"/>
      <c r="E4" s="57"/>
      <c r="F4" s="57"/>
      <c r="G4" s="54"/>
      <c r="H4" s="54"/>
      <c r="I4" s="54"/>
      <c r="J4" s="54"/>
      <c r="K4" s="54"/>
      <c r="L4" s="54"/>
    </row>
    <row r="5" spans="1:12">
      <c r="A5" s="56"/>
      <c r="B5" s="57"/>
      <c r="C5" s="57"/>
      <c r="D5" s="57"/>
      <c r="E5" s="57"/>
      <c r="F5" s="57"/>
      <c r="G5" s="54"/>
      <c r="H5" s="54"/>
      <c r="I5" s="54"/>
      <c r="J5" s="54"/>
      <c r="K5" s="54"/>
      <c r="L5" s="58"/>
    </row>
    <row r="6" spans="1:12">
      <c r="A6" s="56"/>
      <c r="B6" s="57"/>
      <c r="C6" s="57"/>
      <c r="D6" s="57"/>
      <c r="E6" s="57"/>
      <c r="F6" s="57"/>
      <c r="G6" s="54"/>
      <c r="H6" s="54"/>
      <c r="I6" s="54"/>
      <c r="J6" s="54"/>
      <c r="K6" s="54"/>
      <c r="L6" s="54"/>
    </row>
    <row r="7" spans="1:12">
      <c r="A7" s="56"/>
      <c r="B7" s="57" t="s">
        <v>97</v>
      </c>
      <c r="C7" s="57">
        <v>65000</v>
      </c>
      <c r="J7" s="54"/>
      <c r="K7" s="54"/>
      <c r="L7" s="54"/>
    </row>
    <row r="8" spans="1:12" ht="15">
      <c r="A8" s="56"/>
      <c r="B8" s="57" t="s">
        <v>33</v>
      </c>
      <c r="C8" s="66">
        <v>0.1</v>
      </c>
      <c r="J8" s="69"/>
      <c r="K8" s="54"/>
      <c r="L8" s="54"/>
    </row>
    <row r="9" spans="1:12" ht="15">
      <c r="A9" s="56"/>
      <c r="B9" s="57" t="s">
        <v>100</v>
      </c>
      <c r="C9" s="68">
        <v>15</v>
      </c>
      <c r="J9" s="71"/>
      <c r="K9" s="58"/>
      <c r="L9" s="54"/>
    </row>
    <row r="10" spans="1:12">
      <c r="A10" s="56"/>
      <c r="D10" s="70"/>
      <c r="J10" s="71"/>
      <c r="K10" s="54"/>
      <c r="L10" s="54"/>
    </row>
    <row r="11" spans="1:12">
      <c r="A11" s="56"/>
      <c r="B11" s="57"/>
      <c r="C11" s="57"/>
      <c r="J11" s="71"/>
      <c r="K11" s="54"/>
      <c r="L11" s="54"/>
    </row>
    <row r="12" spans="1:12">
      <c r="A12" s="56"/>
      <c r="B12" s="57"/>
      <c r="C12" s="57"/>
      <c r="J12" s="71"/>
      <c r="K12" s="54"/>
      <c r="L12" s="54"/>
    </row>
    <row r="13" spans="1:12">
      <c r="A13" s="56"/>
      <c r="B13" s="57"/>
      <c r="C13" s="57"/>
      <c r="J13" s="71"/>
      <c r="K13" s="54"/>
      <c r="L13" s="54"/>
    </row>
    <row r="14" spans="1:12" ht="25.5">
      <c r="A14" s="63"/>
      <c r="B14" s="57" t="s">
        <v>105</v>
      </c>
      <c r="C14" s="57"/>
      <c r="D14" s="57"/>
      <c r="E14" s="54"/>
      <c r="F14" s="54"/>
      <c r="J14" s="71"/>
      <c r="K14" s="54"/>
      <c r="L14" s="54"/>
    </row>
    <row r="15" spans="1:12">
      <c r="A15" s="56"/>
      <c r="B15" s="57" t="s">
        <v>101</v>
      </c>
      <c r="C15" s="57" t="s">
        <v>102</v>
      </c>
      <c r="D15" s="57" t="s">
        <v>103</v>
      </c>
      <c r="E15" s="54" t="s">
        <v>104</v>
      </c>
      <c r="F15" s="69" t="s">
        <v>28</v>
      </c>
      <c r="G15" s="69" t="s">
        <v>106</v>
      </c>
      <c r="J15" s="71"/>
      <c r="K15" s="54"/>
      <c r="L15" s="54"/>
    </row>
    <row r="16" spans="1:12" ht="15">
      <c r="A16" s="56"/>
      <c r="B16" s="68">
        <v>1</v>
      </c>
      <c r="C16" s="68">
        <v>1</v>
      </c>
      <c r="D16" s="68">
        <f>C16+11</f>
        <v>12</v>
      </c>
      <c r="E16" s="17">
        <f t="shared" ref="E16:E30" si="0">-CUMIPMT($C$8/12,$C$9*12,$C$7,C16,D16,0)</f>
        <v>6411.303845067644</v>
      </c>
      <c r="F16" s="17">
        <f t="shared" ref="F16:F30" si="1">-CUMPRINC($C$8/12,$C$9*12,$C$7,C16,D16,0)</f>
        <v>1970.6160730556633</v>
      </c>
      <c r="G16" s="72">
        <f>F16</f>
        <v>1970.6160730556633</v>
      </c>
      <c r="J16" s="71"/>
      <c r="K16" s="54"/>
      <c r="L16" s="54"/>
    </row>
    <row r="17" spans="1:12" ht="15">
      <c r="A17" s="56"/>
      <c r="B17" s="68">
        <v>2</v>
      </c>
      <c r="C17" s="68">
        <f>D16+1</f>
        <v>13</v>
      </c>
      <c r="D17" s="68">
        <f t="shared" ref="D17:D30" si="2">C17+11</f>
        <v>24</v>
      </c>
      <c r="E17" s="17">
        <f t="shared" si="0"/>
        <v>6204.9545913088623</v>
      </c>
      <c r="F17" s="17">
        <f t="shared" si="1"/>
        <v>2176.9653268144452</v>
      </c>
      <c r="G17" s="72">
        <f>G16+F17</f>
        <v>4147.5813998701087</v>
      </c>
      <c r="J17" s="71"/>
      <c r="K17" s="54"/>
      <c r="L17" s="54"/>
    </row>
    <row r="18" spans="1:12" ht="15">
      <c r="A18" s="56"/>
      <c r="B18" s="68">
        <v>3</v>
      </c>
      <c r="C18" s="68">
        <f t="shared" ref="C18:C30" si="3">D17+1</f>
        <v>25</v>
      </c>
      <c r="D18" s="68">
        <f t="shared" si="2"/>
        <v>36</v>
      </c>
      <c r="E18" s="17">
        <f t="shared" si="0"/>
        <v>5976.9978742247749</v>
      </c>
      <c r="F18" s="17">
        <f t="shared" si="1"/>
        <v>2404.9220438985321</v>
      </c>
      <c r="G18" s="72">
        <f t="shared" ref="G18:G30" si="4">G17+F18</f>
        <v>6552.5034437686409</v>
      </c>
      <c r="J18" s="71"/>
      <c r="K18" s="54"/>
      <c r="L18" s="54"/>
    </row>
    <row r="19" spans="1:12" ht="15">
      <c r="A19" s="56"/>
      <c r="B19" s="68">
        <v>4</v>
      </c>
      <c r="C19" s="68">
        <f t="shared" si="3"/>
        <v>37</v>
      </c>
      <c r="D19" s="68">
        <f t="shared" si="2"/>
        <v>48</v>
      </c>
      <c r="E19" s="17">
        <f t="shared" si="0"/>
        <v>5725.1711100509656</v>
      </c>
      <c r="F19" s="17">
        <f t="shared" si="1"/>
        <v>2656.7488080723415</v>
      </c>
      <c r="G19" s="72">
        <f t="shared" si="4"/>
        <v>9209.2522518409824</v>
      </c>
      <c r="J19" s="71"/>
      <c r="K19" s="54"/>
      <c r="L19" s="54"/>
    </row>
    <row r="20" spans="1:12" ht="15">
      <c r="A20" s="56"/>
      <c r="B20" s="68">
        <v>5</v>
      </c>
      <c r="C20" s="68">
        <f t="shared" si="3"/>
        <v>49</v>
      </c>
      <c r="D20" s="68">
        <f t="shared" si="2"/>
        <v>60</v>
      </c>
      <c r="E20" s="17">
        <f t="shared" si="0"/>
        <v>5446.9747929367013</v>
      </c>
      <c r="F20" s="17">
        <f t="shared" si="1"/>
        <v>2934.9451251866058</v>
      </c>
      <c r="G20" s="72">
        <f t="shared" si="4"/>
        <v>12144.197377027587</v>
      </c>
      <c r="J20" s="71"/>
      <c r="K20" s="54"/>
      <c r="L20" s="54"/>
    </row>
    <row r="21" spans="1:12" ht="15">
      <c r="A21" s="56"/>
      <c r="B21" s="68">
        <v>6</v>
      </c>
      <c r="C21" s="68">
        <f t="shared" si="3"/>
        <v>61</v>
      </c>
      <c r="D21" s="68">
        <f t="shared" si="2"/>
        <v>72</v>
      </c>
      <c r="E21" s="17">
        <f t="shared" si="0"/>
        <v>5139.6476861065294</v>
      </c>
      <c r="F21" s="17">
        <f t="shared" si="1"/>
        <v>3242.2722320167782</v>
      </c>
      <c r="G21" s="72">
        <f t="shared" si="4"/>
        <v>15386.469609044365</v>
      </c>
      <c r="J21" s="71"/>
      <c r="K21" s="54"/>
      <c r="L21" s="54"/>
    </row>
    <row r="22" spans="1:12" ht="15">
      <c r="A22" s="56"/>
      <c r="B22" s="68">
        <v>7</v>
      </c>
      <c r="C22" s="68">
        <f t="shared" si="3"/>
        <v>73</v>
      </c>
      <c r="D22" s="68">
        <f t="shared" si="2"/>
        <v>84</v>
      </c>
      <c r="E22" s="17">
        <f t="shared" si="0"/>
        <v>4800.1394152123112</v>
      </c>
      <c r="F22" s="17">
        <f t="shared" si="1"/>
        <v>3581.7805029109959</v>
      </c>
      <c r="G22" s="72">
        <f t="shared" si="4"/>
        <v>18968.25011195536</v>
      </c>
      <c r="J22" s="71"/>
      <c r="K22" s="54"/>
      <c r="L22" s="54"/>
    </row>
    <row r="23" spans="1:12" ht="15">
      <c r="A23" s="56"/>
      <c r="B23" s="68">
        <v>8</v>
      </c>
      <c r="C23" s="68">
        <f t="shared" si="3"/>
        <v>85</v>
      </c>
      <c r="D23" s="68">
        <f t="shared" si="2"/>
        <v>96</v>
      </c>
      <c r="E23" s="17">
        <f t="shared" si="0"/>
        <v>4425.0801918510679</v>
      </c>
      <c r="F23" s="17">
        <f t="shared" si="1"/>
        <v>3956.8397262722392</v>
      </c>
      <c r="G23" s="72">
        <f t="shared" si="4"/>
        <v>22925.089838227599</v>
      </c>
      <c r="J23" s="71"/>
      <c r="K23" s="54"/>
      <c r="L23" s="54"/>
    </row>
    <row r="24" spans="1:12" ht="15">
      <c r="A24" s="56"/>
      <c r="B24" s="68">
        <v>9</v>
      </c>
      <c r="C24" s="68">
        <f t="shared" si="3"/>
        <v>97</v>
      </c>
      <c r="D24" s="68">
        <f t="shared" si="2"/>
        <v>108</v>
      </c>
      <c r="E24" s="17">
        <f t="shared" si="0"/>
        <v>4010.7473667395188</v>
      </c>
      <c r="F24" s="17">
        <f t="shared" si="1"/>
        <v>4371.1725513837882</v>
      </c>
      <c r="G24" s="72">
        <f t="shared" si="4"/>
        <v>27296.262389611387</v>
      </c>
      <c r="J24" s="54"/>
      <c r="K24" s="54"/>
      <c r="L24" s="54"/>
    </row>
    <row r="25" spans="1:12" ht="15">
      <c r="A25" s="56"/>
      <c r="B25" s="68">
        <v>10</v>
      </c>
      <c r="C25" s="68">
        <f t="shared" si="3"/>
        <v>109</v>
      </c>
      <c r="D25" s="68">
        <f t="shared" si="2"/>
        <v>120</v>
      </c>
      <c r="E25" s="17">
        <f t="shared" si="0"/>
        <v>3553.0284805689207</v>
      </c>
      <c r="F25" s="17">
        <f t="shared" si="1"/>
        <v>4828.8914375543864</v>
      </c>
      <c r="G25" s="72">
        <f t="shared" si="4"/>
        <v>32125.153827165774</v>
      </c>
      <c r="H25" s="54"/>
      <c r="I25" s="54"/>
      <c r="J25" s="54"/>
      <c r="K25" s="54"/>
      <c r="L25" s="54"/>
    </row>
    <row r="26" spans="1:12" ht="15">
      <c r="A26" s="56"/>
      <c r="B26" s="68">
        <v>11</v>
      </c>
      <c r="C26" s="68">
        <f t="shared" si="3"/>
        <v>121</v>
      </c>
      <c r="D26" s="68">
        <f t="shared" si="2"/>
        <v>132</v>
      </c>
      <c r="E26" s="17">
        <f t="shared" si="0"/>
        <v>3047.3804458015866</v>
      </c>
      <c r="F26" s="17">
        <f t="shared" si="1"/>
        <v>5334.5394723217205</v>
      </c>
      <c r="G26" s="72">
        <f t="shared" si="4"/>
        <v>37459.693299487495</v>
      </c>
      <c r="H26" s="54"/>
      <c r="I26" s="54"/>
      <c r="J26" s="54"/>
      <c r="K26" s="54"/>
      <c r="L26" s="54"/>
    </row>
    <row r="27" spans="1:12" ht="15">
      <c r="A27" s="56"/>
      <c r="B27" s="68">
        <v>12</v>
      </c>
      <c r="C27" s="68">
        <f t="shared" si="3"/>
        <v>133</v>
      </c>
      <c r="D27" s="68">
        <f t="shared" si="2"/>
        <v>144</v>
      </c>
      <c r="E27" s="17">
        <f t="shared" si="0"/>
        <v>2488.7844542680996</v>
      </c>
      <c r="F27" s="17">
        <f t="shared" si="1"/>
        <v>5893.1354638552075</v>
      </c>
      <c r="G27" s="72">
        <f t="shared" si="4"/>
        <v>43352.828763342703</v>
      </c>
      <c r="H27" s="54"/>
      <c r="I27" s="61"/>
      <c r="J27" s="62"/>
      <c r="K27" s="54"/>
      <c r="L27" s="54"/>
    </row>
    <row r="28" spans="1:12" ht="15">
      <c r="A28" s="63"/>
      <c r="B28" s="68">
        <v>13</v>
      </c>
      <c r="C28" s="68">
        <f t="shared" si="3"/>
        <v>145</v>
      </c>
      <c r="D28" s="68">
        <f t="shared" si="2"/>
        <v>156</v>
      </c>
      <c r="E28" s="17">
        <f t="shared" si="0"/>
        <v>1871.696163000729</v>
      </c>
      <c r="F28" s="17">
        <f t="shared" si="1"/>
        <v>6510.223755122578</v>
      </c>
      <c r="G28" s="72">
        <f t="shared" si="4"/>
        <v>49863.05251846528</v>
      </c>
      <c r="H28" s="54"/>
      <c r="I28" s="54"/>
      <c r="J28" s="54"/>
      <c r="K28" s="54"/>
      <c r="L28" s="54"/>
    </row>
    <row r="29" spans="1:12" ht="15">
      <c r="A29" s="56"/>
      <c r="B29" s="68">
        <v>14</v>
      </c>
      <c r="C29" s="68">
        <f t="shared" si="3"/>
        <v>157</v>
      </c>
      <c r="D29" s="68">
        <f t="shared" si="2"/>
        <v>168</v>
      </c>
      <c r="E29" s="17">
        <f t="shared" si="0"/>
        <v>1189.9906638726425</v>
      </c>
      <c r="F29" s="17">
        <f t="shared" si="1"/>
        <v>7191.9292542506646</v>
      </c>
      <c r="G29" s="72">
        <f t="shared" si="4"/>
        <v>57054.981772715946</v>
      </c>
      <c r="H29" s="54"/>
      <c r="I29" s="54"/>
      <c r="J29" s="54"/>
      <c r="K29" s="54"/>
      <c r="L29" s="54"/>
    </row>
    <row r="30" spans="1:12" ht="15">
      <c r="A30" s="56"/>
      <c r="B30" s="68">
        <v>15</v>
      </c>
      <c r="C30" s="68">
        <f t="shared" si="3"/>
        <v>169</v>
      </c>
      <c r="D30" s="68">
        <f t="shared" si="2"/>
        <v>180</v>
      </c>
      <c r="E30" s="17">
        <f t="shared" si="0"/>
        <v>436.90169083925412</v>
      </c>
      <c r="F30" s="17">
        <f t="shared" si="1"/>
        <v>7945.018227284053</v>
      </c>
      <c r="G30" s="72">
        <f t="shared" si="4"/>
        <v>65000</v>
      </c>
      <c r="H30" s="54"/>
      <c r="I30" s="54"/>
      <c r="J30" s="54"/>
      <c r="K30" s="54"/>
      <c r="L30" s="54"/>
    </row>
    <row r="31" spans="1:12">
      <c r="A31" s="56"/>
      <c r="B31" s="57"/>
      <c r="C31" s="57"/>
      <c r="D31" s="54"/>
      <c r="E31" s="54"/>
      <c r="F31" s="54"/>
      <c r="G31" s="54"/>
      <c r="H31" s="54"/>
      <c r="I31" s="54"/>
      <c r="J31" s="54"/>
      <c r="K31" s="54"/>
      <c r="L31" s="54"/>
    </row>
    <row r="32" spans="1:12">
      <c r="A32" s="56"/>
      <c r="B32" s="57"/>
      <c r="C32" s="57"/>
      <c r="D32" s="57"/>
      <c r="E32" s="57"/>
      <c r="F32" s="57"/>
      <c r="G32" s="54"/>
      <c r="H32" s="54"/>
      <c r="I32" s="54"/>
      <c r="J32" s="54"/>
      <c r="K32" s="54"/>
      <c r="L32" s="54"/>
    </row>
    <row r="33" spans="1:12">
      <c r="A33" s="56"/>
      <c r="B33" s="57"/>
      <c r="C33" s="57"/>
      <c r="D33" s="57"/>
      <c r="E33" s="57"/>
      <c r="F33" s="57"/>
      <c r="G33" s="54"/>
      <c r="H33" s="54"/>
      <c r="I33" s="54"/>
      <c r="J33" s="54"/>
      <c r="K33" s="54"/>
      <c r="L33" s="54"/>
    </row>
    <row r="34" spans="1:12">
      <c r="A34" s="56"/>
      <c r="B34" s="57"/>
      <c r="C34" s="57"/>
      <c r="D34" s="57"/>
      <c r="E34" s="57"/>
      <c r="F34" s="57"/>
      <c r="G34" s="54"/>
      <c r="H34" s="54"/>
      <c r="I34" s="54"/>
      <c r="J34" s="54"/>
      <c r="K34" s="54"/>
      <c r="L34" s="54"/>
    </row>
    <row r="35" spans="1:12">
      <c r="A35" s="56"/>
      <c r="B35" s="57"/>
      <c r="C35" s="57"/>
      <c r="D35" s="57"/>
      <c r="E35" s="57"/>
      <c r="F35" s="57"/>
      <c r="G35" s="54"/>
      <c r="H35" s="54"/>
      <c r="I35" s="54"/>
      <c r="J35" s="54"/>
      <c r="K35" s="54"/>
      <c r="L35" s="54"/>
    </row>
    <row r="36" spans="1:12">
      <c r="A36" s="56"/>
      <c r="B36" s="57"/>
      <c r="C36" s="57"/>
      <c r="D36" s="57"/>
      <c r="E36" s="57"/>
      <c r="F36" s="57"/>
      <c r="G36" s="54"/>
      <c r="H36" s="54"/>
      <c r="I36" s="54"/>
      <c r="J36" s="54"/>
      <c r="K36" s="54"/>
      <c r="L36" s="54"/>
    </row>
    <row r="37" spans="1:12">
      <c r="A37" s="56"/>
      <c r="B37" s="57"/>
      <c r="C37" s="57"/>
      <c r="D37" s="57"/>
      <c r="E37" s="57"/>
      <c r="F37" s="57"/>
      <c r="G37" s="54"/>
      <c r="H37" s="54"/>
      <c r="I37" s="54"/>
      <c r="J37" s="54"/>
      <c r="K37" s="54"/>
      <c r="L37" s="54"/>
    </row>
    <row r="38" spans="1:12">
      <c r="A38" s="56"/>
      <c r="B38" s="57"/>
      <c r="C38" s="57"/>
      <c r="D38" s="57"/>
      <c r="E38" s="57"/>
      <c r="F38" s="57"/>
      <c r="G38" s="54"/>
      <c r="H38" s="54"/>
      <c r="I38" s="54"/>
      <c r="J38" s="54"/>
      <c r="K38" s="54"/>
      <c r="L38" s="54"/>
    </row>
    <row r="39" spans="1:12">
      <c r="A39" s="56"/>
      <c r="B39" s="57"/>
      <c r="C39" s="57"/>
      <c r="D39" s="57"/>
      <c r="E39" s="57"/>
      <c r="F39" s="57"/>
      <c r="G39" s="54"/>
      <c r="H39" s="54"/>
      <c r="I39" s="54"/>
      <c r="J39" s="54"/>
      <c r="K39" s="54"/>
      <c r="L39" s="54"/>
    </row>
    <row r="40" spans="1:12">
      <c r="A40" s="56"/>
      <c r="B40" s="57"/>
      <c r="C40" s="57"/>
      <c r="D40" s="57"/>
      <c r="E40" s="57"/>
      <c r="F40" s="57"/>
      <c r="G40" s="54"/>
      <c r="H40" s="54"/>
      <c r="I40" s="54"/>
      <c r="J40" s="54"/>
      <c r="K40" s="54"/>
      <c r="L40" s="54"/>
    </row>
    <row r="41" spans="1:12" ht="15">
      <c r="A41" s="56"/>
      <c r="B41" s="57"/>
      <c r="C41" s="57"/>
      <c r="D41" s="57"/>
      <c r="E41" s="57"/>
      <c r="F41" s="60"/>
      <c r="G41" s="54"/>
      <c r="H41" s="54"/>
      <c r="I41" s="61"/>
      <c r="J41" s="62"/>
      <c r="K41" s="54"/>
      <c r="L41" s="54"/>
    </row>
    <row r="42" spans="1:12">
      <c r="A42" s="63"/>
      <c r="B42" s="63"/>
      <c r="C42" s="60"/>
      <c r="D42" s="60"/>
      <c r="E42" s="57"/>
      <c r="F42" s="57"/>
      <c r="G42" s="54"/>
      <c r="H42" s="54"/>
      <c r="I42" s="54"/>
      <c r="J42" s="54"/>
      <c r="K42" s="54"/>
      <c r="L42" s="54"/>
    </row>
    <row r="43" spans="1:12">
      <c r="A43" s="56"/>
      <c r="B43" s="56"/>
      <c r="C43" s="57"/>
      <c r="D43" s="57"/>
      <c r="E43" s="57"/>
      <c r="F43" s="57"/>
      <c r="G43" s="54"/>
      <c r="H43" s="54"/>
      <c r="I43" s="54"/>
      <c r="J43" s="54"/>
      <c r="K43" s="54"/>
      <c r="L43" s="54"/>
    </row>
    <row r="44" spans="1:12">
      <c r="A44" s="56"/>
      <c r="B44" s="57"/>
      <c r="C44" s="57"/>
      <c r="D44" s="57"/>
      <c r="E44" s="57"/>
      <c r="F44" s="57"/>
      <c r="G44" s="54"/>
      <c r="H44" s="54"/>
      <c r="I44" s="54"/>
      <c r="J44" s="54"/>
      <c r="K44" s="54"/>
      <c r="L44" s="54"/>
    </row>
    <row r="45" spans="1:12">
      <c r="A45" s="56"/>
      <c r="B45" s="57"/>
      <c r="C45" s="57"/>
      <c r="D45" s="57"/>
      <c r="E45" s="57"/>
      <c r="F45" s="57"/>
      <c r="G45" s="54"/>
      <c r="H45" s="54"/>
      <c r="I45" s="54"/>
      <c r="J45" s="54"/>
      <c r="K45" s="54"/>
      <c r="L45" s="54"/>
    </row>
    <row r="46" spans="1:12">
      <c r="A46" s="56"/>
      <c r="B46" s="57"/>
      <c r="C46" s="57"/>
      <c r="D46" s="57"/>
      <c r="E46" s="57"/>
      <c r="F46" s="57"/>
      <c r="G46" s="54"/>
      <c r="H46" s="54"/>
      <c r="I46" s="54"/>
      <c r="J46" s="54"/>
      <c r="K46" s="54"/>
      <c r="L46" s="54"/>
    </row>
    <row r="47" spans="1:12">
      <c r="A47" s="56"/>
      <c r="B47" s="57"/>
      <c r="C47" s="57"/>
      <c r="D47" s="57"/>
      <c r="E47" s="57"/>
      <c r="F47" s="57"/>
      <c r="G47" s="54"/>
      <c r="H47" s="54"/>
      <c r="I47" s="54"/>
      <c r="J47" s="54"/>
      <c r="K47" s="54"/>
      <c r="L47" s="54"/>
    </row>
    <row r="48" spans="1:12">
      <c r="A48" s="56"/>
      <c r="B48" s="57"/>
      <c r="C48" s="57"/>
      <c r="D48" s="57"/>
      <c r="E48" s="57"/>
      <c r="F48" s="57"/>
      <c r="G48" s="54"/>
      <c r="H48" s="54"/>
      <c r="I48" s="54"/>
      <c r="J48" s="54"/>
      <c r="K48" s="54"/>
      <c r="L48" s="54"/>
    </row>
    <row r="49" spans="1:12">
      <c r="A49" s="56"/>
      <c r="B49" s="57"/>
      <c r="C49" s="57"/>
      <c r="D49" s="57"/>
      <c r="E49" s="57"/>
      <c r="F49" s="57"/>
      <c r="G49" s="54"/>
      <c r="H49" s="54"/>
      <c r="I49" s="54"/>
      <c r="J49" s="54"/>
      <c r="K49" s="54"/>
      <c r="L49" s="54"/>
    </row>
    <row r="50" spans="1:12">
      <c r="A50" s="56"/>
      <c r="B50" s="57"/>
      <c r="C50" s="57"/>
      <c r="D50" s="57"/>
      <c r="E50" s="57"/>
      <c r="F50" s="57"/>
      <c r="G50" s="54"/>
      <c r="H50" s="54"/>
      <c r="I50" s="54"/>
      <c r="J50" s="54"/>
      <c r="K50" s="54"/>
      <c r="L50" s="54"/>
    </row>
    <row r="51" spans="1:12">
      <c r="A51" s="56"/>
      <c r="B51" s="57"/>
      <c r="C51" s="57"/>
      <c r="D51" s="57"/>
      <c r="E51" s="57"/>
      <c r="F51" s="57"/>
      <c r="G51" s="54"/>
      <c r="H51" s="54"/>
      <c r="I51" s="54"/>
      <c r="J51" s="54"/>
      <c r="K51" s="54"/>
      <c r="L51" s="54"/>
    </row>
    <row r="52" spans="1:12">
      <c r="A52" s="56"/>
      <c r="B52" s="57"/>
      <c r="C52" s="57"/>
      <c r="D52" s="57"/>
      <c r="E52" s="57"/>
      <c r="F52" s="57"/>
      <c r="G52" s="54"/>
      <c r="H52" s="54"/>
      <c r="I52" s="54"/>
      <c r="J52" s="54"/>
      <c r="K52" s="54"/>
      <c r="L52" s="54"/>
    </row>
    <row r="53" spans="1:12">
      <c r="A53" s="56"/>
      <c r="B53" s="57"/>
      <c r="C53" s="57"/>
      <c r="D53" s="57"/>
      <c r="E53" s="57"/>
      <c r="F53" s="57"/>
      <c r="G53" s="54"/>
      <c r="H53" s="54"/>
      <c r="I53" s="54"/>
      <c r="J53" s="54"/>
      <c r="K53" s="54"/>
      <c r="L53" s="54"/>
    </row>
    <row r="54" spans="1:12">
      <c r="A54" s="56"/>
      <c r="B54" s="57"/>
      <c r="C54" s="57"/>
      <c r="D54" s="57"/>
      <c r="E54" s="57"/>
      <c r="F54" s="57"/>
      <c r="G54" s="54"/>
      <c r="H54" s="54"/>
      <c r="I54" s="54"/>
      <c r="J54" s="54"/>
      <c r="K54" s="54"/>
      <c r="L54" s="54"/>
    </row>
    <row r="55" spans="1:12" ht="15">
      <c r="A55" s="56"/>
      <c r="B55" s="57"/>
      <c r="C55" s="57"/>
      <c r="D55" s="57"/>
      <c r="E55" s="57"/>
      <c r="F55" s="60"/>
      <c r="G55" s="54"/>
      <c r="H55" s="57"/>
      <c r="I55" s="61"/>
      <c r="J55" s="62"/>
      <c r="K55" s="54"/>
      <c r="L55" s="54"/>
    </row>
    <row r="56" spans="1:12">
      <c r="A56" s="63"/>
      <c r="B56" s="59"/>
      <c r="C56" s="60"/>
      <c r="D56" s="60"/>
      <c r="E56" s="54"/>
      <c r="F56" s="54"/>
      <c r="G56" s="54"/>
      <c r="H56" s="54"/>
      <c r="I56" s="54"/>
      <c r="J56" s="54"/>
      <c r="K56" s="54"/>
      <c r="L56" s="54"/>
    </row>
  </sheetData>
  <sheetProtection selectLockedCells="1" selectUnlockedCells="1"/>
  <phoneticPr fontId="7" type="noConversion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4"/>
  <sheetViews>
    <sheetView workbookViewId="0">
      <selection activeCell="B16" sqref="B16"/>
    </sheetView>
  </sheetViews>
  <sheetFormatPr defaultColWidth="8.85546875" defaultRowHeight="12.75"/>
  <cols>
    <col min="1" max="1" width="14.85546875" customWidth="1"/>
    <col min="2" max="2" width="15.42578125" bestFit="1" customWidth="1"/>
  </cols>
  <sheetData>
    <row r="3" spans="1:6">
      <c r="A3" s="128" t="s">
        <v>180</v>
      </c>
    </row>
    <row r="4" spans="1:6">
      <c r="C4" s="128" t="s">
        <v>33</v>
      </c>
      <c r="D4" s="128" t="s">
        <v>183</v>
      </c>
    </row>
    <row r="5" spans="1:6" ht="15">
      <c r="A5" s="128" t="s">
        <v>181</v>
      </c>
      <c r="B5" s="129">
        <v>100000</v>
      </c>
      <c r="C5" s="131">
        <v>0.15</v>
      </c>
      <c r="D5" s="66">
        <f>B5/$B$7</f>
        <v>0.2</v>
      </c>
    </row>
    <row r="6" spans="1:6" ht="15">
      <c r="A6" s="128" t="s">
        <v>182</v>
      </c>
      <c r="B6" s="129">
        <v>400000</v>
      </c>
      <c r="C6" s="131">
        <v>0.05</v>
      </c>
      <c r="D6" s="66">
        <f>B6/$B$7</f>
        <v>0.8</v>
      </c>
    </row>
    <row r="7" spans="1:6">
      <c r="B7" s="130">
        <f>SUM(B5:B6)</f>
        <v>500000</v>
      </c>
      <c r="C7" s="128"/>
    </row>
    <row r="9" spans="1:6">
      <c r="A9" s="128" t="s">
        <v>186</v>
      </c>
      <c r="B9">
        <v>1.25</v>
      </c>
      <c r="D9" s="128" t="s">
        <v>125</v>
      </c>
      <c r="E9" s="128" t="s">
        <v>122</v>
      </c>
      <c r="F9" s="133">
        <v>0.1</v>
      </c>
    </row>
    <row r="10" spans="1:6">
      <c r="A10" s="128" t="s">
        <v>124</v>
      </c>
      <c r="B10" s="132">
        <v>0.25</v>
      </c>
      <c r="E10" s="128" t="s">
        <v>188</v>
      </c>
      <c r="F10" s="133">
        <v>0.01</v>
      </c>
    </row>
    <row r="11" spans="1:6">
      <c r="A11" s="128" t="s">
        <v>187</v>
      </c>
      <c r="B11" s="133">
        <f>(C6*D6*(1-B10))+(C5*D5)</f>
        <v>6.0000000000000005E-2</v>
      </c>
    </row>
    <row r="12" spans="1:6">
      <c r="A12" s="128" t="s">
        <v>160</v>
      </c>
      <c r="B12" s="133">
        <v>5.5E-2</v>
      </c>
    </row>
    <row r="14" spans="1:6">
      <c r="A14" s="128" t="s">
        <v>184</v>
      </c>
    </row>
    <row r="16" spans="1:6">
      <c r="A16" s="128" t="s">
        <v>137</v>
      </c>
      <c r="B16">
        <f>B9/(1+(1-B10)*(D6/D5))</f>
        <v>0.3125</v>
      </c>
    </row>
    <row r="18" spans="1:2" ht="15">
      <c r="A18" s="128" t="s">
        <v>185</v>
      </c>
      <c r="B18" s="4">
        <v>0.86486399999999986</v>
      </c>
    </row>
    <row r="19" spans="1:2" ht="15">
      <c r="A19" s="128" t="s">
        <v>189</v>
      </c>
      <c r="B19" s="4">
        <f>1-B18</f>
        <v>0.13513600000000014</v>
      </c>
    </row>
    <row r="21" spans="1:2">
      <c r="A21" s="128" t="s">
        <v>140</v>
      </c>
      <c r="B21">
        <f>B16*(1+(1-B10)*(B18/B19))</f>
        <v>1.8124889000710376</v>
      </c>
    </row>
    <row r="22" spans="1:2" ht="15">
      <c r="A22" s="128" t="s">
        <v>190</v>
      </c>
      <c r="B22" s="4">
        <f>F10+B21*(F9-F10)</f>
        <v>0.17312400100639341</v>
      </c>
    </row>
    <row r="23" spans="1:2">
      <c r="A23" s="128" t="s">
        <v>191</v>
      </c>
      <c r="B23" s="132">
        <f>C6</f>
        <v>0.05</v>
      </c>
    </row>
    <row r="24" spans="1:2" ht="15">
      <c r="A24" s="128" t="s">
        <v>192</v>
      </c>
      <c r="B24" s="4">
        <f>B18*B23*(1-B10)+(B19*B22)</f>
        <v>5.5827685000000002E-2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Answer</vt:lpstr>
      <vt:lpstr>Mortgage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2013-12-03T15:50:36Z</dcterms:created>
  <dcterms:modified xsi:type="dcterms:W3CDTF">2019-07-17T21:32:35Z</dcterms:modified>
</cp:coreProperties>
</file>