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860" yWindow="3630" windowWidth="16380" windowHeight="3105"/>
  </bookViews>
  <sheets>
    <sheet name="Forecast" sheetId="1" r:id="rId1"/>
    <sheet name="Assumptions" sheetId="3" r:id="rId2"/>
    <sheet name="Mortgage 1-2" sheetId="2" r:id="rId3"/>
    <sheet name="Mortage 3" sheetId="5" r:id="rId4"/>
    <sheet name="Mortage 4" sheetId="6" r:id="rId5"/>
    <sheet name="Mortage 5" sheetId="7" r:id="rId6"/>
    <sheet name="Ratios" sheetId="4" r:id="rId7"/>
  </sheets>
  <calcPr calcId="145621"/>
</workbook>
</file>

<file path=xl/calcChain.xml><?xml version="1.0" encoding="utf-8"?>
<calcChain xmlns="http://schemas.openxmlformats.org/spreadsheetml/2006/main">
  <c r="S162" i="1" l="1"/>
  <c r="S166" i="1"/>
  <c r="D141" i="1"/>
  <c r="E137" i="1"/>
  <c r="H19" i="1"/>
  <c r="S64" i="1"/>
  <c r="R64" i="1"/>
  <c r="Q64" i="1"/>
  <c r="P64" i="1"/>
  <c r="K158" i="1"/>
  <c r="K153" i="1"/>
  <c r="S158" i="1"/>
  <c r="S153" i="1"/>
  <c r="S159" i="1"/>
  <c r="V146" i="1"/>
  <c r="S146" i="1"/>
  <c r="V144" i="1"/>
  <c r="Q154" i="1"/>
  <c r="R154" i="1"/>
  <c r="S154" i="1"/>
  <c r="K138" i="1"/>
  <c r="L138" i="1"/>
  <c r="M138" i="1"/>
  <c r="N138" i="1"/>
  <c r="O138" i="1"/>
  <c r="P138" i="1"/>
  <c r="Q138" i="1"/>
  <c r="R138" i="1"/>
  <c r="S138" i="1"/>
  <c r="S21" i="1"/>
  <c r="P12" i="1"/>
  <c r="Q12" i="1"/>
  <c r="R12" i="1"/>
  <c r="S12" i="1"/>
  <c r="P11" i="1"/>
  <c r="Q11" i="1"/>
  <c r="R11" i="1"/>
  <c r="S11" i="1"/>
  <c r="P56" i="1"/>
  <c r="Q56" i="1"/>
  <c r="R56" i="1"/>
  <c r="S56" i="1"/>
  <c r="P55" i="1"/>
  <c r="Q55" i="1"/>
  <c r="R55" i="1"/>
  <c r="S55" i="1" s="1"/>
  <c r="P54" i="1"/>
  <c r="Q54" i="1"/>
  <c r="R54" i="1"/>
  <c r="S54" i="1" s="1"/>
  <c r="E53" i="1"/>
  <c r="F53" i="1"/>
  <c r="G53" i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S53" i="1" s="1"/>
  <c r="D53" i="1"/>
  <c r="P34" i="1"/>
  <c r="Q34" i="1"/>
  <c r="R34" i="1"/>
  <c r="S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P19" i="1"/>
  <c r="Q19" i="1"/>
  <c r="Q92" i="1" s="1"/>
  <c r="R19" i="1"/>
  <c r="R92" i="1" s="1"/>
  <c r="S19" i="1"/>
  <c r="J139" i="7"/>
  <c r="I139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D128" i="7"/>
  <c r="C128" i="7"/>
  <c r="B128" i="7"/>
  <c r="F128" i="7" s="1"/>
  <c r="B129" i="7" s="1"/>
  <c r="J125" i="7"/>
  <c r="I125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D114" i="7"/>
  <c r="C114" i="7"/>
  <c r="B114" i="7"/>
  <c r="F114" i="7" s="1"/>
  <c r="B115" i="7" s="1"/>
  <c r="J111" i="7"/>
  <c r="I111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D100" i="7"/>
  <c r="C100" i="7"/>
  <c r="B100" i="7"/>
  <c r="F100" i="7" s="1"/>
  <c r="B101" i="7" s="1"/>
  <c r="J97" i="7"/>
  <c r="I97" i="7"/>
  <c r="E97" i="7"/>
  <c r="E96" i="7"/>
  <c r="E95" i="7"/>
  <c r="E94" i="7"/>
  <c r="E93" i="7"/>
  <c r="E92" i="7"/>
  <c r="E91" i="7"/>
  <c r="E90" i="7"/>
  <c r="E89" i="7"/>
  <c r="E88" i="7"/>
  <c r="E87" i="7"/>
  <c r="E86" i="7"/>
  <c r="D86" i="7"/>
  <c r="C86" i="7"/>
  <c r="B86" i="7"/>
  <c r="F86" i="7" s="1"/>
  <c r="B87" i="7" s="1"/>
  <c r="J167" i="6"/>
  <c r="I167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D156" i="6"/>
  <c r="C156" i="6"/>
  <c r="B156" i="6"/>
  <c r="F156" i="6" s="1"/>
  <c r="B157" i="6" s="1"/>
  <c r="J153" i="6"/>
  <c r="I153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D142" i="6"/>
  <c r="C142" i="6"/>
  <c r="B142" i="6"/>
  <c r="F142" i="6" s="1"/>
  <c r="B143" i="6" s="1"/>
  <c r="J139" i="6"/>
  <c r="I139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B128" i="6"/>
  <c r="D128" i="6" s="1"/>
  <c r="J125" i="6"/>
  <c r="I125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D114" i="6"/>
  <c r="C114" i="6"/>
  <c r="B114" i="6"/>
  <c r="F114" i="6" s="1"/>
  <c r="B115" i="6" s="1"/>
  <c r="P76" i="1"/>
  <c r="P81" i="1"/>
  <c r="Q81" i="1"/>
  <c r="R81" i="1"/>
  <c r="S81" i="1"/>
  <c r="P83" i="1"/>
  <c r="Q83" i="1"/>
  <c r="R83" i="1"/>
  <c r="S83" i="1"/>
  <c r="P84" i="1"/>
  <c r="Q84" i="1"/>
  <c r="R84" i="1"/>
  <c r="S84" i="1"/>
  <c r="P90" i="1"/>
  <c r="P91" i="1"/>
  <c r="P92" i="1"/>
  <c r="S92" i="1"/>
  <c r="O153" i="1"/>
  <c r="O158" i="1"/>
  <c r="J195" i="5"/>
  <c r="I195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C184" i="5" s="1"/>
  <c r="D184" i="5"/>
  <c r="B184" i="5"/>
  <c r="J181" i="5"/>
  <c r="I181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C170" i="5" s="1"/>
  <c r="D170" i="5"/>
  <c r="B170" i="5"/>
  <c r="J167" i="5"/>
  <c r="I167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D156" i="5"/>
  <c r="C156" i="5"/>
  <c r="B156" i="5"/>
  <c r="F156" i="5" s="1"/>
  <c r="B157" i="5" s="1"/>
  <c r="J153" i="5"/>
  <c r="I153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B142" i="5"/>
  <c r="D142" i="5" s="1"/>
  <c r="J223" i="2"/>
  <c r="I223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D212" i="2"/>
  <c r="C212" i="2"/>
  <c r="B212" i="2"/>
  <c r="F212" i="2" s="1"/>
  <c r="B213" i="2" s="1"/>
  <c r="J209" i="2"/>
  <c r="I209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B198" i="2"/>
  <c r="D198" i="2" s="1"/>
  <c r="J195" i="2"/>
  <c r="I195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B184" i="2"/>
  <c r="D184" i="2" s="1"/>
  <c r="J181" i="2"/>
  <c r="I181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B170" i="2"/>
  <c r="D170" i="2" s="1"/>
  <c r="P27" i="1"/>
  <c r="Q27" i="1"/>
  <c r="R27" i="1"/>
  <c r="S27" i="1"/>
  <c r="P28" i="1"/>
  <c r="Q28" i="1"/>
  <c r="R28" i="1"/>
  <c r="S28" i="1"/>
  <c r="P29" i="1"/>
  <c r="Q29" i="1"/>
  <c r="R29" i="1"/>
  <c r="S29" i="1"/>
  <c r="P13" i="1"/>
  <c r="Q13" i="1"/>
  <c r="Q16" i="1" s="1"/>
  <c r="Q91" i="1" s="1"/>
  <c r="S13" i="1"/>
  <c r="S15" i="1" s="1"/>
  <c r="S90" i="1" s="1"/>
  <c r="S16" i="1"/>
  <c r="S91" i="1" s="1"/>
  <c r="P18" i="1"/>
  <c r="Q18" i="1" s="1"/>
  <c r="R18" i="1" s="1"/>
  <c r="S18" i="1" s="1"/>
  <c r="P26" i="1"/>
  <c r="Q26" i="1"/>
  <c r="Q35" i="1"/>
  <c r="P35" i="1"/>
  <c r="P45" i="1"/>
  <c r="Q45" i="1"/>
  <c r="R45" i="1"/>
  <c r="S45" i="1"/>
  <c r="P46" i="1"/>
  <c r="P47" i="1" s="1"/>
  <c r="S46" i="1"/>
  <c r="S47" i="1" s="1"/>
  <c r="R49" i="1"/>
  <c r="S49" i="1" s="1"/>
  <c r="S26" i="1" s="1"/>
  <c r="Q67" i="1"/>
  <c r="R67" i="1" s="1"/>
  <c r="S67" i="1" s="1"/>
  <c r="P38" i="3"/>
  <c r="Q38" i="3"/>
  <c r="R38" i="3"/>
  <c r="S38" i="3" s="1"/>
  <c r="P40" i="3"/>
  <c r="Q40" i="3"/>
  <c r="R40" i="3"/>
  <c r="S40" i="3" s="1"/>
  <c r="P41" i="3"/>
  <c r="Q41" i="3"/>
  <c r="R41" i="3"/>
  <c r="S41" i="3" s="1"/>
  <c r="P10" i="3"/>
  <c r="P9" i="3" s="1"/>
  <c r="Q10" i="3"/>
  <c r="Q9" i="3" s="1"/>
  <c r="R10" i="3"/>
  <c r="S10" i="3" s="1"/>
  <c r="P11" i="3"/>
  <c r="Q11" i="3"/>
  <c r="R11" i="3"/>
  <c r="S11" i="3" s="1"/>
  <c r="P17" i="3"/>
  <c r="Q17" i="3"/>
  <c r="R17" i="3"/>
  <c r="P18" i="3"/>
  <c r="Q18" i="3"/>
  <c r="R18" i="3"/>
  <c r="P21" i="3"/>
  <c r="Q21" i="3"/>
  <c r="R21" i="3"/>
  <c r="P22" i="3"/>
  <c r="Q22" i="3"/>
  <c r="R22" i="3"/>
  <c r="P25" i="3"/>
  <c r="Q25" i="3"/>
  <c r="R25" i="3"/>
  <c r="P26" i="3"/>
  <c r="Q26" i="3"/>
  <c r="R26" i="3"/>
  <c r="P29" i="3"/>
  <c r="Q29" i="3"/>
  <c r="R29" i="3"/>
  <c r="P30" i="3"/>
  <c r="Q30" i="3"/>
  <c r="R30" i="3"/>
  <c r="P36" i="3"/>
  <c r="Q36" i="3"/>
  <c r="R36" i="3"/>
  <c r="S36" i="3" s="1"/>
  <c r="C22" i="3"/>
  <c r="N21" i="1" s="1"/>
  <c r="C18" i="3"/>
  <c r="K21" i="1"/>
  <c r="G21" i="1"/>
  <c r="O21" i="1" s="1"/>
  <c r="S35" i="1" l="1"/>
  <c r="S76" i="1"/>
  <c r="R13" i="1"/>
  <c r="R76" i="1" s="1"/>
  <c r="P153" i="1"/>
  <c r="P158" i="1"/>
  <c r="Q76" i="1"/>
  <c r="P94" i="1"/>
  <c r="S94" i="1"/>
  <c r="D129" i="7"/>
  <c r="C129" i="7" s="1"/>
  <c r="F129" i="7"/>
  <c r="B130" i="7" s="1"/>
  <c r="D115" i="7"/>
  <c r="C115" i="7" s="1"/>
  <c r="F115" i="7"/>
  <c r="B116" i="7" s="1"/>
  <c r="D101" i="7"/>
  <c r="C101" i="7" s="1"/>
  <c r="F101" i="7"/>
  <c r="B102" i="7" s="1"/>
  <c r="D87" i="7"/>
  <c r="C87" i="7" s="1"/>
  <c r="F87" i="7"/>
  <c r="B88" i="7" s="1"/>
  <c r="D157" i="6"/>
  <c r="C157" i="6" s="1"/>
  <c r="F157" i="6" s="1"/>
  <c r="B158" i="6" s="1"/>
  <c r="D143" i="6"/>
  <c r="C143" i="6" s="1"/>
  <c r="F143" i="6"/>
  <c r="B144" i="6" s="1"/>
  <c r="C128" i="6"/>
  <c r="F128" i="6"/>
  <c r="B129" i="6" s="1"/>
  <c r="D115" i="6"/>
  <c r="C115" i="6" s="1"/>
  <c r="F115" i="6"/>
  <c r="B116" i="6" s="1"/>
  <c r="F184" i="5"/>
  <c r="B185" i="5" s="1"/>
  <c r="F170" i="5"/>
  <c r="B171" i="5" s="1"/>
  <c r="D157" i="5"/>
  <c r="C157" i="5" s="1"/>
  <c r="F157" i="5"/>
  <c r="B158" i="5" s="1"/>
  <c r="C142" i="5"/>
  <c r="D213" i="2"/>
  <c r="C213" i="2" s="1"/>
  <c r="F213" i="2" s="1"/>
  <c r="B214" i="2" s="1"/>
  <c r="C198" i="2"/>
  <c r="C184" i="2"/>
  <c r="F184" i="2"/>
  <c r="B185" i="2" s="1"/>
  <c r="C170" i="2"/>
  <c r="F170" i="2"/>
  <c r="B171" i="2" s="1"/>
  <c r="R46" i="1"/>
  <c r="R15" i="1"/>
  <c r="R90" i="1" s="1"/>
  <c r="P58" i="1"/>
  <c r="R26" i="1"/>
  <c r="R35" i="1" s="1"/>
  <c r="Q15" i="1"/>
  <c r="Q46" i="1"/>
  <c r="S17" i="3"/>
  <c r="S9" i="3" s="1"/>
  <c r="S21" i="3"/>
  <c r="S25" i="3"/>
  <c r="S29" i="3"/>
  <c r="S18" i="3"/>
  <c r="S22" i="3"/>
  <c r="S26" i="3"/>
  <c r="S30" i="3"/>
  <c r="R9" i="3"/>
  <c r="C6" i="1"/>
  <c r="C5" i="1"/>
  <c r="R16" i="1" l="1"/>
  <c r="R91" i="1" s="1"/>
  <c r="R94" i="1" s="1"/>
  <c r="R47" i="1"/>
  <c r="R153" i="1"/>
  <c r="R158" i="1"/>
  <c r="Q47" i="1"/>
  <c r="Q58" i="1" s="1"/>
  <c r="Q158" i="1"/>
  <c r="Q153" i="1"/>
  <c r="Q90" i="1"/>
  <c r="Q94" i="1" s="1"/>
  <c r="D130" i="7"/>
  <c r="C130" i="7" s="1"/>
  <c r="F130" i="7"/>
  <c r="B131" i="7" s="1"/>
  <c r="D116" i="7"/>
  <c r="C116" i="7" s="1"/>
  <c r="D102" i="7"/>
  <c r="D88" i="7"/>
  <c r="C88" i="7" s="1"/>
  <c r="F88" i="7"/>
  <c r="B89" i="7" s="1"/>
  <c r="D158" i="6"/>
  <c r="C158" i="6" s="1"/>
  <c r="F158" i="6"/>
  <c r="B159" i="6" s="1"/>
  <c r="F144" i="6"/>
  <c r="B145" i="6" s="1"/>
  <c r="D144" i="6"/>
  <c r="C144" i="6" s="1"/>
  <c r="D129" i="6"/>
  <c r="D116" i="6"/>
  <c r="C116" i="6" s="1"/>
  <c r="D185" i="5"/>
  <c r="D171" i="5"/>
  <c r="D158" i="5"/>
  <c r="C158" i="5" s="1"/>
  <c r="F158" i="5"/>
  <c r="B159" i="5" s="1"/>
  <c r="F142" i="5"/>
  <c r="B143" i="5" s="1"/>
  <c r="D214" i="2"/>
  <c r="C214" i="2" s="1"/>
  <c r="F214" i="2"/>
  <c r="B215" i="2" s="1"/>
  <c r="F198" i="2"/>
  <c r="B199" i="2" s="1"/>
  <c r="D185" i="2"/>
  <c r="D171" i="2"/>
  <c r="S58" i="1"/>
  <c r="D62" i="1"/>
  <c r="E26" i="1"/>
  <c r="F26" i="1"/>
  <c r="G26" i="1"/>
  <c r="H26" i="1"/>
  <c r="I26" i="1"/>
  <c r="J26" i="1"/>
  <c r="K26" i="1"/>
  <c r="L26" i="1"/>
  <c r="M26" i="1"/>
  <c r="N26" i="1"/>
  <c r="O26" i="1"/>
  <c r="D131" i="7" l="1"/>
  <c r="F116" i="7"/>
  <c r="B117" i="7" s="1"/>
  <c r="C102" i="7"/>
  <c r="D89" i="7"/>
  <c r="F159" i="6"/>
  <c r="B160" i="6" s="1"/>
  <c r="D159" i="6"/>
  <c r="C159" i="6" s="1"/>
  <c r="D145" i="6"/>
  <c r="C129" i="6"/>
  <c r="F116" i="6"/>
  <c r="B117" i="6" s="1"/>
  <c r="C185" i="5"/>
  <c r="C171" i="5"/>
  <c r="D159" i="5"/>
  <c r="D143" i="5"/>
  <c r="D215" i="2"/>
  <c r="D199" i="2"/>
  <c r="C185" i="2"/>
  <c r="C171" i="2"/>
  <c r="R58" i="1"/>
  <c r="E20" i="1"/>
  <c r="I148" i="1"/>
  <c r="G147" i="1"/>
  <c r="E146" i="1"/>
  <c r="E81" i="1"/>
  <c r="F81" i="1"/>
  <c r="G81" i="1"/>
  <c r="H81" i="1"/>
  <c r="I81" i="1"/>
  <c r="J81" i="1"/>
  <c r="K81" i="1"/>
  <c r="D84" i="1"/>
  <c r="B19" i="3"/>
  <c r="B15" i="3"/>
  <c r="O33" i="1"/>
  <c r="N33" i="1"/>
  <c r="M33" i="1"/>
  <c r="L33" i="1"/>
  <c r="K33" i="1"/>
  <c r="J33" i="1"/>
  <c r="O32" i="1"/>
  <c r="N32" i="1"/>
  <c r="M32" i="1"/>
  <c r="L32" i="1"/>
  <c r="K32" i="1"/>
  <c r="J32" i="1"/>
  <c r="I32" i="1"/>
  <c r="H32" i="1"/>
  <c r="O31" i="1"/>
  <c r="N31" i="1"/>
  <c r="M31" i="1"/>
  <c r="L31" i="1"/>
  <c r="K31" i="1"/>
  <c r="J31" i="1"/>
  <c r="I31" i="1"/>
  <c r="H31" i="1"/>
  <c r="G31" i="1"/>
  <c r="F31" i="1"/>
  <c r="K56" i="1"/>
  <c r="L56" i="1"/>
  <c r="M56" i="1"/>
  <c r="N56" i="1" s="1"/>
  <c r="O56" i="1" s="1"/>
  <c r="J56" i="1"/>
  <c r="K29" i="1"/>
  <c r="L29" i="1"/>
  <c r="M29" i="1"/>
  <c r="N29" i="1"/>
  <c r="O29" i="1"/>
  <c r="J29" i="1"/>
  <c r="K3" i="7"/>
  <c r="K2" i="7"/>
  <c r="J27" i="7" s="1"/>
  <c r="J1" i="7"/>
  <c r="I27" i="6"/>
  <c r="I13" i="6"/>
  <c r="K3" i="6"/>
  <c r="K2" i="6"/>
  <c r="D2" i="6"/>
  <c r="J1" i="6"/>
  <c r="J139" i="5"/>
  <c r="I139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B128" i="5"/>
  <c r="D128" i="5" s="1"/>
  <c r="J125" i="5"/>
  <c r="I125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D114" i="5"/>
  <c r="B114" i="5"/>
  <c r="J111" i="5"/>
  <c r="I111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B100" i="5"/>
  <c r="D100" i="5" s="1"/>
  <c r="J97" i="5"/>
  <c r="I97" i="5"/>
  <c r="E97" i="5"/>
  <c r="E96" i="5"/>
  <c r="E95" i="5"/>
  <c r="E94" i="5"/>
  <c r="E93" i="5"/>
  <c r="E92" i="5"/>
  <c r="E91" i="5"/>
  <c r="E90" i="5"/>
  <c r="E89" i="5"/>
  <c r="E88" i="5"/>
  <c r="E87" i="5"/>
  <c r="E86" i="5"/>
  <c r="B86" i="5"/>
  <c r="D86" i="5" s="1"/>
  <c r="J83" i="5"/>
  <c r="I83" i="5"/>
  <c r="E83" i="5"/>
  <c r="E82" i="5"/>
  <c r="E81" i="5"/>
  <c r="E80" i="5"/>
  <c r="E79" i="5"/>
  <c r="E78" i="5"/>
  <c r="E77" i="5"/>
  <c r="E76" i="5"/>
  <c r="E75" i="5"/>
  <c r="E74" i="5"/>
  <c r="E73" i="5"/>
  <c r="E72" i="5"/>
  <c r="B72" i="5"/>
  <c r="D72" i="5" s="1"/>
  <c r="J69" i="5"/>
  <c r="I69" i="5"/>
  <c r="E69" i="5"/>
  <c r="E68" i="5"/>
  <c r="E67" i="5"/>
  <c r="E66" i="5"/>
  <c r="E65" i="5"/>
  <c r="E64" i="5"/>
  <c r="E63" i="5"/>
  <c r="E62" i="5"/>
  <c r="E61" i="5"/>
  <c r="E60" i="5"/>
  <c r="E59" i="5"/>
  <c r="E58" i="5"/>
  <c r="B58" i="5"/>
  <c r="D58" i="5" s="1"/>
  <c r="J55" i="5"/>
  <c r="I55" i="5"/>
  <c r="E55" i="5"/>
  <c r="E54" i="5"/>
  <c r="E53" i="5"/>
  <c r="E52" i="5"/>
  <c r="E51" i="5"/>
  <c r="E50" i="5"/>
  <c r="E49" i="5"/>
  <c r="E48" i="5"/>
  <c r="E47" i="5"/>
  <c r="E46" i="5"/>
  <c r="E45" i="5"/>
  <c r="E44" i="5"/>
  <c r="C44" i="5" s="1"/>
  <c r="D44" i="5"/>
  <c r="B44" i="5"/>
  <c r="J41" i="5"/>
  <c r="I41" i="5"/>
  <c r="E41" i="5"/>
  <c r="E40" i="5"/>
  <c r="E39" i="5"/>
  <c r="E38" i="5"/>
  <c r="E37" i="5"/>
  <c r="E36" i="5"/>
  <c r="E35" i="5"/>
  <c r="E34" i="5"/>
  <c r="E33" i="5"/>
  <c r="E32" i="5"/>
  <c r="E31" i="5"/>
  <c r="E30" i="5"/>
  <c r="B30" i="5"/>
  <c r="D30" i="5" s="1"/>
  <c r="J27" i="5"/>
  <c r="I27" i="5"/>
  <c r="E17" i="5"/>
  <c r="E18" i="5"/>
  <c r="E19" i="5"/>
  <c r="E20" i="5"/>
  <c r="E21" i="5"/>
  <c r="E22" i="5"/>
  <c r="E23" i="5"/>
  <c r="E24" i="5"/>
  <c r="E25" i="5"/>
  <c r="E26" i="5"/>
  <c r="E27" i="5"/>
  <c r="D17" i="5"/>
  <c r="E16" i="5"/>
  <c r="D16" i="5"/>
  <c r="B16" i="5"/>
  <c r="I13" i="5"/>
  <c r="K3" i="5"/>
  <c r="J13" i="5" s="1"/>
  <c r="K2" i="5"/>
  <c r="K5" i="5" s="1"/>
  <c r="J1" i="5"/>
  <c r="I28" i="1"/>
  <c r="J28" i="1"/>
  <c r="K28" i="1"/>
  <c r="L28" i="1"/>
  <c r="M28" i="1"/>
  <c r="N28" i="1"/>
  <c r="O28" i="1"/>
  <c r="H28" i="1"/>
  <c r="H55" i="1" s="1"/>
  <c r="G54" i="1"/>
  <c r="H54" i="1"/>
  <c r="I54" i="1" s="1"/>
  <c r="J54" i="1" s="1"/>
  <c r="K54" i="1" s="1"/>
  <c r="L54" i="1" s="1"/>
  <c r="M54" i="1" s="1"/>
  <c r="N54" i="1" s="1"/>
  <c r="O54" i="1" s="1"/>
  <c r="F54" i="1"/>
  <c r="G27" i="1"/>
  <c r="H27" i="1"/>
  <c r="I27" i="1"/>
  <c r="J27" i="1"/>
  <c r="K27" i="1"/>
  <c r="L27" i="1"/>
  <c r="M27" i="1"/>
  <c r="N27" i="1"/>
  <c r="O27" i="1"/>
  <c r="F27" i="1"/>
  <c r="D26" i="1"/>
  <c r="H45" i="1"/>
  <c r="J97" i="2"/>
  <c r="J167" i="2"/>
  <c r="I167" i="2"/>
  <c r="J153" i="2"/>
  <c r="I153" i="2"/>
  <c r="J139" i="2"/>
  <c r="I139" i="2"/>
  <c r="J125" i="2"/>
  <c r="I125" i="2"/>
  <c r="C131" i="7" l="1"/>
  <c r="D117" i="7"/>
  <c r="F102" i="7"/>
  <c r="B103" i="7" s="1"/>
  <c r="C89" i="7"/>
  <c r="D160" i="6"/>
  <c r="C145" i="6"/>
  <c r="F129" i="6"/>
  <c r="B130" i="6" s="1"/>
  <c r="D117" i="6"/>
  <c r="F185" i="5"/>
  <c r="B186" i="5" s="1"/>
  <c r="F171" i="5"/>
  <c r="B172" i="5" s="1"/>
  <c r="C159" i="5"/>
  <c r="C143" i="5"/>
  <c r="C215" i="2"/>
  <c r="C199" i="2"/>
  <c r="F185" i="2"/>
  <c r="B186" i="2" s="1"/>
  <c r="F171" i="2"/>
  <c r="B172" i="2" s="1"/>
  <c r="M81" i="1"/>
  <c r="L81" i="1"/>
  <c r="B23" i="3"/>
  <c r="B27" i="3" s="1"/>
  <c r="B31" i="3" s="1"/>
  <c r="J13" i="7"/>
  <c r="I83" i="7"/>
  <c r="I69" i="7"/>
  <c r="I55" i="7"/>
  <c r="I41" i="7"/>
  <c r="D2" i="7"/>
  <c r="K5" i="7"/>
  <c r="I13" i="7"/>
  <c r="I27" i="7"/>
  <c r="J41" i="7"/>
  <c r="J55" i="7"/>
  <c r="J69" i="7"/>
  <c r="J83" i="7"/>
  <c r="I55" i="1"/>
  <c r="J55" i="1" s="1"/>
  <c r="K55" i="1" s="1"/>
  <c r="L55" i="1" s="1"/>
  <c r="M55" i="1" s="1"/>
  <c r="N55" i="1" s="1"/>
  <c r="O55" i="1" s="1"/>
  <c r="I55" i="6"/>
  <c r="J27" i="6"/>
  <c r="K5" i="6"/>
  <c r="J13" i="6"/>
  <c r="I41" i="6"/>
  <c r="J111" i="6"/>
  <c r="J97" i="6"/>
  <c r="J83" i="6"/>
  <c r="J69" i="6"/>
  <c r="J55" i="6"/>
  <c r="J41" i="6"/>
  <c r="I111" i="6"/>
  <c r="I97" i="6"/>
  <c r="I83" i="6"/>
  <c r="I69" i="6"/>
  <c r="C128" i="5"/>
  <c r="F128" i="5"/>
  <c r="B129" i="5" s="1"/>
  <c r="F114" i="5"/>
  <c r="B115" i="5" s="1"/>
  <c r="C114" i="5"/>
  <c r="C100" i="5"/>
  <c r="F100" i="5"/>
  <c r="B101" i="5" s="1"/>
  <c r="C86" i="5"/>
  <c r="F86" i="5"/>
  <c r="B87" i="5" s="1"/>
  <c r="C72" i="5"/>
  <c r="F72" i="5"/>
  <c r="B73" i="5" s="1"/>
  <c r="C58" i="5"/>
  <c r="F44" i="5"/>
  <c r="B45" i="5" s="1"/>
  <c r="C30" i="5"/>
  <c r="C16" i="5"/>
  <c r="F16" i="5"/>
  <c r="B17" i="5" s="1"/>
  <c r="E10" i="5"/>
  <c r="E6" i="5"/>
  <c r="E12" i="5"/>
  <c r="E8" i="5"/>
  <c r="E5" i="5"/>
  <c r="E11" i="5"/>
  <c r="E7" i="5"/>
  <c r="E4" i="5"/>
  <c r="E2" i="5"/>
  <c r="E13" i="5"/>
  <c r="E9" i="5"/>
  <c r="E3" i="5"/>
  <c r="D2" i="5"/>
  <c r="M36" i="3"/>
  <c r="N36" i="3" s="1"/>
  <c r="O36" i="3" s="1"/>
  <c r="L45" i="1"/>
  <c r="M45" i="1"/>
  <c r="N45" i="1"/>
  <c r="O45" i="1"/>
  <c r="N49" i="1"/>
  <c r="O49" i="1"/>
  <c r="M67" i="1"/>
  <c r="N67" i="1"/>
  <c r="O67" i="1" s="1"/>
  <c r="D159" i="1"/>
  <c r="F131" i="7" l="1"/>
  <c r="B132" i="7" s="1"/>
  <c r="C117" i="7"/>
  <c r="D103" i="7"/>
  <c r="F89" i="7"/>
  <c r="B90" i="7" s="1"/>
  <c r="C160" i="6"/>
  <c r="F160" i="6" s="1"/>
  <c r="B161" i="6" s="1"/>
  <c r="F145" i="6"/>
  <c r="B146" i="6" s="1"/>
  <c r="D130" i="6"/>
  <c r="C117" i="6"/>
  <c r="F117" i="6" s="1"/>
  <c r="B118" i="6" s="1"/>
  <c r="D186" i="5"/>
  <c r="D172" i="5"/>
  <c r="F159" i="5"/>
  <c r="B160" i="5" s="1"/>
  <c r="F143" i="5"/>
  <c r="B144" i="5" s="1"/>
  <c r="F215" i="2"/>
  <c r="B216" i="2" s="1"/>
  <c r="F199" i="2"/>
  <c r="B200" i="2" s="1"/>
  <c r="D186" i="2"/>
  <c r="D172" i="2"/>
  <c r="N81" i="1"/>
  <c r="E80" i="7"/>
  <c r="E76" i="7"/>
  <c r="E72" i="7"/>
  <c r="E66" i="7"/>
  <c r="E62" i="7"/>
  <c r="E58" i="7"/>
  <c r="E52" i="7"/>
  <c r="E48" i="7"/>
  <c r="E44" i="7"/>
  <c r="E38" i="7"/>
  <c r="E34" i="7"/>
  <c r="E30" i="7"/>
  <c r="E24" i="7"/>
  <c r="E20" i="7"/>
  <c r="E16" i="7"/>
  <c r="E83" i="7"/>
  <c r="E79" i="7"/>
  <c r="E75" i="7"/>
  <c r="E69" i="7"/>
  <c r="E65" i="7"/>
  <c r="E61" i="7"/>
  <c r="E55" i="7"/>
  <c r="E51" i="7"/>
  <c r="E47" i="7"/>
  <c r="E41" i="7"/>
  <c r="E37" i="7"/>
  <c r="E33" i="7"/>
  <c r="E27" i="7"/>
  <c r="E23" i="7"/>
  <c r="E19" i="7"/>
  <c r="E13" i="7"/>
  <c r="E81" i="7"/>
  <c r="E77" i="7"/>
  <c r="E73" i="7"/>
  <c r="E67" i="7"/>
  <c r="E63" i="7"/>
  <c r="E59" i="7"/>
  <c r="E53" i="7"/>
  <c r="E49" i="7"/>
  <c r="E45" i="7"/>
  <c r="E39" i="7"/>
  <c r="E74" i="7"/>
  <c r="E60" i="7"/>
  <c r="E46" i="7"/>
  <c r="E35" i="7"/>
  <c r="E21" i="7"/>
  <c r="E7" i="7"/>
  <c r="E4" i="7"/>
  <c r="E2" i="7"/>
  <c r="C2" i="7" s="1"/>
  <c r="E68" i="7"/>
  <c r="E9" i="7"/>
  <c r="E36" i="7"/>
  <c r="E22" i="7"/>
  <c r="E10" i="7"/>
  <c r="E6" i="7"/>
  <c r="E82" i="7"/>
  <c r="E54" i="7"/>
  <c r="E31" i="7"/>
  <c r="E25" i="7"/>
  <c r="E78" i="7"/>
  <c r="E64" i="7"/>
  <c r="E50" i="7"/>
  <c r="E32" i="7"/>
  <c r="E26" i="7"/>
  <c r="E18" i="7"/>
  <c r="E12" i="7"/>
  <c r="E8" i="7"/>
  <c r="E5" i="7"/>
  <c r="E40" i="7"/>
  <c r="E17" i="7"/>
  <c r="E11" i="7"/>
  <c r="E3" i="7"/>
  <c r="E110" i="6"/>
  <c r="E106" i="6"/>
  <c r="E102" i="6"/>
  <c r="E96" i="6"/>
  <c r="E92" i="6"/>
  <c r="E88" i="6"/>
  <c r="E82" i="6"/>
  <c r="E78" i="6"/>
  <c r="E74" i="6"/>
  <c r="E68" i="6"/>
  <c r="E64" i="6"/>
  <c r="E60" i="6"/>
  <c r="E54" i="6"/>
  <c r="E50" i="6"/>
  <c r="E46" i="6"/>
  <c r="E40" i="6"/>
  <c r="E109" i="6"/>
  <c r="E105" i="6"/>
  <c r="E101" i="6"/>
  <c r="E95" i="6"/>
  <c r="E91" i="6"/>
  <c r="E87" i="6"/>
  <c r="E81" i="6"/>
  <c r="E77" i="6"/>
  <c r="E73" i="6"/>
  <c r="E107" i="6"/>
  <c r="E93" i="6"/>
  <c r="E79" i="6"/>
  <c r="E63" i="6"/>
  <c r="E62" i="6"/>
  <c r="E61" i="6"/>
  <c r="E111" i="6"/>
  <c r="E103" i="6"/>
  <c r="E97" i="6"/>
  <c r="E89" i="6"/>
  <c r="E83" i="6"/>
  <c r="E75" i="6"/>
  <c r="E69" i="6"/>
  <c r="E55" i="6"/>
  <c r="E41" i="6"/>
  <c r="E37" i="6"/>
  <c r="E33" i="6"/>
  <c r="E27" i="6"/>
  <c r="E23" i="6"/>
  <c r="E19" i="6"/>
  <c r="E13" i="6"/>
  <c r="E9" i="6"/>
  <c r="E3" i="6"/>
  <c r="E104" i="6"/>
  <c r="E90" i="6"/>
  <c r="E76" i="6"/>
  <c r="E59" i="6"/>
  <c r="E58" i="6"/>
  <c r="E45" i="6"/>
  <c r="E44" i="6"/>
  <c r="E36" i="6"/>
  <c r="E32" i="6"/>
  <c r="E26" i="6"/>
  <c r="E22" i="6"/>
  <c r="E18" i="6"/>
  <c r="E48" i="6"/>
  <c r="E21" i="6"/>
  <c r="E12" i="6"/>
  <c r="E108" i="6"/>
  <c r="E94" i="6"/>
  <c r="E80" i="6"/>
  <c r="E67" i="6"/>
  <c r="E52" i="6"/>
  <c r="E38" i="6"/>
  <c r="E30" i="6"/>
  <c r="E24" i="6"/>
  <c r="E2" i="6"/>
  <c r="C2" i="6" s="1"/>
  <c r="E100" i="6"/>
  <c r="E86" i="6"/>
  <c r="E72" i="6"/>
  <c r="E66" i="6"/>
  <c r="E49" i="6"/>
  <c r="E47" i="6"/>
  <c r="E31" i="6"/>
  <c r="E25" i="6"/>
  <c r="E17" i="6"/>
  <c r="E16" i="6"/>
  <c r="E65" i="6"/>
  <c r="E53" i="6"/>
  <c r="E51" i="6"/>
  <c r="E39" i="6"/>
  <c r="E34" i="6"/>
  <c r="E20" i="6"/>
  <c r="E8" i="6"/>
  <c r="E7" i="6"/>
  <c r="E6" i="6"/>
  <c r="E5" i="6"/>
  <c r="E4" i="6"/>
  <c r="E35" i="6"/>
  <c r="E11" i="6"/>
  <c r="E10" i="6"/>
  <c r="D129" i="5"/>
  <c r="D115" i="5"/>
  <c r="D101" i="5"/>
  <c r="D87" i="5"/>
  <c r="D73" i="5"/>
  <c r="F58" i="5"/>
  <c r="B59" i="5" s="1"/>
  <c r="D45" i="5"/>
  <c r="F30" i="5"/>
  <c r="B31" i="5" s="1"/>
  <c r="C2" i="5"/>
  <c r="D132" i="7" l="1"/>
  <c r="F117" i="7"/>
  <c r="B118" i="7" s="1"/>
  <c r="C103" i="7"/>
  <c r="D90" i="7"/>
  <c r="D161" i="6"/>
  <c r="C161" i="6" s="1"/>
  <c r="F161" i="6" s="1"/>
  <c r="B162" i="6" s="1"/>
  <c r="D146" i="6"/>
  <c r="C130" i="6"/>
  <c r="D118" i="6"/>
  <c r="C186" i="5"/>
  <c r="C172" i="5"/>
  <c r="D160" i="5"/>
  <c r="D144" i="5"/>
  <c r="D216" i="2"/>
  <c r="D200" i="2"/>
  <c r="C186" i="2"/>
  <c r="C172" i="2"/>
  <c r="O81" i="1"/>
  <c r="F2" i="7"/>
  <c r="B3" i="7" s="1"/>
  <c r="F2" i="6"/>
  <c r="B3" i="6" s="1"/>
  <c r="C129" i="5"/>
  <c r="C115" i="5"/>
  <c r="C101" i="5"/>
  <c r="C87" i="5"/>
  <c r="C73" i="5"/>
  <c r="D59" i="5"/>
  <c r="C45" i="5"/>
  <c r="D31" i="5"/>
  <c r="C17" i="5"/>
  <c r="F2" i="5"/>
  <c r="B3" i="5" s="1"/>
  <c r="D18" i="1"/>
  <c r="E18" i="1" s="1"/>
  <c r="D9" i="3"/>
  <c r="F20" i="1"/>
  <c r="G20" i="1" s="1"/>
  <c r="H20" i="1" s="1"/>
  <c r="I20" i="1" s="1"/>
  <c r="J20" i="1" s="1"/>
  <c r="K20" i="1" s="1"/>
  <c r="L20" i="1" s="1"/>
  <c r="C132" i="7" l="1"/>
  <c r="F132" i="7" s="1"/>
  <c r="B133" i="7" s="1"/>
  <c r="D118" i="7"/>
  <c r="C118" i="7" s="1"/>
  <c r="F118" i="7"/>
  <c r="B119" i="7" s="1"/>
  <c r="F103" i="7"/>
  <c r="B104" i="7" s="1"/>
  <c r="C90" i="7"/>
  <c r="F90" i="7" s="1"/>
  <c r="B91" i="7" s="1"/>
  <c r="D162" i="6"/>
  <c r="C162" i="6" s="1"/>
  <c r="F162" i="6"/>
  <c r="B163" i="6" s="1"/>
  <c r="C146" i="6"/>
  <c r="F146" i="6" s="1"/>
  <c r="B147" i="6" s="1"/>
  <c r="F130" i="6"/>
  <c r="B131" i="6" s="1"/>
  <c r="C118" i="6"/>
  <c r="F118" i="6" s="1"/>
  <c r="B119" i="6" s="1"/>
  <c r="F186" i="5"/>
  <c r="B187" i="5" s="1"/>
  <c r="F172" i="5"/>
  <c r="B173" i="5" s="1"/>
  <c r="C160" i="5"/>
  <c r="F160" i="5" s="1"/>
  <c r="B161" i="5" s="1"/>
  <c r="C144" i="5"/>
  <c r="C216" i="2"/>
  <c r="F216" i="2" s="1"/>
  <c r="B217" i="2" s="1"/>
  <c r="C200" i="2"/>
  <c r="F186" i="2"/>
  <c r="B187" i="2" s="1"/>
  <c r="F172" i="2"/>
  <c r="B173" i="2" s="1"/>
  <c r="M20" i="1"/>
  <c r="L82" i="1"/>
  <c r="F18" i="1"/>
  <c r="E84" i="1"/>
  <c r="E62" i="1"/>
  <c r="D3" i="7"/>
  <c r="D3" i="6"/>
  <c r="F129" i="5"/>
  <c r="B130" i="5" s="1"/>
  <c r="F115" i="5"/>
  <c r="B116" i="5" s="1"/>
  <c r="F101" i="5"/>
  <c r="B102" i="5" s="1"/>
  <c r="F87" i="5"/>
  <c r="B88" i="5" s="1"/>
  <c r="F73" i="5"/>
  <c r="B74" i="5" s="1"/>
  <c r="C59" i="5"/>
  <c r="F45" i="5"/>
  <c r="B46" i="5" s="1"/>
  <c r="C31" i="5"/>
  <c r="F17" i="5"/>
  <c r="B18" i="5" s="1"/>
  <c r="D18" i="5" s="1"/>
  <c r="D3" i="5"/>
  <c r="D19" i="1"/>
  <c r="D92" i="1" s="1"/>
  <c r="F49" i="1"/>
  <c r="G49" i="1" s="1"/>
  <c r="H49" i="1" s="1"/>
  <c r="I49" i="1" s="1"/>
  <c r="J49" i="1" s="1"/>
  <c r="K49" i="1" s="1"/>
  <c r="C144" i="1"/>
  <c r="E38" i="3"/>
  <c r="T34" i="1"/>
  <c r="H34" i="1" s="1"/>
  <c r="T38" i="1"/>
  <c r="C113" i="1"/>
  <c r="F105" i="1" s="1"/>
  <c r="C105" i="1"/>
  <c r="F104" i="1" s="1"/>
  <c r="C106" i="1"/>
  <c r="G115" i="1"/>
  <c r="E67" i="1"/>
  <c r="F67" i="1" s="1"/>
  <c r="G67" i="1" s="1"/>
  <c r="H67" i="1" s="1"/>
  <c r="I67" i="1" s="1"/>
  <c r="J67" i="1" s="1"/>
  <c r="K67" i="1" s="1"/>
  <c r="C111" i="1"/>
  <c r="G116" i="1" s="1"/>
  <c r="C118" i="1"/>
  <c r="C107" i="1"/>
  <c r="C115" i="1"/>
  <c r="D133" i="7" l="1"/>
  <c r="C133" i="7" s="1"/>
  <c r="F133" i="7" s="1"/>
  <c r="B134" i="7" s="1"/>
  <c r="D119" i="7"/>
  <c r="C119" i="7" s="1"/>
  <c r="F119" i="7"/>
  <c r="B120" i="7" s="1"/>
  <c r="D104" i="7"/>
  <c r="D91" i="7"/>
  <c r="C91" i="7" s="1"/>
  <c r="F91" i="7"/>
  <c r="B92" i="7" s="1"/>
  <c r="D163" i="6"/>
  <c r="C163" i="6" s="1"/>
  <c r="F163" i="6"/>
  <c r="B164" i="6" s="1"/>
  <c r="D147" i="6"/>
  <c r="C147" i="6" s="1"/>
  <c r="F147" i="6"/>
  <c r="B148" i="6" s="1"/>
  <c r="D131" i="6"/>
  <c r="D119" i="6"/>
  <c r="C119" i="6" s="1"/>
  <c r="F119" i="6"/>
  <c r="B120" i="6" s="1"/>
  <c r="D187" i="5"/>
  <c r="D173" i="5"/>
  <c r="D161" i="5"/>
  <c r="C161" i="5" s="1"/>
  <c r="F161" i="5"/>
  <c r="B162" i="5" s="1"/>
  <c r="F144" i="5"/>
  <c r="B145" i="5" s="1"/>
  <c r="D217" i="2"/>
  <c r="C217" i="2" s="1"/>
  <c r="F217" i="2" s="1"/>
  <c r="B218" i="2" s="1"/>
  <c r="F200" i="2"/>
  <c r="B201" i="2" s="1"/>
  <c r="D187" i="2"/>
  <c r="D173" i="2"/>
  <c r="F38" i="3"/>
  <c r="E19" i="1"/>
  <c r="E92" i="1" s="1"/>
  <c r="N20" i="1"/>
  <c r="M82" i="1"/>
  <c r="F84" i="1"/>
  <c r="G18" i="1"/>
  <c r="F62" i="1"/>
  <c r="C3" i="7"/>
  <c r="C3" i="6"/>
  <c r="D130" i="5"/>
  <c r="D116" i="5"/>
  <c r="D102" i="5"/>
  <c r="D88" i="5"/>
  <c r="D74" i="5"/>
  <c r="F59" i="5"/>
  <c r="B60" i="5" s="1"/>
  <c r="D46" i="5"/>
  <c r="F31" i="5"/>
  <c r="B32" i="5" s="1"/>
  <c r="C3" i="5"/>
  <c r="O34" i="1"/>
  <c r="L34" i="1"/>
  <c r="M34" i="1"/>
  <c r="N34" i="1"/>
  <c r="C7" i="1"/>
  <c r="C109" i="1"/>
  <c r="D134" i="7" l="1"/>
  <c r="C134" i="7" s="1"/>
  <c r="F134" i="7" s="1"/>
  <c r="B135" i="7" s="1"/>
  <c r="D120" i="7"/>
  <c r="C120" i="7" s="1"/>
  <c r="F120" i="7" s="1"/>
  <c r="B121" i="7" s="1"/>
  <c r="C104" i="7"/>
  <c r="D92" i="7"/>
  <c r="C92" i="7" s="1"/>
  <c r="F92" i="7"/>
  <c r="B93" i="7" s="1"/>
  <c r="D164" i="6"/>
  <c r="C164" i="6" s="1"/>
  <c r="F164" i="6" s="1"/>
  <c r="B165" i="6" s="1"/>
  <c r="D148" i="6"/>
  <c r="C148" i="6" s="1"/>
  <c r="F148" i="6" s="1"/>
  <c r="B149" i="6" s="1"/>
  <c r="C131" i="6"/>
  <c r="D120" i="6"/>
  <c r="C120" i="6" s="1"/>
  <c r="F120" i="6" s="1"/>
  <c r="B121" i="6" s="1"/>
  <c r="C187" i="5"/>
  <c r="C173" i="5"/>
  <c r="D162" i="5"/>
  <c r="C162" i="5" s="1"/>
  <c r="F162" i="5" s="1"/>
  <c r="B163" i="5" s="1"/>
  <c r="D145" i="5"/>
  <c r="D218" i="2"/>
  <c r="C218" i="2" s="1"/>
  <c r="F218" i="2"/>
  <c r="B219" i="2" s="1"/>
  <c r="D201" i="2"/>
  <c r="C187" i="2"/>
  <c r="C173" i="2"/>
  <c r="G38" i="3"/>
  <c r="F19" i="1"/>
  <c r="F92" i="1" s="1"/>
  <c r="O20" i="1"/>
  <c r="N82" i="1"/>
  <c r="G84" i="1"/>
  <c r="H18" i="1"/>
  <c r="G62" i="1"/>
  <c r="F3" i="7"/>
  <c r="B4" i="7" s="1"/>
  <c r="F3" i="6"/>
  <c r="B4" i="6" s="1"/>
  <c r="C130" i="5"/>
  <c r="C116" i="5"/>
  <c r="C102" i="5"/>
  <c r="C88" i="5"/>
  <c r="C74" i="5"/>
  <c r="D60" i="5"/>
  <c r="C46" i="5"/>
  <c r="D32" i="5"/>
  <c r="C18" i="5"/>
  <c r="F3" i="5"/>
  <c r="B4" i="5" s="1"/>
  <c r="C162" i="1"/>
  <c r="O82" i="1" l="1"/>
  <c r="P20" i="1"/>
  <c r="D135" i="7"/>
  <c r="C135" i="7" s="1"/>
  <c r="F135" i="7"/>
  <c r="B136" i="7" s="1"/>
  <c r="D121" i="7"/>
  <c r="C121" i="7" s="1"/>
  <c r="F121" i="7" s="1"/>
  <c r="B122" i="7" s="1"/>
  <c r="F104" i="7"/>
  <c r="B105" i="7" s="1"/>
  <c r="F93" i="7"/>
  <c r="B94" i="7" s="1"/>
  <c r="D93" i="7"/>
  <c r="C93" i="7" s="1"/>
  <c r="D165" i="6"/>
  <c r="C165" i="6" s="1"/>
  <c r="F165" i="6" s="1"/>
  <c r="B166" i="6" s="1"/>
  <c r="D149" i="6"/>
  <c r="C149" i="6" s="1"/>
  <c r="F149" i="6" s="1"/>
  <c r="B150" i="6" s="1"/>
  <c r="F131" i="6"/>
  <c r="B132" i="6" s="1"/>
  <c r="D121" i="6"/>
  <c r="C121" i="6" s="1"/>
  <c r="F121" i="6" s="1"/>
  <c r="B122" i="6" s="1"/>
  <c r="F187" i="5"/>
  <c r="B188" i="5" s="1"/>
  <c r="F173" i="5"/>
  <c r="B174" i="5" s="1"/>
  <c r="D163" i="5"/>
  <c r="C163" i="5" s="1"/>
  <c r="F163" i="5" s="1"/>
  <c r="B164" i="5" s="1"/>
  <c r="C145" i="5"/>
  <c r="D219" i="2"/>
  <c r="C219" i="2" s="1"/>
  <c r="F219" i="2"/>
  <c r="B220" i="2" s="1"/>
  <c r="C201" i="2"/>
  <c r="F187" i="2"/>
  <c r="B188" i="2" s="1"/>
  <c r="F173" i="2"/>
  <c r="B174" i="2" s="1"/>
  <c r="H38" i="3"/>
  <c r="G19" i="1"/>
  <c r="G92" i="1" s="1"/>
  <c r="I18" i="1"/>
  <c r="H84" i="1"/>
  <c r="H62" i="1"/>
  <c r="D4" i="7"/>
  <c r="D4" i="6"/>
  <c r="F130" i="5"/>
  <c r="B131" i="5" s="1"/>
  <c r="F116" i="5"/>
  <c r="B117" i="5" s="1"/>
  <c r="F102" i="5"/>
  <c r="B103" i="5" s="1"/>
  <c r="F88" i="5"/>
  <c r="B89" i="5" s="1"/>
  <c r="F74" i="5"/>
  <c r="B75" i="5" s="1"/>
  <c r="C60" i="5"/>
  <c r="F46" i="5"/>
  <c r="B47" i="5" s="1"/>
  <c r="C32" i="5"/>
  <c r="F18" i="5"/>
  <c r="B19" i="5" s="1"/>
  <c r="D19" i="5" s="1"/>
  <c r="D4" i="5"/>
  <c r="D91" i="1"/>
  <c r="D90" i="1"/>
  <c r="D82" i="1"/>
  <c r="D81" i="1"/>
  <c r="P82" i="1" l="1"/>
  <c r="P85" i="1" s="1"/>
  <c r="P96" i="1" s="1"/>
  <c r="P97" i="1" s="1"/>
  <c r="Q20" i="1"/>
  <c r="P22" i="1"/>
  <c r="P24" i="1" s="1"/>
  <c r="P62" i="1"/>
  <c r="D136" i="7"/>
  <c r="C136" i="7" s="1"/>
  <c r="F136" i="7" s="1"/>
  <c r="B137" i="7" s="1"/>
  <c r="D122" i="7"/>
  <c r="C122" i="7" s="1"/>
  <c r="F122" i="7"/>
  <c r="B123" i="7" s="1"/>
  <c r="D105" i="7"/>
  <c r="C105" i="7" s="1"/>
  <c r="F105" i="7" s="1"/>
  <c r="B106" i="7" s="1"/>
  <c r="D94" i="7"/>
  <c r="C94" i="7" s="1"/>
  <c r="F94" i="7"/>
  <c r="B95" i="7" s="1"/>
  <c r="D166" i="6"/>
  <c r="C166" i="6" s="1"/>
  <c r="F166" i="6"/>
  <c r="B167" i="6" s="1"/>
  <c r="D150" i="6"/>
  <c r="C150" i="6" s="1"/>
  <c r="F150" i="6"/>
  <c r="B151" i="6" s="1"/>
  <c r="D132" i="6"/>
  <c r="D122" i="6"/>
  <c r="C122" i="6" s="1"/>
  <c r="F122" i="6" s="1"/>
  <c r="B123" i="6" s="1"/>
  <c r="D188" i="5"/>
  <c r="C188" i="5" s="1"/>
  <c r="F188" i="5" s="1"/>
  <c r="B189" i="5" s="1"/>
  <c r="D174" i="5"/>
  <c r="C174" i="5" s="1"/>
  <c r="F174" i="5"/>
  <c r="B175" i="5" s="1"/>
  <c r="D164" i="5"/>
  <c r="C164" i="5" s="1"/>
  <c r="F164" i="5"/>
  <c r="B165" i="5" s="1"/>
  <c r="F145" i="5"/>
  <c r="B146" i="5" s="1"/>
  <c r="D220" i="2"/>
  <c r="C220" i="2" s="1"/>
  <c r="F220" i="2"/>
  <c r="B221" i="2" s="1"/>
  <c r="F201" i="2"/>
  <c r="B202" i="2" s="1"/>
  <c r="D188" i="2"/>
  <c r="D174" i="2"/>
  <c r="C174" i="2" s="1"/>
  <c r="F174" i="2"/>
  <c r="B175" i="2" s="1"/>
  <c r="D94" i="1"/>
  <c r="I38" i="3"/>
  <c r="H92" i="1"/>
  <c r="J18" i="1"/>
  <c r="I84" i="1"/>
  <c r="I62" i="1"/>
  <c r="C4" i="7"/>
  <c r="C4" i="6"/>
  <c r="D131" i="5"/>
  <c r="D117" i="5"/>
  <c r="D103" i="5"/>
  <c r="D89" i="5"/>
  <c r="D75" i="5"/>
  <c r="F60" i="5"/>
  <c r="B61" i="5" s="1"/>
  <c r="D47" i="5"/>
  <c r="F32" i="5"/>
  <c r="B33" i="5" s="1"/>
  <c r="C4" i="5"/>
  <c r="E41" i="3"/>
  <c r="E40" i="3"/>
  <c r="D22" i="1"/>
  <c r="P137" i="1" l="1"/>
  <c r="P139" i="1" s="1"/>
  <c r="P140" i="1" s="1"/>
  <c r="P37" i="1"/>
  <c r="R20" i="1"/>
  <c r="Q82" i="1"/>
  <c r="Q85" i="1" s="1"/>
  <c r="Q96" i="1" s="1"/>
  <c r="Q97" i="1" s="1"/>
  <c r="Q62" i="1"/>
  <c r="Q22" i="1"/>
  <c r="Q24" i="1" s="1"/>
  <c r="D137" i="7"/>
  <c r="C137" i="7" s="1"/>
  <c r="F137" i="7" s="1"/>
  <c r="B138" i="7" s="1"/>
  <c r="D123" i="7"/>
  <c r="C123" i="7" s="1"/>
  <c r="F123" i="7"/>
  <c r="B124" i="7" s="1"/>
  <c r="D106" i="7"/>
  <c r="C106" i="7" s="1"/>
  <c r="F106" i="7" s="1"/>
  <c r="B107" i="7" s="1"/>
  <c r="D95" i="7"/>
  <c r="C95" i="7" s="1"/>
  <c r="F95" i="7"/>
  <c r="B96" i="7" s="1"/>
  <c r="D167" i="6"/>
  <c r="D151" i="6"/>
  <c r="C151" i="6" s="1"/>
  <c r="F151" i="6"/>
  <c r="B152" i="6" s="1"/>
  <c r="C132" i="6"/>
  <c r="F132" i="6" s="1"/>
  <c r="B133" i="6" s="1"/>
  <c r="D123" i="6"/>
  <c r="C123" i="6" s="1"/>
  <c r="F123" i="6"/>
  <c r="B124" i="6" s="1"/>
  <c r="D189" i="5"/>
  <c r="C189" i="5" s="1"/>
  <c r="F189" i="5" s="1"/>
  <c r="B190" i="5" s="1"/>
  <c r="D175" i="5"/>
  <c r="C175" i="5" s="1"/>
  <c r="F175" i="5"/>
  <c r="B176" i="5" s="1"/>
  <c r="D165" i="5"/>
  <c r="C165" i="5" s="1"/>
  <c r="F165" i="5"/>
  <c r="B166" i="5" s="1"/>
  <c r="D146" i="5"/>
  <c r="D221" i="2"/>
  <c r="C221" i="2" s="1"/>
  <c r="F221" i="2" s="1"/>
  <c r="B222" i="2" s="1"/>
  <c r="D202" i="2"/>
  <c r="C188" i="2"/>
  <c r="F188" i="2" s="1"/>
  <c r="B189" i="2" s="1"/>
  <c r="D175" i="2"/>
  <c r="C175" i="2" s="1"/>
  <c r="F175" i="2"/>
  <c r="B176" i="2" s="1"/>
  <c r="J38" i="3"/>
  <c r="I19" i="1"/>
  <c r="I92" i="1" s="1"/>
  <c r="J62" i="1"/>
  <c r="J84" i="1"/>
  <c r="K18" i="1"/>
  <c r="F4" i="7"/>
  <c r="B5" i="7" s="1"/>
  <c r="F4" i="6"/>
  <c r="B5" i="6" s="1"/>
  <c r="C131" i="5"/>
  <c r="C117" i="5"/>
  <c r="C103" i="5"/>
  <c r="C89" i="5"/>
  <c r="C75" i="5"/>
  <c r="D61" i="5"/>
  <c r="C47" i="5"/>
  <c r="D33" i="5"/>
  <c r="C19" i="5"/>
  <c r="F4" i="5"/>
  <c r="B5" i="5" s="1"/>
  <c r="F40" i="3"/>
  <c r="F41" i="3"/>
  <c r="J1" i="2"/>
  <c r="J34" i="1"/>
  <c r="K34" i="1"/>
  <c r="I45" i="1"/>
  <c r="J45" i="1"/>
  <c r="K45" i="1"/>
  <c r="I34" i="1"/>
  <c r="D12" i="1"/>
  <c r="E10" i="3"/>
  <c r="E17" i="3" s="1"/>
  <c r="E11" i="3"/>
  <c r="E18" i="3" s="1"/>
  <c r="R82" i="1" l="1"/>
  <c r="R85" i="1" s="1"/>
  <c r="R96" i="1" s="1"/>
  <c r="R97" i="1" s="1"/>
  <c r="R62" i="1"/>
  <c r="S20" i="1"/>
  <c r="R22" i="1"/>
  <c r="R24" i="1" s="1"/>
  <c r="Q137" i="1"/>
  <c r="Q139" i="1" s="1"/>
  <c r="Q37" i="1"/>
  <c r="P38" i="1"/>
  <c r="P61" i="1" s="1"/>
  <c r="P39" i="1"/>
  <c r="P68" i="1" s="1"/>
  <c r="P154" i="1"/>
  <c r="P159" i="1"/>
  <c r="P141" i="1"/>
  <c r="P162" i="1" s="1"/>
  <c r="D138" i="7"/>
  <c r="C138" i="7" s="1"/>
  <c r="F138" i="7"/>
  <c r="B139" i="7" s="1"/>
  <c r="D124" i="7"/>
  <c r="C124" i="7" s="1"/>
  <c r="F124" i="7" s="1"/>
  <c r="B125" i="7" s="1"/>
  <c r="D107" i="7"/>
  <c r="C107" i="7" s="1"/>
  <c r="F107" i="7"/>
  <c r="B108" i="7" s="1"/>
  <c r="D96" i="7"/>
  <c r="C96" i="7" s="1"/>
  <c r="F96" i="7"/>
  <c r="B97" i="7" s="1"/>
  <c r="C167" i="6"/>
  <c r="D168" i="6"/>
  <c r="D152" i="6"/>
  <c r="C152" i="6" s="1"/>
  <c r="F152" i="6" s="1"/>
  <c r="B153" i="6" s="1"/>
  <c r="D133" i="6"/>
  <c r="C133" i="6" s="1"/>
  <c r="F133" i="6"/>
  <c r="B134" i="6" s="1"/>
  <c r="D124" i="6"/>
  <c r="C124" i="6" s="1"/>
  <c r="F124" i="6" s="1"/>
  <c r="B125" i="6" s="1"/>
  <c r="D190" i="5"/>
  <c r="C190" i="5" s="1"/>
  <c r="F190" i="5"/>
  <c r="B191" i="5" s="1"/>
  <c r="D176" i="5"/>
  <c r="C176" i="5" s="1"/>
  <c r="F176" i="5"/>
  <c r="B177" i="5" s="1"/>
  <c r="D166" i="5"/>
  <c r="C166" i="5" s="1"/>
  <c r="F166" i="5"/>
  <c r="B167" i="5" s="1"/>
  <c r="C146" i="5"/>
  <c r="F146" i="5" s="1"/>
  <c r="B147" i="5" s="1"/>
  <c r="D222" i="2"/>
  <c r="C222" i="2" s="1"/>
  <c r="F222" i="2"/>
  <c r="B223" i="2" s="1"/>
  <c r="C202" i="2"/>
  <c r="F202" i="2" s="1"/>
  <c r="B203" i="2" s="1"/>
  <c r="D189" i="2"/>
  <c r="C189" i="2" s="1"/>
  <c r="F189" i="2"/>
  <c r="B190" i="2" s="1"/>
  <c r="D176" i="2"/>
  <c r="C176" i="2" s="1"/>
  <c r="F176" i="2" s="1"/>
  <c r="B177" i="2" s="1"/>
  <c r="K38" i="3"/>
  <c r="J19" i="1"/>
  <c r="J92" i="1" s="1"/>
  <c r="E12" i="1"/>
  <c r="E11" i="1"/>
  <c r="E9" i="3"/>
  <c r="K84" i="1"/>
  <c r="L18" i="1"/>
  <c r="K62" i="1"/>
  <c r="G41" i="3"/>
  <c r="G40" i="3"/>
  <c r="D5" i="7"/>
  <c r="D5" i="6"/>
  <c r="F131" i="5"/>
  <c r="B132" i="5" s="1"/>
  <c r="F117" i="5"/>
  <c r="B118" i="5" s="1"/>
  <c r="F103" i="5"/>
  <c r="B104" i="5" s="1"/>
  <c r="F89" i="5"/>
  <c r="B90" i="5" s="1"/>
  <c r="F75" i="5"/>
  <c r="B76" i="5" s="1"/>
  <c r="C61" i="5"/>
  <c r="F47" i="5"/>
  <c r="B48" i="5" s="1"/>
  <c r="C33" i="5"/>
  <c r="F19" i="5"/>
  <c r="B20" i="5" s="1"/>
  <c r="D20" i="5" s="1"/>
  <c r="D5" i="5"/>
  <c r="I138" i="1"/>
  <c r="H138" i="1"/>
  <c r="D11" i="1"/>
  <c r="T15" i="1" s="1"/>
  <c r="F10" i="3"/>
  <c r="F17" i="3" s="1"/>
  <c r="F11" i="1" s="1"/>
  <c r="E82" i="1"/>
  <c r="F11" i="3"/>
  <c r="F18" i="3" s="1"/>
  <c r="E36" i="3"/>
  <c r="F36" i="3" s="1"/>
  <c r="G36" i="3" s="1"/>
  <c r="H36" i="3" s="1"/>
  <c r="I36" i="3" s="1"/>
  <c r="J36" i="3" s="1"/>
  <c r="K36" i="3" s="1"/>
  <c r="R137" i="1" l="1"/>
  <c r="R139" i="1" s="1"/>
  <c r="R37" i="1"/>
  <c r="P70" i="1"/>
  <c r="P72" i="1" s="1"/>
  <c r="S82" i="1"/>
  <c r="S85" i="1" s="1"/>
  <c r="S96" i="1" s="1"/>
  <c r="S97" i="1" s="1"/>
  <c r="S62" i="1"/>
  <c r="S22" i="1"/>
  <c r="S24" i="1" s="1"/>
  <c r="Q38" i="1"/>
  <c r="Q61" i="1" s="1"/>
  <c r="Q39" i="1"/>
  <c r="Q68" i="1" s="1"/>
  <c r="Q70" i="1" s="1"/>
  <c r="Q72" i="1" s="1"/>
  <c r="Q140" i="1"/>
  <c r="Q141" i="1"/>
  <c r="D139" i="7"/>
  <c r="D125" i="7"/>
  <c r="D108" i="7"/>
  <c r="C108" i="7" s="1"/>
  <c r="F108" i="7" s="1"/>
  <c r="B109" i="7" s="1"/>
  <c r="D97" i="7"/>
  <c r="C168" i="6"/>
  <c r="F167" i="6"/>
  <c r="D153" i="6"/>
  <c r="D134" i="6"/>
  <c r="C134" i="6" s="1"/>
  <c r="F134" i="6" s="1"/>
  <c r="B135" i="6" s="1"/>
  <c r="D125" i="6"/>
  <c r="D191" i="5"/>
  <c r="C191" i="5" s="1"/>
  <c r="F191" i="5"/>
  <c r="B192" i="5" s="1"/>
  <c r="D177" i="5"/>
  <c r="C177" i="5" s="1"/>
  <c r="F177" i="5" s="1"/>
  <c r="B178" i="5" s="1"/>
  <c r="D167" i="5"/>
  <c r="D147" i="5"/>
  <c r="C147" i="5" s="1"/>
  <c r="F147" i="5"/>
  <c r="B148" i="5" s="1"/>
  <c r="D223" i="2"/>
  <c r="D203" i="2"/>
  <c r="C203" i="2" s="1"/>
  <c r="F203" i="2"/>
  <c r="B204" i="2" s="1"/>
  <c r="D190" i="2"/>
  <c r="C190" i="2" s="1"/>
  <c r="F190" i="2" s="1"/>
  <c r="B191" i="2" s="1"/>
  <c r="D177" i="2"/>
  <c r="C177" i="2" s="1"/>
  <c r="F177" i="2" s="1"/>
  <c r="B178" i="2" s="1"/>
  <c r="F12" i="1"/>
  <c r="F9" i="3"/>
  <c r="K19" i="1"/>
  <c r="K92" i="1" s="1"/>
  <c r="L38" i="3"/>
  <c r="M18" i="1"/>
  <c r="L84" i="1"/>
  <c r="L62" i="1"/>
  <c r="H41" i="3"/>
  <c r="H40" i="3"/>
  <c r="C5" i="7"/>
  <c r="C5" i="6"/>
  <c r="D132" i="5"/>
  <c r="C132" i="5" s="1"/>
  <c r="F132" i="5"/>
  <c r="B133" i="5" s="1"/>
  <c r="D118" i="5"/>
  <c r="C118" i="5" s="1"/>
  <c r="F118" i="5" s="1"/>
  <c r="B119" i="5" s="1"/>
  <c r="D104" i="5"/>
  <c r="D90" i="5"/>
  <c r="D76" i="5"/>
  <c r="F61" i="5"/>
  <c r="B62" i="5" s="1"/>
  <c r="D48" i="5"/>
  <c r="C48" i="5" s="1"/>
  <c r="F48" i="5" s="1"/>
  <c r="B49" i="5" s="1"/>
  <c r="F33" i="5"/>
  <c r="B34" i="5" s="1"/>
  <c r="C5" i="5"/>
  <c r="J138" i="1"/>
  <c r="D138" i="1"/>
  <c r="G10" i="3"/>
  <c r="F82" i="1"/>
  <c r="G11" i="3"/>
  <c r="S137" i="1" l="1"/>
  <c r="S139" i="1" s="1"/>
  <c r="S37" i="1"/>
  <c r="R38" i="1"/>
  <c r="R61" i="1" s="1"/>
  <c r="Q162" i="1"/>
  <c r="Q159" i="1"/>
  <c r="R140" i="1"/>
  <c r="C139" i="7"/>
  <c r="D140" i="7"/>
  <c r="C125" i="7"/>
  <c r="D126" i="7"/>
  <c r="D109" i="7"/>
  <c r="C109" i="7" s="1"/>
  <c r="F109" i="7" s="1"/>
  <c r="B110" i="7" s="1"/>
  <c r="C97" i="7"/>
  <c r="D98" i="7"/>
  <c r="C153" i="6"/>
  <c r="D154" i="6"/>
  <c r="D135" i="6"/>
  <c r="C135" i="6" s="1"/>
  <c r="F135" i="6" s="1"/>
  <c r="B136" i="6" s="1"/>
  <c r="C125" i="6"/>
  <c r="D126" i="6"/>
  <c r="D192" i="5"/>
  <c r="C192" i="5" s="1"/>
  <c r="F192" i="5" s="1"/>
  <c r="B193" i="5" s="1"/>
  <c r="D178" i="5"/>
  <c r="C178" i="5" s="1"/>
  <c r="F178" i="5" s="1"/>
  <c r="B179" i="5" s="1"/>
  <c r="C167" i="5"/>
  <c r="D168" i="5"/>
  <c r="D148" i="5"/>
  <c r="C148" i="5" s="1"/>
  <c r="F148" i="5" s="1"/>
  <c r="B149" i="5" s="1"/>
  <c r="C223" i="2"/>
  <c r="D224" i="2"/>
  <c r="D204" i="2"/>
  <c r="C204" i="2" s="1"/>
  <c r="F204" i="2" s="1"/>
  <c r="B205" i="2" s="1"/>
  <c r="D191" i="2"/>
  <c r="C191" i="2" s="1"/>
  <c r="F191" i="2" s="1"/>
  <c r="B192" i="2" s="1"/>
  <c r="D178" i="2"/>
  <c r="C178" i="2" s="1"/>
  <c r="F178" i="2"/>
  <c r="B179" i="2" s="1"/>
  <c r="G21" i="3"/>
  <c r="G17" i="3"/>
  <c r="L19" i="1"/>
  <c r="L92" i="1" s="1"/>
  <c r="M38" i="3"/>
  <c r="G22" i="3"/>
  <c r="G18" i="3"/>
  <c r="G12" i="1" s="1"/>
  <c r="G11" i="1"/>
  <c r="M84" i="1"/>
  <c r="N18" i="1"/>
  <c r="M62" i="1"/>
  <c r="I41" i="3"/>
  <c r="I40" i="3"/>
  <c r="F5" i="7"/>
  <c r="B6" i="7" s="1"/>
  <c r="F5" i="6"/>
  <c r="B6" i="6" s="1"/>
  <c r="D133" i="5"/>
  <c r="C133" i="5" s="1"/>
  <c r="F133" i="5"/>
  <c r="B134" i="5" s="1"/>
  <c r="D119" i="5"/>
  <c r="C119" i="5" s="1"/>
  <c r="F119" i="5" s="1"/>
  <c r="B120" i="5" s="1"/>
  <c r="C104" i="5"/>
  <c r="F104" i="5" s="1"/>
  <c r="B105" i="5" s="1"/>
  <c r="C90" i="5"/>
  <c r="F90" i="5" s="1"/>
  <c r="B91" i="5" s="1"/>
  <c r="C76" i="5"/>
  <c r="F76" i="5" s="1"/>
  <c r="B77" i="5" s="1"/>
  <c r="D62" i="5"/>
  <c r="D49" i="5"/>
  <c r="C49" i="5" s="1"/>
  <c r="F49" i="5" s="1"/>
  <c r="B50" i="5" s="1"/>
  <c r="D34" i="5"/>
  <c r="C34" i="5" s="1"/>
  <c r="F34" i="5"/>
  <c r="B35" i="5" s="1"/>
  <c r="C20" i="5"/>
  <c r="F20" i="5" s="1"/>
  <c r="B21" i="5" s="1"/>
  <c r="D21" i="5" s="1"/>
  <c r="F5" i="5"/>
  <c r="B6" i="5" s="1"/>
  <c r="E138" i="1"/>
  <c r="H10" i="3"/>
  <c r="G82" i="1"/>
  <c r="H11" i="3"/>
  <c r="D34" i="1"/>
  <c r="R159" i="1" l="1"/>
  <c r="S38" i="1"/>
  <c r="S61" i="1" s="1"/>
  <c r="S140" i="1"/>
  <c r="S141" i="1"/>
  <c r="R141" i="1"/>
  <c r="R162" i="1" s="1"/>
  <c r="R39" i="1"/>
  <c r="R68" i="1" s="1"/>
  <c r="R70" i="1" s="1"/>
  <c r="R72" i="1" s="1"/>
  <c r="C140" i="7"/>
  <c r="F139" i="7"/>
  <c r="C126" i="7"/>
  <c r="F125" i="7"/>
  <c r="D110" i="7"/>
  <c r="C110" i="7" s="1"/>
  <c r="F110" i="7"/>
  <c r="B111" i="7" s="1"/>
  <c r="C98" i="7"/>
  <c r="F97" i="7"/>
  <c r="C154" i="6"/>
  <c r="F153" i="6"/>
  <c r="D136" i="6"/>
  <c r="C136" i="6" s="1"/>
  <c r="F136" i="6"/>
  <c r="B137" i="6" s="1"/>
  <c r="C126" i="6"/>
  <c r="F125" i="6"/>
  <c r="D193" i="5"/>
  <c r="C193" i="5" s="1"/>
  <c r="F193" i="5" s="1"/>
  <c r="B194" i="5" s="1"/>
  <c r="D179" i="5"/>
  <c r="C179" i="5" s="1"/>
  <c r="F179" i="5"/>
  <c r="B180" i="5" s="1"/>
  <c r="C168" i="5"/>
  <c r="F167" i="5"/>
  <c r="D149" i="5"/>
  <c r="C149" i="5" s="1"/>
  <c r="F149" i="5" s="1"/>
  <c r="B150" i="5" s="1"/>
  <c r="C224" i="2"/>
  <c r="F223" i="2"/>
  <c r="D205" i="2"/>
  <c r="C205" i="2" s="1"/>
  <c r="F205" i="2" s="1"/>
  <c r="B206" i="2" s="1"/>
  <c r="D192" i="2"/>
  <c r="C192" i="2" s="1"/>
  <c r="F192" i="2"/>
  <c r="B193" i="2" s="1"/>
  <c r="D179" i="2"/>
  <c r="C179" i="2" s="1"/>
  <c r="F179" i="2"/>
  <c r="B180" i="2" s="1"/>
  <c r="G9" i="3"/>
  <c r="M19" i="1"/>
  <c r="M92" i="1" s="1"/>
  <c r="N38" i="3"/>
  <c r="H21" i="3"/>
  <c r="H17" i="3"/>
  <c r="H22" i="3"/>
  <c r="H18" i="3"/>
  <c r="H12" i="1"/>
  <c r="O18" i="1"/>
  <c r="N62" i="1"/>
  <c r="N84" i="1"/>
  <c r="J41" i="3"/>
  <c r="J40" i="3"/>
  <c r="D6" i="7"/>
  <c r="C6" i="7" s="1"/>
  <c r="D6" i="6"/>
  <c r="C6" i="6" s="1"/>
  <c r="F6" i="6"/>
  <c r="B7" i="6" s="1"/>
  <c r="D134" i="5"/>
  <c r="C134" i="5" s="1"/>
  <c r="F134" i="5" s="1"/>
  <c r="B135" i="5" s="1"/>
  <c r="D120" i="5"/>
  <c r="C120" i="5" s="1"/>
  <c r="F120" i="5" s="1"/>
  <c r="B121" i="5" s="1"/>
  <c r="D105" i="5"/>
  <c r="C105" i="5" s="1"/>
  <c r="F105" i="5" s="1"/>
  <c r="B106" i="5" s="1"/>
  <c r="D91" i="5"/>
  <c r="C91" i="5" s="1"/>
  <c r="F91" i="5"/>
  <c r="B92" i="5" s="1"/>
  <c r="D77" i="5"/>
  <c r="C77" i="5" s="1"/>
  <c r="F77" i="5"/>
  <c r="B78" i="5" s="1"/>
  <c r="C62" i="5"/>
  <c r="F62" i="5" s="1"/>
  <c r="B63" i="5" s="1"/>
  <c r="D50" i="5"/>
  <c r="C50" i="5" s="1"/>
  <c r="F50" i="5" s="1"/>
  <c r="B51" i="5" s="1"/>
  <c r="D35" i="5"/>
  <c r="C35" i="5" s="1"/>
  <c r="F35" i="5" s="1"/>
  <c r="B36" i="5" s="1"/>
  <c r="C21" i="5"/>
  <c r="F21" i="5"/>
  <c r="B22" i="5" s="1"/>
  <c r="D22" i="5" s="1"/>
  <c r="D6" i="5"/>
  <c r="C6" i="5" s="1"/>
  <c r="G138" i="1"/>
  <c r="F138" i="1"/>
  <c r="I10" i="3"/>
  <c r="H82" i="1"/>
  <c r="I11" i="3"/>
  <c r="D13" i="1"/>
  <c r="D76" i="1" s="1"/>
  <c r="L2" i="2"/>
  <c r="D45" i="1"/>
  <c r="G45" i="1"/>
  <c r="F45" i="1"/>
  <c r="E45" i="1"/>
  <c r="L3" i="2"/>
  <c r="F34" i="1"/>
  <c r="G34" i="1"/>
  <c r="E34" i="1"/>
  <c r="S39" i="1" l="1"/>
  <c r="S68" i="1" s="1"/>
  <c r="S70" i="1" s="1"/>
  <c r="S72" i="1" s="1"/>
  <c r="D111" i="7"/>
  <c r="D137" i="6"/>
  <c r="C137" i="6" s="1"/>
  <c r="F137" i="6"/>
  <c r="B138" i="6" s="1"/>
  <c r="D194" i="5"/>
  <c r="C194" i="5" s="1"/>
  <c r="F194" i="5"/>
  <c r="B195" i="5" s="1"/>
  <c r="D180" i="5"/>
  <c r="C180" i="5" s="1"/>
  <c r="F180" i="5"/>
  <c r="B181" i="5" s="1"/>
  <c r="D150" i="5"/>
  <c r="C150" i="5" s="1"/>
  <c r="F150" i="5"/>
  <c r="B151" i="5" s="1"/>
  <c r="D206" i="2"/>
  <c r="C206" i="2" s="1"/>
  <c r="F206" i="2"/>
  <c r="B207" i="2" s="1"/>
  <c r="D193" i="2"/>
  <c r="C193" i="2" s="1"/>
  <c r="F193" i="2"/>
  <c r="B194" i="2" s="1"/>
  <c r="D180" i="2"/>
  <c r="C180" i="2" s="1"/>
  <c r="F180" i="2" s="1"/>
  <c r="B181" i="2" s="1"/>
  <c r="H9" i="3"/>
  <c r="I25" i="3"/>
  <c r="I21" i="3"/>
  <c r="I17" i="3"/>
  <c r="I9" i="3" s="1"/>
  <c r="I26" i="3"/>
  <c r="I22" i="3"/>
  <c r="I18" i="3"/>
  <c r="I12" i="1" s="1"/>
  <c r="N19" i="1"/>
  <c r="N92" i="1" s="1"/>
  <c r="O38" i="3"/>
  <c r="O19" i="1" s="1"/>
  <c r="O92" i="1" s="1"/>
  <c r="H11" i="1"/>
  <c r="H13" i="1" s="1"/>
  <c r="H15" i="1" s="1"/>
  <c r="O84" i="1"/>
  <c r="O62" i="1"/>
  <c r="K41" i="3"/>
  <c r="H76" i="1"/>
  <c r="K40" i="3"/>
  <c r="F6" i="7"/>
  <c r="B7" i="7" s="1"/>
  <c r="D7" i="6"/>
  <c r="C7" i="6" s="1"/>
  <c r="F7" i="6" s="1"/>
  <c r="B8" i="6" s="1"/>
  <c r="D135" i="5"/>
  <c r="C135" i="5" s="1"/>
  <c r="F135" i="5" s="1"/>
  <c r="B136" i="5" s="1"/>
  <c r="D121" i="5"/>
  <c r="C121" i="5" s="1"/>
  <c r="F121" i="5" s="1"/>
  <c r="B122" i="5" s="1"/>
  <c r="D106" i="5"/>
  <c r="C106" i="5" s="1"/>
  <c r="F106" i="5" s="1"/>
  <c r="B107" i="5" s="1"/>
  <c r="D92" i="5"/>
  <c r="C92" i="5" s="1"/>
  <c r="F92" i="5" s="1"/>
  <c r="B93" i="5" s="1"/>
  <c r="D78" i="5"/>
  <c r="C78" i="5" s="1"/>
  <c r="F78" i="5" s="1"/>
  <c r="B79" i="5" s="1"/>
  <c r="D63" i="5"/>
  <c r="C63" i="5" s="1"/>
  <c r="F63" i="5"/>
  <c r="B64" i="5" s="1"/>
  <c r="D51" i="5"/>
  <c r="C51" i="5" s="1"/>
  <c r="F51" i="5"/>
  <c r="B52" i="5" s="1"/>
  <c r="D36" i="5"/>
  <c r="C36" i="5" s="1"/>
  <c r="F36" i="5" s="1"/>
  <c r="B37" i="5" s="1"/>
  <c r="C22" i="5"/>
  <c r="F22" i="5" s="1"/>
  <c r="B23" i="5" s="1"/>
  <c r="D23" i="5" s="1"/>
  <c r="F6" i="5"/>
  <c r="B7" i="5" s="1"/>
  <c r="D46" i="1"/>
  <c r="J10" i="3"/>
  <c r="I82" i="1"/>
  <c r="D2" i="2"/>
  <c r="J111" i="2"/>
  <c r="J83" i="2"/>
  <c r="J69" i="2"/>
  <c r="I111" i="2"/>
  <c r="I97" i="2"/>
  <c r="I83" i="2"/>
  <c r="I55" i="2"/>
  <c r="I69" i="2"/>
  <c r="J13" i="2"/>
  <c r="T16" i="1"/>
  <c r="J11" i="3"/>
  <c r="D24" i="1"/>
  <c r="D137" i="1" s="1"/>
  <c r="D139" i="1" s="1"/>
  <c r="L5" i="2"/>
  <c r="J27" i="2"/>
  <c r="J41" i="2"/>
  <c r="J55" i="2"/>
  <c r="I13" i="2"/>
  <c r="I27" i="2"/>
  <c r="I41" i="2"/>
  <c r="C111" i="7" l="1"/>
  <c r="D112" i="7"/>
  <c r="D138" i="6"/>
  <c r="C138" i="6" s="1"/>
  <c r="F138" i="6" s="1"/>
  <c r="B139" i="6" s="1"/>
  <c r="D195" i="5"/>
  <c r="D181" i="5"/>
  <c r="D151" i="5"/>
  <c r="C151" i="5" s="1"/>
  <c r="F151" i="5"/>
  <c r="B152" i="5" s="1"/>
  <c r="D207" i="2"/>
  <c r="C207" i="2" s="1"/>
  <c r="F207" i="2"/>
  <c r="B208" i="2" s="1"/>
  <c r="D194" i="2"/>
  <c r="C194" i="2" s="1"/>
  <c r="F194" i="2" s="1"/>
  <c r="B195" i="2" s="1"/>
  <c r="D181" i="2"/>
  <c r="H90" i="1"/>
  <c r="H16" i="1"/>
  <c r="H22" i="1" s="1"/>
  <c r="I11" i="1"/>
  <c r="I13" i="1" s="1"/>
  <c r="I16" i="1" s="1"/>
  <c r="I91" i="1" s="1"/>
  <c r="E2" i="2"/>
  <c r="E164" i="2"/>
  <c r="E160" i="2"/>
  <c r="E156" i="2"/>
  <c r="E151" i="2"/>
  <c r="E147" i="2"/>
  <c r="E143" i="2"/>
  <c r="E139" i="2"/>
  <c r="E135" i="2"/>
  <c r="E131" i="2"/>
  <c r="E123" i="2"/>
  <c r="E119" i="2"/>
  <c r="E115" i="2"/>
  <c r="E167" i="2"/>
  <c r="E163" i="2"/>
  <c r="E159" i="2"/>
  <c r="E150" i="2"/>
  <c r="E146" i="2"/>
  <c r="E142" i="2"/>
  <c r="E138" i="2"/>
  <c r="E134" i="2"/>
  <c r="E130" i="2"/>
  <c r="E122" i="2"/>
  <c r="E118" i="2"/>
  <c r="E114" i="2"/>
  <c r="E166" i="2"/>
  <c r="E162" i="2"/>
  <c r="E158" i="2"/>
  <c r="E153" i="2"/>
  <c r="E149" i="2"/>
  <c r="E145" i="2"/>
  <c r="E137" i="2"/>
  <c r="E133" i="2"/>
  <c r="E129" i="2"/>
  <c r="E125" i="2"/>
  <c r="E121" i="2"/>
  <c r="E117" i="2"/>
  <c r="E165" i="2"/>
  <c r="E161" i="2"/>
  <c r="E152" i="2"/>
  <c r="E148" i="2"/>
  <c r="E144" i="2"/>
  <c r="E136" i="2"/>
  <c r="E128" i="2"/>
  <c r="E124" i="2"/>
  <c r="E116" i="2"/>
  <c r="E157" i="2"/>
  <c r="E132" i="2"/>
  <c r="E120" i="2"/>
  <c r="J25" i="3"/>
  <c r="J21" i="3"/>
  <c r="K10" i="3"/>
  <c r="J17" i="3"/>
  <c r="J9" i="3" s="1"/>
  <c r="J22" i="3"/>
  <c r="J26" i="3"/>
  <c r="J18" i="3"/>
  <c r="H46" i="1"/>
  <c r="H47" i="1" s="1"/>
  <c r="L41" i="3"/>
  <c r="L40" i="3"/>
  <c r="D7" i="7"/>
  <c r="C7" i="7" s="1"/>
  <c r="F7" i="7" s="1"/>
  <c r="B8" i="7" s="1"/>
  <c r="D8" i="6"/>
  <c r="C8" i="6" s="1"/>
  <c r="F8" i="6" s="1"/>
  <c r="B9" i="6" s="1"/>
  <c r="D136" i="5"/>
  <c r="C136" i="5" s="1"/>
  <c r="F136" i="5"/>
  <c r="B137" i="5" s="1"/>
  <c r="D122" i="5"/>
  <c r="C122" i="5" s="1"/>
  <c r="F122" i="5"/>
  <c r="B123" i="5" s="1"/>
  <c r="D107" i="5"/>
  <c r="C107" i="5" s="1"/>
  <c r="F107" i="5" s="1"/>
  <c r="B108" i="5" s="1"/>
  <c r="D93" i="5"/>
  <c r="C93" i="5" s="1"/>
  <c r="F93" i="5" s="1"/>
  <c r="B94" i="5" s="1"/>
  <c r="D79" i="5"/>
  <c r="C79" i="5" s="1"/>
  <c r="F79" i="5" s="1"/>
  <c r="B80" i="5" s="1"/>
  <c r="D64" i="5"/>
  <c r="C64" i="5" s="1"/>
  <c r="F64" i="5" s="1"/>
  <c r="B65" i="5" s="1"/>
  <c r="D52" i="5"/>
  <c r="C52" i="5" s="1"/>
  <c r="F52" i="5" s="1"/>
  <c r="B53" i="5" s="1"/>
  <c r="D37" i="5"/>
  <c r="C37" i="5" s="1"/>
  <c r="F37" i="5"/>
  <c r="B38" i="5" s="1"/>
  <c r="C23" i="5"/>
  <c r="F23" i="5" s="1"/>
  <c r="B24" i="5" s="1"/>
  <c r="D24" i="5" s="1"/>
  <c r="D7" i="5"/>
  <c r="C7" i="5" s="1"/>
  <c r="F7" i="5" s="1"/>
  <c r="B8" i="5" s="1"/>
  <c r="D158" i="1"/>
  <c r="D153" i="1"/>
  <c r="D47" i="1"/>
  <c r="K82" i="1"/>
  <c r="J82" i="1"/>
  <c r="E48" i="2"/>
  <c r="E109" i="2"/>
  <c r="E96" i="2"/>
  <c r="E83" i="2"/>
  <c r="E77" i="2"/>
  <c r="E66" i="2"/>
  <c r="E110" i="2"/>
  <c r="E108" i="2"/>
  <c r="E106" i="2"/>
  <c r="E104" i="2"/>
  <c r="E102" i="2"/>
  <c r="E100" i="2"/>
  <c r="E97" i="2"/>
  <c r="E95" i="2"/>
  <c r="E93" i="2"/>
  <c r="E91" i="2"/>
  <c r="E89" i="2"/>
  <c r="E87" i="2"/>
  <c r="E82" i="2"/>
  <c r="E80" i="2"/>
  <c r="E78" i="2"/>
  <c r="E76" i="2"/>
  <c r="E74" i="2"/>
  <c r="E72" i="2"/>
  <c r="E59" i="2"/>
  <c r="E61" i="2"/>
  <c r="E63" i="2"/>
  <c r="E65" i="2"/>
  <c r="E67" i="2"/>
  <c r="E69" i="2"/>
  <c r="E58" i="2"/>
  <c r="E111" i="2"/>
  <c r="E107" i="2"/>
  <c r="E105" i="2"/>
  <c r="E103" i="2"/>
  <c r="E101" i="2"/>
  <c r="E94" i="2"/>
  <c r="E92" i="2"/>
  <c r="E90" i="2"/>
  <c r="E88" i="2"/>
  <c r="E86" i="2"/>
  <c r="E81" i="2"/>
  <c r="E79" i="2"/>
  <c r="E75" i="2"/>
  <c r="E73" i="2"/>
  <c r="E60" i="2"/>
  <c r="E62" i="2"/>
  <c r="E64" i="2"/>
  <c r="E68" i="2"/>
  <c r="K11" i="3"/>
  <c r="E5" i="2"/>
  <c r="E23" i="2"/>
  <c r="E10" i="2"/>
  <c r="C2" i="2"/>
  <c r="F2" i="2" s="1"/>
  <c r="B3" i="2" s="1"/>
  <c r="D3" i="2" s="1"/>
  <c r="E3" i="2"/>
  <c r="E41" i="2"/>
  <c r="E37" i="2"/>
  <c r="E46" i="2"/>
  <c r="E40" i="2"/>
  <c r="E21" i="2"/>
  <c r="E54" i="2"/>
  <c r="E4" i="2"/>
  <c r="E44" i="2"/>
  <c r="E6" i="2"/>
  <c r="E25" i="2"/>
  <c r="E39" i="2"/>
  <c r="E24" i="2"/>
  <c r="E18" i="2"/>
  <c r="E26" i="2"/>
  <c r="E52" i="2"/>
  <c r="E35" i="2"/>
  <c r="E22" i="2"/>
  <c r="E9" i="2"/>
  <c r="E13" i="1"/>
  <c r="E76" i="1" s="1"/>
  <c r="E11" i="2"/>
  <c r="E31" i="2"/>
  <c r="E49" i="2"/>
  <c r="E12" i="2"/>
  <c r="E32" i="2"/>
  <c r="E50" i="2"/>
  <c r="E13" i="2"/>
  <c r="E33" i="2"/>
  <c r="E51" i="2"/>
  <c r="E16" i="2"/>
  <c r="E34" i="2"/>
  <c r="E30" i="2"/>
  <c r="E55" i="2"/>
  <c r="E19" i="2"/>
  <c r="E36" i="2"/>
  <c r="E53" i="2"/>
  <c r="E17" i="2"/>
  <c r="E38" i="2"/>
  <c r="E27" i="2"/>
  <c r="E8" i="2"/>
  <c r="E47" i="2"/>
  <c r="E7" i="2"/>
  <c r="E20" i="2"/>
  <c r="E45" i="2"/>
  <c r="C112" i="7" l="1"/>
  <c r="F111" i="7"/>
  <c r="D139" i="6"/>
  <c r="C195" i="5"/>
  <c r="D196" i="5"/>
  <c r="C181" i="5"/>
  <c r="D182" i="5"/>
  <c r="D152" i="5"/>
  <c r="C152" i="5" s="1"/>
  <c r="F152" i="5" s="1"/>
  <c r="B153" i="5" s="1"/>
  <c r="D208" i="2"/>
  <c r="C208" i="2" s="1"/>
  <c r="F208" i="2" s="1"/>
  <c r="B209" i="2" s="1"/>
  <c r="D195" i="2"/>
  <c r="C181" i="2"/>
  <c r="D182" i="2"/>
  <c r="I15" i="1"/>
  <c r="I46" i="1"/>
  <c r="I153" i="1" s="1"/>
  <c r="I76" i="1"/>
  <c r="K25" i="3"/>
  <c r="K21" i="3"/>
  <c r="K29" i="3"/>
  <c r="L10" i="3"/>
  <c r="K17" i="3"/>
  <c r="K9" i="3" s="1"/>
  <c r="K22" i="3"/>
  <c r="K30" i="3"/>
  <c r="K26" i="3"/>
  <c r="L11" i="3"/>
  <c r="K18" i="3"/>
  <c r="J11" i="1"/>
  <c r="J12" i="1"/>
  <c r="D58" i="1"/>
  <c r="G5" i="4" s="1"/>
  <c r="M41" i="3"/>
  <c r="M40" i="3"/>
  <c r="D8" i="7"/>
  <c r="C8" i="7" s="1"/>
  <c r="F8" i="7"/>
  <c r="B9" i="7" s="1"/>
  <c r="D9" i="6"/>
  <c r="C9" i="6" s="1"/>
  <c r="F9" i="6"/>
  <c r="B10" i="6" s="1"/>
  <c r="D137" i="5"/>
  <c r="C137" i="5" s="1"/>
  <c r="F137" i="5"/>
  <c r="B138" i="5" s="1"/>
  <c r="D123" i="5"/>
  <c r="C123" i="5" s="1"/>
  <c r="F123" i="5" s="1"/>
  <c r="B124" i="5" s="1"/>
  <c r="D108" i="5"/>
  <c r="C108" i="5" s="1"/>
  <c r="F108" i="5"/>
  <c r="B109" i="5" s="1"/>
  <c r="D94" i="5"/>
  <c r="C94" i="5" s="1"/>
  <c r="F94" i="5"/>
  <c r="B95" i="5" s="1"/>
  <c r="D80" i="5"/>
  <c r="C80" i="5" s="1"/>
  <c r="F80" i="5"/>
  <c r="B81" i="5" s="1"/>
  <c r="D65" i="5"/>
  <c r="C65" i="5" s="1"/>
  <c r="F65" i="5" s="1"/>
  <c r="B66" i="5" s="1"/>
  <c r="D53" i="5"/>
  <c r="C53" i="5" s="1"/>
  <c r="F53" i="5" s="1"/>
  <c r="B54" i="5" s="1"/>
  <c r="D38" i="5"/>
  <c r="C38" i="5" s="1"/>
  <c r="F38" i="5"/>
  <c r="B39" i="5" s="1"/>
  <c r="C24" i="5"/>
  <c r="F24" i="5" s="1"/>
  <c r="B25" i="5" s="1"/>
  <c r="D25" i="5" s="1"/>
  <c r="D8" i="5"/>
  <c r="C8" i="5" s="1"/>
  <c r="F8" i="5"/>
  <c r="B9" i="5" s="1"/>
  <c r="I158" i="1"/>
  <c r="E46" i="1"/>
  <c r="D154" i="1"/>
  <c r="E16" i="1"/>
  <c r="E91" i="1" s="1"/>
  <c r="E15" i="1"/>
  <c r="H24" i="1"/>
  <c r="H137" i="1" s="1"/>
  <c r="H139" i="1" s="1"/>
  <c r="H91" i="1"/>
  <c r="H94" i="1" s="1"/>
  <c r="C3" i="2"/>
  <c r="F3" i="2" s="1"/>
  <c r="B4" i="2" s="1"/>
  <c r="D4" i="2" s="1"/>
  <c r="C4" i="2" s="1"/>
  <c r="F4" i="2" s="1"/>
  <c r="B5" i="2" s="1"/>
  <c r="D5" i="2" s="1"/>
  <c r="F13" i="1"/>
  <c r="H58" i="1"/>
  <c r="C139" i="6" l="1"/>
  <c r="D140" i="6"/>
  <c r="C196" i="5"/>
  <c r="F195" i="5"/>
  <c r="C182" i="5"/>
  <c r="F181" i="5"/>
  <c r="D153" i="5"/>
  <c r="D209" i="2"/>
  <c r="C195" i="2"/>
  <c r="D196" i="2"/>
  <c r="C182" i="2"/>
  <c r="F181" i="2"/>
  <c r="I90" i="1"/>
  <c r="I94" i="1" s="1"/>
  <c r="I22" i="1"/>
  <c r="I24" i="1" s="1"/>
  <c r="I137" i="1" s="1"/>
  <c r="I139" i="1" s="1"/>
  <c r="I47" i="1"/>
  <c r="J13" i="1"/>
  <c r="J15" i="1" s="1"/>
  <c r="C4" i="4"/>
  <c r="L29" i="3"/>
  <c r="L25" i="3"/>
  <c r="L21" i="3"/>
  <c r="L17" i="3"/>
  <c r="M10" i="3"/>
  <c r="K12" i="1"/>
  <c r="L26" i="3"/>
  <c r="L30" i="3"/>
  <c r="L22" i="3"/>
  <c r="M11" i="3"/>
  <c r="L18" i="3"/>
  <c r="L12" i="1" s="1"/>
  <c r="K11" i="1"/>
  <c r="N41" i="3"/>
  <c r="F16" i="1"/>
  <c r="F91" i="1" s="1"/>
  <c r="F15" i="1"/>
  <c r="F90" i="1" s="1"/>
  <c r="N40" i="3"/>
  <c r="D9" i="7"/>
  <c r="C9" i="7" s="1"/>
  <c r="F9" i="7" s="1"/>
  <c r="B10" i="7" s="1"/>
  <c r="D10" i="6"/>
  <c r="C10" i="6" s="1"/>
  <c r="F10" i="6"/>
  <c r="B11" i="6" s="1"/>
  <c r="D138" i="5"/>
  <c r="C138" i="5" s="1"/>
  <c r="F138" i="5" s="1"/>
  <c r="B139" i="5" s="1"/>
  <c r="D124" i="5"/>
  <c r="C124" i="5" s="1"/>
  <c r="F124" i="5"/>
  <c r="B125" i="5" s="1"/>
  <c r="D109" i="5"/>
  <c r="C109" i="5" s="1"/>
  <c r="F109" i="5"/>
  <c r="B110" i="5" s="1"/>
  <c r="D95" i="5"/>
  <c r="C95" i="5" s="1"/>
  <c r="F95" i="5"/>
  <c r="B96" i="5" s="1"/>
  <c r="D81" i="5"/>
  <c r="C81" i="5" s="1"/>
  <c r="F81" i="5"/>
  <c r="B82" i="5" s="1"/>
  <c r="D66" i="5"/>
  <c r="C66" i="5" s="1"/>
  <c r="F66" i="5" s="1"/>
  <c r="B67" i="5" s="1"/>
  <c r="D54" i="5"/>
  <c r="C54" i="5" s="1"/>
  <c r="F54" i="5" s="1"/>
  <c r="B55" i="5" s="1"/>
  <c r="D39" i="5"/>
  <c r="C39" i="5" s="1"/>
  <c r="F39" i="5" s="1"/>
  <c r="B40" i="5" s="1"/>
  <c r="C25" i="5"/>
  <c r="F25" i="5"/>
  <c r="B26" i="5" s="1"/>
  <c r="D26" i="5" s="1"/>
  <c r="D9" i="5"/>
  <c r="C9" i="5" s="1"/>
  <c r="F9" i="5" s="1"/>
  <c r="B10" i="5" s="1"/>
  <c r="F76" i="1"/>
  <c r="F46" i="1"/>
  <c r="E158" i="1"/>
  <c r="E153" i="1"/>
  <c r="D162" i="1"/>
  <c r="E47" i="1"/>
  <c r="I140" i="1"/>
  <c r="I159" i="1" s="1"/>
  <c r="H140" i="1"/>
  <c r="H159" i="1" s="1"/>
  <c r="E22" i="1"/>
  <c r="E24" i="1" s="1"/>
  <c r="E139" i="1" s="1"/>
  <c r="E90" i="1"/>
  <c r="E94" i="1" s="1"/>
  <c r="G13" i="1"/>
  <c r="C5" i="2"/>
  <c r="F5" i="2" s="1"/>
  <c r="B6" i="2" s="1"/>
  <c r="D6" i="2" s="1"/>
  <c r="C140" i="6" l="1"/>
  <c r="F139" i="6"/>
  <c r="C153" i="5"/>
  <c r="D154" i="5"/>
  <c r="C209" i="2"/>
  <c r="D210" i="2"/>
  <c r="C196" i="2"/>
  <c r="F195" i="2"/>
  <c r="I58" i="1"/>
  <c r="J90" i="1"/>
  <c r="J46" i="1"/>
  <c r="J153" i="1"/>
  <c r="J76" i="1"/>
  <c r="J16" i="1"/>
  <c r="J91" i="1" s="1"/>
  <c r="J94" i="1" s="1"/>
  <c r="K13" i="1"/>
  <c r="L11" i="1"/>
  <c r="L13" i="1" s="1"/>
  <c r="L46" i="1" s="1"/>
  <c r="L47" i="1" s="1"/>
  <c r="L9" i="3"/>
  <c r="M22" i="3"/>
  <c r="M26" i="3"/>
  <c r="M30" i="3"/>
  <c r="N11" i="3"/>
  <c r="M18" i="3"/>
  <c r="M17" i="3"/>
  <c r="M29" i="3"/>
  <c r="M25" i="3"/>
  <c r="M21" i="3"/>
  <c r="N10" i="3"/>
  <c r="E58" i="1"/>
  <c r="G11" i="4" s="1"/>
  <c r="O41" i="3"/>
  <c r="G16" i="1"/>
  <c r="G91" i="1" s="1"/>
  <c r="G76" i="1"/>
  <c r="G15" i="1"/>
  <c r="F94" i="1"/>
  <c r="O40" i="3"/>
  <c r="D10" i="7"/>
  <c r="C10" i="7" s="1"/>
  <c r="F10" i="7" s="1"/>
  <c r="B11" i="7" s="1"/>
  <c r="D11" i="6"/>
  <c r="C11" i="6" s="1"/>
  <c r="F11" i="6"/>
  <c r="B12" i="6" s="1"/>
  <c r="D139" i="5"/>
  <c r="D125" i="5"/>
  <c r="D110" i="5"/>
  <c r="C110" i="5" s="1"/>
  <c r="F110" i="5" s="1"/>
  <c r="B111" i="5" s="1"/>
  <c r="D96" i="5"/>
  <c r="C96" i="5" s="1"/>
  <c r="F96" i="5" s="1"/>
  <c r="B97" i="5" s="1"/>
  <c r="D82" i="5"/>
  <c r="C82" i="5" s="1"/>
  <c r="F82" i="5" s="1"/>
  <c r="B83" i="5" s="1"/>
  <c r="D67" i="5"/>
  <c r="C67" i="5" s="1"/>
  <c r="F67" i="5" s="1"/>
  <c r="B68" i="5" s="1"/>
  <c r="D55" i="5"/>
  <c r="D40" i="5"/>
  <c r="C40" i="5" s="1"/>
  <c r="F40" i="5" s="1"/>
  <c r="B41" i="5" s="1"/>
  <c r="C26" i="5"/>
  <c r="F26" i="5" s="1"/>
  <c r="B27" i="5" s="1"/>
  <c r="D27" i="5" s="1"/>
  <c r="D10" i="5"/>
  <c r="C10" i="5" s="1"/>
  <c r="F10" i="5" s="1"/>
  <c r="B11" i="5" s="1"/>
  <c r="G46" i="1"/>
  <c r="F158" i="1"/>
  <c r="F153" i="1"/>
  <c r="I154" i="1"/>
  <c r="H141" i="1"/>
  <c r="H154" i="1"/>
  <c r="F47" i="1"/>
  <c r="E140" i="1"/>
  <c r="E159" i="1" s="1"/>
  <c r="I141" i="1"/>
  <c r="F22" i="1"/>
  <c r="F24" i="1" s="1"/>
  <c r="F137" i="1" s="1"/>
  <c r="F139" i="1" s="1"/>
  <c r="C6" i="2"/>
  <c r="C154" i="5" l="1"/>
  <c r="F153" i="5"/>
  <c r="C210" i="2"/>
  <c r="F209" i="2"/>
  <c r="C10" i="4"/>
  <c r="J47" i="1"/>
  <c r="J58" i="1" s="1"/>
  <c r="J158" i="1"/>
  <c r="J22" i="1"/>
  <c r="J24" i="1" s="1"/>
  <c r="J137" i="1" s="1"/>
  <c r="J139" i="1" s="1"/>
  <c r="G90" i="1"/>
  <c r="G94" i="1" s="1"/>
  <c r="G22" i="1"/>
  <c r="G24" i="1" s="1"/>
  <c r="G137" i="1" s="1"/>
  <c r="G139" i="1" s="1"/>
  <c r="O11" i="3"/>
  <c r="N30" i="3"/>
  <c r="N22" i="3"/>
  <c r="N26" i="3"/>
  <c r="N18" i="3"/>
  <c r="M12" i="1"/>
  <c r="L76" i="1"/>
  <c r="L16" i="1"/>
  <c r="L91" i="1" s="1"/>
  <c r="L15" i="1"/>
  <c r="L22" i="1" s="1"/>
  <c r="N9" i="3"/>
  <c r="N12" i="1"/>
  <c r="N17" i="3"/>
  <c r="N29" i="3"/>
  <c r="N25" i="3"/>
  <c r="N21" i="3"/>
  <c r="O10" i="3"/>
  <c r="M9" i="3"/>
  <c r="M11" i="1"/>
  <c r="K16" i="1"/>
  <c r="K91" i="1" s="1"/>
  <c r="K46" i="1"/>
  <c r="L153" i="1" s="1"/>
  <c r="K76" i="1"/>
  <c r="K15" i="1"/>
  <c r="K22" i="1" s="1"/>
  <c r="F58" i="1"/>
  <c r="G17" i="4" s="1"/>
  <c r="D11" i="7"/>
  <c r="C11" i="7" s="1"/>
  <c r="F11" i="7" s="1"/>
  <c r="B12" i="7" s="1"/>
  <c r="D12" i="6"/>
  <c r="C12" i="6" s="1"/>
  <c r="F12" i="6" s="1"/>
  <c r="B13" i="6" s="1"/>
  <c r="C139" i="5"/>
  <c r="D140" i="5"/>
  <c r="C125" i="5"/>
  <c r="D126" i="5"/>
  <c r="D111" i="5"/>
  <c r="D97" i="5"/>
  <c r="D83" i="5"/>
  <c r="D68" i="5"/>
  <c r="C68" i="5" s="1"/>
  <c r="F68" i="5" s="1"/>
  <c r="B69" i="5" s="1"/>
  <c r="C55" i="5"/>
  <c r="D56" i="5"/>
  <c r="D41" i="5"/>
  <c r="D11" i="5"/>
  <c r="C11" i="5" s="1"/>
  <c r="F11" i="5"/>
  <c r="B12" i="5" s="1"/>
  <c r="L58" i="1"/>
  <c r="G158" i="1"/>
  <c r="G153" i="1"/>
  <c r="H153" i="1"/>
  <c r="H158" i="1"/>
  <c r="E154" i="1"/>
  <c r="F159" i="1"/>
  <c r="E141" i="1"/>
  <c r="F6" i="2"/>
  <c r="B7" i="2" s="1"/>
  <c r="D7" i="2" s="1"/>
  <c r="J140" i="1" l="1"/>
  <c r="J141" i="1"/>
  <c r="C16" i="4"/>
  <c r="M13" i="1"/>
  <c r="K90" i="1"/>
  <c r="K94" i="1" s="1"/>
  <c r="K24" i="1"/>
  <c r="L24" i="1"/>
  <c r="L137" i="1" s="1"/>
  <c r="L139" i="1" s="1"/>
  <c r="L140" i="1" s="1"/>
  <c r="L90" i="1"/>
  <c r="L94" i="1" s="1"/>
  <c r="K47" i="1"/>
  <c r="K58" i="1" s="1"/>
  <c r="L158" i="1"/>
  <c r="O29" i="3"/>
  <c r="O25" i="3"/>
  <c r="O21" i="3"/>
  <c r="O17" i="3"/>
  <c r="N11" i="1"/>
  <c r="N13" i="1" s="1"/>
  <c r="O18" i="3"/>
  <c r="O12" i="1" s="1"/>
  <c r="O30" i="3"/>
  <c r="O22" i="3"/>
  <c r="O26" i="3"/>
  <c r="N46" i="1"/>
  <c r="N47" i="1" s="1"/>
  <c r="D12" i="7"/>
  <c r="C12" i="7" s="1"/>
  <c r="F12" i="7" s="1"/>
  <c r="B13" i="7" s="1"/>
  <c r="D13" i="6"/>
  <c r="C140" i="5"/>
  <c r="F139" i="5"/>
  <c r="C126" i="5"/>
  <c r="F125" i="5"/>
  <c r="C111" i="5"/>
  <c r="D112" i="5"/>
  <c r="C97" i="5"/>
  <c r="D98" i="5"/>
  <c r="C83" i="5"/>
  <c r="D84" i="5"/>
  <c r="D69" i="5"/>
  <c r="C56" i="5"/>
  <c r="F55" i="5"/>
  <c r="C41" i="5"/>
  <c r="D42" i="5"/>
  <c r="C27" i="5"/>
  <c r="D28" i="5"/>
  <c r="D12" i="5"/>
  <c r="C12" i="5" s="1"/>
  <c r="F12" i="5"/>
  <c r="B13" i="5" s="1"/>
  <c r="H162" i="1"/>
  <c r="F141" i="1"/>
  <c r="F154" i="1"/>
  <c r="G140" i="1"/>
  <c r="G159" i="1" s="1"/>
  <c r="C7" i="2"/>
  <c r="F7" i="2" s="1"/>
  <c r="B8" i="2" s="1"/>
  <c r="D8" i="2" s="1"/>
  <c r="L154" i="1" l="1"/>
  <c r="L159" i="1"/>
  <c r="K137" i="1"/>
  <c r="K139" i="1" s="1"/>
  <c r="K140" i="1" s="1"/>
  <c r="K159" i="1" s="1"/>
  <c r="J159" i="1"/>
  <c r="J154" i="1"/>
  <c r="N16" i="1"/>
  <c r="N91" i="1" s="1"/>
  <c r="N15" i="1"/>
  <c r="O9" i="3"/>
  <c r="O11" i="1"/>
  <c r="O13" i="1" s="1"/>
  <c r="N76" i="1"/>
  <c r="L141" i="1"/>
  <c r="L162" i="1" s="1"/>
  <c r="M16" i="1"/>
  <c r="M91" i="1" s="1"/>
  <c r="M46" i="1"/>
  <c r="N158" i="1" s="1"/>
  <c r="M15" i="1"/>
  <c r="M76" i="1"/>
  <c r="D13" i="7"/>
  <c r="C13" i="6"/>
  <c r="D14" i="6"/>
  <c r="C112" i="5"/>
  <c r="F111" i="5"/>
  <c r="C98" i="5"/>
  <c r="F97" i="5"/>
  <c r="C84" i="5"/>
  <c r="F83" i="5"/>
  <c r="C69" i="5"/>
  <c r="D70" i="5"/>
  <c r="C42" i="5"/>
  <c r="F41" i="5"/>
  <c r="C28" i="5"/>
  <c r="F27" i="5"/>
  <c r="D13" i="5"/>
  <c r="N58" i="1"/>
  <c r="G154" i="1"/>
  <c r="F162" i="1"/>
  <c r="G141" i="1"/>
  <c r="C8" i="2"/>
  <c r="F8" i="2" s="1"/>
  <c r="B9" i="2" s="1"/>
  <c r="D9" i="2" s="1"/>
  <c r="J162" i="1" l="1"/>
  <c r="K141" i="1"/>
  <c r="K154" i="1"/>
  <c r="K162" i="1" s="1"/>
  <c r="M22" i="1"/>
  <c r="M24" i="1" s="1"/>
  <c r="M137" i="1" s="1"/>
  <c r="M139" i="1" s="1"/>
  <c r="M140" i="1" s="1"/>
  <c r="N22" i="1"/>
  <c r="N24" i="1" s="1"/>
  <c r="N137" i="1" s="1"/>
  <c r="N139" i="1" s="1"/>
  <c r="N140" i="1" s="1"/>
  <c r="M90" i="1"/>
  <c r="M94" i="1" s="1"/>
  <c r="M47" i="1"/>
  <c r="M58" i="1" s="1"/>
  <c r="M153" i="1"/>
  <c r="M158" i="1"/>
  <c r="O16" i="1"/>
  <c r="O91" i="1" s="1"/>
  <c r="O76" i="1"/>
  <c r="O46" i="1"/>
  <c r="O15" i="1"/>
  <c r="O22" i="1" s="1"/>
  <c r="N90" i="1"/>
  <c r="N94" i="1" s="1"/>
  <c r="N153" i="1"/>
  <c r="C13" i="7"/>
  <c r="D14" i="7"/>
  <c r="C14" i="6"/>
  <c r="F13" i="6"/>
  <c r="B16" i="6" s="1"/>
  <c r="C70" i="5"/>
  <c r="F69" i="5"/>
  <c r="C13" i="5"/>
  <c r="D14" i="5"/>
  <c r="S145" i="1"/>
  <c r="C9" i="2"/>
  <c r="F9" i="2" s="1"/>
  <c r="B10" i="2" s="1"/>
  <c r="D10" i="2" s="1"/>
  <c r="C164" i="1" l="1"/>
  <c r="O90" i="1"/>
  <c r="O94" i="1" s="1"/>
  <c r="O24" i="1"/>
  <c r="O137" i="1" s="1"/>
  <c r="O139" i="1" s="1"/>
  <c r="O140" i="1" s="1"/>
  <c r="O47" i="1"/>
  <c r="O58" i="1" s="1"/>
  <c r="C14" i="7"/>
  <c r="F13" i="7"/>
  <c r="B16" i="7" s="1"/>
  <c r="D16" i="6"/>
  <c r="C14" i="5"/>
  <c r="F13" i="5"/>
  <c r="C10" i="2"/>
  <c r="F10" i="2" s="1"/>
  <c r="B11" i="2" s="1"/>
  <c r="D11" i="2" s="1"/>
  <c r="O159" i="1" l="1"/>
  <c r="O154" i="1"/>
  <c r="M141" i="1"/>
  <c r="D16" i="7"/>
  <c r="C16" i="6"/>
  <c r="C11" i="2"/>
  <c r="F11" i="2" s="1"/>
  <c r="B12" i="2" s="1"/>
  <c r="D12" i="2" s="1"/>
  <c r="N154" i="1" l="1"/>
  <c r="N159" i="1"/>
  <c r="O141" i="1"/>
  <c r="O162" i="1" s="1"/>
  <c r="N141" i="1"/>
  <c r="M159" i="1"/>
  <c r="M154" i="1"/>
  <c r="M162" i="1" s="1"/>
  <c r="C16" i="7"/>
  <c r="F16" i="6"/>
  <c r="B17" i="6" s="1"/>
  <c r="C12" i="2"/>
  <c r="F12" i="2" s="1"/>
  <c r="B13" i="2" s="1"/>
  <c r="D13" i="2" s="1"/>
  <c r="N162" i="1" l="1"/>
  <c r="F16" i="7"/>
  <c r="B17" i="7" s="1"/>
  <c r="D17" i="6"/>
  <c r="C13" i="2"/>
  <c r="D14" i="2"/>
  <c r="D30" i="1" s="1"/>
  <c r="D17" i="7" l="1"/>
  <c r="C17" i="6"/>
  <c r="D35" i="1"/>
  <c r="D37" i="1" s="1"/>
  <c r="D38" i="1" s="1"/>
  <c r="D61" i="1" s="1"/>
  <c r="D83" i="1"/>
  <c r="C14" i="2"/>
  <c r="F13" i="2"/>
  <c r="D64" i="1" s="1"/>
  <c r="C114" i="1" s="1"/>
  <c r="D85" i="1" l="1"/>
  <c r="D96" i="1" s="1"/>
  <c r="D97" i="1" s="1"/>
  <c r="C17" i="7"/>
  <c r="F17" i="6"/>
  <c r="B18" i="6" s="1"/>
  <c r="C116" i="1"/>
  <c r="H116" i="1" s="1"/>
  <c r="D39" i="1"/>
  <c r="D68" i="1" s="1"/>
  <c r="D70" i="1" s="1"/>
  <c r="B16" i="2"/>
  <c r="D16" i="2" s="1"/>
  <c r="C5" i="4"/>
  <c r="C6" i="4" s="1"/>
  <c r="F17" i="7" l="1"/>
  <c r="B18" i="7" s="1"/>
  <c r="D18" i="6"/>
  <c r="H115" i="1"/>
  <c r="J116" i="1" s="1"/>
  <c r="E4" i="4"/>
  <c r="C119" i="1"/>
  <c r="C120" i="1" s="1"/>
  <c r="C122" i="1" s="1"/>
  <c r="E116" i="1" s="1"/>
  <c r="G4" i="4"/>
  <c r="G6" i="4" s="1"/>
  <c r="I4" i="4"/>
  <c r="D18" i="7" l="1"/>
  <c r="C18" i="6"/>
  <c r="E120" i="1"/>
  <c r="I5" i="4"/>
  <c r="I6" i="4" s="1"/>
  <c r="E5" i="4"/>
  <c r="E6" i="4" s="1"/>
  <c r="D72" i="1"/>
  <c r="C16" i="2"/>
  <c r="C18" i="7" l="1"/>
  <c r="F18" i="6"/>
  <c r="B19" i="6" s="1"/>
  <c r="C124" i="1"/>
  <c r="F107" i="1"/>
  <c r="C125" i="1"/>
  <c r="F108" i="1"/>
  <c r="F16" i="2"/>
  <c r="B17" i="2" s="1"/>
  <c r="D17" i="2" s="1"/>
  <c r="F18" i="7" l="1"/>
  <c r="B19" i="7" s="1"/>
  <c r="D19" i="6"/>
  <c r="F110" i="1"/>
  <c r="F111" i="1" s="1"/>
  <c r="C126" i="1"/>
  <c r="C17" i="2"/>
  <c r="P166" i="1" l="1"/>
  <c r="Q166" i="1"/>
  <c r="R166" i="1"/>
  <c r="O166" i="1"/>
  <c r="L166" i="1"/>
  <c r="K166" i="1"/>
  <c r="M166" i="1"/>
  <c r="N166" i="1"/>
  <c r="D19" i="7"/>
  <c r="C19" i="6"/>
  <c r="C166" i="1"/>
  <c r="D166" i="1"/>
  <c r="H166" i="1"/>
  <c r="J166" i="1"/>
  <c r="F166" i="1"/>
  <c r="F17" i="2"/>
  <c r="B18" i="2" s="1"/>
  <c r="D18" i="2" s="1"/>
  <c r="C19" i="7" l="1"/>
  <c r="F19" i="6"/>
  <c r="B20" i="6" s="1"/>
  <c r="C18" i="2"/>
  <c r="F19" i="7" l="1"/>
  <c r="B20" i="7" s="1"/>
  <c r="D20" i="6"/>
  <c r="F18" i="2"/>
  <c r="B19" i="2" s="1"/>
  <c r="D19" i="2" s="1"/>
  <c r="D20" i="7" l="1"/>
  <c r="C20" i="6"/>
  <c r="C19" i="2"/>
  <c r="C20" i="7" l="1"/>
  <c r="F20" i="6"/>
  <c r="B21" i="6" s="1"/>
  <c r="F19" i="2"/>
  <c r="B20" i="2" s="1"/>
  <c r="D20" i="2" s="1"/>
  <c r="F20" i="7" l="1"/>
  <c r="B21" i="7" s="1"/>
  <c r="D21" i="6"/>
  <c r="C21" i="6" s="1"/>
  <c r="F21" i="6" s="1"/>
  <c r="B22" i="6" s="1"/>
  <c r="C20" i="2"/>
  <c r="D21" i="7" l="1"/>
  <c r="C21" i="7" s="1"/>
  <c r="F21" i="7"/>
  <c r="B22" i="7" s="1"/>
  <c r="D22" i="6"/>
  <c r="C22" i="6" s="1"/>
  <c r="F22" i="6" s="1"/>
  <c r="B23" i="6" s="1"/>
  <c r="F20" i="2"/>
  <c r="B21" i="2" s="1"/>
  <c r="D21" i="2" s="1"/>
  <c r="D22" i="7" l="1"/>
  <c r="C22" i="7" s="1"/>
  <c r="F22" i="7" s="1"/>
  <c r="B23" i="7" s="1"/>
  <c r="D23" i="6"/>
  <c r="C23" i="6" s="1"/>
  <c r="F23" i="6"/>
  <c r="B24" i="6" s="1"/>
  <c r="C21" i="2"/>
  <c r="F21" i="2" s="1"/>
  <c r="B22" i="2" s="1"/>
  <c r="D22" i="2" s="1"/>
  <c r="D23" i="7" l="1"/>
  <c r="C23" i="7" s="1"/>
  <c r="F23" i="7" s="1"/>
  <c r="B24" i="7" s="1"/>
  <c r="D24" i="6"/>
  <c r="C24" i="6" s="1"/>
  <c r="F24" i="6" s="1"/>
  <c r="B25" i="6" s="1"/>
  <c r="C22" i="2"/>
  <c r="F22" i="2" s="1"/>
  <c r="B23" i="2" s="1"/>
  <c r="D23" i="2" s="1"/>
  <c r="D24" i="7" l="1"/>
  <c r="C24" i="7" s="1"/>
  <c r="F24" i="7"/>
  <c r="B25" i="7" s="1"/>
  <c r="D25" i="6"/>
  <c r="C25" i="6" s="1"/>
  <c r="F25" i="6" s="1"/>
  <c r="B26" i="6" s="1"/>
  <c r="C23" i="2"/>
  <c r="F23" i="2" s="1"/>
  <c r="B24" i="2" s="1"/>
  <c r="D24" i="2" s="1"/>
  <c r="D25" i="7" l="1"/>
  <c r="C25" i="7" s="1"/>
  <c r="F25" i="7"/>
  <c r="B26" i="7" s="1"/>
  <c r="D26" i="6"/>
  <c r="C26" i="6" s="1"/>
  <c r="F26" i="6" s="1"/>
  <c r="B27" i="6" s="1"/>
  <c r="C24" i="2"/>
  <c r="F24" i="2" s="1"/>
  <c r="B25" i="2" s="1"/>
  <c r="D25" i="2" s="1"/>
  <c r="D26" i="7" l="1"/>
  <c r="C26" i="7" s="1"/>
  <c r="F26" i="7" s="1"/>
  <c r="B27" i="7" s="1"/>
  <c r="D27" i="6"/>
  <c r="C25" i="2"/>
  <c r="F25" i="2" s="1"/>
  <c r="B26" i="2" s="1"/>
  <c r="D26" i="2" s="1"/>
  <c r="D27" i="7" l="1"/>
  <c r="C27" i="6"/>
  <c r="D28" i="6"/>
  <c r="C26" i="2"/>
  <c r="F26" i="2" s="1"/>
  <c r="B27" i="2" s="1"/>
  <c r="D27" i="2" s="1"/>
  <c r="C27" i="7" l="1"/>
  <c r="D28" i="7"/>
  <c r="C28" i="6"/>
  <c r="F27" i="6"/>
  <c r="B30" i="6" s="1"/>
  <c r="C27" i="2"/>
  <c r="D28" i="2"/>
  <c r="E30" i="1" s="1"/>
  <c r="C28" i="7" l="1"/>
  <c r="F27" i="7"/>
  <c r="B30" i="7" s="1"/>
  <c r="D30" i="6"/>
  <c r="E35" i="1"/>
  <c r="E37" i="1" s="1"/>
  <c r="E38" i="1" s="1"/>
  <c r="E61" i="1" s="1"/>
  <c r="E83" i="1"/>
  <c r="E85" i="1" s="1"/>
  <c r="E96" i="1" s="1"/>
  <c r="C28" i="2"/>
  <c r="F27" i="2"/>
  <c r="B30" i="2" s="1"/>
  <c r="D30" i="7" l="1"/>
  <c r="C30" i="6"/>
  <c r="E97" i="1"/>
  <c r="E39" i="1"/>
  <c r="E68" i="1" s="1"/>
  <c r="D30" i="2"/>
  <c r="C30" i="2" s="1"/>
  <c r="E64" i="1"/>
  <c r="E10" i="4" s="1"/>
  <c r="C30" i="7" l="1"/>
  <c r="F30" i="6"/>
  <c r="B31" i="6" s="1"/>
  <c r="E70" i="1"/>
  <c r="E72" i="1" s="1"/>
  <c r="I10" i="4"/>
  <c r="G10" i="4"/>
  <c r="G12" i="4" s="1"/>
  <c r="C11" i="4"/>
  <c r="C12" i="4" s="1"/>
  <c r="F30" i="7" l="1"/>
  <c r="B31" i="7" s="1"/>
  <c r="D31" i="6"/>
  <c r="I11" i="4"/>
  <c r="I12" i="4" s="1"/>
  <c r="E11" i="4"/>
  <c r="E12" i="4" s="1"/>
  <c r="D31" i="7" l="1"/>
  <c r="C31" i="6"/>
  <c r="F30" i="2"/>
  <c r="B31" i="2" s="1"/>
  <c r="D31" i="2" s="1"/>
  <c r="C31" i="7" l="1"/>
  <c r="F31" i="6"/>
  <c r="B32" i="6" s="1"/>
  <c r="C31" i="2"/>
  <c r="F31" i="7" l="1"/>
  <c r="B32" i="7" s="1"/>
  <c r="D32" i="6"/>
  <c r="F31" i="2"/>
  <c r="B32" i="2" s="1"/>
  <c r="D32" i="2" s="1"/>
  <c r="D32" i="7" l="1"/>
  <c r="C32" i="6"/>
  <c r="C32" i="2"/>
  <c r="C32" i="7" l="1"/>
  <c r="F32" i="6"/>
  <c r="B33" i="6" s="1"/>
  <c r="F32" i="2"/>
  <c r="B33" i="2" s="1"/>
  <c r="D33" i="2" s="1"/>
  <c r="F32" i="7" l="1"/>
  <c r="B33" i="7" s="1"/>
  <c r="D33" i="6"/>
  <c r="C33" i="2"/>
  <c r="D33" i="7" l="1"/>
  <c r="C33" i="6"/>
  <c r="F33" i="2"/>
  <c r="B34" i="2" s="1"/>
  <c r="D34" i="2" s="1"/>
  <c r="C33" i="7" l="1"/>
  <c r="F33" i="6"/>
  <c r="B34" i="6" s="1"/>
  <c r="C34" i="2"/>
  <c r="F33" i="7" l="1"/>
  <c r="B34" i="7" s="1"/>
  <c r="D34" i="6"/>
  <c r="F34" i="2"/>
  <c r="B35" i="2" s="1"/>
  <c r="D35" i="2" s="1"/>
  <c r="D34" i="7" l="1"/>
  <c r="C34" i="6"/>
  <c r="C35" i="2"/>
  <c r="F35" i="2" s="1"/>
  <c r="B36" i="2" s="1"/>
  <c r="D36" i="2" s="1"/>
  <c r="C34" i="7" l="1"/>
  <c r="F34" i="6"/>
  <c r="B35" i="6" s="1"/>
  <c r="C36" i="2"/>
  <c r="F36" i="2" s="1"/>
  <c r="B37" i="2" s="1"/>
  <c r="D37" i="2" s="1"/>
  <c r="F34" i="7" l="1"/>
  <c r="B35" i="7" s="1"/>
  <c r="D35" i="6"/>
  <c r="C35" i="6" s="1"/>
  <c r="F35" i="6" s="1"/>
  <c r="B36" i="6" s="1"/>
  <c r="C37" i="2"/>
  <c r="F37" i="2" s="1"/>
  <c r="B38" i="2" s="1"/>
  <c r="D38" i="2" s="1"/>
  <c r="D35" i="7" l="1"/>
  <c r="C35" i="7" s="1"/>
  <c r="F35" i="7"/>
  <c r="B36" i="7" s="1"/>
  <c r="D36" i="6"/>
  <c r="C36" i="6" s="1"/>
  <c r="F36" i="6" s="1"/>
  <c r="B37" i="6" s="1"/>
  <c r="C38" i="2"/>
  <c r="F38" i="2" s="1"/>
  <c r="B39" i="2" s="1"/>
  <c r="D39" i="2" s="1"/>
  <c r="D36" i="7" l="1"/>
  <c r="C36" i="7" s="1"/>
  <c r="F36" i="7" s="1"/>
  <c r="B37" i="7" s="1"/>
  <c r="D37" i="6"/>
  <c r="C37" i="6" s="1"/>
  <c r="F37" i="6"/>
  <c r="B38" i="6" s="1"/>
  <c r="C39" i="2"/>
  <c r="F39" i="2" s="1"/>
  <c r="B40" i="2" s="1"/>
  <c r="D40" i="2" s="1"/>
  <c r="D37" i="7" l="1"/>
  <c r="C37" i="7" s="1"/>
  <c r="F37" i="7" s="1"/>
  <c r="B38" i="7" s="1"/>
  <c r="D38" i="6"/>
  <c r="C38" i="6" s="1"/>
  <c r="F38" i="6"/>
  <c r="B39" i="6" s="1"/>
  <c r="C40" i="2"/>
  <c r="F40" i="2" s="1"/>
  <c r="B41" i="2" s="1"/>
  <c r="D41" i="2" s="1"/>
  <c r="C41" i="2" s="1"/>
  <c r="D38" i="7" l="1"/>
  <c r="C38" i="7" s="1"/>
  <c r="F38" i="7"/>
  <c r="B39" i="7" s="1"/>
  <c r="D39" i="6"/>
  <c r="C39" i="6" s="1"/>
  <c r="F39" i="6" s="1"/>
  <c r="B40" i="6" s="1"/>
  <c r="D42" i="2"/>
  <c r="F30" i="1" s="1"/>
  <c r="F83" i="1" s="1"/>
  <c r="F85" i="1" l="1"/>
  <c r="F96" i="1" s="1"/>
  <c r="F97" i="1" s="1"/>
  <c r="D39" i="7"/>
  <c r="C39" i="7" s="1"/>
  <c r="F39" i="7"/>
  <c r="B40" i="7" s="1"/>
  <c r="D40" i="6"/>
  <c r="C40" i="6" s="1"/>
  <c r="F40" i="6"/>
  <c r="B41" i="6" s="1"/>
  <c r="F37" i="1"/>
  <c r="F38" i="1" s="1"/>
  <c r="F61" i="1" s="1"/>
  <c r="F35" i="1"/>
  <c r="C42" i="2"/>
  <c r="F41" i="2"/>
  <c r="B44" i="2" l="1"/>
  <c r="F64" i="1"/>
  <c r="D40" i="7"/>
  <c r="C40" i="7" s="1"/>
  <c r="F40" i="7" s="1"/>
  <c r="B41" i="7" s="1"/>
  <c r="D41" i="6"/>
  <c r="D44" i="2"/>
  <c r="E16" i="4"/>
  <c r="F39" i="1"/>
  <c r="D41" i="7" l="1"/>
  <c r="C41" i="6"/>
  <c r="D42" i="6"/>
  <c r="C17" i="4"/>
  <c r="C18" i="4" s="1"/>
  <c r="F68" i="1"/>
  <c r="F70" i="1" s="1"/>
  <c r="F72" i="1" s="1"/>
  <c r="E162" i="1" s="1"/>
  <c r="G16" i="4"/>
  <c r="G18" i="4" s="1"/>
  <c r="I16" i="4"/>
  <c r="C41" i="7" l="1"/>
  <c r="D42" i="7"/>
  <c r="C42" i="6"/>
  <c r="F41" i="6"/>
  <c r="B44" i="6" s="1"/>
  <c r="E166" i="1"/>
  <c r="I17" i="4"/>
  <c r="I18" i="4" s="1"/>
  <c r="E17" i="4"/>
  <c r="E18" i="4" s="1"/>
  <c r="C44" i="2"/>
  <c r="F44" i="2" s="1"/>
  <c r="C42" i="7" l="1"/>
  <c r="F41" i="7"/>
  <c r="B44" i="7" s="1"/>
  <c r="D44" i="6"/>
  <c r="B45" i="2"/>
  <c r="D45" i="2" s="1"/>
  <c r="D44" i="7" l="1"/>
  <c r="C44" i="6"/>
  <c r="C45" i="2"/>
  <c r="C44" i="7" l="1"/>
  <c r="F44" i="6"/>
  <c r="B45" i="6" s="1"/>
  <c r="F45" i="2"/>
  <c r="B46" i="2" s="1"/>
  <c r="D46" i="2" s="1"/>
  <c r="F44" i="7" l="1"/>
  <c r="B45" i="7" s="1"/>
  <c r="D45" i="6"/>
  <c r="C46" i="2"/>
  <c r="D45" i="7" l="1"/>
  <c r="C45" i="6"/>
  <c r="F46" i="2"/>
  <c r="B47" i="2" s="1"/>
  <c r="D47" i="2" s="1"/>
  <c r="C45" i="7" l="1"/>
  <c r="F45" i="6"/>
  <c r="B46" i="6" s="1"/>
  <c r="C47" i="2"/>
  <c r="F45" i="7" l="1"/>
  <c r="B46" i="7" s="1"/>
  <c r="D46" i="6"/>
  <c r="F47" i="2"/>
  <c r="B48" i="2" s="1"/>
  <c r="D48" i="2" s="1"/>
  <c r="D46" i="7" l="1"/>
  <c r="C46" i="6"/>
  <c r="C48" i="2"/>
  <c r="C46" i="7" l="1"/>
  <c r="F46" i="6"/>
  <c r="B47" i="6" s="1"/>
  <c r="F48" i="2"/>
  <c r="B49" i="2" s="1"/>
  <c r="D49" i="2" s="1"/>
  <c r="F46" i="7" l="1"/>
  <c r="B47" i="7" s="1"/>
  <c r="D47" i="6"/>
  <c r="C49" i="2"/>
  <c r="F49" i="2" s="1"/>
  <c r="B50" i="2" s="1"/>
  <c r="D50" i="2" s="1"/>
  <c r="D47" i="7" l="1"/>
  <c r="C47" i="6"/>
  <c r="C50" i="2"/>
  <c r="F50" i="2" s="1"/>
  <c r="B51" i="2" s="1"/>
  <c r="D51" i="2" s="1"/>
  <c r="C47" i="7" l="1"/>
  <c r="F47" i="6"/>
  <c r="B48" i="6" s="1"/>
  <c r="C51" i="2"/>
  <c r="F51" i="2" s="1"/>
  <c r="B52" i="2" s="1"/>
  <c r="D52" i="2" s="1"/>
  <c r="F47" i="7" l="1"/>
  <c r="B48" i="7" s="1"/>
  <c r="D48" i="6"/>
  <c r="C52" i="2"/>
  <c r="F52" i="2" s="1"/>
  <c r="B53" i="2" s="1"/>
  <c r="D53" i="2" s="1"/>
  <c r="D48" i="7" l="1"/>
  <c r="C48" i="6"/>
  <c r="C53" i="2"/>
  <c r="F53" i="2" s="1"/>
  <c r="B54" i="2" s="1"/>
  <c r="D54" i="2" s="1"/>
  <c r="C48" i="7" l="1"/>
  <c r="F48" i="6"/>
  <c r="B49" i="6" s="1"/>
  <c r="C54" i="2"/>
  <c r="F54" i="2" s="1"/>
  <c r="B55" i="2" s="1"/>
  <c r="F48" i="7" l="1"/>
  <c r="B49" i="7" s="1"/>
  <c r="D49" i="6"/>
  <c r="C49" i="6" s="1"/>
  <c r="F49" i="6" s="1"/>
  <c r="B50" i="6" s="1"/>
  <c r="D55" i="2"/>
  <c r="D56" i="2" s="1"/>
  <c r="G30" i="1" s="1"/>
  <c r="G83" i="1" s="1"/>
  <c r="G85" i="1" l="1"/>
  <c r="G96" i="1" s="1"/>
  <c r="G97" i="1" s="1"/>
  <c r="D49" i="7"/>
  <c r="C49" i="7" s="1"/>
  <c r="F49" i="7"/>
  <c r="B50" i="7" s="1"/>
  <c r="D50" i="6"/>
  <c r="C50" i="6" s="1"/>
  <c r="F50" i="6"/>
  <c r="B51" i="6" s="1"/>
  <c r="C55" i="2"/>
  <c r="C56" i="2" s="1"/>
  <c r="G37" i="1"/>
  <c r="G38" i="1" s="1"/>
  <c r="G61" i="1" s="1"/>
  <c r="G35" i="1"/>
  <c r="D50" i="7" l="1"/>
  <c r="C50" i="7" s="1"/>
  <c r="F50" i="7" s="1"/>
  <c r="B51" i="7" s="1"/>
  <c r="D51" i="6"/>
  <c r="C51" i="6" s="1"/>
  <c r="F51" i="6"/>
  <c r="B52" i="6" s="1"/>
  <c r="F55" i="2"/>
  <c r="G39" i="1"/>
  <c r="G64" i="1" l="1"/>
  <c r="C23" i="4" s="1"/>
  <c r="B58" i="2"/>
  <c r="D58" i="2" s="1"/>
  <c r="C58" i="2" s="1"/>
  <c r="D51" i="7"/>
  <c r="C51" i="7" s="1"/>
  <c r="F51" i="7" s="1"/>
  <c r="B52" i="7" s="1"/>
  <c r="D52" i="6"/>
  <c r="C52" i="6" s="1"/>
  <c r="F52" i="6"/>
  <c r="B53" i="6" s="1"/>
  <c r="E22" i="4"/>
  <c r="I22" i="4"/>
  <c r="G68" i="1"/>
  <c r="G22" i="4"/>
  <c r="G70" i="1" l="1"/>
  <c r="D52" i="7"/>
  <c r="C52" i="7" s="1"/>
  <c r="F52" i="7"/>
  <c r="B53" i="7" s="1"/>
  <c r="D53" i="6"/>
  <c r="C53" i="6" s="1"/>
  <c r="F53" i="6" s="1"/>
  <c r="B54" i="6" s="1"/>
  <c r="F58" i="2"/>
  <c r="B59" i="2" s="1"/>
  <c r="D59" i="2" s="1"/>
  <c r="I23" i="4"/>
  <c r="I24" i="4" s="1"/>
  <c r="E23" i="4"/>
  <c r="E24" i="4" s="1"/>
  <c r="D53" i="7" l="1"/>
  <c r="C53" i="7" s="1"/>
  <c r="F53" i="7"/>
  <c r="B54" i="7" s="1"/>
  <c r="D54" i="6"/>
  <c r="C54" i="6" s="1"/>
  <c r="F54" i="6"/>
  <c r="B55" i="6" s="1"/>
  <c r="C59" i="2"/>
  <c r="G47" i="1"/>
  <c r="G58" i="1" s="1"/>
  <c r="C22" i="4" s="1"/>
  <c r="D54" i="7" l="1"/>
  <c r="C54" i="7" s="1"/>
  <c r="F54" i="7" s="1"/>
  <c r="B55" i="7" s="1"/>
  <c r="D55" i="6"/>
  <c r="F59" i="2"/>
  <c r="B60" i="2" s="1"/>
  <c r="D60" i="2" s="1"/>
  <c r="G23" i="4"/>
  <c r="G24" i="4" s="1"/>
  <c r="C24" i="4"/>
  <c r="G72" i="1"/>
  <c r="D55" i="7" l="1"/>
  <c r="C55" i="6"/>
  <c r="D56" i="6"/>
  <c r="C60" i="2"/>
  <c r="C55" i="7" l="1"/>
  <c r="D56" i="7"/>
  <c r="C56" i="6"/>
  <c r="F55" i="6"/>
  <c r="B58" i="6" s="1"/>
  <c r="F60" i="2"/>
  <c r="B61" i="2" s="1"/>
  <c r="D61" i="2" s="1"/>
  <c r="C56" i="7" l="1"/>
  <c r="F55" i="7"/>
  <c r="B58" i="7" s="1"/>
  <c r="D58" i="6"/>
  <c r="C61" i="2"/>
  <c r="D58" i="7" l="1"/>
  <c r="C58" i="6"/>
  <c r="F61" i="2"/>
  <c r="B62" i="2" s="1"/>
  <c r="D62" i="2" s="1"/>
  <c r="C58" i="7" l="1"/>
  <c r="F58" i="6"/>
  <c r="B59" i="6" s="1"/>
  <c r="C62" i="2"/>
  <c r="F58" i="7" l="1"/>
  <c r="B59" i="7" s="1"/>
  <c r="D59" i="6"/>
  <c r="F62" i="2"/>
  <c r="B63" i="2" s="1"/>
  <c r="D63" i="2" s="1"/>
  <c r="C63" i="2" s="1"/>
  <c r="F63" i="2" s="1"/>
  <c r="B64" i="2" s="1"/>
  <c r="D64" i="2" s="1"/>
  <c r="C64" i="2" s="1"/>
  <c r="F64" i="2" s="1"/>
  <c r="B65" i="2" s="1"/>
  <c r="D65" i="2" s="1"/>
  <c r="C65" i="2" s="1"/>
  <c r="F65" i="2" s="1"/>
  <c r="B66" i="2" s="1"/>
  <c r="D59" i="7" l="1"/>
  <c r="C59" i="6"/>
  <c r="D66" i="2"/>
  <c r="C66" i="2" s="1"/>
  <c r="F66" i="2" s="1"/>
  <c r="B67" i="2" s="1"/>
  <c r="D67" i="2" s="1"/>
  <c r="C67" i="2" s="1"/>
  <c r="F67" i="2" s="1"/>
  <c r="B68" i="2" s="1"/>
  <c r="D68" i="2" s="1"/>
  <c r="C68" i="2" s="1"/>
  <c r="F68" i="2" s="1"/>
  <c r="B69" i="2" s="1"/>
  <c r="C59" i="7" l="1"/>
  <c r="F59" i="6"/>
  <c r="B60" i="6" s="1"/>
  <c r="D69" i="2"/>
  <c r="F59" i="7" l="1"/>
  <c r="B60" i="7" s="1"/>
  <c r="D60" i="6"/>
  <c r="C69" i="2"/>
  <c r="D70" i="2"/>
  <c r="H30" i="1" s="1"/>
  <c r="D60" i="7" l="1"/>
  <c r="C60" i="6"/>
  <c r="H35" i="1"/>
  <c r="H37" i="1" s="1"/>
  <c r="H38" i="1" s="1"/>
  <c r="H61" i="1" s="1"/>
  <c r="H83" i="1"/>
  <c r="C70" i="2"/>
  <c r="F69" i="2"/>
  <c r="H64" i="1" s="1"/>
  <c r="H85" i="1" l="1"/>
  <c r="H96" i="1" s="1"/>
  <c r="H97" i="1" s="1"/>
  <c r="C60" i="7"/>
  <c r="F60" i="6"/>
  <c r="B61" i="6" s="1"/>
  <c r="B72" i="2"/>
  <c r="D72" i="2" s="1"/>
  <c r="H39" i="1"/>
  <c r="H68" i="1" s="1"/>
  <c r="H70" i="1" s="1"/>
  <c r="H72" i="1" s="1"/>
  <c r="G162" i="1" s="1"/>
  <c r="F60" i="7" l="1"/>
  <c r="B61" i="7" s="1"/>
  <c r="D61" i="6"/>
  <c r="G166" i="1"/>
  <c r="C72" i="2"/>
  <c r="D61" i="7" l="1"/>
  <c r="C61" i="6"/>
  <c r="F72" i="2"/>
  <c r="B73" i="2" s="1"/>
  <c r="C61" i="7" l="1"/>
  <c r="F61" i="6"/>
  <c r="B62" i="6" s="1"/>
  <c r="D73" i="2"/>
  <c r="F61" i="7" l="1"/>
  <c r="B62" i="7" s="1"/>
  <c r="D62" i="6"/>
  <c r="C73" i="2"/>
  <c r="D62" i="7" l="1"/>
  <c r="C62" i="6"/>
  <c r="F73" i="2"/>
  <c r="B74" i="2" s="1"/>
  <c r="C62" i="7" l="1"/>
  <c r="F62" i="6"/>
  <c r="B63" i="6" s="1"/>
  <c r="D74" i="2"/>
  <c r="F62" i="7" l="1"/>
  <c r="B63" i="7" s="1"/>
  <c r="D63" i="6"/>
  <c r="C63" i="6" s="1"/>
  <c r="F63" i="6" s="1"/>
  <c r="B64" i="6" s="1"/>
  <c r="C74" i="2"/>
  <c r="D63" i="7" l="1"/>
  <c r="C63" i="7" s="1"/>
  <c r="F63" i="7"/>
  <c r="B64" i="7" s="1"/>
  <c r="D64" i="6"/>
  <c r="C64" i="6" s="1"/>
  <c r="F64" i="6" s="1"/>
  <c r="B65" i="6" s="1"/>
  <c r="F74" i="2"/>
  <c r="B75" i="2" s="1"/>
  <c r="D64" i="7" l="1"/>
  <c r="C64" i="7" s="1"/>
  <c r="F64" i="7" s="1"/>
  <c r="B65" i="7" s="1"/>
  <c r="D65" i="6"/>
  <c r="C65" i="6" s="1"/>
  <c r="F65" i="6"/>
  <c r="B66" i="6" s="1"/>
  <c r="D75" i="2"/>
  <c r="D65" i="7" l="1"/>
  <c r="C65" i="7" s="1"/>
  <c r="F65" i="7" s="1"/>
  <c r="B66" i="7" s="1"/>
  <c r="D66" i="6"/>
  <c r="C66" i="6" s="1"/>
  <c r="F66" i="6" s="1"/>
  <c r="B67" i="6" s="1"/>
  <c r="C75" i="2"/>
  <c r="D66" i="7" l="1"/>
  <c r="C66" i="7" s="1"/>
  <c r="F66" i="7"/>
  <c r="B67" i="7" s="1"/>
  <c r="D67" i="6"/>
  <c r="C67" i="6" s="1"/>
  <c r="F67" i="6" s="1"/>
  <c r="B68" i="6" s="1"/>
  <c r="F75" i="2"/>
  <c r="B76" i="2" s="1"/>
  <c r="D67" i="7" l="1"/>
  <c r="C67" i="7" s="1"/>
  <c r="F67" i="7"/>
  <c r="B68" i="7" s="1"/>
  <c r="D68" i="6"/>
  <c r="C68" i="6" s="1"/>
  <c r="F68" i="6"/>
  <c r="B69" i="6" s="1"/>
  <c r="D76" i="2"/>
  <c r="D68" i="7" l="1"/>
  <c r="C68" i="7" s="1"/>
  <c r="F68" i="7" s="1"/>
  <c r="B69" i="7" s="1"/>
  <c r="D69" i="6"/>
  <c r="C76" i="2"/>
  <c r="D69" i="7" l="1"/>
  <c r="C69" i="6"/>
  <c r="D70" i="6"/>
  <c r="F76" i="2"/>
  <c r="B77" i="2" s="1"/>
  <c r="C69" i="7" l="1"/>
  <c r="D70" i="7"/>
  <c r="C70" i="6"/>
  <c r="F69" i="6"/>
  <c r="B72" i="6" s="1"/>
  <c r="D77" i="2"/>
  <c r="C77" i="2" s="1"/>
  <c r="F77" i="2" s="1"/>
  <c r="B78" i="2" s="1"/>
  <c r="C70" i="7" l="1"/>
  <c r="F69" i="7"/>
  <c r="B72" i="7" s="1"/>
  <c r="D72" i="6"/>
  <c r="D78" i="2"/>
  <c r="C78" i="2" s="1"/>
  <c r="F78" i="2" s="1"/>
  <c r="B79" i="2" s="1"/>
  <c r="D72" i="7" l="1"/>
  <c r="C72" i="6"/>
  <c r="D79" i="2"/>
  <c r="C79" i="2" s="1"/>
  <c r="F79" i="2" s="1"/>
  <c r="B80" i="2" s="1"/>
  <c r="C72" i="7" l="1"/>
  <c r="F72" i="6"/>
  <c r="B73" i="6" s="1"/>
  <c r="D80" i="2"/>
  <c r="C80" i="2" s="1"/>
  <c r="F80" i="2" s="1"/>
  <c r="B81" i="2" s="1"/>
  <c r="F72" i="7" l="1"/>
  <c r="B73" i="7" s="1"/>
  <c r="D73" i="6"/>
  <c r="D81" i="2"/>
  <c r="C81" i="2" s="1"/>
  <c r="F81" i="2" s="1"/>
  <c r="B82" i="2" s="1"/>
  <c r="D73" i="7" l="1"/>
  <c r="C73" i="6"/>
  <c r="D82" i="2"/>
  <c r="C82" i="2" s="1"/>
  <c r="F82" i="2" s="1"/>
  <c r="B83" i="2" s="1"/>
  <c r="C73" i="7" l="1"/>
  <c r="F73" i="6"/>
  <c r="B74" i="6" s="1"/>
  <c r="D83" i="2"/>
  <c r="F73" i="7" l="1"/>
  <c r="B74" i="7" s="1"/>
  <c r="D74" i="6"/>
  <c r="C83" i="2"/>
  <c r="D84" i="2"/>
  <c r="I30" i="1" s="1"/>
  <c r="D74" i="7" l="1"/>
  <c r="C74" i="6"/>
  <c r="I35" i="1"/>
  <c r="I37" i="1" s="1"/>
  <c r="I38" i="1" s="1"/>
  <c r="I61" i="1" s="1"/>
  <c r="I83" i="1"/>
  <c r="C84" i="2"/>
  <c r="F83" i="2"/>
  <c r="I64" i="1" s="1"/>
  <c r="I85" i="1" l="1"/>
  <c r="I96" i="1" s="1"/>
  <c r="I97" i="1" s="1"/>
  <c r="C74" i="7"/>
  <c r="F74" i="6"/>
  <c r="B75" i="6" s="1"/>
  <c r="B86" i="2"/>
  <c r="D86" i="2" s="1"/>
  <c r="C86" i="2" s="1"/>
  <c r="I39" i="1"/>
  <c r="I68" i="1" s="1"/>
  <c r="F74" i="7" l="1"/>
  <c r="B75" i="7" s="1"/>
  <c r="D75" i="6"/>
  <c r="I70" i="1"/>
  <c r="I72" i="1" s="1"/>
  <c r="F86" i="2"/>
  <c r="B87" i="2" s="1"/>
  <c r="D75" i="7" l="1"/>
  <c r="C75" i="6"/>
  <c r="D87" i="2"/>
  <c r="C75" i="7" l="1"/>
  <c r="F75" i="6"/>
  <c r="B76" i="6" s="1"/>
  <c r="C87" i="2"/>
  <c r="F75" i="7" l="1"/>
  <c r="B76" i="7" s="1"/>
  <c r="D76" i="6"/>
  <c r="F87" i="2"/>
  <c r="B88" i="2" s="1"/>
  <c r="D76" i="7" l="1"/>
  <c r="C76" i="6"/>
  <c r="D88" i="2"/>
  <c r="C76" i="7" l="1"/>
  <c r="F76" i="6"/>
  <c r="B77" i="6" s="1"/>
  <c r="C88" i="2"/>
  <c r="F76" i="7" l="1"/>
  <c r="B77" i="7" s="1"/>
  <c r="D77" i="6"/>
  <c r="C77" i="6" s="1"/>
  <c r="F77" i="6" s="1"/>
  <c r="B78" i="6" s="1"/>
  <c r="F88" i="2"/>
  <c r="B89" i="2" s="1"/>
  <c r="D77" i="7" l="1"/>
  <c r="C77" i="7" s="1"/>
  <c r="F77" i="7"/>
  <c r="B78" i="7" s="1"/>
  <c r="D78" i="6"/>
  <c r="C78" i="6" s="1"/>
  <c r="F78" i="6" s="1"/>
  <c r="B79" i="6" s="1"/>
  <c r="D89" i="2"/>
  <c r="D78" i="7" l="1"/>
  <c r="C78" i="7" s="1"/>
  <c r="F78" i="7" s="1"/>
  <c r="B79" i="7" s="1"/>
  <c r="D79" i="6"/>
  <c r="C79" i="6" s="1"/>
  <c r="F79" i="6" s="1"/>
  <c r="B80" i="6" s="1"/>
  <c r="C89" i="2"/>
  <c r="D79" i="7" l="1"/>
  <c r="C79" i="7" s="1"/>
  <c r="F79" i="7" s="1"/>
  <c r="B80" i="7" s="1"/>
  <c r="D80" i="6"/>
  <c r="C80" i="6" s="1"/>
  <c r="F80" i="6" s="1"/>
  <c r="B81" i="6" s="1"/>
  <c r="F89" i="2"/>
  <c r="B90" i="2" s="1"/>
  <c r="D80" i="7" l="1"/>
  <c r="C80" i="7" s="1"/>
  <c r="F80" i="7"/>
  <c r="B81" i="7" s="1"/>
  <c r="D81" i="6"/>
  <c r="C81" i="6" s="1"/>
  <c r="F81" i="6" s="1"/>
  <c r="B82" i="6" s="1"/>
  <c r="D90" i="2"/>
  <c r="D81" i="7" l="1"/>
  <c r="C81" i="7" s="1"/>
  <c r="F81" i="7"/>
  <c r="B82" i="7" s="1"/>
  <c r="D82" i="6"/>
  <c r="C82" i="6" s="1"/>
  <c r="F82" i="6"/>
  <c r="B83" i="6" s="1"/>
  <c r="C90" i="2"/>
  <c r="D82" i="7" l="1"/>
  <c r="C82" i="7" s="1"/>
  <c r="F82" i="7" s="1"/>
  <c r="B83" i="7" s="1"/>
  <c r="D83" i="6"/>
  <c r="F90" i="2"/>
  <c r="B91" i="2" s="1"/>
  <c r="D83" i="7" l="1"/>
  <c r="C83" i="6"/>
  <c r="D84" i="6"/>
  <c r="D91" i="2"/>
  <c r="C91" i="2" s="1"/>
  <c r="F91" i="2" s="1"/>
  <c r="B92" i="2" s="1"/>
  <c r="C83" i="7" l="1"/>
  <c r="D84" i="7"/>
  <c r="C84" i="6"/>
  <c r="F83" i="6"/>
  <c r="B86" i="6" s="1"/>
  <c r="D92" i="2"/>
  <c r="C92" i="2" s="1"/>
  <c r="F92" i="2" s="1"/>
  <c r="B93" i="2" s="1"/>
  <c r="C84" i="7" l="1"/>
  <c r="F83" i="7"/>
  <c r="D86" i="6"/>
  <c r="D93" i="2"/>
  <c r="C93" i="2" s="1"/>
  <c r="F93" i="2" s="1"/>
  <c r="B94" i="2" s="1"/>
  <c r="C86" i="6" l="1"/>
  <c r="D94" i="2"/>
  <c r="C94" i="2" s="1"/>
  <c r="F94" i="2" s="1"/>
  <c r="B95" i="2" s="1"/>
  <c r="F86" i="6" l="1"/>
  <c r="B87" i="6" s="1"/>
  <c r="D95" i="2"/>
  <c r="C95" i="2" s="1"/>
  <c r="F95" i="2" s="1"/>
  <c r="B96" i="2" s="1"/>
  <c r="D87" i="6" l="1"/>
  <c r="D96" i="2"/>
  <c r="C96" i="2" s="1"/>
  <c r="F96" i="2" s="1"/>
  <c r="B97" i="2" s="1"/>
  <c r="C87" i="6" l="1"/>
  <c r="D97" i="2"/>
  <c r="F87" i="6" l="1"/>
  <c r="B88" i="6" s="1"/>
  <c r="C97" i="2"/>
  <c r="D98" i="2"/>
  <c r="J30" i="1" s="1"/>
  <c r="J83" i="1" s="1"/>
  <c r="J85" i="1" l="1"/>
  <c r="J96" i="1" s="1"/>
  <c r="J97" i="1" s="1"/>
  <c r="D88" i="6"/>
  <c r="C98" i="2"/>
  <c r="F97" i="2"/>
  <c r="J64" i="1" s="1"/>
  <c r="J35" i="1"/>
  <c r="J37" i="1"/>
  <c r="C88" i="6" l="1"/>
  <c r="B100" i="2"/>
  <c r="D100" i="2" s="1"/>
  <c r="J38" i="1"/>
  <c r="J61" i="1" s="1"/>
  <c r="F88" i="6" l="1"/>
  <c r="B89" i="6" s="1"/>
  <c r="C100" i="2"/>
  <c r="J39" i="1"/>
  <c r="J68" i="1" s="1"/>
  <c r="J70" i="1" s="1"/>
  <c r="J72" i="1" s="1"/>
  <c r="D89" i="6" l="1"/>
  <c r="I162" i="1"/>
  <c r="F100" i="2"/>
  <c r="B101" i="2" s="1"/>
  <c r="C89" i="6" l="1"/>
  <c r="I166" i="1"/>
  <c r="C167" i="1" s="1"/>
  <c r="D101" i="2"/>
  <c r="F89" i="6" l="1"/>
  <c r="B90" i="6" s="1"/>
  <c r="C101" i="2"/>
  <c r="D90" i="6" l="1"/>
  <c r="F101" i="2"/>
  <c r="B102" i="2" s="1"/>
  <c r="C90" i="6" l="1"/>
  <c r="D102" i="2"/>
  <c r="F90" i="6" l="1"/>
  <c r="B91" i="6" s="1"/>
  <c r="C102" i="2"/>
  <c r="D91" i="6" l="1"/>
  <c r="C91" i="6" s="1"/>
  <c r="F91" i="6" s="1"/>
  <c r="B92" i="6" s="1"/>
  <c r="F102" i="2"/>
  <c r="B103" i="2" s="1"/>
  <c r="D92" i="6" l="1"/>
  <c r="C92" i="6" s="1"/>
  <c r="F92" i="6"/>
  <c r="B93" i="6" s="1"/>
  <c r="D103" i="2"/>
  <c r="D93" i="6" l="1"/>
  <c r="C93" i="6" s="1"/>
  <c r="F93" i="6"/>
  <c r="B94" i="6" s="1"/>
  <c r="C103" i="2"/>
  <c r="D94" i="6" l="1"/>
  <c r="C94" i="6" s="1"/>
  <c r="F94" i="6" s="1"/>
  <c r="B95" i="6" s="1"/>
  <c r="F103" i="2"/>
  <c r="B104" i="2" s="1"/>
  <c r="D95" i="6" l="1"/>
  <c r="C95" i="6" s="1"/>
  <c r="F95" i="6" s="1"/>
  <c r="B96" i="6" s="1"/>
  <c r="D104" i="2"/>
  <c r="D96" i="6" l="1"/>
  <c r="C96" i="6" s="1"/>
  <c r="F96" i="6"/>
  <c r="B97" i="6" s="1"/>
  <c r="C104" i="2"/>
  <c r="D97" i="6" l="1"/>
  <c r="F104" i="2"/>
  <c r="B105" i="2" s="1"/>
  <c r="C97" i="6" l="1"/>
  <c r="D98" i="6"/>
  <c r="D105" i="2"/>
  <c r="C105" i="2" s="1"/>
  <c r="F105" i="2" s="1"/>
  <c r="B106" i="2" s="1"/>
  <c r="C98" i="6" l="1"/>
  <c r="F97" i="6"/>
  <c r="B100" i="6" s="1"/>
  <c r="D106" i="2"/>
  <c r="C106" i="2" s="1"/>
  <c r="F106" i="2" s="1"/>
  <c r="B107" i="2" s="1"/>
  <c r="D100" i="6" l="1"/>
  <c r="D107" i="2"/>
  <c r="C107" i="2" s="1"/>
  <c r="F107" i="2" s="1"/>
  <c r="B108" i="2" s="1"/>
  <c r="C100" i="6" l="1"/>
  <c r="D108" i="2"/>
  <c r="C108" i="2" s="1"/>
  <c r="F108" i="2" s="1"/>
  <c r="B109" i="2" s="1"/>
  <c r="F100" i="6" l="1"/>
  <c r="B101" i="6" s="1"/>
  <c r="D109" i="2"/>
  <c r="C109" i="2" s="1"/>
  <c r="F109" i="2" s="1"/>
  <c r="B110" i="2" s="1"/>
  <c r="D101" i="6" l="1"/>
  <c r="D110" i="2"/>
  <c r="C110" i="2" s="1"/>
  <c r="F110" i="2" s="1"/>
  <c r="B111" i="2" s="1"/>
  <c r="B114" i="2" s="1"/>
  <c r="D114" i="2" s="1"/>
  <c r="C114" i="2" l="1"/>
  <c r="C101" i="6"/>
  <c r="D111" i="2"/>
  <c r="F114" i="2" l="1"/>
  <c r="B115" i="2" s="1"/>
  <c r="D115" i="2" s="1"/>
  <c r="F101" i="6"/>
  <c r="B102" i="6" s="1"/>
  <c r="C111" i="2"/>
  <c r="D112" i="2"/>
  <c r="K30" i="1" l="1"/>
  <c r="K83" i="1" s="1"/>
  <c r="K85" i="1" s="1"/>
  <c r="K96" i="1" s="1"/>
  <c r="K97" i="1" s="1"/>
  <c r="C115" i="2"/>
  <c r="D102" i="6"/>
  <c r="C112" i="2"/>
  <c r="F111" i="2"/>
  <c r="K64" i="1" s="1"/>
  <c r="K37" i="1"/>
  <c r="F115" i="2" l="1"/>
  <c r="B116" i="2" s="1"/>
  <c r="K35" i="1"/>
  <c r="C102" i="6"/>
  <c r="K38" i="1"/>
  <c r="K61" i="1" s="1"/>
  <c r="D116" i="2" l="1"/>
  <c r="F102" i="6"/>
  <c r="B103" i="6" s="1"/>
  <c r="K39" i="1"/>
  <c r="K68" i="1" s="1"/>
  <c r="K70" i="1" s="1"/>
  <c r="K72" i="1" s="1"/>
  <c r="C116" i="2" l="1"/>
  <c r="D103" i="6"/>
  <c r="F116" i="2" l="1"/>
  <c r="B117" i="2" s="1"/>
  <c r="C103" i="6"/>
  <c r="D117" i="2" l="1"/>
  <c r="F103" i="6"/>
  <c r="B104" i="6" s="1"/>
  <c r="C117" i="2" l="1"/>
  <c r="D104" i="6"/>
  <c r="F117" i="2" l="1"/>
  <c r="B118" i="2" s="1"/>
  <c r="C104" i="6"/>
  <c r="D118" i="2" l="1"/>
  <c r="F104" i="6"/>
  <c r="B105" i="6" s="1"/>
  <c r="C118" i="2" l="1"/>
  <c r="D105" i="6"/>
  <c r="C105" i="6" s="1"/>
  <c r="F105" i="6" s="1"/>
  <c r="B106" i="6" s="1"/>
  <c r="F118" i="2" l="1"/>
  <c r="B119" i="2" s="1"/>
  <c r="D119" i="2" s="1"/>
  <c r="C119" i="2" s="1"/>
  <c r="F119" i="2" s="1"/>
  <c r="B120" i="2" s="1"/>
  <c r="D106" i="6"/>
  <c r="C106" i="6" s="1"/>
  <c r="F106" i="6"/>
  <c r="B107" i="6" s="1"/>
  <c r="D120" i="2" l="1"/>
  <c r="C120" i="2" s="1"/>
  <c r="F120" i="2" s="1"/>
  <c r="B121" i="2" s="1"/>
  <c r="D121" i="2" s="1"/>
  <c r="C121" i="2" s="1"/>
  <c r="F121" i="2" s="1"/>
  <c r="B122" i="2" s="1"/>
  <c r="D122" i="2" s="1"/>
  <c r="C122" i="2" s="1"/>
  <c r="F122" i="2" s="1"/>
  <c r="B123" i="2" s="1"/>
  <c r="D123" i="2" s="1"/>
  <c r="C123" i="2" s="1"/>
  <c r="F123" i="2" s="1"/>
  <c r="B124" i="2" s="1"/>
  <c r="D107" i="6"/>
  <c r="C107" i="6" s="1"/>
  <c r="F107" i="6"/>
  <c r="B108" i="6" s="1"/>
  <c r="D124" i="2" l="1"/>
  <c r="C124" i="2" s="1"/>
  <c r="F124" i="2"/>
  <c r="B125" i="2" s="1"/>
  <c r="D108" i="6"/>
  <c r="C108" i="6" s="1"/>
  <c r="F108" i="6" s="1"/>
  <c r="B109" i="6" s="1"/>
  <c r="B128" i="2" l="1"/>
  <c r="D125" i="2"/>
  <c r="D109" i="6"/>
  <c r="C109" i="6" s="1"/>
  <c r="F109" i="6" s="1"/>
  <c r="B110" i="6" s="1"/>
  <c r="C125" i="2" l="1"/>
  <c r="D126" i="2"/>
  <c r="L30" i="1" s="1"/>
  <c r="D128" i="2"/>
  <c r="D110" i="6"/>
  <c r="C110" i="6" s="1"/>
  <c r="F110" i="6"/>
  <c r="B111" i="6" s="1"/>
  <c r="C128" i="2" l="1"/>
  <c r="L83" i="1"/>
  <c r="L85" i="1" s="1"/>
  <c r="L96" i="1" s="1"/>
  <c r="L97" i="1" s="1"/>
  <c r="L35" i="1"/>
  <c r="L37" i="1" s="1"/>
  <c r="C126" i="2"/>
  <c r="F125" i="2"/>
  <c r="L64" i="1" s="1"/>
  <c r="D111" i="6"/>
  <c r="L38" i="1" l="1"/>
  <c r="L61" i="1" s="1"/>
  <c r="F128" i="2"/>
  <c r="B129" i="2" s="1"/>
  <c r="C111" i="6"/>
  <c r="D112" i="6"/>
  <c r="L39" i="1" l="1"/>
  <c r="L68" i="1" s="1"/>
  <c r="L70" i="1" s="1"/>
  <c r="L72" i="1" s="1"/>
  <c r="D129" i="2"/>
  <c r="C112" i="6"/>
  <c r="F111" i="6"/>
  <c r="C129" i="2" l="1"/>
  <c r="F129" i="2" l="1"/>
  <c r="B130" i="2" s="1"/>
  <c r="D130" i="2" l="1"/>
  <c r="C130" i="2" l="1"/>
  <c r="F130" i="2" l="1"/>
  <c r="B131" i="2" s="1"/>
  <c r="D131" i="2" l="1"/>
  <c r="C131" i="2" l="1"/>
  <c r="F131" i="2" l="1"/>
  <c r="B132" i="2" s="1"/>
  <c r="D132" i="2" s="1"/>
  <c r="C132" i="2" l="1"/>
  <c r="F132" i="2" l="1"/>
  <c r="B133" i="2" s="1"/>
  <c r="D133" i="2" l="1"/>
  <c r="C133" i="2" s="1"/>
  <c r="F133" i="2"/>
  <c r="B134" i="2" s="1"/>
  <c r="D134" i="2" l="1"/>
  <c r="C134" i="2" s="1"/>
  <c r="F134" i="2"/>
  <c r="B135" i="2" s="1"/>
  <c r="D135" i="2" s="1"/>
  <c r="C135" i="2" s="1"/>
  <c r="F135" i="2" s="1"/>
  <c r="B136" i="2" s="1"/>
  <c r="D136" i="2" s="1"/>
  <c r="C136" i="2" s="1"/>
  <c r="F136" i="2" s="1"/>
  <c r="B137" i="2" s="1"/>
  <c r="D137" i="2" l="1"/>
  <c r="C137" i="2" s="1"/>
  <c r="F137" i="2"/>
  <c r="B138" i="2" s="1"/>
  <c r="D138" i="2" l="1"/>
  <c r="C138" i="2" s="1"/>
  <c r="F138" i="2"/>
  <c r="B139" i="2" s="1"/>
  <c r="B142" i="2" l="1"/>
  <c r="D139" i="2"/>
  <c r="C139" i="2" l="1"/>
  <c r="D140" i="2"/>
  <c r="M30" i="1" s="1"/>
  <c r="D142" i="2"/>
  <c r="C142" i="2" l="1"/>
  <c r="M83" i="1"/>
  <c r="M85" i="1" s="1"/>
  <c r="M96" i="1" s="1"/>
  <c r="M97" i="1" s="1"/>
  <c r="M35" i="1"/>
  <c r="M37" i="1" s="1"/>
  <c r="C140" i="2"/>
  <c r="F139" i="2"/>
  <c r="M64" i="1" s="1"/>
  <c r="M38" i="1" l="1"/>
  <c r="M61" i="1" s="1"/>
  <c r="M39" i="1"/>
  <c r="M68" i="1" s="1"/>
  <c r="F142" i="2"/>
  <c r="B143" i="2" s="1"/>
  <c r="D143" i="2" s="1"/>
  <c r="C143" i="2" l="1"/>
  <c r="M70" i="1"/>
  <c r="M72" i="1" s="1"/>
  <c r="F143" i="2" l="1"/>
  <c r="B144" i="2" s="1"/>
  <c r="D144" i="2" l="1"/>
  <c r="C144" i="2" l="1"/>
  <c r="F144" i="2" l="1"/>
  <c r="B145" i="2" s="1"/>
  <c r="D145" i="2" l="1"/>
  <c r="C145" i="2" l="1"/>
  <c r="F145" i="2" l="1"/>
  <c r="B146" i="2" s="1"/>
  <c r="D146" i="2" l="1"/>
  <c r="C146" i="2" l="1"/>
  <c r="F146" i="2" l="1"/>
  <c r="B147" i="2" s="1"/>
  <c r="D147" i="2" s="1"/>
  <c r="C147" i="2" s="1"/>
  <c r="F147" i="2" s="1"/>
  <c r="B148" i="2" s="1"/>
  <c r="D148" i="2" l="1"/>
  <c r="C148" i="2" s="1"/>
  <c r="F148" i="2"/>
  <c r="B149" i="2" s="1"/>
  <c r="D149" i="2" l="1"/>
  <c r="C149" i="2" s="1"/>
  <c r="F149" i="2"/>
  <c r="B150" i="2" s="1"/>
  <c r="D150" i="2" s="1"/>
  <c r="C150" i="2" s="1"/>
  <c r="F150" i="2" s="1"/>
  <c r="B151" i="2" s="1"/>
  <c r="D151" i="2" s="1"/>
  <c r="C151" i="2" s="1"/>
  <c r="F151" i="2" s="1"/>
  <c r="B152" i="2" s="1"/>
  <c r="D152" i="2" l="1"/>
  <c r="C152" i="2" s="1"/>
  <c r="F152" i="2"/>
  <c r="B153" i="2" s="1"/>
  <c r="B156" i="2" l="1"/>
  <c r="D153" i="2"/>
  <c r="C153" i="2" l="1"/>
  <c r="D154" i="2"/>
  <c r="N30" i="1" s="1"/>
  <c r="D156" i="2"/>
  <c r="C156" i="2" l="1"/>
  <c r="N83" i="1"/>
  <c r="N85" i="1" s="1"/>
  <c r="N96" i="1" s="1"/>
  <c r="N97" i="1" s="1"/>
  <c r="N35" i="1"/>
  <c r="N37" i="1"/>
  <c r="C154" i="2"/>
  <c r="F153" i="2"/>
  <c r="N64" i="1" s="1"/>
  <c r="F156" i="2" l="1"/>
  <c r="B157" i="2" s="1"/>
  <c r="N38" i="1"/>
  <c r="N61" i="1" s="1"/>
  <c r="N39" i="1"/>
  <c r="N68" i="1" s="1"/>
  <c r="N70" i="1" l="1"/>
  <c r="N72" i="1" s="1"/>
  <c r="D157" i="2"/>
  <c r="C157" i="2" l="1"/>
  <c r="F157" i="2" l="1"/>
  <c r="B158" i="2" s="1"/>
  <c r="D158" i="2" l="1"/>
  <c r="C158" i="2" l="1"/>
  <c r="F158" i="2" l="1"/>
  <c r="B159" i="2" s="1"/>
  <c r="D159" i="2" l="1"/>
  <c r="C159" i="2" l="1"/>
  <c r="F159" i="2" l="1"/>
  <c r="B160" i="2" s="1"/>
  <c r="D160" i="2" l="1"/>
  <c r="C160" i="2" l="1"/>
  <c r="F160" i="2" l="1"/>
  <c r="B161" i="2" s="1"/>
  <c r="D161" i="2" s="1"/>
  <c r="C161" i="2" s="1"/>
  <c r="F161" i="2" s="1"/>
  <c r="B162" i="2" s="1"/>
  <c r="D162" i="2" s="1"/>
  <c r="C162" i="2" s="1"/>
  <c r="F162" i="2" s="1"/>
  <c r="B163" i="2" s="1"/>
  <c r="D163" i="2" l="1"/>
  <c r="C163" i="2" s="1"/>
  <c r="F163" i="2" s="1"/>
  <c r="B164" i="2" s="1"/>
  <c r="D164" i="2" l="1"/>
  <c r="C164" i="2" s="1"/>
  <c r="F164" i="2"/>
  <c r="B165" i="2" s="1"/>
  <c r="D165" i="2" s="1"/>
  <c r="C165" i="2" s="1"/>
  <c r="F165" i="2" s="1"/>
  <c r="B166" i="2" s="1"/>
  <c r="D166" i="2" s="1"/>
  <c r="C166" i="2" s="1"/>
  <c r="F166" i="2" s="1"/>
  <c r="B167" i="2" s="1"/>
  <c r="D167" i="2" l="1"/>
  <c r="C167" i="2" l="1"/>
  <c r="D168" i="2"/>
  <c r="O30" i="1" s="1"/>
  <c r="O83" i="1" l="1"/>
  <c r="O85" i="1" s="1"/>
  <c r="O96" i="1" s="1"/>
  <c r="O97" i="1" s="1"/>
  <c r="O35" i="1"/>
  <c r="O37" i="1"/>
  <c r="C168" i="2"/>
  <c r="F167" i="2"/>
  <c r="O64" i="1" s="1"/>
  <c r="O38" i="1" l="1"/>
  <c r="O61" i="1" s="1"/>
  <c r="O39" i="1"/>
  <c r="O68" i="1" s="1"/>
  <c r="O70" i="1" s="1"/>
  <c r="O72" i="1" s="1"/>
</calcChain>
</file>

<file path=xl/sharedStrings.xml><?xml version="1.0" encoding="utf-8"?>
<sst xmlns="http://schemas.openxmlformats.org/spreadsheetml/2006/main" count="496" uniqueCount="231">
  <si>
    <t>SALES UNIT FORECASTS</t>
  </si>
  <si>
    <t>Annual change</t>
  </si>
  <si>
    <t>As per schedule</t>
  </si>
  <si>
    <t>INCOME STATEMENT</t>
  </si>
  <si>
    <t>Revenues</t>
  </si>
  <si>
    <t>Operating Expenses</t>
  </si>
  <si>
    <t>General and Administrative</t>
  </si>
  <si>
    <t>Apartment Maintenance Service</t>
  </si>
  <si>
    <t>Percent of sales - rent</t>
  </si>
  <si>
    <t>Marketing</t>
  </si>
  <si>
    <t>Utilities</t>
  </si>
  <si>
    <t>Total Operating Expenses</t>
  </si>
  <si>
    <t>Operating Profit</t>
  </si>
  <si>
    <t>Mortgage Interest Expense</t>
  </si>
  <si>
    <t>Interest rate</t>
  </si>
  <si>
    <t>Profit Before Taxes</t>
  </si>
  <si>
    <t>Taxes</t>
  </si>
  <si>
    <t>Tax rate (zero if negative income)</t>
  </si>
  <si>
    <t>Net Profit After Taxes</t>
  </si>
  <si>
    <t>BALANCE SHEET</t>
  </si>
  <si>
    <t>Assets</t>
  </si>
  <si>
    <t>Accounts Receivable</t>
  </si>
  <si>
    <t>Total Assets</t>
  </si>
  <si>
    <t>Liabilities and Equity</t>
  </si>
  <si>
    <t>Mortgage on Buildings</t>
  </si>
  <si>
    <t>Shareholder Contributions</t>
  </si>
  <si>
    <t>Retained Earnings</t>
  </si>
  <si>
    <t>Total Liabilities and Equity</t>
  </si>
  <si>
    <t>Beg Balance</t>
  </si>
  <si>
    <t>Principal</t>
  </si>
  <si>
    <t xml:space="preserve">Interest </t>
  </si>
  <si>
    <t>Payment</t>
  </si>
  <si>
    <t>End Balance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</si>
  <si>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</si>
  <si>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</si>
  <si>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</si>
  <si>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</si>
  <si>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</si>
  <si>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</si>
  <si>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</si>
  <si>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</si>
  <si>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</si>
  <si>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</si>
  <si>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</si>
  <si>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</si>
  <si>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TOTALS</t>
  </si>
  <si>
    <t>January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</si>
  <si>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</si>
  <si>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</si>
  <si>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</si>
  <si>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</si>
  <si>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</si>
  <si>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</si>
  <si>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</si>
  <si>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</si>
  <si>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</si>
  <si>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</si>
  <si>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</si>
  <si>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</si>
  <si>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</si>
  <si>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</si>
  <si>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</si>
  <si>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</si>
  <si>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</si>
  <si>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</si>
  <si>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</si>
  <si>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</si>
  <si>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</si>
  <si>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</si>
  <si>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</si>
  <si>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</si>
  <si>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</si>
  <si>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</si>
  <si>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</si>
  <si>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</si>
  <si>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</si>
  <si>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</si>
  <si>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</si>
  <si>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</si>
  <si>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</si>
  <si>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</si>
  <si>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Mimimum Cash Balance</t>
  </si>
  <si>
    <t>Cash Above Minimum Cash Balance</t>
  </si>
  <si>
    <t>Depreciation life (straight line)</t>
  </si>
  <si>
    <t>DFN</t>
  </si>
  <si>
    <t>Term</t>
  </si>
  <si>
    <t>Monthly</t>
  </si>
  <si>
    <t>Interest for year</t>
  </si>
  <si>
    <t>ALTERNATIVE WAY TO DO CALCULATIONS:</t>
  </si>
  <si>
    <t>fixed</t>
  </si>
  <si>
    <t>Extra Bank Loan</t>
  </si>
  <si>
    <t>Extra Bank Loan Interest Expense</t>
  </si>
  <si>
    <t>Current Ratio</t>
  </si>
  <si>
    <t>Current Assests</t>
  </si>
  <si>
    <t>Current Liabilities</t>
  </si>
  <si>
    <t>Debt to Equity</t>
  </si>
  <si>
    <t>Stock Holder Equity</t>
  </si>
  <si>
    <t xml:space="preserve">Total Liabilities </t>
  </si>
  <si>
    <t>ROA</t>
  </si>
  <si>
    <t xml:space="preserve">Net Income </t>
  </si>
  <si>
    <t>Net Income</t>
  </si>
  <si>
    <t>ShareHolders Equity</t>
  </si>
  <si>
    <t>ROE</t>
  </si>
  <si>
    <t>Rate Per Year</t>
  </si>
  <si>
    <t>RATIOS FOR 2012</t>
  </si>
  <si>
    <t>RATIOS FOR 2013</t>
  </si>
  <si>
    <t>RATIOS FOR 2014</t>
  </si>
  <si>
    <t>RATIOS FOR 2015</t>
  </si>
  <si>
    <t>Total Revenue</t>
  </si>
  <si>
    <t>Total Interest</t>
  </si>
  <si>
    <t>Total Current Assets</t>
  </si>
  <si>
    <t xml:space="preserve"> </t>
  </si>
  <si>
    <t>Average  Receivables</t>
  </si>
  <si>
    <t>One-Bedroom Rent</t>
  </si>
  <si>
    <t>Two-Bedroom Rent</t>
  </si>
  <si>
    <t>One Bedroom Occupancy</t>
  </si>
  <si>
    <t>Two Bedroom Occupancy</t>
  </si>
  <si>
    <t>One Bedroom Rent</t>
  </si>
  <si>
    <t>Two Bedroom Rent</t>
  </si>
  <si>
    <t>Number of One-Bedroom Units</t>
  </si>
  <si>
    <t>Number of Two-Bedroom Units</t>
  </si>
  <si>
    <t>Percent of sales - Rent</t>
  </si>
  <si>
    <t>Portofino Luxury Apartments</t>
  </si>
  <si>
    <t>Break Even</t>
  </si>
  <si>
    <t>Fixed Expenses:</t>
  </si>
  <si>
    <t>Variable Expenses:</t>
  </si>
  <si>
    <t>General And Administrative</t>
  </si>
  <si>
    <t>Apartment &amp; Maintenanc Service</t>
  </si>
  <si>
    <t>Variable cost per unit:</t>
  </si>
  <si>
    <t>Total Fixed Costs:</t>
  </si>
  <si>
    <t>Average Price per Unit</t>
  </si>
  <si>
    <t>Break even Units</t>
  </si>
  <si>
    <t>Break Even Dollars</t>
  </si>
  <si>
    <t>FCF, NPV, IRR</t>
  </si>
  <si>
    <t>Year</t>
  </si>
  <si>
    <t>Less: Depreciation</t>
  </si>
  <si>
    <t>Taxable Operating Income</t>
  </si>
  <si>
    <t>Taxes on Operations only</t>
  </si>
  <si>
    <t>Add back: Depreciation</t>
  </si>
  <si>
    <t>Cash In/Out from Capital Expenditures</t>
  </si>
  <si>
    <t>Book Value of Building</t>
  </si>
  <si>
    <t>Sale Value of Building</t>
  </si>
  <si>
    <t>Taxes on Building</t>
  </si>
  <si>
    <t>Gain on Building</t>
  </si>
  <si>
    <t>Cash In/Out from Working Capital Changes</t>
  </si>
  <si>
    <t>-</t>
  </si>
  <si>
    <t>+</t>
  </si>
  <si>
    <t>Income Tax Payable (Operations Only)</t>
  </si>
  <si>
    <t>Accounts Payable - COGS</t>
  </si>
  <si>
    <t>Cash In/Out from Liquidating Working Capital</t>
  </si>
  <si>
    <t>TOTAL FREE CASH FLOWS (OPERATIONS ONLY)</t>
  </si>
  <si>
    <t>IRR</t>
  </si>
  <si>
    <t>Period Numbers</t>
  </si>
  <si>
    <t>PV of FCF's</t>
  </si>
  <si>
    <t>NPV</t>
  </si>
  <si>
    <t>WACC</t>
  </si>
  <si>
    <t>Unlevered Relevered Beta</t>
  </si>
  <si>
    <t xml:space="preserve">Original Beta </t>
  </si>
  <si>
    <t>Relevered Beta</t>
  </si>
  <si>
    <t>Beta</t>
  </si>
  <si>
    <t>Debt</t>
  </si>
  <si>
    <t xml:space="preserve">Beta </t>
  </si>
  <si>
    <t>Tax Rate</t>
  </si>
  <si>
    <t>T-Bills</t>
  </si>
  <si>
    <t>Equity</t>
  </si>
  <si>
    <t>S&amp;P 500 Rate</t>
  </si>
  <si>
    <t xml:space="preserve">Debt </t>
  </si>
  <si>
    <t>Return Investors Want</t>
  </si>
  <si>
    <t>Unlevered Beta</t>
  </si>
  <si>
    <t>Fixed Rate of Bank Debt</t>
  </si>
  <si>
    <t>Company Tax Rate</t>
  </si>
  <si>
    <t>Mortgage</t>
  </si>
  <si>
    <t>Rate</t>
  </si>
  <si>
    <t>Proportion</t>
  </si>
  <si>
    <t>Blended</t>
  </si>
  <si>
    <t>Bank Loans</t>
  </si>
  <si>
    <t>Total Proportion of Debt</t>
  </si>
  <si>
    <t>Required Rate of Return for Debt Holders</t>
  </si>
  <si>
    <t>Share Holders Contributions</t>
  </si>
  <si>
    <t>Total Proportion of Equity</t>
  </si>
  <si>
    <t>Total Debt and Equity Investors</t>
  </si>
  <si>
    <t>Proportion of debt</t>
  </si>
  <si>
    <t>Proportion of Equity</t>
  </si>
  <si>
    <t xml:space="preserve">TBill Rate for 52 Weeks </t>
  </si>
  <si>
    <t>S&amp;P Year to date</t>
  </si>
  <si>
    <t>Fixed Rate of Bank Debt 4.25% over Prime</t>
  </si>
  <si>
    <t>Beta for EQR REIT for one Year</t>
  </si>
  <si>
    <t xml:space="preserve">Turnover Exspense </t>
  </si>
  <si>
    <t>Turnover Costs Per Apartment</t>
  </si>
  <si>
    <t>Annual Change</t>
  </si>
  <si>
    <t>Number of Apartments 2012</t>
  </si>
  <si>
    <t>Original Purchase Price Land</t>
  </si>
  <si>
    <t>Original Purachase Price Building Per SQ FT</t>
  </si>
  <si>
    <t>Original Acres of Land</t>
  </si>
  <si>
    <t>Original SQ FT</t>
  </si>
  <si>
    <t>Purchase Exspense</t>
  </si>
  <si>
    <t>Land</t>
  </si>
  <si>
    <t>Building by SQ FT</t>
  </si>
  <si>
    <t>Total Purchase Cost</t>
  </si>
  <si>
    <t>Number of New Apartments 2013</t>
  </si>
  <si>
    <t>Additional Loan for Construction of 31 New Units</t>
  </si>
  <si>
    <t>Forecasted Monthly Rent</t>
  </si>
  <si>
    <t>Buy Building/Land Original Purchase</t>
  </si>
  <si>
    <t>Build New Building</t>
  </si>
  <si>
    <t>Insurance</t>
  </si>
  <si>
    <t>Accounts Payables</t>
  </si>
  <si>
    <t>Accounts Payable</t>
  </si>
  <si>
    <t>Building 3</t>
  </si>
  <si>
    <t>Less:  Accumulated Depreciation Building 3</t>
  </si>
  <si>
    <t>Depreciation Expense Building 3</t>
  </si>
  <si>
    <t>Mortgage Interest Expense Building 3</t>
  </si>
  <si>
    <t>Building 4</t>
  </si>
  <si>
    <t>Less:  Accumulated Depreciation Building 4</t>
  </si>
  <si>
    <t>Depreciation Expense Building 4</t>
  </si>
  <si>
    <t>Mortgage Interest Expense Building 4</t>
  </si>
  <si>
    <t>Number of New Apartments 2015</t>
  </si>
  <si>
    <t>Number of New Apartments 2017</t>
  </si>
  <si>
    <t>Number of New Apartments 2019</t>
  </si>
  <si>
    <t>Building 1-2</t>
  </si>
  <si>
    <t>Building 5</t>
  </si>
  <si>
    <t>Less:  Accumulated Depreciation Building 1-2</t>
  </si>
  <si>
    <t>Less:  Accumulated Depreciation Building 5</t>
  </si>
  <si>
    <t>Depreciation Expense Building 1-2</t>
  </si>
  <si>
    <t>Depreciation Expense Building 5</t>
  </si>
  <si>
    <t>Mortgage Interest Expense Building 1-2</t>
  </si>
  <si>
    <t>Mortgage Interest Expense Building 5</t>
  </si>
  <si>
    <t>New Construction</t>
  </si>
  <si>
    <t>Builfing 5</t>
  </si>
  <si>
    <t>Refurbishment Exspense</t>
  </si>
  <si>
    <t>Refurbishment Exspense Per Unit</t>
  </si>
  <si>
    <t>Assuming they are refurbished every eight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</si>
</sst>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\$* #,##0.00_);_(\$* \(#,##0.00\);_(\$* \-??_);_(@_)"/>
    <numFmt numFmtId="165" formatCode="_(* #,##0.00_);_(* \(#,##0.00\);_(* \-??_);_(@_)"/>
    <numFmt numFmtId="166" formatCode="_(\$* #,##0_);_(\$* \(#,##0\);_(\$* \-??_);_(@_)"/>
    <numFmt numFmtId="167" formatCode="[$$-409]#,##0.00;[Red]\-[$$-409]#,##0.00"/>
    <numFmt numFmtId="168" formatCode="0.0%"/>
    <numFmt numFmtId="169" formatCode="[$$-409]#,##0.00;[Red][$$-409]#,##0.00"/>
    <numFmt numFmtId="170" formatCode="_(* #,##0_);_(* \(#,##0\);_(* &quot;-&quot;??_);_(@_)"/>
    <numFmt numFmtId="171" formatCode="_(\$* #,##0.0_);_(\$* \(#,##0.0\);_(\$* \-??_);_(@_)"/>
    <numFmt numFmtId="172" formatCode="_(* #,##0_);_(* \(#,##0\);_(* \-??_);_(@_)"/>
    <numFmt numFmtId="173" formatCode="0.0000%"/>
  </numFmts>
  <fonts count="6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5" fontId="1" fillId="0" borderId="0"/>
    <xf numFmtId="164" fontId="1" fillId="0" borderId="0"/>
    <xf numFmtId="0" fontId="1" fillId="0" borderId="0"/>
    <xf numFmtId="9" fontId="1" fillId="0" borderId="0"/>
  </cellStyleXfs>
  <cellXfs count="104">
    <xf numFmtId="0" fontId="0" fillId="0" borderId="0" xfId="0"/>
    <xf numFmtId="0" fontId="1" fillId="0" borderId="0" xfId="3"/>
    <xf numFmtId="0" fontId="1" fillId="0" borderId="1" xfId="3" applyBorder="1"/>
    <xf numFmtId="0" fontId="2" fillId="0" borderId="0" xfId="3" applyFont="1"/>
    <xf numFmtId="10" fontId="1" fillId="0" borderId="0" xfId="4" applyNumberFormat="1"/>
    <xf numFmtId="0" fontId="1" fillId="0" borderId="0" xfId="3" applyFont="1"/>
    <xf numFmtId="166" fontId="1" fillId="0" borderId="0" xfId="2" applyNumberFormat="1" applyFont="1" applyFill="1" applyBorder="1" applyAlignment="1" applyProtection="1"/>
    <xf numFmtId="166" fontId="1" fillId="0" borderId="0" xfId="2" applyNumberFormat="1"/>
    <xf numFmtId="166" fontId="1" fillId="0" borderId="0" xfId="3" applyNumberFormat="1"/>
    <xf numFmtId="0" fontId="0" fillId="0" borderId="0" xfId="0" applyFont="1" applyAlignment="1">
      <alignment wrapText="1"/>
    </xf>
    <xf numFmtId="167" fontId="0" fillId="0" borderId="0" xfId="0" applyNumberFormat="1" applyFont="1" applyAlignment="1">
      <alignment wrapText="1"/>
    </xf>
    <xf numFmtId="167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14" fontId="1" fillId="0" borderId="0" xfId="3" applyNumberFormat="1"/>
    <xf numFmtId="167" fontId="0" fillId="0" borderId="0" xfId="0" applyNumberFormat="1"/>
    <xf numFmtId="8" fontId="0" fillId="0" borderId="0" xfId="0" applyNumberFormat="1"/>
    <xf numFmtId="167" fontId="4" fillId="0" borderId="2" xfId="0" applyNumberFormat="1" applyFont="1" applyBorder="1" applyAlignment="1">
      <alignment wrapText="1"/>
    </xf>
    <xf numFmtId="169" fontId="4" fillId="0" borderId="2" xfId="0" applyNumberFormat="1" applyFont="1" applyBorder="1"/>
    <xf numFmtId="164" fontId="3" fillId="0" borderId="2" xfId="2" applyNumberFormat="1" applyFont="1" applyBorder="1"/>
    <xf numFmtId="166" fontId="1" fillId="0" borderId="3" xfId="2" applyNumberFormat="1" applyFont="1" applyFill="1" applyBorder="1" applyAlignment="1" applyProtection="1"/>
    <xf numFmtId="166" fontId="1" fillId="0" borderId="4" xfId="2" applyNumberFormat="1" applyFont="1" applyFill="1" applyBorder="1" applyAlignment="1" applyProtection="1"/>
    <xf numFmtId="0" fontId="1" fillId="0" borderId="0" xfId="3" applyAlignment="1">
      <alignment horizontal="left" indent="1"/>
    </xf>
    <xf numFmtId="9" fontId="1" fillId="0" borderId="0" xfId="4"/>
    <xf numFmtId="0" fontId="0" fillId="4" borderId="5" xfId="0" applyFill="1" applyBorder="1"/>
    <xf numFmtId="165" fontId="1" fillId="4" borderId="6" xfId="1" applyFill="1" applyBorder="1"/>
    <xf numFmtId="0" fontId="0" fillId="4" borderId="6" xfId="0" applyFill="1" applyBorder="1"/>
    <xf numFmtId="165" fontId="1" fillId="4" borderId="7" xfId="1" applyFill="1" applyBorder="1"/>
    <xf numFmtId="0" fontId="0" fillId="4" borderId="8" xfId="0" applyFill="1" applyBorder="1"/>
    <xf numFmtId="165" fontId="1" fillId="4" borderId="9" xfId="1" applyFill="1" applyBorder="1"/>
    <xf numFmtId="0" fontId="0" fillId="4" borderId="9" xfId="0" applyFill="1" applyBorder="1"/>
    <xf numFmtId="165" fontId="1" fillId="4" borderId="10" xfId="1" applyFill="1" applyBorder="1"/>
    <xf numFmtId="0" fontId="0" fillId="2" borderId="11" xfId="0" applyFill="1" applyBorder="1"/>
    <xf numFmtId="0" fontId="0" fillId="2" borderId="12" xfId="0" applyFill="1" applyBorder="1"/>
    <xf numFmtId="10" fontId="1" fillId="2" borderId="12" xfId="4" applyNumberFormat="1" applyFill="1" applyBorder="1"/>
    <xf numFmtId="168" fontId="1" fillId="2" borderId="13" xfId="4" applyNumberFormat="1" applyFill="1" applyBorder="1"/>
    <xf numFmtId="165" fontId="1" fillId="0" borderId="0" xfId="1"/>
    <xf numFmtId="164" fontId="1" fillId="0" borderId="0" xfId="2"/>
    <xf numFmtId="2" fontId="0" fillId="2" borderId="13" xfId="0" applyNumberFormat="1" applyFill="1" applyBorder="1"/>
    <xf numFmtId="166" fontId="1" fillId="0" borderId="14" xfId="2" applyNumberFormat="1" applyFont="1" applyFill="1" applyBorder="1" applyAlignment="1" applyProtection="1"/>
    <xf numFmtId="0" fontId="1" fillId="0" borderId="0" xfId="3" applyFill="1"/>
    <xf numFmtId="17" fontId="0" fillId="0" borderId="0" xfId="0" applyNumberFormat="1" applyFont="1" applyAlignment="1">
      <alignment wrapText="1"/>
    </xf>
    <xf numFmtId="171" fontId="5" fillId="0" borderId="0" xfId="2" applyNumberFormat="1" applyFont="1"/>
    <xf numFmtId="171" fontId="4" fillId="0" borderId="0" xfId="0" applyNumberFormat="1" applyFont="1"/>
    <xf numFmtId="167" fontId="4" fillId="0" borderId="0" xfId="0" applyNumberFormat="1" applyFont="1"/>
    <xf numFmtId="0" fontId="3" fillId="0" borderId="0" xfId="3" applyFont="1"/>
    <xf numFmtId="0" fontId="3" fillId="0" borderId="0" xfId="3" applyFont="1"/>
    <xf numFmtId="170" fontId="1" fillId="0" borderId="0" xfId="3" applyNumberFormat="1"/>
    <xf numFmtId="43" fontId="1" fillId="0" borderId="0" xfId="3" applyNumberFormat="1"/>
    <xf numFmtId="0" fontId="1" fillId="6" borderId="11" xfId="3" applyFill="1" applyBorder="1"/>
    <xf numFmtId="10" fontId="1" fillId="6" borderId="13" xfId="3" applyNumberFormat="1" applyFill="1" applyBorder="1"/>
    <xf numFmtId="8" fontId="1" fillId="0" borderId="0" xfId="3" applyNumberFormat="1"/>
    <xf numFmtId="0" fontId="0" fillId="0" borderId="3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9" fontId="0" fillId="0" borderId="0" xfId="0" applyNumberFormat="1" applyBorder="1"/>
    <xf numFmtId="9" fontId="0" fillId="7" borderId="16" xfId="4" applyFont="1" applyFill="1" applyBorder="1"/>
    <xf numFmtId="168" fontId="0" fillId="0" borderId="0" xfId="0" applyNumberFormat="1" applyBorder="1"/>
    <xf numFmtId="168" fontId="1" fillId="0" borderId="0" xfId="4" applyNumberFormat="1" applyFill="1"/>
    <xf numFmtId="165" fontId="0" fillId="0" borderId="0" xfId="1" applyFont="1" applyBorder="1"/>
    <xf numFmtId="0" fontId="0" fillId="0" borderId="8" xfId="0" applyBorder="1"/>
    <xf numFmtId="165" fontId="0" fillId="0" borderId="9" xfId="1" applyFont="1" applyBorder="1"/>
    <xf numFmtId="0" fontId="0" fillId="0" borderId="9" xfId="0" applyBorder="1"/>
    <xf numFmtId="0" fontId="0" fillId="0" borderId="10" xfId="0" applyBorder="1"/>
    <xf numFmtId="0" fontId="1" fillId="0" borderId="0" xfId="3" applyAlignment="1">
      <alignment horizontal="center"/>
    </xf>
    <xf numFmtId="168" fontId="1" fillId="0" borderId="0" xfId="4" applyNumberFormat="1"/>
    <xf numFmtId="0" fontId="1" fillId="6" borderId="0" xfId="3" applyFill="1"/>
    <xf numFmtId="10" fontId="1" fillId="6" borderId="0" xfId="3" applyNumberFormat="1" applyFill="1"/>
    <xf numFmtId="0" fontId="1" fillId="0" borderId="3" xfId="3" applyBorder="1"/>
    <xf numFmtId="0" fontId="1" fillId="6" borderId="0" xfId="3" applyFill="1" applyAlignment="1">
      <alignment horizontal="center" wrapText="1"/>
    </xf>
    <xf numFmtId="9" fontId="1" fillId="0" borderId="0" xfId="4" applyFill="1"/>
    <xf numFmtId="0" fontId="0" fillId="0" borderId="0" xfId="0" applyFill="1"/>
    <xf numFmtId="166" fontId="1" fillId="0" borderId="0" xfId="3" applyNumberFormat="1" applyFill="1"/>
    <xf numFmtId="166" fontId="1" fillId="0" borderId="3" xfId="3" applyNumberFormat="1" applyFill="1" applyBorder="1"/>
    <xf numFmtId="0" fontId="2" fillId="0" borderId="3" xfId="3" applyFont="1" applyBorder="1"/>
    <xf numFmtId="10" fontId="1" fillId="0" borderId="0" xfId="4" applyNumberFormat="1" applyFill="1"/>
    <xf numFmtId="10" fontId="1" fillId="0" borderId="0" xfId="4" applyNumberFormat="1" applyFont="1" applyFill="1"/>
    <xf numFmtId="10" fontId="1" fillId="0" borderId="0" xfId="3" applyNumberFormat="1" applyFill="1"/>
    <xf numFmtId="164" fontId="1" fillId="0" borderId="0" xfId="3" applyNumberFormat="1"/>
    <xf numFmtId="164" fontId="1" fillId="0" borderId="3" xfId="3" applyNumberFormat="1" applyBorder="1"/>
    <xf numFmtId="164" fontId="1" fillId="0" borderId="3" xfId="2" applyNumberFormat="1" applyBorder="1"/>
    <xf numFmtId="164" fontId="1" fillId="0" borderId="0" xfId="2" applyNumberFormat="1"/>
    <xf numFmtId="172" fontId="1" fillId="0" borderId="0" xfId="1" applyNumberFormat="1"/>
    <xf numFmtId="166" fontId="1" fillId="0" borderId="0" xfId="2" applyNumberFormat="1" applyBorder="1"/>
    <xf numFmtId="166" fontId="1" fillId="0" borderId="3" xfId="2" applyNumberFormat="1" applyBorder="1"/>
    <xf numFmtId="6" fontId="1" fillId="6" borderId="13" xfId="3" applyNumberFormat="1" applyFill="1" applyBorder="1"/>
    <xf numFmtId="43" fontId="1" fillId="0" borderId="0" xfId="1" applyNumberFormat="1"/>
    <xf numFmtId="9" fontId="1" fillId="0" borderId="0" xfId="4" applyNumberFormat="1"/>
    <xf numFmtId="172" fontId="1" fillId="0" borderId="0" xfId="2" applyNumberFormat="1" applyFont="1" applyFill="1" applyBorder="1" applyAlignment="1" applyProtection="1"/>
    <xf numFmtId="172" fontId="0" fillId="0" borderId="0" xfId="0" applyNumberFormat="1"/>
    <xf numFmtId="172" fontId="1" fillId="0" borderId="0" xfId="3" applyNumberFormat="1"/>
    <xf numFmtId="172" fontId="1" fillId="0" borderId="0" xfId="2" applyNumberFormat="1"/>
    <xf numFmtId="0" fontId="1" fillId="0" borderId="0" xfId="3" applyBorder="1"/>
    <xf numFmtId="10" fontId="1" fillId="0" borderId="0" xfId="4" applyNumberFormat="1" applyBorder="1"/>
    <xf numFmtId="173" fontId="1" fillId="6" borderId="0" xfId="4" applyNumberFormat="1" applyFill="1"/>
    <xf numFmtId="0" fontId="2" fillId="0" borderId="1" xfId="3" applyFont="1" applyBorder="1" applyAlignment="1">
      <alignment horizontal="center"/>
    </xf>
    <xf numFmtId="0" fontId="3" fillId="0" borderId="0" xfId="3" applyFont="1"/>
    <xf numFmtId="0" fontId="1" fillId="5" borderId="11" xfId="3" applyFill="1" applyBorder="1" applyAlignment="1">
      <alignment horizontal="center"/>
    </xf>
    <xf numFmtId="0" fontId="1" fillId="5" borderId="12" xfId="3" applyFill="1" applyBorder="1" applyAlignment="1">
      <alignment horizontal="center"/>
    </xf>
    <xf numFmtId="0" fontId="1" fillId="5" borderId="13" xfId="3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</cellXfs>
  <cellStyles count="5">
    <cellStyle name="Comma" xfId="1" builtinId="3"/>
    <cellStyle name="Currency" xfId="2" builtinId="4"/>
    <cellStyle name="Excel Built-in Normal" xfId="3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7"/>
  <sheetViews>
    <sheetView tabSelected="1" zoomScale="80" zoomScaleNormal="80" workbookViewId="0">
      <pane ySplit="2" topLeftCell="A3" activePane="bottomLeft" state="frozen"/>
      <selection pane="bottomLeft" activeCell="S44" sqref="S44"/>
    </sheetView>
  </sheetViews>
  <sheetFormatPr defaultColWidth="9.42578125" defaultRowHeight="15" x14ac:dyDescent="0.25"/>
  <cols>
    <col min="1" max="1" width="4.85546875" style="1" customWidth="1"/>
    <col min="2" max="2" width="36" style="1" customWidth="1"/>
    <col min="3" max="3" width="16.28515625" style="1" customWidth="1"/>
    <col min="4" max="4" width="15.140625" style="1" customWidth="1"/>
    <col min="5" max="5" width="16.28515625" style="1" customWidth="1"/>
    <col min="6" max="6" width="16.7109375" style="1" customWidth="1"/>
    <col min="7" max="7" width="17.5703125" style="1" customWidth="1"/>
    <col min="8" max="8" width="17.28515625" style="1" customWidth="1"/>
    <col min="9" max="9" width="16.42578125" style="1" customWidth="1"/>
    <col min="10" max="10" width="16.85546875" style="1" customWidth="1"/>
    <col min="11" max="19" width="16.140625" style="1" customWidth="1"/>
    <col min="20" max="20" width="13.7109375" style="1" customWidth="1"/>
    <col min="21" max="21" width="34" style="1" customWidth="1"/>
    <col min="22" max="22" width="21.140625" style="1" customWidth="1"/>
    <col min="23" max="23" width="5.5703125" style="1" customWidth="1"/>
    <col min="24" max="24" width="11.28515625" style="1" bestFit="1" customWidth="1"/>
    <col min="25" max="25" width="31.42578125" style="1" customWidth="1"/>
    <col min="26" max="26" width="9.42578125" style="1"/>
    <col min="27" max="27" width="10" style="1" bestFit="1" customWidth="1"/>
    <col min="28" max="28" width="9.42578125" style="1"/>
    <col min="29" max="29" width="10" style="1" customWidth="1"/>
    <col min="30" max="16384" width="9.42578125" style="1"/>
  </cols>
  <sheetData>
    <row r="1" spans="1:23" s="2" customFormat="1" x14ac:dyDescent="0.25">
      <c r="A1" s="96" t="s">
        <v>122</v>
      </c>
      <c r="B1" s="96"/>
    </row>
    <row r="2" spans="1:23" x14ac:dyDescent="0.25">
      <c r="A2" s="3" t="s">
        <v>3</v>
      </c>
      <c r="C2" s="1">
        <v>0</v>
      </c>
      <c r="D2" s="1">
        <v>2012</v>
      </c>
      <c r="E2" s="1">
        <v>2013</v>
      </c>
      <c r="F2" s="1">
        <v>2014</v>
      </c>
      <c r="G2" s="1">
        <v>2015</v>
      </c>
      <c r="H2" s="1">
        <v>2016</v>
      </c>
      <c r="I2" s="1">
        <v>2017</v>
      </c>
      <c r="J2" s="1">
        <v>2018</v>
      </c>
      <c r="K2" s="1">
        <v>2019</v>
      </c>
      <c r="L2" s="1">
        <v>2020</v>
      </c>
      <c r="M2" s="1">
        <v>2021</v>
      </c>
      <c r="N2" s="1">
        <v>2022</v>
      </c>
      <c r="O2" s="1">
        <v>2023</v>
      </c>
      <c r="P2" s="1">
        <v>2024</v>
      </c>
      <c r="Q2" s="1">
        <v>2025</v>
      </c>
      <c r="R2" s="1">
        <v>2026</v>
      </c>
      <c r="S2" s="1">
        <v>2027</v>
      </c>
    </row>
    <row r="4" spans="1:23" x14ac:dyDescent="0.25">
      <c r="A4" s="46" t="s">
        <v>195</v>
      </c>
    </row>
    <row r="5" spans="1:23" x14ac:dyDescent="0.25">
      <c r="B5" s="1" t="s">
        <v>196</v>
      </c>
      <c r="C5" s="84">
        <f>Assumptions!B2*Assumptions!B4</f>
        <v>268840.04000000004</v>
      </c>
    </row>
    <row r="6" spans="1:23" x14ac:dyDescent="0.25">
      <c r="B6" s="1" t="s">
        <v>197</v>
      </c>
      <c r="C6" s="85">
        <f>Assumptions!B3*Assumptions!B5</f>
        <v>2981160</v>
      </c>
    </row>
    <row r="7" spans="1:23" x14ac:dyDescent="0.25">
      <c r="B7" s="1" t="s">
        <v>198</v>
      </c>
      <c r="C7" s="8">
        <f>SUM(C5:C6)</f>
        <v>3250000.04</v>
      </c>
    </row>
    <row r="8" spans="1:23" x14ac:dyDescent="0.25">
      <c r="B8" s="1" t="s">
        <v>226</v>
      </c>
      <c r="C8" s="7">
        <v>3600000</v>
      </c>
      <c r="F8" s="7"/>
      <c r="R8" s="7"/>
    </row>
    <row r="9" spans="1:23" x14ac:dyDescent="0.25">
      <c r="A9" s="97" t="s">
        <v>4</v>
      </c>
      <c r="B9" s="97"/>
      <c r="C9" s="8"/>
      <c r="H9" s="6"/>
      <c r="I9" s="6"/>
      <c r="J9" s="6"/>
      <c r="K9" s="6"/>
      <c r="L9" s="6"/>
      <c r="M9" s="6"/>
      <c r="N9" s="6"/>
      <c r="O9" s="6"/>
      <c r="T9" s="6"/>
      <c r="U9" s="6"/>
      <c r="V9" s="6"/>
      <c r="W9" s="6"/>
    </row>
    <row r="10" spans="1:23" x14ac:dyDescent="0.25">
      <c r="A10" s="46"/>
      <c r="B10" s="46"/>
      <c r="H10" s="6"/>
      <c r="I10" s="6"/>
      <c r="J10" s="6"/>
      <c r="K10" s="6"/>
      <c r="L10" s="6"/>
      <c r="M10" s="6"/>
      <c r="N10" s="6"/>
      <c r="O10" s="6"/>
      <c r="T10" s="6"/>
      <c r="U10" s="6"/>
      <c r="V10" s="6"/>
      <c r="W10" s="6"/>
    </row>
    <row r="11" spans="1:23" x14ac:dyDescent="0.25">
      <c r="A11" s="5"/>
      <c r="B11" s="1" t="s">
        <v>117</v>
      </c>
      <c r="D11" s="6">
        <f>Assumptions!D10*Assumptions!$B$13*Assumptions!D40*12</f>
        <v>127920</v>
      </c>
      <c r="E11" s="6">
        <f>((Assumptions!E10*Assumptions!$B$13*Assumptions!E40)+(Assumptions!E17*Assumptions!$B$17*Assumptions!E40))*12</f>
        <v>296125.20600000001</v>
      </c>
      <c r="F11" s="6">
        <f>((Assumptions!F10*Assumptions!$B$13*Assumptions!F40)+(Assumptions!F17*Assumptions!$B$17*Assumptions!F40))*12</f>
        <v>307296.52939635003</v>
      </c>
      <c r="G11" s="6">
        <f>((Assumptions!G10*Assumptions!$B$13*Assumptions!G40)+(Assumptions!G17*Assumptions!$B$17*Assumptions!G40)+(Assumptions!G21*Assumptions!$B$21*Assumptions!G40))*12</f>
        <v>527816.75746399025</v>
      </c>
      <c r="H11" s="6">
        <f>((Assumptions!H10*Assumptions!$B$13*Assumptions!H40)+(Assumptions!H17*Assumptions!$B$17*Assumptions!H40)+(Assumptions!H21*Assumptions!$B$21*Assumptions!H40))*12</f>
        <v>547728.64463931916</v>
      </c>
      <c r="I11" s="6">
        <f>((Assumptions!I10*Assumptions!$B$13*Assumptions!I40)+(Assumptions!I17*Assumptions!$B$17*Assumptions!I40)+(Assumptions!I25*Assumptions!$B$25*Assumptions!I40))*12</f>
        <v>686806.64687465783</v>
      </c>
      <c r="J11" s="6">
        <f>((Assumptions!J10*Assumptions!$B$13*Assumptions!J40)+(Assumptions!J17*Assumptions!$B$17*Assumptions!J40)+(Assumptions!J25*Assumptions!$B$25*Assumptions!J40))*12</f>
        <v>712716.42762800446</v>
      </c>
      <c r="K11" s="6">
        <f>((Assumptions!K10*Assumptions!$B$13*Assumptions!K40)+(Assumptions!K17*Assumptions!$B$17*Assumptions!K40)+(Assumptions!K25*Assumptions!$B$25*Assumptions!K40)+(Assumptions!K29*Assumptions!$B$29*Assumptions!K40))*12</f>
        <v>1007391.1850683</v>
      </c>
      <c r="L11" s="6">
        <f>((Assumptions!L10*Assumptions!$B$13*Assumptions!L40)+(Assumptions!L17*Assumptions!$B$17*Assumptions!L40)+(Assumptions!L25*Assumptions!$B$25*Assumptions!L40)+(Assumptions!L29*Assumptions!$B$29*Assumptions!L40))*12</f>
        <v>1045395.0175250017</v>
      </c>
      <c r="M11" s="6">
        <f>((Assumptions!M10*Assumptions!$B$13*Assumptions!M40)+(Assumptions!M17*Assumptions!$B$17*Assumptions!M40)+(Assumptions!M25*Assumptions!$B$25*Assumptions!M40)+(Assumptions!M29*Assumptions!$B$29*Assumptions!M40))*12</f>
        <v>1084832.5445611323</v>
      </c>
      <c r="N11" s="6">
        <f>((Assumptions!N10*Assumptions!$B$13*Assumptions!N40)+(Assumptions!N17*Assumptions!$B$17*Assumptions!N40)+(Assumptions!N25*Assumptions!$B$25*Assumptions!N40)+(Assumptions!N29*Assumptions!$B$29*Assumptions!N40))*12</f>
        <v>1125757.8523047012</v>
      </c>
      <c r="O11" s="6">
        <f>((Assumptions!O10*Assumptions!$B$13*Assumptions!O40)+(Assumptions!O17*Assumptions!$B$17*Assumptions!O40)+(Assumptions!O25*Assumptions!$B$25*Assumptions!O40)+(Assumptions!O29*Assumptions!$B$29*Assumptions!O40))*12</f>
        <v>1168227.067282896</v>
      </c>
      <c r="P11" s="6">
        <f>((Assumptions!P10*Assumptions!$B$13*Assumptions!P40)+(Assumptions!P17*Assumptions!$B$17*Assumptions!P40)+(Assumptions!P25*Assumptions!$B$25*Assumptions!P40)+(Assumptions!P29*Assumptions!$B$29*Assumptions!P40))*12</f>
        <v>1212298.4333961436</v>
      </c>
      <c r="Q11" s="6">
        <f>((Assumptions!Q10*Assumptions!$B$13*Assumptions!Q40)+(Assumptions!Q17*Assumptions!$B$17*Assumptions!Q40)+(Assumptions!Q25*Assumptions!$B$25*Assumptions!Q40)+(Assumptions!Q29*Assumptions!$B$29*Assumptions!Q40))*12</f>
        <v>1258032.3917960131</v>
      </c>
      <c r="R11" s="6">
        <f>((Assumptions!R10*Assumptions!$B$13*Assumptions!R40)+(Assumptions!R17*Assumptions!$B$17*Assumptions!R40)+(Assumptions!R25*Assumptions!$B$25*Assumptions!R40)+(Assumptions!R29*Assumptions!$B$29*Assumptions!R40))*12</f>
        <v>1305491.6637765178</v>
      </c>
      <c r="S11" s="6">
        <f>((Assumptions!S10*Assumptions!$B$13*Assumptions!S40)+(Assumptions!S17*Assumptions!$B$17*Assumptions!S40)+(Assumptions!S25*Assumptions!$B$25*Assumptions!S40)+(Assumptions!S29*Assumptions!$B$29*Assumptions!S40))*12</f>
        <v>1354741.3367924872</v>
      </c>
      <c r="T11" s="6"/>
      <c r="U11" s="6"/>
      <c r="V11" s="6"/>
      <c r="W11" s="6"/>
    </row>
    <row r="12" spans="1:23" x14ac:dyDescent="0.25">
      <c r="A12" s="5"/>
      <c r="B12" s="1" t="s">
        <v>118</v>
      </c>
      <c r="D12" s="20">
        <f>Assumptions!D11*Assumptions!$B$14*Assumptions!D41*12</f>
        <v>162240</v>
      </c>
      <c r="E12" s="20">
        <f>((Assumptions!E11*Assumptions!$B$14*Assumptions!E41)+(Assumptions!E18*Assumptions!$B$18*Assumptions!E41))*12</f>
        <v>387560.16</v>
      </c>
      <c r="F12" s="20">
        <f>((Assumptions!F11*Assumptions!$B$14*Assumptions!F41)+(Assumptions!F18*Assumptions!$B$18*Assumptions!F41))*12</f>
        <v>401182.89962399995</v>
      </c>
      <c r="G12" s="20">
        <f>((Assumptions!G11*Assumptions!$B$14*Assumptions!G41)+(Assumptions!G18*Assumptions!$B$18*Assumptions!G41)+(Assumptions!G22*Assumptions!$B$22*Assumptions!G41))*12</f>
        <v>692140.79757630569</v>
      </c>
      <c r="H12" s="20">
        <f>((Assumptions!H11*Assumptions!$B$14*Assumptions!H41)+(Assumptions!H18*Assumptions!$B$18*Assumptions!H41)+(Assumptions!H22*Assumptions!$B$22*Assumptions!H41))*12</f>
        <v>716469.54661111301</v>
      </c>
      <c r="I12" s="20">
        <f>((Assumptions!I11*Assumptions!$B$14*Assumptions!I41)+(Assumptions!I18*Assumptions!$B$18*Assumptions!I41)+(Assumptions!I26*Assumptions!$B$26*Assumptions!I41))*12</f>
        <v>889984.14140939224</v>
      </c>
      <c r="J12" s="20">
        <f>((Assumptions!J11*Assumptions!$B$14*Assumptions!J41)+(Assumptions!J18*Assumptions!$B$18*Assumptions!J41)+(Assumptions!J26*Assumptions!$B$26*Assumptions!J41))*12</f>
        <v>921267.08397993213</v>
      </c>
      <c r="K12" s="20">
        <f>((Assumptions!K11*Assumptions!$B$14*Assumptions!K41)+(Assumptions!K18*Assumptions!$B$18*Assumptions!K41)+(Assumptions!K26*Assumptions!$B$26*Assumptions!K41)+(Assumptions!K30*Assumptions!$B$30*Assumptions!K41))*12</f>
        <v>1303321.1500418303</v>
      </c>
      <c r="L12" s="20">
        <f>((Assumptions!L11*Assumptions!$B$14*Assumptions!L41)+(Assumptions!L18*Assumptions!$B$18*Assumptions!L41)+(Assumptions!L26*Assumptions!$B$26*Assumptions!L41)+(Assumptions!L30*Assumptions!$B$30*Assumptions!L41))*12</f>
        <v>1349132.8884658003</v>
      </c>
      <c r="M12" s="20">
        <f>((Assumptions!M11*Assumptions!$B$14*Assumptions!M41)+(Assumptions!M18*Assumptions!$B$18*Assumptions!M41)+(Assumptions!M26*Assumptions!$B$26*Assumptions!M41)+(Assumptions!M30*Assumptions!$B$30*Assumptions!M41))*12</f>
        <v>1396554.9094953733</v>
      </c>
      <c r="N12" s="20">
        <f>((Assumptions!N11*Assumptions!$B$14*Assumptions!N41)+(Assumptions!N18*Assumptions!$B$18*Assumptions!N41)+(Assumptions!N26*Assumptions!$B$26*Assumptions!N41)+(Assumptions!N30*Assumptions!$B$30*Assumptions!N41))*12</f>
        <v>1445643.8145641354</v>
      </c>
      <c r="O12" s="20">
        <f>((Assumptions!O11*Assumptions!$B$14*Assumptions!O41)+(Assumptions!O18*Assumptions!$B$18*Assumptions!O41)+(Assumptions!O26*Assumptions!$B$26*Assumptions!O41)+(Assumptions!O30*Assumptions!$B$30*Assumptions!O41))*12</f>
        <v>1496458.1946460649</v>
      </c>
      <c r="P12" s="20">
        <f>((Assumptions!P11*Assumptions!$B$14*Assumptions!P41)+(Assumptions!P18*Assumptions!$B$18*Assumptions!P41)+(Assumptions!P26*Assumptions!$B$26*Assumptions!P41)+(Assumptions!P30*Assumptions!$B$30*Assumptions!P41))*12</f>
        <v>1549058.7001878738</v>
      </c>
      <c r="Q12" s="20">
        <f>((Assumptions!Q11*Assumptions!$B$14*Assumptions!Q41)+(Assumptions!Q18*Assumptions!$B$18*Assumptions!Q41)+(Assumptions!Q26*Assumptions!$B$26*Assumptions!Q41)+(Assumptions!Q30*Assumptions!$B$30*Assumptions!Q41))*12</f>
        <v>1603508.1134994775</v>
      </c>
      <c r="R12" s="20">
        <f>((Assumptions!R11*Assumptions!$B$14*Assumptions!R41)+(Assumptions!R18*Assumptions!$B$18*Assumptions!R41)+(Assumptions!R26*Assumptions!$B$26*Assumptions!R41)+(Assumptions!R30*Assumptions!$B$30*Assumptions!R41))*12</f>
        <v>1659871.423688984</v>
      </c>
      <c r="S12" s="20">
        <f>((Assumptions!S11*Assumptions!$B$14*Assumptions!S41)+(Assumptions!S18*Assumptions!$B$18*Assumptions!S41)+(Assumptions!S26*Assumptions!$B$26*Assumptions!S41)+(Assumptions!S30*Assumptions!$B$30*Assumptions!S41))*12</f>
        <v>1718215.9042316519</v>
      </c>
      <c r="T12" s="6"/>
      <c r="U12" s="6"/>
      <c r="V12" s="6"/>
      <c r="W12" s="6"/>
    </row>
    <row r="13" spans="1:23" ht="15.75" thickBot="1" x14ac:dyDescent="0.3">
      <c r="A13" s="5"/>
      <c r="B13" s="1" t="s">
        <v>108</v>
      </c>
      <c r="D13" s="39">
        <f>SUM(D11:D12)</f>
        <v>290160</v>
      </c>
      <c r="E13" s="39">
        <f t="shared" ref="E13:K13" si="0">SUM(E11:E12)</f>
        <v>683685.36599999992</v>
      </c>
      <c r="F13" s="39">
        <f t="shared" si="0"/>
        <v>708479.42902034998</v>
      </c>
      <c r="G13" s="39">
        <f t="shared" si="0"/>
        <v>1219957.5550402959</v>
      </c>
      <c r="H13" s="39">
        <f t="shared" si="0"/>
        <v>1264198.1912504323</v>
      </c>
      <c r="I13" s="39">
        <f t="shared" si="0"/>
        <v>1576790.7882840501</v>
      </c>
      <c r="J13" s="39">
        <f t="shared" si="0"/>
        <v>1633983.5116079366</v>
      </c>
      <c r="K13" s="39">
        <f t="shared" si="0"/>
        <v>2310712.3351101303</v>
      </c>
      <c r="L13" s="39">
        <f>SUM(L11:L12)</f>
        <v>2394527.9059908018</v>
      </c>
      <c r="M13" s="39">
        <f t="shared" ref="M13:O13" si="1">SUM(M11:M12)</f>
        <v>2481387.4540565056</v>
      </c>
      <c r="N13" s="39">
        <f t="shared" si="1"/>
        <v>2571401.6668688366</v>
      </c>
      <c r="O13" s="39">
        <f t="shared" si="1"/>
        <v>2664685.2619289607</v>
      </c>
      <c r="P13" s="39">
        <f>SUM(P11:P12)</f>
        <v>2761357.1335840174</v>
      </c>
      <c r="Q13" s="39">
        <f t="shared" ref="Q13:S13" si="2">SUM(Q11:Q12)</f>
        <v>2861540.5052954908</v>
      </c>
      <c r="R13" s="39">
        <f t="shared" si="2"/>
        <v>2965363.0874655019</v>
      </c>
      <c r="S13" s="39">
        <f t="shared" si="2"/>
        <v>3072957.2410241393</v>
      </c>
      <c r="T13" s="6"/>
      <c r="U13" s="6"/>
      <c r="V13" s="6"/>
      <c r="W13" s="6"/>
    </row>
    <row r="14" spans="1:23" ht="15.75" thickTop="1" x14ac:dyDescent="0.25">
      <c r="A14" s="97" t="s">
        <v>5</v>
      </c>
      <c r="B14" s="9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B15" s="1" t="s">
        <v>6</v>
      </c>
      <c r="D15" s="7">
        <v>40000</v>
      </c>
      <c r="E15" s="7">
        <f t="shared" ref="E15" si="3">$T$15*E13</f>
        <v>94249.430107526874</v>
      </c>
      <c r="F15" s="7">
        <f t="shared" ref="F15:O15" si="4">$T$15*F13</f>
        <v>97667.415084139779</v>
      </c>
      <c r="G15" s="7">
        <f t="shared" si="4"/>
        <v>168177.22015995256</v>
      </c>
      <c r="H15" s="7">
        <f t="shared" si="4"/>
        <v>174276.01202790628</v>
      </c>
      <c r="I15" s="7">
        <f t="shared" si="4"/>
        <v>217368.45716625999</v>
      </c>
      <c r="J15" s="7">
        <f t="shared" si="4"/>
        <v>225252.75869974311</v>
      </c>
      <c r="K15" s="7">
        <f t="shared" si="4"/>
        <v>318543.19480426388</v>
      </c>
      <c r="L15" s="7">
        <f t="shared" si="4"/>
        <v>330097.58836377197</v>
      </c>
      <c r="M15" s="7">
        <f t="shared" si="4"/>
        <v>342071.60932678595</v>
      </c>
      <c r="N15" s="7">
        <f t="shared" si="4"/>
        <v>354480.51652451564</v>
      </c>
      <c r="O15" s="7">
        <f t="shared" si="4"/>
        <v>367340.12433539575</v>
      </c>
      <c r="P15" s="7">
        <v>40000</v>
      </c>
      <c r="Q15" s="7">
        <f t="shared" ref="Q15:S15" si="5">$T$15*Q13</f>
        <v>394477.59929631802</v>
      </c>
      <c r="R15" s="7">
        <f t="shared" si="5"/>
        <v>408790.05892824673</v>
      </c>
      <c r="S15" s="7">
        <f t="shared" si="5"/>
        <v>423622.44844556646</v>
      </c>
      <c r="T15" s="4">
        <f>D15/(D11+D12)</f>
        <v>0.13785497656465398</v>
      </c>
      <c r="U15" s="1" t="s">
        <v>121</v>
      </c>
      <c r="V15" s="6"/>
      <c r="W15" s="6"/>
    </row>
    <row r="16" spans="1:23" x14ac:dyDescent="0.25">
      <c r="B16" s="1" t="s">
        <v>7</v>
      </c>
      <c r="D16" s="6">
        <v>50000</v>
      </c>
      <c r="E16" s="6">
        <f t="shared" ref="E16" si="6">E13*$T$16</f>
        <v>117811.78763440858</v>
      </c>
      <c r="F16" s="6">
        <f t="shared" ref="F16:O16" si="7">F13*$T$16</f>
        <v>122084.26885517473</v>
      </c>
      <c r="G16" s="6">
        <f t="shared" si="7"/>
        <v>210221.52519994069</v>
      </c>
      <c r="H16" s="6">
        <f t="shared" si="7"/>
        <v>217845.01503488285</v>
      </c>
      <c r="I16" s="6">
        <f t="shared" si="7"/>
        <v>271710.57145782496</v>
      </c>
      <c r="J16" s="6">
        <f t="shared" si="7"/>
        <v>281565.9483746789</v>
      </c>
      <c r="K16" s="6">
        <f t="shared" si="7"/>
        <v>398178.99350532982</v>
      </c>
      <c r="L16" s="6">
        <f t="shared" si="7"/>
        <v>412621.98545471492</v>
      </c>
      <c r="M16" s="6">
        <f t="shared" si="7"/>
        <v>427589.51165848249</v>
      </c>
      <c r="N16" s="6">
        <f t="shared" si="7"/>
        <v>443100.64565564453</v>
      </c>
      <c r="O16" s="6">
        <f t="shared" si="7"/>
        <v>459175.15541924466</v>
      </c>
      <c r="P16" s="6">
        <v>50000</v>
      </c>
      <c r="Q16" s="6">
        <f t="shared" ref="Q16:S16" si="8">Q13*$T$16</f>
        <v>493096.99912039749</v>
      </c>
      <c r="R16" s="6">
        <f t="shared" si="8"/>
        <v>510987.57366030838</v>
      </c>
      <c r="S16" s="6">
        <f t="shared" si="8"/>
        <v>529528.06055695808</v>
      </c>
      <c r="T16" s="4">
        <f>D16/D13</f>
        <v>0.17231872070581747</v>
      </c>
      <c r="U16" s="1" t="s">
        <v>8</v>
      </c>
      <c r="V16" s="6"/>
      <c r="W16" s="6"/>
    </row>
    <row r="17" spans="1:23" x14ac:dyDescent="0.25">
      <c r="B17" s="1" t="s">
        <v>9</v>
      </c>
      <c r="D17" s="6">
        <v>15000</v>
      </c>
      <c r="E17" s="6">
        <v>20000</v>
      </c>
      <c r="F17" s="6">
        <v>20001</v>
      </c>
      <c r="G17" s="6">
        <v>20002</v>
      </c>
      <c r="H17" s="6">
        <v>20003</v>
      </c>
      <c r="I17" s="6">
        <v>20004</v>
      </c>
      <c r="J17" s="6">
        <v>20005</v>
      </c>
      <c r="K17" s="6">
        <v>20006</v>
      </c>
      <c r="L17" s="6">
        <v>20007</v>
      </c>
      <c r="M17" s="6">
        <v>20008</v>
      </c>
      <c r="N17" s="6">
        <v>20009</v>
      </c>
      <c r="O17" s="6">
        <v>20010</v>
      </c>
      <c r="P17" s="6">
        <v>20844.166666666701</v>
      </c>
      <c r="Q17" s="6">
        <v>21037.435897435898</v>
      </c>
      <c r="R17" s="6">
        <v>21230.7051282051</v>
      </c>
      <c r="S17" s="6">
        <v>21423.974358974399</v>
      </c>
      <c r="T17" s="23">
        <v>0.08</v>
      </c>
      <c r="U17" s="1" t="s">
        <v>2</v>
      </c>
      <c r="V17" s="6"/>
      <c r="W17" s="6"/>
    </row>
    <row r="18" spans="1:23" x14ac:dyDescent="0.25">
      <c r="B18" s="1" t="s">
        <v>204</v>
      </c>
      <c r="D18" s="6">
        <f>12000*12</f>
        <v>144000</v>
      </c>
      <c r="E18" s="6">
        <f>D18*(1+$T$18)</f>
        <v>149760</v>
      </c>
      <c r="F18" s="6">
        <f t="shared" ref="F18:O18" si="9">E18*(1+$T$18)</f>
        <v>155750.39999999999</v>
      </c>
      <c r="G18" s="6">
        <f t="shared" si="9"/>
        <v>161980.416</v>
      </c>
      <c r="H18" s="6">
        <f t="shared" si="9"/>
        <v>168459.63264</v>
      </c>
      <c r="I18" s="6">
        <f t="shared" si="9"/>
        <v>175198.0179456</v>
      </c>
      <c r="J18" s="6">
        <f t="shared" si="9"/>
        <v>182205.93866342402</v>
      </c>
      <c r="K18" s="6">
        <f t="shared" si="9"/>
        <v>189494.17620996098</v>
      </c>
      <c r="L18" s="6">
        <f t="shared" si="9"/>
        <v>197073.94325835942</v>
      </c>
      <c r="M18" s="6">
        <f t="shared" si="9"/>
        <v>204956.90098869381</v>
      </c>
      <c r="N18" s="6">
        <f t="shared" si="9"/>
        <v>213155.17702824157</v>
      </c>
      <c r="O18" s="6">
        <f t="shared" si="9"/>
        <v>221681.38410937123</v>
      </c>
      <c r="P18" s="6">
        <f>12000*12</f>
        <v>144000</v>
      </c>
      <c r="Q18" s="6">
        <f>P18*(1+$T$18)</f>
        <v>149760</v>
      </c>
      <c r="R18" s="6">
        <f t="shared" ref="R18" si="10">Q18*(1+$T$18)</f>
        <v>155750.39999999999</v>
      </c>
      <c r="S18" s="6">
        <f t="shared" ref="S18" si="11">R18*(1+$T$18)</f>
        <v>161980.416</v>
      </c>
      <c r="T18" s="23">
        <v>0.04</v>
      </c>
      <c r="U18" s="1" t="s">
        <v>1</v>
      </c>
      <c r="V18" s="6"/>
      <c r="W18" s="6"/>
    </row>
    <row r="19" spans="1:23" x14ac:dyDescent="0.25">
      <c r="B19" s="1" t="s">
        <v>187</v>
      </c>
      <c r="D19" s="6">
        <f>Assumptions!D38*(Assumptions!B13+Assumptions!B14)</f>
        <v>4680</v>
      </c>
      <c r="E19" s="6">
        <f>SUM(Assumptions!$B$13:$B$18)*Assumptions!E38</f>
        <v>15759</v>
      </c>
      <c r="F19" s="6">
        <f>SUM(Assumptions!$B$13:$B$18)*Assumptions!F38</f>
        <v>16231.770000000002</v>
      </c>
      <c r="G19" s="6">
        <f>SUM(Assumptions!$B$13:$B$18)*Assumptions!G38</f>
        <v>16718.723100000003</v>
      </c>
      <c r="H19" s="6">
        <f>SUM(Assumptions!$B$13:$B$18)*Assumptions!H38</f>
        <v>17220.284793000003</v>
      </c>
      <c r="I19" s="6">
        <f>SUM(Assumptions!$B$13:$B$18)*Assumptions!I38</f>
        <v>17736.893336790003</v>
      </c>
      <c r="J19" s="6">
        <f>SUM(Assumptions!$B$13:$B$18)*Assumptions!J38</f>
        <v>18269.000136893705</v>
      </c>
      <c r="K19" s="6">
        <f>SUM(Assumptions!$B$13:$B$18)*Assumptions!K38</f>
        <v>18817.070141000513</v>
      </c>
      <c r="L19" s="6">
        <f>SUM(Assumptions!$B$13:$B$18)*Assumptions!L38</f>
        <v>19381.582245230529</v>
      </c>
      <c r="M19" s="6">
        <f>SUM(Assumptions!$B$13:$B$18)*Assumptions!M38</f>
        <v>19963.029712587446</v>
      </c>
      <c r="N19" s="6">
        <f>SUM(Assumptions!$B$13:$B$18)*Assumptions!N38</f>
        <v>20561.920603965067</v>
      </c>
      <c r="O19" s="6">
        <f>SUM(Assumptions!$B$13:$B$18)*Assumptions!O38</f>
        <v>21178.77822208402</v>
      </c>
      <c r="P19" s="6">
        <f>SUM(Assumptions!$B$13:$B$18)*Assumptions!P38</f>
        <v>21814.141568746541</v>
      </c>
      <c r="Q19" s="6">
        <f>SUM(Assumptions!$B$13:$B$18)*Assumptions!Q38</f>
        <v>22468.565815808939</v>
      </c>
      <c r="R19" s="6">
        <f>SUM(Assumptions!$B$13:$B$18)*Assumptions!R38</f>
        <v>23142.622790283211</v>
      </c>
      <c r="S19" s="6">
        <f>SUM(Assumptions!$B$13:$B$18)*Assumptions!S38</f>
        <v>23836.901473991707</v>
      </c>
      <c r="T19" s="4"/>
      <c r="V19" s="6"/>
      <c r="W19" s="6"/>
    </row>
    <row r="20" spans="1:23" s="93" customFormat="1" x14ac:dyDescent="0.25">
      <c r="B20" s="93" t="s">
        <v>10</v>
      </c>
      <c r="D20" s="6">
        <v>20000</v>
      </c>
      <c r="E20" s="6">
        <f>D20*($T$20+1)+25000</f>
        <v>46200</v>
      </c>
      <c r="F20" s="6">
        <f t="shared" ref="F20:O20" si="12">E20*($T$20+1)+25000</f>
        <v>73972</v>
      </c>
      <c r="G20" s="6">
        <f t="shared" si="12"/>
        <v>103410.32</v>
      </c>
      <c r="H20" s="6">
        <f t="shared" si="12"/>
        <v>134614.93920000002</v>
      </c>
      <c r="I20" s="6">
        <f t="shared" si="12"/>
        <v>167691.83555200003</v>
      </c>
      <c r="J20" s="6">
        <f t="shared" si="12"/>
        <v>202753.34568512003</v>
      </c>
      <c r="K20" s="6">
        <f t="shared" si="12"/>
        <v>239918.54642622726</v>
      </c>
      <c r="L20" s="6">
        <f t="shared" si="12"/>
        <v>279313.6592118009</v>
      </c>
      <c r="M20" s="6">
        <f t="shared" si="12"/>
        <v>321072.47876450897</v>
      </c>
      <c r="N20" s="6">
        <f t="shared" si="12"/>
        <v>365336.82749037951</v>
      </c>
      <c r="O20" s="6">
        <f t="shared" si="12"/>
        <v>412257.0371398023</v>
      </c>
      <c r="P20" s="6">
        <f t="shared" ref="P20" si="13">O20*($T$20+1)+25000</f>
        <v>461992.45936819044</v>
      </c>
      <c r="Q20" s="6">
        <f t="shared" ref="Q20" si="14">P20*($T$20+1)+25000</f>
        <v>514712.00693028187</v>
      </c>
      <c r="R20" s="6">
        <f t="shared" ref="R20" si="15">Q20*($T$20+1)+25000</f>
        <v>570594.72734609887</v>
      </c>
      <c r="S20" s="6">
        <f t="shared" ref="S20" si="16">R20*($T$20+1)+25000</f>
        <v>629830.41098686482</v>
      </c>
      <c r="T20" s="94">
        <v>0.06</v>
      </c>
      <c r="U20" s="93" t="s">
        <v>1</v>
      </c>
      <c r="V20" s="6"/>
      <c r="W20" s="6"/>
    </row>
    <row r="21" spans="1:23" x14ac:dyDescent="0.25">
      <c r="B21" s="1" t="s">
        <v>228</v>
      </c>
      <c r="D21" s="6"/>
      <c r="E21" s="6"/>
      <c r="F21" s="6"/>
      <c r="G21" s="6">
        <f>Assumptions!B15*Assumptions!B33</f>
        <v>208000</v>
      </c>
      <c r="H21" s="6"/>
      <c r="I21" s="6"/>
      <c r="J21" s="6"/>
      <c r="K21" s="6">
        <f>Assumptions!C18*Assumptions!B33</f>
        <v>264000</v>
      </c>
      <c r="L21" s="6"/>
      <c r="M21" s="6"/>
      <c r="N21" s="6">
        <f>Assumptions!C22*Assumptions!B33</f>
        <v>312000</v>
      </c>
      <c r="O21" s="6">
        <f>G21</f>
        <v>208000</v>
      </c>
      <c r="P21" s="6"/>
      <c r="Q21" s="6"/>
      <c r="R21" s="6"/>
      <c r="S21" s="6">
        <f>K21</f>
        <v>264000</v>
      </c>
      <c r="T21" s="4"/>
      <c r="V21" s="6"/>
      <c r="W21" s="6"/>
    </row>
    <row r="22" spans="1:23" ht="15.75" thickBot="1" x14ac:dyDescent="0.3">
      <c r="B22" s="1" t="s">
        <v>11</v>
      </c>
      <c r="D22" s="21">
        <f>SUM(D15:D20)</f>
        <v>273680</v>
      </c>
      <c r="E22" s="21">
        <f t="shared" ref="E22:F22" si="17">SUM(E15:E20)</f>
        <v>443780.21774193546</v>
      </c>
      <c r="F22" s="21">
        <f t="shared" si="17"/>
        <v>485706.85393931449</v>
      </c>
      <c r="G22" s="21">
        <f>SUM(G15:G21)</f>
        <v>888510.20445989328</v>
      </c>
      <c r="H22" s="21">
        <f t="shared" ref="H22:O22" si="18">SUM(H15:H21)</f>
        <v>732418.88369578915</v>
      </c>
      <c r="I22" s="21">
        <f t="shared" si="18"/>
        <v>869709.77545847511</v>
      </c>
      <c r="J22" s="21">
        <f t="shared" si="18"/>
        <v>930051.99155985983</v>
      </c>
      <c r="K22" s="21">
        <f t="shared" si="18"/>
        <v>1448957.9810867824</v>
      </c>
      <c r="L22" s="21">
        <f t="shared" si="18"/>
        <v>1258495.7585338778</v>
      </c>
      <c r="M22" s="21">
        <f t="shared" si="18"/>
        <v>1335661.5304510586</v>
      </c>
      <c r="N22" s="21">
        <f t="shared" si="18"/>
        <v>1728644.0873027465</v>
      </c>
      <c r="O22" s="21">
        <f t="shared" si="18"/>
        <v>1709642.4792258979</v>
      </c>
      <c r="P22" s="21">
        <f>SUM(P15:P20)</f>
        <v>738650.76760360366</v>
      </c>
      <c r="Q22" s="21">
        <f t="shared" ref="Q22:R22" si="19">SUM(Q15:Q20)</f>
        <v>1595552.6070602422</v>
      </c>
      <c r="R22" s="21">
        <f t="shared" si="19"/>
        <v>1690496.0878531425</v>
      </c>
      <c r="S22" s="21">
        <f>SUM(S15:S21)</f>
        <v>2054222.2118223556</v>
      </c>
      <c r="V22" s="6"/>
      <c r="W22" s="6"/>
    </row>
    <row r="23" spans="1:23" ht="15.75" thickTop="1" x14ac:dyDescent="0.25"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V23" s="6"/>
      <c r="W23" s="6"/>
    </row>
    <row r="24" spans="1:23" ht="15.75" thickBot="1" x14ac:dyDescent="0.3">
      <c r="A24" s="97" t="s">
        <v>12</v>
      </c>
      <c r="B24" s="97"/>
      <c r="D24" s="39">
        <f>D13-D22</f>
        <v>16480</v>
      </c>
      <c r="E24" s="39">
        <f t="shared" ref="E24:K24" si="20">E13-E22</f>
        <v>239905.14825806447</v>
      </c>
      <c r="F24" s="39">
        <f t="shared" si="20"/>
        <v>222772.57508103549</v>
      </c>
      <c r="G24" s="39">
        <f t="shared" si="20"/>
        <v>331447.35058040265</v>
      </c>
      <c r="H24" s="39">
        <f t="shared" si="20"/>
        <v>531779.30755464314</v>
      </c>
      <c r="I24" s="39">
        <f t="shared" si="20"/>
        <v>707081.01282557496</v>
      </c>
      <c r="J24" s="39">
        <f t="shared" si="20"/>
        <v>703931.52004807675</v>
      </c>
      <c r="K24" s="39">
        <f t="shared" si="20"/>
        <v>861754.35402334784</v>
      </c>
      <c r="L24" s="39">
        <f>L13-L22</f>
        <v>1136032.147456924</v>
      </c>
      <c r="M24" s="39">
        <f t="shared" ref="M24:O24" si="21">M13-M22</f>
        <v>1145725.9236054469</v>
      </c>
      <c r="N24" s="39">
        <f t="shared" si="21"/>
        <v>842757.57956609013</v>
      </c>
      <c r="O24" s="39">
        <f t="shared" si="21"/>
        <v>955042.78270306275</v>
      </c>
      <c r="P24" s="39">
        <f>P13-P22</f>
        <v>2022706.3659804137</v>
      </c>
      <c r="Q24" s="39">
        <f t="shared" ref="Q24:S24" si="22">Q13-Q22</f>
        <v>1265987.8982352486</v>
      </c>
      <c r="R24" s="39">
        <f t="shared" si="22"/>
        <v>1274866.9996123593</v>
      </c>
      <c r="S24" s="39">
        <f t="shared" si="22"/>
        <v>1018735.0292017837</v>
      </c>
      <c r="V24" s="6"/>
      <c r="W24" s="6"/>
    </row>
    <row r="25" spans="1:23" ht="15.75" thickTop="1" x14ac:dyDescent="0.25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V25" s="6"/>
      <c r="W25" s="6"/>
    </row>
    <row r="26" spans="1:23" x14ac:dyDescent="0.25">
      <c r="A26" s="1" t="s">
        <v>222</v>
      </c>
      <c r="D26" s="6">
        <f>+D49/$T$49</f>
        <v>228333.33333333334</v>
      </c>
      <c r="E26" s="6">
        <f t="shared" ref="E26:O26" si="23">+E49/$T$49</f>
        <v>228333.33333333334</v>
      </c>
      <c r="F26" s="6">
        <f t="shared" si="23"/>
        <v>228333.33333333334</v>
      </c>
      <c r="G26" s="6">
        <f t="shared" si="23"/>
        <v>228333.33333333334</v>
      </c>
      <c r="H26" s="6">
        <f t="shared" si="23"/>
        <v>228333.33333333334</v>
      </c>
      <c r="I26" s="6">
        <f t="shared" si="23"/>
        <v>228333.33333333334</v>
      </c>
      <c r="J26" s="6">
        <f t="shared" si="23"/>
        <v>228333.33333333334</v>
      </c>
      <c r="K26" s="6">
        <f t="shared" si="23"/>
        <v>228333.33333333334</v>
      </c>
      <c r="L26" s="6">
        <f t="shared" si="23"/>
        <v>228333.33333333334</v>
      </c>
      <c r="M26" s="6">
        <f t="shared" si="23"/>
        <v>228333.33333333334</v>
      </c>
      <c r="N26" s="6">
        <f t="shared" si="23"/>
        <v>228333.33333333334</v>
      </c>
      <c r="O26" s="6">
        <f t="shared" si="23"/>
        <v>228333.33333333334</v>
      </c>
      <c r="P26" s="6">
        <f>+P49/$T$49</f>
        <v>228333.33333333334</v>
      </c>
      <c r="Q26" s="6">
        <f t="shared" ref="Q26:S26" si="24">+Q49/$T$49</f>
        <v>228333.33333333334</v>
      </c>
      <c r="R26" s="6">
        <f t="shared" si="24"/>
        <v>228333.33333333334</v>
      </c>
      <c r="S26" s="6">
        <f t="shared" si="24"/>
        <v>228333.33333333334</v>
      </c>
      <c r="V26" s="6"/>
      <c r="W26" s="6"/>
    </row>
    <row r="27" spans="1:23" x14ac:dyDescent="0.25">
      <c r="A27" s="1" t="s">
        <v>209</v>
      </c>
      <c r="D27" s="6"/>
      <c r="E27" s="6"/>
      <c r="F27" s="6">
        <f>F50/$T$49</f>
        <v>120000</v>
      </c>
      <c r="G27" s="6">
        <f t="shared" ref="G27:O27" si="25">G50/$T$49</f>
        <v>120000</v>
      </c>
      <c r="H27" s="6">
        <f t="shared" si="25"/>
        <v>120000</v>
      </c>
      <c r="I27" s="6">
        <f t="shared" si="25"/>
        <v>120000</v>
      </c>
      <c r="J27" s="6">
        <f t="shared" si="25"/>
        <v>120000</v>
      </c>
      <c r="K27" s="6">
        <f t="shared" si="25"/>
        <v>120000</v>
      </c>
      <c r="L27" s="6">
        <f t="shared" si="25"/>
        <v>120000</v>
      </c>
      <c r="M27" s="6">
        <f t="shared" si="25"/>
        <v>120000</v>
      </c>
      <c r="N27" s="6">
        <f t="shared" si="25"/>
        <v>120000</v>
      </c>
      <c r="O27" s="6">
        <f t="shared" si="25"/>
        <v>120000</v>
      </c>
      <c r="P27" s="6">
        <f t="shared" ref="P27:S27" si="26">P50/$T$49</f>
        <v>120000</v>
      </c>
      <c r="Q27" s="6">
        <f t="shared" si="26"/>
        <v>120000</v>
      </c>
      <c r="R27" s="6">
        <f t="shared" si="26"/>
        <v>120000</v>
      </c>
      <c r="S27" s="6">
        <f t="shared" si="26"/>
        <v>120000</v>
      </c>
      <c r="V27" s="6"/>
      <c r="W27" s="6"/>
    </row>
    <row r="28" spans="1:23" x14ac:dyDescent="0.25">
      <c r="A28" s="1" t="s">
        <v>213</v>
      </c>
      <c r="D28" s="6"/>
      <c r="E28" s="6"/>
      <c r="F28" s="6"/>
      <c r="G28" s="6"/>
      <c r="H28" s="6">
        <f>H51/$T$49</f>
        <v>216666.66666666666</v>
      </c>
      <c r="I28" s="6">
        <f t="shared" ref="I28:O28" si="27">I51/$T$49</f>
        <v>216666.66666666666</v>
      </c>
      <c r="J28" s="6">
        <f t="shared" si="27"/>
        <v>216666.66666666666</v>
      </c>
      <c r="K28" s="6">
        <f t="shared" si="27"/>
        <v>216666.66666666666</v>
      </c>
      <c r="L28" s="6">
        <f t="shared" si="27"/>
        <v>216666.66666666666</v>
      </c>
      <c r="M28" s="6">
        <f t="shared" si="27"/>
        <v>216666.66666666666</v>
      </c>
      <c r="N28" s="6">
        <f t="shared" si="27"/>
        <v>216666.66666666666</v>
      </c>
      <c r="O28" s="6">
        <f t="shared" si="27"/>
        <v>216666.66666666666</v>
      </c>
      <c r="P28" s="6">
        <f t="shared" ref="P28:S28" si="28">P51/$T$49</f>
        <v>216666.66666666666</v>
      </c>
      <c r="Q28" s="6">
        <f t="shared" si="28"/>
        <v>216666.66666666666</v>
      </c>
      <c r="R28" s="6">
        <f t="shared" si="28"/>
        <v>216666.66666666666</v>
      </c>
      <c r="S28" s="6">
        <f t="shared" si="28"/>
        <v>216666.66666666666</v>
      </c>
      <c r="V28" s="6"/>
      <c r="W28" s="6"/>
    </row>
    <row r="29" spans="1:23" x14ac:dyDescent="0.25">
      <c r="A29" s="1" t="s">
        <v>223</v>
      </c>
      <c r="D29" s="6"/>
      <c r="E29" s="6"/>
      <c r="F29" s="6"/>
      <c r="G29" s="6"/>
      <c r="H29" s="6"/>
      <c r="I29" s="6"/>
      <c r="J29" s="6">
        <f>J52/$T$49</f>
        <v>160000</v>
      </c>
      <c r="K29" s="6">
        <f t="shared" ref="K29:O29" si="29">K52/$T$49</f>
        <v>160000</v>
      </c>
      <c r="L29" s="6">
        <f t="shared" si="29"/>
        <v>160000</v>
      </c>
      <c r="M29" s="6">
        <f t="shared" si="29"/>
        <v>160000</v>
      </c>
      <c r="N29" s="6">
        <f t="shared" si="29"/>
        <v>160000</v>
      </c>
      <c r="O29" s="6">
        <f t="shared" si="29"/>
        <v>160000</v>
      </c>
      <c r="P29" s="6">
        <f t="shared" ref="P29:S29" si="30">P52/$T$49</f>
        <v>160000</v>
      </c>
      <c r="Q29" s="6">
        <f t="shared" si="30"/>
        <v>160000</v>
      </c>
      <c r="R29" s="6">
        <f t="shared" si="30"/>
        <v>160000</v>
      </c>
      <c r="S29" s="6">
        <f t="shared" si="30"/>
        <v>160000</v>
      </c>
      <c r="V29" s="6"/>
      <c r="W29" s="6"/>
    </row>
    <row r="30" spans="1:23" x14ac:dyDescent="0.25">
      <c r="A30" s="1" t="s">
        <v>224</v>
      </c>
      <c r="D30" s="6">
        <f>'Mortgage 1-2'!D14</f>
        <v>170481.05521586628</v>
      </c>
      <c r="E30" s="6">
        <f>'Mortgage 1-2'!D28</f>
        <v>167093.22798646576</v>
      </c>
      <c r="F30" s="6">
        <f>'Mortgage 1-2'!D42</f>
        <v>163587.00436143696</v>
      </c>
      <c r="G30" s="6">
        <f>'Mortgage 1-2'!D56</f>
        <v>159958.24667213589</v>
      </c>
      <c r="H30" s="6">
        <f>'Mortgage 1-2'!D70</f>
        <v>156202.67264837323</v>
      </c>
      <c r="I30" s="6">
        <f>'Mortgage 1-2'!D84</f>
        <v>152315.85036493841</v>
      </c>
      <c r="J30" s="6">
        <f>'Mortgage 1-2'!D98</f>
        <v>148293.19301151729</v>
      </c>
      <c r="K30" s="6">
        <f>'Mortgage 1-2'!D112</f>
        <v>144129.95347983178</v>
      </c>
      <c r="L30" s="6">
        <f>'Mortgage 1-2'!D126</f>
        <v>140185.9600153919</v>
      </c>
      <c r="M30" s="6">
        <f>'Mortgage 1-2'!D140</f>
        <v>136115.80127438638</v>
      </c>
      <c r="N30" s="6">
        <f>'Mortgage 1-2'!D154</f>
        <v>131915.4413279643</v>
      </c>
      <c r="O30" s="6">
        <f>'Mortgage 1-2'!D168</f>
        <v>127580.71514105689</v>
      </c>
      <c r="P30" s="6">
        <f>'Mortgage 1-2'!D182</f>
        <v>123107.32444237007</v>
      </c>
      <c r="Q30" s="6">
        <f>'Mortgage 1-2'!D196</f>
        <v>118490.83346226175</v>
      </c>
      <c r="R30" s="6">
        <f>'Mortgage 1-2'!D210</f>
        <v>113726.66453427654</v>
      </c>
      <c r="S30" s="6">
        <f>'Mortgage 1-2'!D224</f>
        <v>108810.0935559776</v>
      </c>
      <c r="U30" s="1" t="s">
        <v>2</v>
      </c>
      <c r="V30" s="6"/>
      <c r="W30" s="6"/>
    </row>
    <row r="31" spans="1:23" x14ac:dyDescent="0.25">
      <c r="A31" s="1" t="s">
        <v>210</v>
      </c>
      <c r="D31" s="6"/>
      <c r="E31" s="6"/>
      <c r="F31" s="6">
        <f>'Mortage 3'!D14</f>
        <v>122746.35975542373</v>
      </c>
      <c r="G31" s="6">
        <f>'Mortage 3'!D28</f>
        <v>120307.12415025537</v>
      </c>
      <c r="H31" s="6">
        <f>'Mortage 3'!D42</f>
        <v>117782.64314023455</v>
      </c>
      <c r="I31" s="6">
        <f>'Mortage 3'!D56</f>
        <v>115169.9376039378</v>
      </c>
      <c r="J31" s="6">
        <f>'Mortage 3'!D70</f>
        <v>112465.92430682869</v>
      </c>
      <c r="K31" s="6">
        <f>'Mortage 3'!D84</f>
        <v>109667.41226275556</v>
      </c>
      <c r="L31" s="6">
        <f>'Mortage 3'!D98</f>
        <v>106771.0989682924</v>
      </c>
      <c r="M31" s="6">
        <f>'Mortage 3'!D112</f>
        <v>103773.56650547877</v>
      </c>
      <c r="N31" s="6">
        <f>'Mortage 3'!D126</f>
        <v>100671.27750836017</v>
      </c>
      <c r="O31" s="6">
        <f>'Mortage 3'!D140</f>
        <v>97460.57098856839</v>
      </c>
      <c r="P31" s="6">
        <f>'Mortage 3'!D154</f>
        <v>94137.658015016219</v>
      </c>
      <c r="Q31" s="6">
        <f>'Mortage 3'!D168</f>
        <v>90698.617242607899</v>
      </c>
      <c r="R31" s="6">
        <f>'Mortage 3'!D182</f>
        <v>87139.390284688532</v>
      </c>
      <c r="S31" s="6">
        <f>'Mortage 3'!D196</f>
        <v>83455.776923772035</v>
      </c>
      <c r="V31" s="6"/>
      <c r="W31" s="6"/>
    </row>
    <row r="32" spans="1:23" x14ac:dyDescent="0.25">
      <c r="A32" s="1" t="s">
        <v>214</v>
      </c>
      <c r="D32" s="6"/>
      <c r="E32" s="6"/>
      <c r="F32" s="6"/>
      <c r="G32" s="6"/>
      <c r="H32" s="6">
        <f>'Mortage 4'!D14</f>
        <v>221625.37178062621</v>
      </c>
      <c r="I32" s="6">
        <f>'Mortage 4'!D28</f>
        <v>217221.19638240561</v>
      </c>
      <c r="J32" s="6">
        <f>'Mortage 4'!D42</f>
        <v>212663.10566986806</v>
      </c>
      <c r="K32" s="6">
        <f>'Mortage 4'!D56</f>
        <v>207945.72067377676</v>
      </c>
      <c r="L32" s="6">
        <f>'Mortage 4'!D70</f>
        <v>203063.47444288532</v>
      </c>
      <c r="M32" s="6">
        <f>'Mortage 4'!D84</f>
        <v>198010.60547441995</v>
      </c>
      <c r="N32" s="6">
        <f>'Mortage 4'!D98</f>
        <v>192781.15091497256</v>
      </c>
      <c r="O32" s="6">
        <f>'Mortage 4'!D112</f>
        <v>187368.9395237813</v>
      </c>
      <c r="P32" s="6">
        <f>'Mortage 4'!D126</f>
        <v>181767.58439009491</v>
      </c>
      <c r="Q32" s="6">
        <f>'Mortage 4'!D140</f>
        <v>175970.47539602645</v>
      </c>
      <c r="R32" s="6">
        <f>'Mortage 4'!D154</f>
        <v>169970.77141600172</v>
      </c>
      <c r="S32" s="6">
        <f>'Mortage 4'!D168</f>
        <v>163761.3922435978</v>
      </c>
      <c r="V32" s="6"/>
      <c r="W32" s="6"/>
    </row>
    <row r="33" spans="1:23" x14ac:dyDescent="0.25">
      <c r="A33" s="1" t="s">
        <v>225</v>
      </c>
      <c r="D33" s="6"/>
      <c r="E33" s="6"/>
      <c r="F33" s="6"/>
      <c r="G33" s="6"/>
      <c r="H33" s="6"/>
      <c r="I33" s="6"/>
      <c r="J33" s="6">
        <f>'Mortage 5'!D14</f>
        <v>163661.81300723163</v>
      </c>
      <c r="K33" s="6">
        <f>'Mortage 5'!D28</f>
        <v>160409.49886700723</v>
      </c>
      <c r="L33" s="6">
        <f>'Mortage 5'!D42</f>
        <v>157043.52418697957</v>
      </c>
      <c r="M33" s="6">
        <f>'Mortage 5'!D56</f>
        <v>153559.9168052506</v>
      </c>
      <c r="N33" s="6">
        <f>'Mortage 5'!D70</f>
        <v>149954.56574243843</v>
      </c>
      <c r="O33" s="6">
        <f>'Mortage 5'!D84</f>
        <v>146223.21635034092</v>
      </c>
      <c r="P33" s="6">
        <f>'Mortage 5'!D98</f>
        <v>142361.46529105675</v>
      </c>
      <c r="Q33" s="6">
        <f>'Mortage 5'!D112</f>
        <v>138364.7553406386</v>
      </c>
      <c r="R33" s="6">
        <f>'Mortage 5'!D126</f>
        <v>134228.37001114714</v>
      </c>
      <c r="S33" s="6">
        <f>'Mortage 5'!D140</f>
        <v>129947.42798475806</v>
      </c>
      <c r="V33" s="6"/>
      <c r="W33" s="6"/>
    </row>
    <row r="34" spans="1:23" x14ac:dyDescent="0.25">
      <c r="A34" s="1" t="s">
        <v>91</v>
      </c>
      <c r="D34" s="20">
        <f t="shared" ref="D34:K34" si="31">+D65*$T$34</f>
        <v>1219.293062290727</v>
      </c>
      <c r="E34" s="20">
        <f t="shared" si="31"/>
        <v>6457.8773654644529</v>
      </c>
      <c r="F34" s="20">
        <f t="shared" si="31"/>
        <v>7770.4565229313621</v>
      </c>
      <c r="G34" s="20">
        <f t="shared" si="31"/>
        <v>3153.8967490393356</v>
      </c>
      <c r="H34" s="20">
        <f t="shared" si="31"/>
        <v>0</v>
      </c>
      <c r="I34" s="20">
        <f t="shared" si="31"/>
        <v>0</v>
      </c>
      <c r="J34" s="20">
        <f t="shared" si="31"/>
        <v>0</v>
      </c>
      <c r="K34" s="20">
        <f t="shared" si="31"/>
        <v>0</v>
      </c>
      <c r="L34" s="20">
        <f t="shared" ref="L34:S34" si="32">+L65*$T$34</f>
        <v>0</v>
      </c>
      <c r="M34" s="20">
        <f t="shared" si="32"/>
        <v>0</v>
      </c>
      <c r="N34" s="20">
        <f t="shared" si="32"/>
        <v>0</v>
      </c>
      <c r="O34" s="20">
        <f t="shared" si="32"/>
        <v>0</v>
      </c>
      <c r="P34" s="20">
        <f t="shared" si="32"/>
        <v>0</v>
      </c>
      <c r="Q34" s="20">
        <f t="shared" si="32"/>
        <v>0</v>
      </c>
      <c r="R34" s="20">
        <f t="shared" si="32"/>
        <v>0</v>
      </c>
      <c r="S34" s="20">
        <f t="shared" si="32"/>
        <v>0</v>
      </c>
      <c r="T34" s="4">
        <f>Assumptions!B46</f>
        <v>7.4999999999999997E-2</v>
      </c>
      <c r="U34" s="1" t="s">
        <v>14</v>
      </c>
      <c r="V34" s="6"/>
      <c r="W34" s="6"/>
    </row>
    <row r="35" spans="1:23" ht="15.75" thickBot="1" x14ac:dyDescent="0.3">
      <c r="B35" s="1" t="s">
        <v>109</v>
      </c>
      <c r="D35" s="21">
        <f>SUM(D26:D34)</f>
        <v>400033.68161149032</v>
      </c>
      <c r="E35" s="21">
        <f t="shared" ref="E35:G35" si="33">SUM(E26:E34)</f>
        <v>401884.43868526357</v>
      </c>
      <c r="F35" s="21">
        <f t="shared" si="33"/>
        <v>642437.15397312539</v>
      </c>
      <c r="G35" s="21">
        <f t="shared" si="33"/>
        <v>631752.60090476391</v>
      </c>
      <c r="H35" s="21">
        <f>SUM(H26:H34)</f>
        <v>1060610.6875692341</v>
      </c>
      <c r="I35" s="21">
        <f t="shared" ref="I35:K35" si="34">SUM(I26:I34)</f>
        <v>1049706.9843512818</v>
      </c>
      <c r="J35" s="21">
        <f t="shared" si="34"/>
        <v>1362084.0359954454</v>
      </c>
      <c r="K35" s="21">
        <f t="shared" si="34"/>
        <v>1347152.5852833714</v>
      </c>
      <c r="L35" s="21">
        <f>SUM(L26:L34)</f>
        <v>1332064.0576135491</v>
      </c>
      <c r="M35" s="21">
        <f t="shared" ref="M35:O35" si="35">SUM(M26:M34)</f>
        <v>1316459.8900595356</v>
      </c>
      <c r="N35" s="21">
        <f t="shared" si="35"/>
        <v>1300322.4354937356</v>
      </c>
      <c r="O35" s="21">
        <f t="shared" si="35"/>
        <v>1283633.4420037477</v>
      </c>
      <c r="P35" s="21">
        <f>SUM(P26:P34)</f>
        <v>1266374.0321385381</v>
      </c>
      <c r="Q35" s="21">
        <f t="shared" ref="Q35:S35" si="36">SUM(Q26:Q34)</f>
        <v>1248524.6814415345</v>
      </c>
      <c r="R35" s="21">
        <f t="shared" si="36"/>
        <v>1230065.1962461141</v>
      </c>
      <c r="S35" s="21">
        <f t="shared" si="36"/>
        <v>1210974.6907081055</v>
      </c>
      <c r="V35" s="6"/>
      <c r="W35" s="6"/>
    </row>
    <row r="36" spans="1:23" ht="15.75" thickTop="1" x14ac:dyDescent="0.25"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V36" s="6"/>
      <c r="W36" s="6"/>
    </row>
    <row r="37" spans="1:23" x14ac:dyDescent="0.25">
      <c r="A37" s="1" t="s">
        <v>15</v>
      </c>
      <c r="D37" s="6">
        <f>D24-D35</f>
        <v>-383553.68161149032</v>
      </c>
      <c r="E37" s="6">
        <f>+E24-E35</f>
        <v>-161979.2904271991</v>
      </c>
      <c r="F37" s="6">
        <f>+F24-F26-F30-F34</f>
        <v>-176918.21913666619</v>
      </c>
      <c r="G37" s="6">
        <f>+G24-G26-G30-G34</f>
        <v>-59998.126174105921</v>
      </c>
      <c r="H37" s="6">
        <f>H24-H35</f>
        <v>-528831.38001459092</v>
      </c>
      <c r="I37" s="6">
        <f>+I24-I35</f>
        <v>-342625.97152570682</v>
      </c>
      <c r="J37" s="6">
        <f>+J24-J26-J30-J34</f>
        <v>327304.99370322609</v>
      </c>
      <c r="K37" s="6">
        <f>+K24-K26-K30-K34</f>
        <v>489291.06721018266</v>
      </c>
      <c r="L37" s="6">
        <f>L24-L35</f>
        <v>-196031.91015662509</v>
      </c>
      <c r="M37" s="6">
        <f>+M24-M35</f>
        <v>-170733.96645408869</v>
      </c>
      <c r="N37" s="6">
        <f>+N24-N26-N30-N34</f>
        <v>482508.80490479246</v>
      </c>
      <c r="O37" s="6">
        <f>+O24-O26-O30-O34</f>
        <v>599128.73422867246</v>
      </c>
      <c r="P37" s="6">
        <f>P24-P35</f>
        <v>756332.33384187566</v>
      </c>
      <c r="Q37" s="6">
        <f>+Q24-Q35</f>
        <v>17463.216793714091</v>
      </c>
      <c r="R37" s="6">
        <f>+R24-R26-R30-R34</f>
        <v>932807.00174474937</v>
      </c>
      <c r="S37" s="6">
        <f>+S24-S26-S30-S34</f>
        <v>681591.60231247277</v>
      </c>
      <c r="V37" s="6"/>
      <c r="W37" s="6"/>
    </row>
    <row r="38" spans="1:23" x14ac:dyDescent="0.25">
      <c r="A38" s="1" t="s">
        <v>16</v>
      </c>
      <c r="D38" s="6">
        <f t="shared" ref="D38:K38" si="37">IF(D37&lt;0,0,D37*$T$38)</f>
        <v>0</v>
      </c>
      <c r="E38" s="6">
        <f t="shared" si="37"/>
        <v>0</v>
      </c>
      <c r="F38" s="6">
        <f t="shared" si="37"/>
        <v>0</v>
      </c>
      <c r="G38" s="6">
        <f t="shared" si="37"/>
        <v>0</v>
      </c>
      <c r="H38" s="6">
        <f t="shared" si="37"/>
        <v>0</v>
      </c>
      <c r="I38" s="6">
        <f t="shared" si="37"/>
        <v>0</v>
      </c>
      <c r="J38" s="6">
        <f t="shared" si="37"/>
        <v>114556.74779612913</v>
      </c>
      <c r="K38" s="6">
        <f t="shared" si="37"/>
        <v>171251.87352356393</v>
      </c>
      <c r="L38" s="6">
        <f t="shared" ref="L38:S38" si="38">IF(L37&lt;0,0,L37*$T$38)</f>
        <v>0</v>
      </c>
      <c r="M38" s="6">
        <f t="shared" si="38"/>
        <v>0</v>
      </c>
      <c r="N38" s="6">
        <f t="shared" si="38"/>
        <v>168878.08171667735</v>
      </c>
      <c r="O38" s="6">
        <f t="shared" si="38"/>
        <v>209695.05698003536</v>
      </c>
      <c r="P38" s="6">
        <f t="shared" si="38"/>
        <v>264716.31684465648</v>
      </c>
      <c r="Q38" s="6">
        <f t="shared" si="38"/>
        <v>6112.1258777999319</v>
      </c>
      <c r="R38" s="6">
        <f t="shared" si="38"/>
        <v>326482.45061066229</v>
      </c>
      <c r="S38" s="6">
        <f t="shared" si="38"/>
        <v>238557.06080936544</v>
      </c>
      <c r="T38" s="4">
        <f>Assumptions!B47</f>
        <v>0.35</v>
      </c>
      <c r="U38" s="1" t="s">
        <v>17</v>
      </c>
      <c r="V38" s="6"/>
      <c r="W38" s="6"/>
    </row>
    <row r="39" spans="1:23" x14ac:dyDescent="0.25">
      <c r="A39" s="3" t="s">
        <v>18</v>
      </c>
      <c r="D39" s="7">
        <f t="shared" ref="D39:K39" si="39">D37-D38</f>
        <v>-383553.68161149032</v>
      </c>
      <c r="E39" s="7">
        <f t="shared" si="39"/>
        <v>-161979.2904271991</v>
      </c>
      <c r="F39" s="7">
        <f t="shared" si="39"/>
        <v>-176918.21913666619</v>
      </c>
      <c r="G39" s="7">
        <f t="shared" si="39"/>
        <v>-59998.126174105921</v>
      </c>
      <c r="H39" s="7">
        <f t="shared" si="39"/>
        <v>-528831.38001459092</v>
      </c>
      <c r="I39" s="7">
        <f t="shared" si="39"/>
        <v>-342625.97152570682</v>
      </c>
      <c r="J39" s="7">
        <f t="shared" si="39"/>
        <v>212748.24590709695</v>
      </c>
      <c r="K39" s="7">
        <f t="shared" si="39"/>
        <v>318039.1936866187</v>
      </c>
      <c r="L39" s="7">
        <f t="shared" ref="L39:S39" si="40">L37-L38</f>
        <v>-196031.91015662509</v>
      </c>
      <c r="M39" s="7">
        <f t="shared" si="40"/>
        <v>-170733.96645408869</v>
      </c>
      <c r="N39" s="7">
        <f t="shared" si="40"/>
        <v>313630.72318811511</v>
      </c>
      <c r="O39" s="7">
        <f t="shared" si="40"/>
        <v>389433.67724863708</v>
      </c>
      <c r="P39" s="7">
        <f t="shared" si="40"/>
        <v>491616.01699721918</v>
      </c>
      <c r="Q39" s="7">
        <f t="shared" si="40"/>
        <v>11351.090915914159</v>
      </c>
      <c r="R39" s="7">
        <f t="shared" si="40"/>
        <v>606324.55113408715</v>
      </c>
      <c r="S39" s="7">
        <f t="shared" si="40"/>
        <v>443034.54150310729</v>
      </c>
      <c r="T39" s="1" t="s">
        <v>111</v>
      </c>
      <c r="V39" s="6"/>
      <c r="W39" s="6"/>
    </row>
    <row r="40" spans="1:23" x14ac:dyDescent="0.25">
      <c r="A40" s="3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V40" s="6"/>
      <c r="W40" s="6"/>
    </row>
    <row r="42" spans="1:23" x14ac:dyDescent="0.25">
      <c r="A42" s="3" t="s">
        <v>19</v>
      </c>
    </row>
    <row r="43" spans="1:23" x14ac:dyDescent="0.25">
      <c r="A43" s="3" t="s">
        <v>20</v>
      </c>
    </row>
    <row r="44" spans="1:23" x14ac:dyDescent="0.25">
      <c r="A44" s="22" t="s">
        <v>82</v>
      </c>
      <c r="B44" s="22"/>
      <c r="D44" s="7">
        <v>0</v>
      </c>
      <c r="E44" s="37">
        <v>0</v>
      </c>
      <c r="F44" s="6">
        <v>0</v>
      </c>
      <c r="G44" s="6">
        <v>0</v>
      </c>
      <c r="H44" s="6">
        <v>449436</v>
      </c>
      <c r="I44" s="37">
        <v>311001</v>
      </c>
      <c r="J44" s="6">
        <v>917701</v>
      </c>
      <c r="K44" s="6">
        <v>1503402</v>
      </c>
      <c r="L44" s="6">
        <v>1030495</v>
      </c>
      <c r="M44" s="37">
        <v>1095767</v>
      </c>
      <c r="N44" s="6">
        <v>1795878</v>
      </c>
      <c r="O44" s="6">
        <v>2424592</v>
      </c>
      <c r="P44" s="7">
        <v>3537420</v>
      </c>
      <c r="Q44" s="37">
        <v>3450418</v>
      </c>
      <c r="R44" s="6">
        <v>4515976</v>
      </c>
      <c r="S44" s="6">
        <v>4987695</v>
      </c>
      <c r="V44" s="6"/>
      <c r="W44" s="6"/>
    </row>
    <row r="45" spans="1:23" x14ac:dyDescent="0.25">
      <c r="A45" s="22" t="s">
        <v>81</v>
      </c>
      <c r="B45" s="22"/>
      <c r="D45" s="6">
        <f t="shared" ref="D45:S45" si="41">$T$45</f>
        <v>75000</v>
      </c>
      <c r="E45" s="6">
        <f t="shared" si="41"/>
        <v>75000</v>
      </c>
      <c r="F45" s="6">
        <f t="shared" si="41"/>
        <v>75000</v>
      </c>
      <c r="G45" s="6">
        <f t="shared" si="41"/>
        <v>75000</v>
      </c>
      <c r="H45" s="6">
        <f t="shared" si="41"/>
        <v>75000</v>
      </c>
      <c r="I45" s="6">
        <f t="shared" si="41"/>
        <v>75000</v>
      </c>
      <c r="J45" s="6">
        <f t="shared" si="41"/>
        <v>75000</v>
      </c>
      <c r="K45" s="6">
        <f t="shared" si="41"/>
        <v>75000</v>
      </c>
      <c r="L45" s="6">
        <f t="shared" si="41"/>
        <v>75000</v>
      </c>
      <c r="M45" s="6">
        <f t="shared" si="41"/>
        <v>75000</v>
      </c>
      <c r="N45" s="6">
        <f t="shared" si="41"/>
        <v>75000</v>
      </c>
      <c r="O45" s="6">
        <f t="shared" si="41"/>
        <v>75000</v>
      </c>
      <c r="P45" s="6">
        <f t="shared" si="41"/>
        <v>75000</v>
      </c>
      <c r="Q45" s="6">
        <f t="shared" si="41"/>
        <v>75000</v>
      </c>
      <c r="R45" s="6">
        <f t="shared" si="41"/>
        <v>75000</v>
      </c>
      <c r="S45" s="6">
        <f t="shared" si="41"/>
        <v>75000</v>
      </c>
      <c r="T45" s="7">
        <v>75000</v>
      </c>
      <c r="U45" s="1" t="s">
        <v>89</v>
      </c>
      <c r="V45" s="6"/>
      <c r="W45" s="6"/>
    </row>
    <row r="46" spans="1:23" x14ac:dyDescent="0.25">
      <c r="A46" s="22" t="s">
        <v>21</v>
      </c>
      <c r="B46" s="22"/>
      <c r="D46" s="8">
        <f>(D13/360)*Assumptions!D36</f>
        <v>24180</v>
      </c>
      <c r="E46" s="8">
        <f>(E13/360)*Assumptions!E36</f>
        <v>56973.780499999993</v>
      </c>
      <c r="F46" s="8">
        <f>(F13/360)*Assumptions!F36</f>
        <v>59039.952418362496</v>
      </c>
      <c r="G46" s="8">
        <f>(G13/360)*Assumptions!G36</f>
        <v>101663.12958669133</v>
      </c>
      <c r="H46" s="8">
        <f>(H13/360)*Assumptions!H36</f>
        <v>105349.84927086935</v>
      </c>
      <c r="I46" s="8">
        <f>(I13/360)*Assumptions!I36</f>
        <v>131399.23235700416</v>
      </c>
      <c r="J46" s="8">
        <f>(J13/360)*Assumptions!J36</f>
        <v>136165.29263399472</v>
      </c>
      <c r="K46" s="8">
        <f>(K13/360)*Assumptions!K36</f>
        <v>192559.36125917753</v>
      </c>
      <c r="L46" s="8">
        <f>(L13/360)*Assumptions!L36</f>
        <v>199543.99216590013</v>
      </c>
      <c r="M46" s="8">
        <f>(M13/360)*Assumptions!M36</f>
        <v>206782.28783804213</v>
      </c>
      <c r="N46" s="8">
        <f>(N13/360)*Assumptions!N36</f>
        <v>214283.47223906973</v>
      </c>
      <c r="O46" s="8">
        <f>(O13/360)*Assumptions!O36</f>
        <v>222057.10516074672</v>
      </c>
      <c r="P46" s="8">
        <f>(P13/360)*Assumptions!P36</f>
        <v>230113.09446533478</v>
      </c>
      <c r="Q46" s="8">
        <f>(Q13/360)*Assumptions!Q36</f>
        <v>238461.70877462422</v>
      </c>
      <c r="R46" s="8">
        <f>(R13/360)*Assumptions!R36</f>
        <v>247113.59062212516</v>
      </c>
      <c r="S46" s="8">
        <f>(S13/360)*Assumptions!S36</f>
        <v>256079.77008534496</v>
      </c>
    </row>
    <row r="47" spans="1:23" x14ac:dyDescent="0.25">
      <c r="A47" s="22"/>
      <c r="B47" s="22" t="s">
        <v>110</v>
      </c>
      <c r="D47" s="7">
        <f t="shared" ref="D47:K47" si="42">SUM(D44:D46)</f>
        <v>99180</v>
      </c>
      <c r="E47" s="7">
        <f t="shared" si="42"/>
        <v>131973.78049999999</v>
      </c>
      <c r="F47" s="7">
        <f t="shared" si="42"/>
        <v>134039.95241836249</v>
      </c>
      <c r="G47" s="7">
        <f t="shared" si="42"/>
        <v>176663.12958669133</v>
      </c>
      <c r="H47" s="7">
        <f t="shared" si="42"/>
        <v>629785.8492708694</v>
      </c>
      <c r="I47" s="7">
        <f t="shared" si="42"/>
        <v>517400.23235700419</v>
      </c>
      <c r="J47" s="7">
        <f t="shared" si="42"/>
        <v>1128866.2926339947</v>
      </c>
      <c r="K47" s="7">
        <f t="shared" si="42"/>
        <v>1770961.3612591776</v>
      </c>
      <c r="L47" s="7">
        <f t="shared" ref="L47:S47" si="43">SUM(L44:L46)</f>
        <v>1305038.9921659001</v>
      </c>
      <c r="M47" s="7">
        <f t="shared" si="43"/>
        <v>1377549.2878380422</v>
      </c>
      <c r="N47" s="7">
        <f t="shared" si="43"/>
        <v>2085161.4722390696</v>
      </c>
      <c r="O47" s="7">
        <f t="shared" si="43"/>
        <v>2721649.1051607467</v>
      </c>
      <c r="P47" s="7">
        <f t="shared" si="43"/>
        <v>3842533.0944653349</v>
      </c>
      <c r="Q47" s="7">
        <f t="shared" si="43"/>
        <v>3763879.7087746244</v>
      </c>
      <c r="R47" s="7">
        <f t="shared" si="43"/>
        <v>4838089.5906221252</v>
      </c>
      <c r="S47" s="7">
        <f t="shared" si="43"/>
        <v>5318774.770085345</v>
      </c>
    </row>
    <row r="48" spans="1:23" x14ac:dyDescent="0.25">
      <c r="A48" s="22"/>
      <c r="B48" s="2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23" x14ac:dyDescent="0.25">
      <c r="A49" s="22" t="s">
        <v>218</v>
      </c>
      <c r="B49" s="22"/>
      <c r="D49" s="6">
        <v>6850000</v>
      </c>
      <c r="E49" s="6">
        <v>6850000</v>
      </c>
      <c r="F49" s="6">
        <f>E49</f>
        <v>6850000</v>
      </c>
      <c r="G49" s="6">
        <f t="shared" ref="G49:K49" si="44">F49</f>
        <v>6850000</v>
      </c>
      <c r="H49" s="6">
        <f t="shared" si="44"/>
        <v>6850000</v>
      </c>
      <c r="I49" s="6">
        <f t="shared" si="44"/>
        <v>6850000</v>
      </c>
      <c r="J49" s="6">
        <f t="shared" si="44"/>
        <v>6850000</v>
      </c>
      <c r="K49" s="6">
        <f t="shared" si="44"/>
        <v>6850000</v>
      </c>
      <c r="L49" s="6">
        <v>6850000</v>
      </c>
      <c r="M49" s="6">
        <v>6850000</v>
      </c>
      <c r="N49" s="6">
        <f>M49</f>
        <v>6850000</v>
      </c>
      <c r="O49" s="6">
        <f t="shared" ref="O49" si="45">N49</f>
        <v>6850000</v>
      </c>
      <c r="P49" s="6">
        <v>6850000</v>
      </c>
      <c r="Q49" s="6">
        <v>6850000</v>
      </c>
      <c r="R49" s="6">
        <f>Q49</f>
        <v>6850000</v>
      </c>
      <c r="S49" s="6">
        <f t="shared" ref="S49" si="46">R49</f>
        <v>6850000</v>
      </c>
      <c r="T49" s="1">
        <v>30</v>
      </c>
      <c r="U49" s="1" t="s">
        <v>83</v>
      </c>
      <c r="V49" s="6"/>
      <c r="W49" s="6"/>
    </row>
    <row r="50" spans="1:23" x14ac:dyDescent="0.25">
      <c r="A50" s="22" t="s">
        <v>207</v>
      </c>
      <c r="B50" s="22"/>
      <c r="D50" s="6"/>
      <c r="E50" s="6"/>
      <c r="F50" s="6">
        <v>3600000</v>
      </c>
      <c r="G50" s="6">
        <v>3600000</v>
      </c>
      <c r="H50" s="6">
        <v>3600000</v>
      </c>
      <c r="I50" s="6">
        <v>3600000</v>
      </c>
      <c r="J50" s="6">
        <v>3600000</v>
      </c>
      <c r="K50" s="6">
        <v>3600000</v>
      </c>
      <c r="L50" s="6">
        <v>3600000</v>
      </c>
      <c r="M50" s="6">
        <v>3600000</v>
      </c>
      <c r="N50" s="6">
        <v>3600000</v>
      </c>
      <c r="O50" s="6">
        <v>3600000</v>
      </c>
      <c r="P50" s="6">
        <v>3600000</v>
      </c>
      <c r="Q50" s="6">
        <v>3600000</v>
      </c>
      <c r="R50" s="6">
        <v>3600000</v>
      </c>
      <c r="S50" s="6">
        <v>3600000</v>
      </c>
      <c r="V50" s="6"/>
      <c r="W50" s="6"/>
    </row>
    <row r="51" spans="1:23" x14ac:dyDescent="0.25">
      <c r="A51" s="22" t="s">
        <v>211</v>
      </c>
      <c r="B51" s="22"/>
      <c r="D51" s="6"/>
      <c r="E51" s="6"/>
      <c r="F51" s="6"/>
      <c r="G51" s="6"/>
      <c r="H51" s="6">
        <v>6500000</v>
      </c>
      <c r="I51" s="6">
        <v>6500000</v>
      </c>
      <c r="J51" s="6">
        <v>6500000</v>
      </c>
      <c r="K51" s="6">
        <v>6500000</v>
      </c>
      <c r="L51" s="6">
        <v>6500000</v>
      </c>
      <c r="M51" s="6">
        <v>6500000</v>
      </c>
      <c r="N51" s="6">
        <v>6500000</v>
      </c>
      <c r="O51" s="6">
        <v>6500000</v>
      </c>
      <c r="P51" s="6">
        <v>6500000</v>
      </c>
      <c r="Q51" s="6">
        <v>6500000</v>
      </c>
      <c r="R51" s="6">
        <v>6500000</v>
      </c>
      <c r="S51" s="6">
        <v>6500000</v>
      </c>
      <c r="V51" s="6"/>
      <c r="W51" s="6"/>
    </row>
    <row r="52" spans="1:23" x14ac:dyDescent="0.25">
      <c r="A52" s="22" t="s">
        <v>219</v>
      </c>
      <c r="B52" s="22"/>
      <c r="D52" s="6"/>
      <c r="E52" s="6"/>
      <c r="F52" s="6"/>
      <c r="G52" s="6"/>
      <c r="H52" s="6"/>
      <c r="I52" s="6"/>
      <c r="J52" s="6">
        <v>4800000</v>
      </c>
      <c r="K52" s="6">
        <v>4800000</v>
      </c>
      <c r="L52" s="6">
        <v>4800000</v>
      </c>
      <c r="M52" s="6">
        <v>4800000</v>
      </c>
      <c r="N52" s="6">
        <v>4800000</v>
      </c>
      <c r="O52" s="6">
        <v>4800000</v>
      </c>
      <c r="P52" s="6">
        <v>4800000</v>
      </c>
      <c r="Q52" s="6">
        <v>4800000</v>
      </c>
      <c r="R52" s="6">
        <v>4800000</v>
      </c>
      <c r="S52" s="6">
        <v>4800000</v>
      </c>
      <c r="V52" s="6"/>
      <c r="W52" s="6"/>
    </row>
    <row r="53" spans="1:23" x14ac:dyDescent="0.25">
      <c r="A53" s="22" t="s">
        <v>220</v>
      </c>
      <c r="B53" s="22"/>
      <c r="D53" s="6">
        <f>C53+D26</f>
        <v>228333.33333333334</v>
      </c>
      <c r="E53" s="6">
        <f t="shared" ref="E53:S53" si="47">D53+E26</f>
        <v>456666.66666666669</v>
      </c>
      <c r="F53" s="6">
        <f t="shared" si="47"/>
        <v>685000</v>
      </c>
      <c r="G53" s="6">
        <f t="shared" si="47"/>
        <v>913333.33333333337</v>
      </c>
      <c r="H53" s="6">
        <f t="shared" si="47"/>
        <v>1141666.6666666667</v>
      </c>
      <c r="I53" s="6">
        <f t="shared" si="47"/>
        <v>1370000</v>
      </c>
      <c r="J53" s="6">
        <f t="shared" si="47"/>
        <v>1598333.3333333333</v>
      </c>
      <c r="K53" s="6">
        <f t="shared" si="47"/>
        <v>1826666.6666666665</v>
      </c>
      <c r="L53" s="6">
        <f t="shared" si="47"/>
        <v>2054999.9999999998</v>
      </c>
      <c r="M53" s="6">
        <f t="shared" si="47"/>
        <v>2283333.333333333</v>
      </c>
      <c r="N53" s="6">
        <f t="shared" si="47"/>
        <v>2511666.6666666665</v>
      </c>
      <c r="O53" s="6">
        <f t="shared" si="47"/>
        <v>2740000</v>
      </c>
      <c r="P53" s="6">
        <f t="shared" si="47"/>
        <v>2968333.3333333335</v>
      </c>
      <c r="Q53" s="6">
        <f t="shared" si="47"/>
        <v>3196666.666666667</v>
      </c>
      <c r="R53" s="6">
        <f t="shared" si="47"/>
        <v>3425000.0000000005</v>
      </c>
      <c r="S53" s="6">
        <f t="shared" si="47"/>
        <v>3653333.333333334</v>
      </c>
      <c r="V53" s="6"/>
      <c r="W53" s="6"/>
    </row>
    <row r="54" spans="1:23" x14ac:dyDescent="0.25">
      <c r="A54" s="22" t="s">
        <v>208</v>
      </c>
      <c r="B54" s="22"/>
      <c r="D54" s="6"/>
      <c r="E54" s="6"/>
      <c r="F54" s="6">
        <f>F27+E54</f>
        <v>120000</v>
      </c>
      <c r="G54" s="6">
        <f t="shared" ref="G54:O54" si="48">G27+F54</f>
        <v>240000</v>
      </c>
      <c r="H54" s="6">
        <f t="shared" si="48"/>
        <v>360000</v>
      </c>
      <c r="I54" s="6">
        <f t="shared" si="48"/>
        <v>480000</v>
      </c>
      <c r="J54" s="6">
        <f t="shared" si="48"/>
        <v>600000</v>
      </c>
      <c r="K54" s="6">
        <f t="shared" si="48"/>
        <v>720000</v>
      </c>
      <c r="L54" s="6">
        <f t="shared" si="48"/>
        <v>840000</v>
      </c>
      <c r="M54" s="6">
        <f t="shared" si="48"/>
        <v>960000</v>
      </c>
      <c r="N54" s="6">
        <f t="shared" si="48"/>
        <v>1080000</v>
      </c>
      <c r="O54" s="6">
        <f t="shared" si="48"/>
        <v>1200000</v>
      </c>
      <c r="P54" s="6">
        <f t="shared" ref="P54:P56" si="49">P27+O54</f>
        <v>1320000</v>
      </c>
      <c r="Q54" s="6">
        <f t="shared" ref="Q54:Q56" si="50">Q27+P54</f>
        <v>1440000</v>
      </c>
      <c r="R54" s="6">
        <f t="shared" ref="R54:R56" si="51">R27+Q54</f>
        <v>1560000</v>
      </c>
      <c r="S54" s="6">
        <f t="shared" ref="S54:S56" si="52">S27+R54</f>
        <v>1680000</v>
      </c>
      <c r="V54" s="6"/>
      <c r="W54" s="6"/>
    </row>
    <row r="55" spans="1:23" x14ac:dyDescent="0.25">
      <c r="A55" s="22" t="s">
        <v>212</v>
      </c>
      <c r="B55" s="22"/>
      <c r="D55" s="6"/>
      <c r="E55" s="6"/>
      <c r="F55" s="6"/>
      <c r="G55" s="6"/>
      <c r="H55" s="6">
        <f>H28+G55</f>
        <v>216666.66666666666</v>
      </c>
      <c r="I55" s="6">
        <f t="shared" ref="I55:O55" si="53">I28+H55</f>
        <v>433333.33333333331</v>
      </c>
      <c r="J55" s="6">
        <f t="shared" si="53"/>
        <v>650000</v>
      </c>
      <c r="K55" s="6">
        <f t="shared" si="53"/>
        <v>866666.66666666663</v>
      </c>
      <c r="L55" s="6">
        <f t="shared" si="53"/>
        <v>1083333.3333333333</v>
      </c>
      <c r="M55" s="6">
        <f t="shared" si="53"/>
        <v>1300000</v>
      </c>
      <c r="N55" s="6">
        <f t="shared" si="53"/>
        <v>1516666.6666666667</v>
      </c>
      <c r="O55" s="6">
        <f t="shared" si="53"/>
        <v>1733333.3333333335</v>
      </c>
      <c r="P55" s="6">
        <f t="shared" si="49"/>
        <v>1950000.0000000002</v>
      </c>
      <c r="Q55" s="6">
        <f t="shared" si="50"/>
        <v>2166666.666666667</v>
      </c>
      <c r="R55" s="6">
        <f t="shared" si="51"/>
        <v>2383333.3333333335</v>
      </c>
      <c r="S55" s="6">
        <f t="shared" si="52"/>
        <v>2600000</v>
      </c>
      <c r="V55" s="6"/>
      <c r="W55" s="6"/>
    </row>
    <row r="56" spans="1:23" x14ac:dyDescent="0.25">
      <c r="A56" s="22" t="s">
        <v>221</v>
      </c>
      <c r="B56" s="22"/>
      <c r="D56" s="6"/>
      <c r="E56" s="6"/>
      <c r="F56" s="6"/>
      <c r="G56" s="6"/>
      <c r="H56" s="6"/>
      <c r="I56" s="6"/>
      <c r="J56" s="6">
        <f>J29+I56</f>
        <v>160000</v>
      </c>
      <c r="K56" s="6">
        <f t="shared" ref="K56:O56" si="54">K29+J56</f>
        <v>320000</v>
      </c>
      <c r="L56" s="6">
        <f t="shared" si="54"/>
        <v>480000</v>
      </c>
      <c r="M56" s="6">
        <f t="shared" si="54"/>
        <v>640000</v>
      </c>
      <c r="N56" s="6">
        <f t="shared" si="54"/>
        <v>800000</v>
      </c>
      <c r="O56" s="6">
        <f t="shared" si="54"/>
        <v>960000</v>
      </c>
      <c r="P56" s="6">
        <f t="shared" si="49"/>
        <v>1120000</v>
      </c>
      <c r="Q56" s="6">
        <f t="shared" si="50"/>
        <v>1280000</v>
      </c>
      <c r="R56" s="6">
        <f t="shared" si="51"/>
        <v>1440000</v>
      </c>
      <c r="S56" s="6">
        <f t="shared" si="52"/>
        <v>1600000</v>
      </c>
      <c r="V56" s="6"/>
      <c r="W56" s="6"/>
    </row>
    <row r="58" spans="1:23" x14ac:dyDescent="0.25">
      <c r="A58" s="3" t="s">
        <v>22</v>
      </c>
      <c r="D58" s="7">
        <f>SUM(D47:D52)-SUM(D53:D56)</f>
        <v>6720846.666666667</v>
      </c>
      <c r="E58" s="7">
        <f t="shared" ref="E58:O58" si="55">SUM(E47:E52)-SUM(E53:E56)</f>
        <v>6525307.1138333334</v>
      </c>
      <c r="F58" s="7">
        <f t="shared" si="55"/>
        <v>9779039.9524183627</v>
      </c>
      <c r="G58" s="7">
        <f t="shared" si="55"/>
        <v>9473329.7962533571</v>
      </c>
      <c r="H58" s="7">
        <f t="shared" si="55"/>
        <v>15861452.515937535</v>
      </c>
      <c r="I58" s="7">
        <f t="shared" si="55"/>
        <v>15184066.899023669</v>
      </c>
      <c r="J58" s="7">
        <f t="shared" si="55"/>
        <v>19870532.959300663</v>
      </c>
      <c r="K58" s="7">
        <f t="shared" si="55"/>
        <v>19787628.027925845</v>
      </c>
      <c r="L58" s="7">
        <f t="shared" si="55"/>
        <v>18596705.658832569</v>
      </c>
      <c r="M58" s="7">
        <f t="shared" si="55"/>
        <v>17944215.95450471</v>
      </c>
      <c r="N58" s="7">
        <f t="shared" si="55"/>
        <v>17926828.138905738</v>
      </c>
      <c r="O58" s="7">
        <f t="shared" si="55"/>
        <v>17838315.771827415</v>
      </c>
      <c r="P58" s="7">
        <f>SUM(P47:P52)-SUM(P53:P56)</f>
        <v>18234199.761132002</v>
      </c>
      <c r="Q58" s="7">
        <f t="shared" ref="Q58:S58" si="56">SUM(Q47:Q52)-SUM(Q53:Q56)</f>
        <v>17430546.37544129</v>
      </c>
      <c r="R58" s="7">
        <f t="shared" si="56"/>
        <v>17779756.257288791</v>
      </c>
      <c r="S58" s="7">
        <f t="shared" si="56"/>
        <v>17535441.436752014</v>
      </c>
      <c r="T58" s="8"/>
    </row>
    <row r="60" spans="1:23" x14ac:dyDescent="0.25">
      <c r="A60" s="3" t="s">
        <v>23</v>
      </c>
    </row>
    <row r="61" spans="1:23" x14ac:dyDescent="0.25">
      <c r="A61" s="22" t="s">
        <v>111</v>
      </c>
      <c r="B61" s="22" t="s">
        <v>16</v>
      </c>
      <c r="D61" s="6">
        <f>D38</f>
        <v>0</v>
      </c>
      <c r="E61" s="6">
        <f t="shared" ref="E61:K61" si="57">E38</f>
        <v>0</v>
      </c>
      <c r="F61" s="6">
        <f t="shared" si="57"/>
        <v>0</v>
      </c>
      <c r="G61" s="6">
        <f t="shared" si="57"/>
        <v>0</v>
      </c>
      <c r="H61" s="6">
        <f t="shared" si="57"/>
        <v>0</v>
      </c>
      <c r="I61" s="6">
        <f t="shared" si="57"/>
        <v>0</v>
      </c>
      <c r="J61" s="6">
        <f t="shared" si="57"/>
        <v>114556.74779612913</v>
      </c>
      <c r="K61" s="6">
        <f t="shared" si="57"/>
        <v>171251.87352356393</v>
      </c>
      <c r="L61" s="6">
        <f>L38</f>
        <v>0</v>
      </c>
      <c r="M61" s="6">
        <f t="shared" ref="M61:O61" si="58">M38</f>
        <v>0</v>
      </c>
      <c r="N61" s="6">
        <f t="shared" si="58"/>
        <v>168878.08171667735</v>
      </c>
      <c r="O61" s="6">
        <f t="shared" si="58"/>
        <v>209695.05698003536</v>
      </c>
      <c r="P61" s="6">
        <f>P38</f>
        <v>264716.31684465648</v>
      </c>
      <c r="Q61" s="6">
        <f t="shared" ref="Q61:S61" si="59">Q38</f>
        <v>6112.1258777999319</v>
      </c>
      <c r="R61" s="6">
        <f t="shared" si="59"/>
        <v>326482.45061066229</v>
      </c>
      <c r="S61" s="6">
        <f t="shared" si="59"/>
        <v>238557.06080936544</v>
      </c>
      <c r="V61" s="6"/>
      <c r="W61" s="6"/>
    </row>
    <row r="62" spans="1:23" x14ac:dyDescent="0.25">
      <c r="A62" s="22"/>
      <c r="B62" s="22" t="s">
        <v>206</v>
      </c>
      <c r="D62" s="6">
        <f>-((D20+D18+D17)/360)*Assumptions!D37</f>
        <v>-14916.666666666666</v>
      </c>
      <c r="E62" s="6">
        <f>-((E20+E18+E17)/360)*Assumptions!E37</f>
        <v>-17996.666666666668</v>
      </c>
      <c r="F62" s="6">
        <f>-((F20+F18+F17)/360)*Assumptions!F37</f>
        <v>-31215.425000000003</v>
      </c>
      <c r="G62" s="6">
        <f>-((G20+G18+G17)/360)*Assumptions!G37</f>
        <v>-35674.092000000004</v>
      </c>
      <c r="H62" s="6">
        <f>-((H20+H18+H17)/360)*Assumptions!H37</f>
        <v>-47115.47922666667</v>
      </c>
      <c r="I62" s="6">
        <f>-((I20+I18+I17)/360)*Assumptions!I37</f>
        <v>-58970.251193360011</v>
      </c>
      <c r="J62" s="6">
        <f>-((J20+J18+J17)/360)*Assumptions!J37</f>
        <v>-72556.10094578081</v>
      </c>
      <c r="K62" s="6">
        <f>-((K20+K18+K17)/360)*Assumptions!K37</f>
        <v>-88011.166516253536</v>
      </c>
      <c r="L62" s="6">
        <f>-((L20+L18+L17)/360)*Assumptions!L37</f>
        <v>-105483.85302490907</v>
      </c>
      <c r="M62" s="6">
        <f>-((M20+M18+M17)/360)*Assumptions!M37</f>
        <v>-125133.5661934423</v>
      </c>
      <c r="N62" s="6">
        <f>-((N20+N18+N17)/360)*Assumptions!N37</f>
        <v>-147131.49694416102</v>
      </c>
      <c r="O62" s="6">
        <f>-((O20+O18+O17)/360)*Assumptions!O37</f>
        <v>-171661.46057790806</v>
      </c>
      <c r="P62" s="6">
        <f>-((P20+P18+P17)/360)*Assumptions!P37</f>
        <v>-174991.89143473096</v>
      </c>
      <c r="Q62" s="6">
        <f>-((Q20+Q18+Q17)/360)*Assumptions!Q37</f>
        <v>-202796.54350319982</v>
      </c>
      <c r="R62" s="6">
        <f>-((R20+R18+R17)/360)*Assumptions!R37</f>
        <v>-233617.44764822</v>
      </c>
      <c r="S62" s="6">
        <f>-((S20+S18+S17)/360)*Assumptions!S37</f>
        <v>-267689.78877633868</v>
      </c>
      <c r="V62" s="6"/>
      <c r="W62" s="6"/>
    </row>
    <row r="63" spans="1:23" x14ac:dyDescent="0.25">
      <c r="A63" s="22"/>
      <c r="B63" s="22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V63" s="6"/>
      <c r="W63" s="6"/>
    </row>
    <row r="64" spans="1:23" x14ac:dyDescent="0.25">
      <c r="A64" s="22" t="s">
        <v>24</v>
      </c>
      <c r="B64" s="22"/>
      <c r="D64" s="6">
        <f>'Mortgage 1-2'!F13</f>
        <v>4903059.7741142809</v>
      </c>
      <c r="E64" s="6">
        <f>'Mortgage 1-2'!F27</f>
        <v>4802731.7209991636</v>
      </c>
      <c r="F64" s="6">
        <f>'Mortgage 1-2'!F41+'Mortage 3'!F13</f>
        <v>8229100.4816212989</v>
      </c>
      <c r="G64" s="6">
        <f>'Mortgage 1-2'!F55+'Mortage 3'!F27</f>
        <v>8049401.2489489643</v>
      </c>
      <c r="H64" s="6">
        <f>'Mortgage 1-2'!F69+'Mortage 3'!F41+'Mortage 4'!F13</f>
        <v>14237399.667591415</v>
      </c>
      <c r="I64" s="6">
        <f>'Mortgage 1-2'!F83+'Mortage 3'!F55+'Mortage 4'!F27</f>
        <v>13914494.383015914</v>
      </c>
      <c r="J64" s="6">
        <f>'Mortgage 1-2'!F97+'Mortage 3'!F69+'Mortage 4'!F41+'Mortage 5'!F13</f>
        <v>18287241.720227055</v>
      </c>
      <c r="K64" s="6">
        <f>'Mortgage 1-2'!F111+'Mortage 3'!F83+'Mortage 4'!F55+'Mortage 5'!F27</f>
        <v>17845057.606726125</v>
      </c>
      <c r="L64" s="6">
        <f>'Mortgage 1-2'!F125+'Mortage 3'!F97+'Mortage 4'!F69+'Mortage 5'!F41</f>
        <v>17398221.77272914</v>
      </c>
      <c r="M64" s="6">
        <f>'Mortgage 1-2'!F139+'Mortage 3'!F111+'Mortage 4'!F83+'Mortage 5'!F55</f>
        <v>16936115.636504095</v>
      </c>
      <c r="N64" s="6">
        <f>'Mortgage 1-2'!F153+'Mortage 3'!F125+'Mortage 4'!F97+'Mortage 5'!F69</f>
        <v>16458216.591130722</v>
      </c>
      <c r="O64" s="6">
        <f>'Mortgage 1-2'!F167+'Mortage 3'!F139+'Mortage 4'!F111+'Mortage 5'!F83</f>
        <v>15963984.119424168</v>
      </c>
      <c r="P64" s="6">
        <f>'Mortgage 1-2'!F181+'Mortage 3'!F153+'Mortage 4'!F125+'Mortage 5'!F97</f>
        <v>15452859.179325387</v>
      </c>
      <c r="Q64" s="6">
        <f>'Mortgage 1-2'!F195+'Mortage 3'!F167+'Mortage 4'!F139+'Mortage 5'!F111</f>
        <v>14924263.56817428</v>
      </c>
      <c r="R64" s="6">
        <f>'Mortgage 1-2'!F209+'Mortage 3'!F181+'Mortage 4'!F153+'Mortage 5'!F125</f>
        <v>14377599.265139073</v>
      </c>
      <c r="S64" s="6">
        <f>'Mortgage 1-2'!F223+'Mortage 3'!F195+'Mortage 4'!F167+'Mortage 5'!F139</f>
        <v>13812247.751050588</v>
      </c>
      <c r="U64" s="1" t="s">
        <v>2</v>
      </c>
      <c r="V64" s="6"/>
      <c r="W64" s="6"/>
    </row>
    <row r="65" spans="1:23" x14ac:dyDescent="0.25">
      <c r="A65" s="22" t="s">
        <v>90</v>
      </c>
      <c r="B65" s="22"/>
      <c r="D65" s="6">
        <v>16257.240830543027</v>
      </c>
      <c r="E65" s="6">
        <v>86105.03153952604</v>
      </c>
      <c r="F65" s="6">
        <v>103606.08697241817</v>
      </c>
      <c r="G65" s="6">
        <v>42051.956653857807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V65" s="6"/>
      <c r="W65" s="6"/>
    </row>
    <row r="66" spans="1:23" x14ac:dyDescent="0.25">
      <c r="A66" s="22"/>
      <c r="B66" s="22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V66" s="6"/>
      <c r="W66" s="6"/>
    </row>
    <row r="67" spans="1:23" x14ac:dyDescent="0.25">
      <c r="A67" s="22" t="s">
        <v>25</v>
      </c>
      <c r="B67" s="22"/>
      <c r="D67" s="6">
        <v>2200000</v>
      </c>
      <c r="E67" s="6">
        <f>D67</f>
        <v>2200000</v>
      </c>
      <c r="F67" s="6">
        <f t="shared" ref="F67:K67" si="60">E67</f>
        <v>2200000</v>
      </c>
      <c r="G67" s="6">
        <f t="shared" si="60"/>
        <v>2200000</v>
      </c>
      <c r="H67" s="6">
        <f t="shared" si="60"/>
        <v>2200000</v>
      </c>
      <c r="I67" s="6">
        <f t="shared" si="60"/>
        <v>2200000</v>
      </c>
      <c r="J67" s="6">
        <f t="shared" si="60"/>
        <v>2200000</v>
      </c>
      <c r="K67" s="6">
        <f t="shared" si="60"/>
        <v>2200000</v>
      </c>
      <c r="L67" s="6">
        <v>1500000</v>
      </c>
      <c r="M67" s="6">
        <f>L67</f>
        <v>1500000</v>
      </c>
      <c r="N67" s="6">
        <f t="shared" ref="N67" si="61">M67</f>
        <v>1500000</v>
      </c>
      <c r="O67" s="6">
        <f t="shared" ref="O67" si="62">N67</f>
        <v>1500000</v>
      </c>
      <c r="P67" s="6">
        <v>2200000</v>
      </c>
      <c r="Q67" s="6">
        <f>P67</f>
        <v>2200000</v>
      </c>
      <c r="R67" s="6">
        <f t="shared" ref="R67" si="63">Q67</f>
        <v>2200000</v>
      </c>
      <c r="S67" s="6">
        <f t="shared" ref="S67" si="64">R67</f>
        <v>2200000</v>
      </c>
      <c r="V67" s="6"/>
      <c r="W67" s="6"/>
    </row>
    <row r="68" spans="1:23" x14ac:dyDescent="0.25">
      <c r="A68" s="22" t="s">
        <v>26</v>
      </c>
      <c r="B68" s="22"/>
      <c r="D68" s="6">
        <f>D39</f>
        <v>-383553.68161149032</v>
      </c>
      <c r="E68" s="6">
        <f>+E39+D68</f>
        <v>-545532.97203868942</v>
      </c>
      <c r="F68" s="6">
        <f>+F39+E68</f>
        <v>-722451.19117535558</v>
      </c>
      <c r="G68" s="6">
        <f>+G39+F68</f>
        <v>-782449.31734946149</v>
      </c>
      <c r="H68" s="6">
        <f>H39</f>
        <v>-528831.38001459092</v>
      </c>
      <c r="I68" s="6">
        <f>+I39+H68</f>
        <v>-871457.35154029774</v>
      </c>
      <c r="J68" s="6">
        <f>+J39+I68</f>
        <v>-658709.10563320084</v>
      </c>
      <c r="K68" s="6">
        <f>+K39+J68</f>
        <v>-340669.91194658214</v>
      </c>
      <c r="L68" s="6">
        <f>L39</f>
        <v>-196031.91015662509</v>
      </c>
      <c r="M68" s="6">
        <f>+M39+L68</f>
        <v>-366765.87661071378</v>
      </c>
      <c r="N68" s="6">
        <f>+N39+M68</f>
        <v>-53135.153422598669</v>
      </c>
      <c r="O68" s="6">
        <f>+O39+N68</f>
        <v>336298.52382603841</v>
      </c>
      <c r="P68" s="6">
        <f>P39</f>
        <v>491616.01699721918</v>
      </c>
      <c r="Q68" s="6">
        <f>+Q39+P68</f>
        <v>502967.10791313334</v>
      </c>
      <c r="R68" s="6">
        <f>+R39+Q68</f>
        <v>1109291.6590472204</v>
      </c>
      <c r="S68" s="6">
        <f>+S39+R68</f>
        <v>1552326.2005503275</v>
      </c>
      <c r="V68" s="6"/>
      <c r="W68" s="6"/>
    </row>
    <row r="69" spans="1:23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V69" s="6"/>
      <c r="W69" s="6"/>
    </row>
    <row r="70" spans="1:23" x14ac:dyDescent="0.25">
      <c r="A70" s="3" t="s">
        <v>27</v>
      </c>
      <c r="D70" s="6">
        <f>SUM(D61:D68)</f>
        <v>6720846.666666667</v>
      </c>
      <c r="E70" s="6">
        <f t="shared" ref="E70:K70" si="65">SUM(E61:E68)</f>
        <v>6525307.1138333334</v>
      </c>
      <c r="F70" s="6">
        <f t="shared" si="65"/>
        <v>9779039.9524183609</v>
      </c>
      <c r="G70" s="6">
        <f>SUM(G61:G68)</f>
        <v>9473329.7962533589</v>
      </c>
      <c r="H70" s="6">
        <f t="shared" si="65"/>
        <v>15861452.808350157</v>
      </c>
      <c r="I70" s="6">
        <f t="shared" si="65"/>
        <v>15184066.780282257</v>
      </c>
      <c r="J70" s="6">
        <f t="shared" si="65"/>
        <v>19870533.261444204</v>
      </c>
      <c r="K70" s="6">
        <f t="shared" si="65"/>
        <v>19787628.401786853</v>
      </c>
      <c r="L70" s="6">
        <f>SUM(L61:L68)</f>
        <v>18596706.009547606</v>
      </c>
      <c r="M70" s="6">
        <f t="shared" ref="M70:N70" si="66">SUM(M61:M68)</f>
        <v>17944216.193699937</v>
      </c>
      <c r="N70" s="6">
        <f t="shared" si="66"/>
        <v>17926828.022480641</v>
      </c>
      <c r="O70" s="6">
        <f>SUM(O61:O68)</f>
        <v>17838316.239652332</v>
      </c>
      <c r="P70" s="6">
        <f>SUM(P61:P68)</f>
        <v>18234199.621732533</v>
      </c>
      <c r="Q70" s="6">
        <f t="shared" ref="Q70:R70" si="67">SUM(Q61:Q68)</f>
        <v>17430546.258462016</v>
      </c>
      <c r="R70" s="6">
        <f t="shared" si="67"/>
        <v>17779755.927148737</v>
      </c>
      <c r="S70" s="6">
        <f>SUM(S61:S68)</f>
        <v>17535441.223633941</v>
      </c>
      <c r="V70" s="6"/>
      <c r="W70" s="6"/>
    </row>
    <row r="72" spans="1:23" x14ac:dyDescent="0.25">
      <c r="A72" s="1" t="s">
        <v>84</v>
      </c>
      <c r="D72" s="8">
        <f>+D58-D70</f>
        <v>0</v>
      </c>
      <c r="E72" s="8">
        <f t="shared" ref="E72:K72" si="68">+E58-E70</f>
        <v>0</v>
      </c>
      <c r="F72" s="8">
        <f t="shared" si="68"/>
        <v>0</v>
      </c>
      <c r="G72" s="8">
        <f t="shared" si="68"/>
        <v>0</v>
      </c>
      <c r="H72" s="8">
        <f>+H58-H70</f>
        <v>-0.29241262190043926</v>
      </c>
      <c r="I72" s="8">
        <f t="shared" si="68"/>
        <v>0.11874141171574593</v>
      </c>
      <c r="J72" s="8">
        <f t="shared" si="68"/>
        <v>-0.30214354023337364</v>
      </c>
      <c r="K72" s="8">
        <f t="shared" si="68"/>
        <v>-0.37386100739240646</v>
      </c>
      <c r="L72" s="8">
        <f>+L58-L70</f>
        <v>-0.3507150374352932</v>
      </c>
      <c r="M72" s="8">
        <f t="shared" ref="M72:O72" si="69">+M58-M70</f>
        <v>-0.23919522762298584</v>
      </c>
      <c r="N72" s="8">
        <f t="shared" si="69"/>
        <v>0.11642509698867798</v>
      </c>
      <c r="O72" s="8">
        <f t="shared" si="69"/>
        <v>-0.46782491728663445</v>
      </c>
      <c r="P72" s="8">
        <f>+P58-P70</f>
        <v>0.13939946889877319</v>
      </c>
      <c r="Q72" s="8">
        <f t="shared" ref="Q72:S72" si="70">+Q58-Q70</f>
        <v>0.11697927489876747</v>
      </c>
      <c r="R72" s="8">
        <f t="shared" si="70"/>
        <v>0.33014005422592163</v>
      </c>
      <c r="S72" s="8">
        <f t="shared" si="70"/>
        <v>0.21311807259917259</v>
      </c>
    </row>
    <row r="73" spans="1:23" ht="15.75" thickBot="1" x14ac:dyDescent="0.3"/>
    <row r="74" spans="1:23" ht="15.75" thickBot="1" x14ac:dyDescent="0.3">
      <c r="A74" s="98" t="s">
        <v>123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100"/>
    </row>
    <row r="75" spans="1:23" x14ac:dyDescent="0.25">
      <c r="D75" s="1">
        <v>2012</v>
      </c>
      <c r="E75" s="1">
        <v>2013</v>
      </c>
      <c r="F75" s="1">
        <v>2014</v>
      </c>
      <c r="G75" s="1">
        <v>2015</v>
      </c>
      <c r="H75" s="1">
        <v>2016</v>
      </c>
      <c r="I75" s="1">
        <v>2017</v>
      </c>
      <c r="J75" s="1">
        <v>2018</v>
      </c>
      <c r="K75" s="1">
        <v>2019</v>
      </c>
      <c r="L75" s="1">
        <v>2020</v>
      </c>
      <c r="M75" s="1">
        <v>2021</v>
      </c>
      <c r="N75" s="1">
        <v>2022</v>
      </c>
      <c r="O75" s="1">
        <v>2023</v>
      </c>
      <c r="P75" s="1">
        <v>2024</v>
      </c>
      <c r="Q75" s="1">
        <v>2025</v>
      </c>
      <c r="R75" s="1">
        <v>2026</v>
      </c>
      <c r="S75" s="1">
        <v>2027</v>
      </c>
    </row>
    <row r="76" spans="1:23" x14ac:dyDescent="0.25">
      <c r="B76" s="1" t="s">
        <v>130</v>
      </c>
      <c r="D76" s="37">
        <f>D13/Assumptions!$B$15</f>
        <v>11160</v>
      </c>
      <c r="E76" s="37">
        <f>E13/Assumptions!$B$19</f>
        <v>11587.887559322033</v>
      </c>
      <c r="F76" s="37">
        <f>F13/Assumptions!$B$19</f>
        <v>12008.125915599152</v>
      </c>
      <c r="G76" s="37">
        <f>G13/Assumptions!$B$23</f>
        <v>12448.54648000302</v>
      </c>
      <c r="H76" s="37">
        <f>H13/Assumptions!$B$23</f>
        <v>12899.981543371758</v>
      </c>
      <c r="I76" s="37">
        <f>I13/Assumptions!$B$27</f>
        <v>10043.253428560829</v>
      </c>
      <c r="J76" s="37">
        <f>J13/Assumptions!$B$27</f>
        <v>10407.538290496412</v>
      </c>
      <c r="K76" s="37">
        <f>K13/Assumptions!$B$31</f>
        <v>11553.561675550651</v>
      </c>
      <c r="L76" s="37">
        <f>L13/Assumptions!$B$31</f>
        <v>11972.639529954009</v>
      </c>
      <c r="M76" s="37">
        <f>M13/Assumptions!$B$31</f>
        <v>12406.937270282528</v>
      </c>
      <c r="N76" s="37">
        <f>N13/Assumptions!$B$31</f>
        <v>12857.008334344184</v>
      </c>
      <c r="O76" s="37">
        <f>O13/Assumptions!$B$31</f>
        <v>13323.426309644803</v>
      </c>
      <c r="P76" s="37">
        <f>P13/Assumptions!$B$31</f>
        <v>13806.785667920087</v>
      </c>
      <c r="Q76" s="37">
        <f>Q13/Assumptions!$B$31</f>
        <v>14307.702526477455</v>
      </c>
      <c r="R76" s="37">
        <f>R13/Assumptions!$B$31</f>
        <v>14826.81543732751</v>
      </c>
      <c r="S76" s="37">
        <f>S13/Assumptions!$B$31</f>
        <v>15364.786205120698</v>
      </c>
    </row>
    <row r="80" spans="1:23" x14ac:dyDescent="0.25">
      <c r="B80" s="45" t="s">
        <v>124</v>
      </c>
    </row>
    <row r="81" spans="2:19" x14ac:dyDescent="0.25">
      <c r="B81" s="1" t="s">
        <v>9</v>
      </c>
      <c r="D81" s="8">
        <f t="shared" ref="D81:O81" si="71">D17</f>
        <v>15000</v>
      </c>
      <c r="E81" s="8">
        <f t="shared" si="71"/>
        <v>20000</v>
      </c>
      <c r="F81" s="8">
        <f t="shared" si="71"/>
        <v>20001</v>
      </c>
      <c r="G81" s="8">
        <f t="shared" si="71"/>
        <v>20002</v>
      </c>
      <c r="H81" s="8">
        <f t="shared" si="71"/>
        <v>20003</v>
      </c>
      <c r="I81" s="8">
        <f t="shared" si="71"/>
        <v>20004</v>
      </c>
      <c r="J81" s="8">
        <f t="shared" si="71"/>
        <v>20005</v>
      </c>
      <c r="K81" s="8">
        <f t="shared" si="71"/>
        <v>20006</v>
      </c>
      <c r="L81" s="8">
        <f t="shared" si="71"/>
        <v>20007</v>
      </c>
      <c r="M81" s="8">
        <f t="shared" si="71"/>
        <v>20008</v>
      </c>
      <c r="N81" s="8">
        <f t="shared" si="71"/>
        <v>20009</v>
      </c>
      <c r="O81" s="8">
        <f t="shared" si="71"/>
        <v>20010</v>
      </c>
      <c r="P81" s="8">
        <f t="shared" ref="P81:S81" si="72">P17</f>
        <v>20844.166666666701</v>
      </c>
      <c r="Q81" s="8">
        <f t="shared" si="72"/>
        <v>21037.435897435898</v>
      </c>
      <c r="R81" s="8">
        <f t="shared" si="72"/>
        <v>21230.7051282051</v>
      </c>
      <c r="S81" s="8">
        <f t="shared" si="72"/>
        <v>21423.974358974399</v>
      </c>
    </row>
    <row r="82" spans="2:19" x14ac:dyDescent="0.25">
      <c r="B82" s="1" t="s">
        <v>10</v>
      </c>
      <c r="D82" s="8">
        <f t="shared" ref="D82:K82" si="73">D20</f>
        <v>20000</v>
      </c>
      <c r="E82" s="8">
        <f t="shared" si="73"/>
        <v>46200</v>
      </c>
      <c r="F82" s="8">
        <f t="shared" si="73"/>
        <v>73972</v>
      </c>
      <c r="G82" s="8">
        <f t="shared" si="73"/>
        <v>103410.32</v>
      </c>
      <c r="H82" s="8">
        <f t="shared" si="73"/>
        <v>134614.93920000002</v>
      </c>
      <c r="I82" s="8">
        <f t="shared" si="73"/>
        <v>167691.83555200003</v>
      </c>
      <c r="J82" s="8">
        <f t="shared" si="73"/>
        <v>202753.34568512003</v>
      </c>
      <c r="K82" s="8">
        <f t="shared" si="73"/>
        <v>239918.54642622726</v>
      </c>
      <c r="L82" s="8">
        <f t="shared" ref="L82:O82" si="74">L20</f>
        <v>279313.6592118009</v>
      </c>
      <c r="M82" s="8">
        <f t="shared" si="74"/>
        <v>321072.47876450897</v>
      </c>
      <c r="N82" s="8">
        <f t="shared" si="74"/>
        <v>365336.82749037951</v>
      </c>
      <c r="O82" s="8">
        <f t="shared" si="74"/>
        <v>412257.0371398023</v>
      </c>
      <c r="P82" s="8">
        <f t="shared" ref="P82:S82" si="75">P20</f>
        <v>461992.45936819044</v>
      </c>
      <c r="Q82" s="8">
        <f t="shared" si="75"/>
        <v>514712.00693028187</v>
      </c>
      <c r="R82" s="8">
        <f t="shared" si="75"/>
        <v>570594.72734609887</v>
      </c>
      <c r="S82" s="8">
        <f t="shared" si="75"/>
        <v>629830.41098686482</v>
      </c>
    </row>
    <row r="83" spans="2:19" x14ac:dyDescent="0.25">
      <c r="B83" s="1" t="s">
        <v>13</v>
      </c>
      <c r="D83" s="8">
        <f t="shared" ref="D83:K83" si="76">D30</f>
        <v>170481.05521586628</v>
      </c>
      <c r="E83" s="8">
        <f t="shared" si="76"/>
        <v>167093.22798646576</v>
      </c>
      <c r="F83" s="8">
        <f t="shared" si="76"/>
        <v>163587.00436143696</v>
      </c>
      <c r="G83" s="8">
        <f t="shared" si="76"/>
        <v>159958.24667213589</v>
      </c>
      <c r="H83" s="8">
        <f t="shared" si="76"/>
        <v>156202.67264837323</v>
      </c>
      <c r="I83" s="8">
        <f t="shared" si="76"/>
        <v>152315.85036493841</v>
      </c>
      <c r="J83" s="8">
        <f t="shared" si="76"/>
        <v>148293.19301151729</v>
      </c>
      <c r="K83" s="8">
        <f t="shared" si="76"/>
        <v>144129.95347983178</v>
      </c>
      <c r="L83" s="8">
        <f t="shared" ref="L83:O83" si="77">L30</f>
        <v>140185.9600153919</v>
      </c>
      <c r="M83" s="8">
        <f t="shared" si="77"/>
        <v>136115.80127438638</v>
      </c>
      <c r="N83" s="8">
        <f t="shared" si="77"/>
        <v>131915.4413279643</v>
      </c>
      <c r="O83" s="8">
        <f t="shared" si="77"/>
        <v>127580.71514105689</v>
      </c>
      <c r="P83" s="8">
        <f t="shared" ref="P83:S83" si="78">P30</f>
        <v>123107.32444237007</v>
      </c>
      <c r="Q83" s="8">
        <f t="shared" si="78"/>
        <v>118490.83346226175</v>
      </c>
      <c r="R83" s="8">
        <f t="shared" si="78"/>
        <v>113726.66453427654</v>
      </c>
      <c r="S83" s="8">
        <f t="shared" si="78"/>
        <v>108810.0935559776</v>
      </c>
    </row>
    <row r="84" spans="2:19" x14ac:dyDescent="0.25">
      <c r="B84" s="1" t="s">
        <v>204</v>
      </c>
      <c r="D84" s="8">
        <f>D18</f>
        <v>144000</v>
      </c>
      <c r="E84" s="8">
        <f t="shared" ref="E84:O84" si="79">E18</f>
        <v>149760</v>
      </c>
      <c r="F84" s="8">
        <f t="shared" si="79"/>
        <v>155750.39999999999</v>
      </c>
      <c r="G84" s="8">
        <f t="shared" si="79"/>
        <v>161980.416</v>
      </c>
      <c r="H84" s="8">
        <f t="shared" si="79"/>
        <v>168459.63264</v>
      </c>
      <c r="I84" s="8">
        <f t="shared" si="79"/>
        <v>175198.0179456</v>
      </c>
      <c r="J84" s="8">
        <f t="shared" si="79"/>
        <v>182205.93866342402</v>
      </c>
      <c r="K84" s="8">
        <f t="shared" si="79"/>
        <v>189494.17620996098</v>
      </c>
      <c r="L84" s="8">
        <f t="shared" si="79"/>
        <v>197073.94325835942</v>
      </c>
      <c r="M84" s="8">
        <f t="shared" si="79"/>
        <v>204956.90098869381</v>
      </c>
      <c r="N84" s="8">
        <f t="shared" si="79"/>
        <v>213155.17702824157</v>
      </c>
      <c r="O84" s="8">
        <f t="shared" si="79"/>
        <v>221681.38410937123</v>
      </c>
      <c r="P84" s="8">
        <f t="shared" ref="P84:S84" si="80">P18</f>
        <v>144000</v>
      </c>
      <c r="Q84" s="8">
        <f t="shared" si="80"/>
        <v>149760</v>
      </c>
      <c r="R84" s="8">
        <f t="shared" si="80"/>
        <v>155750.39999999999</v>
      </c>
      <c r="S84" s="8">
        <f t="shared" si="80"/>
        <v>161980.416</v>
      </c>
    </row>
    <row r="85" spans="2:19" x14ac:dyDescent="0.25">
      <c r="B85" s="45" t="s">
        <v>129</v>
      </c>
      <c r="D85" s="8">
        <f>SUM(D81:D84)</f>
        <v>349481.0552158663</v>
      </c>
      <c r="E85" s="8">
        <f t="shared" ref="E85:O85" si="81">SUM(E81:E84)</f>
        <v>383053.22798646579</v>
      </c>
      <c r="F85" s="8">
        <f t="shared" si="81"/>
        <v>413310.40436143696</v>
      </c>
      <c r="G85" s="8">
        <f t="shared" si="81"/>
        <v>445350.98267213593</v>
      </c>
      <c r="H85" s="8">
        <f t="shared" si="81"/>
        <v>479280.24448837328</v>
      </c>
      <c r="I85" s="8">
        <f t="shared" si="81"/>
        <v>515209.70386253844</v>
      </c>
      <c r="J85" s="8">
        <f t="shared" si="81"/>
        <v>553257.47736006137</v>
      </c>
      <c r="K85" s="8">
        <f t="shared" si="81"/>
        <v>593548.67611601995</v>
      </c>
      <c r="L85" s="8">
        <f t="shared" si="81"/>
        <v>636580.56248555228</v>
      </c>
      <c r="M85" s="8">
        <f t="shared" si="81"/>
        <v>682153.18102758913</v>
      </c>
      <c r="N85" s="8">
        <f t="shared" si="81"/>
        <v>730416.44584658532</v>
      </c>
      <c r="O85" s="8">
        <f t="shared" si="81"/>
        <v>781529.13639023039</v>
      </c>
      <c r="P85" s="8">
        <f t="shared" ref="P85:S85" si="82">SUM(P81:P84)</f>
        <v>749943.95047722722</v>
      </c>
      <c r="Q85" s="8">
        <f t="shared" si="82"/>
        <v>804000.27628997946</v>
      </c>
      <c r="R85" s="8">
        <f t="shared" si="82"/>
        <v>861302.4970085806</v>
      </c>
      <c r="S85" s="8">
        <f t="shared" si="82"/>
        <v>922044.89490181673</v>
      </c>
    </row>
    <row r="89" spans="2:19" x14ac:dyDescent="0.25">
      <c r="B89" s="45" t="s">
        <v>125</v>
      </c>
    </row>
    <row r="90" spans="2:19" x14ac:dyDescent="0.25">
      <c r="B90" s="1" t="s">
        <v>126</v>
      </c>
      <c r="D90" s="8">
        <f t="shared" ref="D90:K91" si="83">D15</f>
        <v>40000</v>
      </c>
      <c r="E90" s="8">
        <f t="shared" si="83"/>
        <v>94249.430107526874</v>
      </c>
      <c r="F90" s="8">
        <f t="shared" si="83"/>
        <v>97667.415084139779</v>
      </c>
      <c r="G90" s="8">
        <f t="shared" si="83"/>
        <v>168177.22015995256</v>
      </c>
      <c r="H90" s="8">
        <f t="shared" si="83"/>
        <v>174276.01202790628</v>
      </c>
      <c r="I90" s="8">
        <f t="shared" si="83"/>
        <v>217368.45716625999</v>
      </c>
      <c r="J90" s="8">
        <f t="shared" si="83"/>
        <v>225252.75869974311</v>
      </c>
      <c r="K90" s="8">
        <f t="shared" si="83"/>
        <v>318543.19480426388</v>
      </c>
      <c r="L90" s="8">
        <f t="shared" ref="L90:O90" si="84">L15</f>
        <v>330097.58836377197</v>
      </c>
      <c r="M90" s="8">
        <f t="shared" si="84"/>
        <v>342071.60932678595</v>
      </c>
      <c r="N90" s="8">
        <f t="shared" si="84"/>
        <v>354480.51652451564</v>
      </c>
      <c r="O90" s="8">
        <f t="shared" si="84"/>
        <v>367340.12433539575</v>
      </c>
      <c r="P90" s="8">
        <f t="shared" ref="P90:S90" si="85">P15</f>
        <v>40000</v>
      </c>
      <c r="Q90" s="8">
        <f t="shared" si="85"/>
        <v>394477.59929631802</v>
      </c>
      <c r="R90" s="8">
        <f t="shared" si="85"/>
        <v>408790.05892824673</v>
      </c>
      <c r="S90" s="8">
        <f t="shared" si="85"/>
        <v>423622.44844556646</v>
      </c>
    </row>
    <row r="91" spans="2:19" x14ac:dyDescent="0.25">
      <c r="B91" s="1" t="s">
        <v>127</v>
      </c>
      <c r="D91" s="8">
        <f t="shared" si="83"/>
        <v>50000</v>
      </c>
      <c r="E91" s="8">
        <f t="shared" si="83"/>
        <v>117811.78763440858</v>
      </c>
      <c r="F91" s="8">
        <f t="shared" si="83"/>
        <v>122084.26885517473</v>
      </c>
      <c r="G91" s="8">
        <f t="shared" si="83"/>
        <v>210221.52519994069</v>
      </c>
      <c r="H91" s="8">
        <f t="shared" si="83"/>
        <v>217845.01503488285</v>
      </c>
      <c r="I91" s="8">
        <f t="shared" si="83"/>
        <v>271710.57145782496</v>
      </c>
      <c r="J91" s="8">
        <f t="shared" si="83"/>
        <v>281565.9483746789</v>
      </c>
      <c r="K91" s="8">
        <f t="shared" si="83"/>
        <v>398178.99350532982</v>
      </c>
      <c r="L91" s="8">
        <f t="shared" ref="L91:O91" si="86">L16</f>
        <v>412621.98545471492</v>
      </c>
      <c r="M91" s="8">
        <f t="shared" si="86"/>
        <v>427589.51165848249</v>
      </c>
      <c r="N91" s="8">
        <f t="shared" si="86"/>
        <v>443100.64565564453</v>
      </c>
      <c r="O91" s="8">
        <f t="shared" si="86"/>
        <v>459175.15541924466</v>
      </c>
      <c r="P91" s="8">
        <f t="shared" ref="P91:S91" si="87">P16</f>
        <v>50000</v>
      </c>
      <c r="Q91" s="8">
        <f t="shared" si="87"/>
        <v>493096.99912039749</v>
      </c>
      <c r="R91" s="8">
        <f t="shared" si="87"/>
        <v>510987.57366030838</v>
      </c>
      <c r="S91" s="8">
        <f t="shared" si="87"/>
        <v>529528.06055695808</v>
      </c>
    </row>
    <row r="92" spans="2:19" x14ac:dyDescent="0.25">
      <c r="B92" s="1" t="s">
        <v>187</v>
      </c>
      <c r="D92" s="8">
        <f>D19</f>
        <v>4680</v>
      </c>
      <c r="E92" s="8">
        <f t="shared" ref="E92:O92" si="88">E19</f>
        <v>15759</v>
      </c>
      <c r="F92" s="8">
        <f t="shared" si="88"/>
        <v>16231.770000000002</v>
      </c>
      <c r="G92" s="8">
        <f t="shared" si="88"/>
        <v>16718.723100000003</v>
      </c>
      <c r="H92" s="8">
        <f t="shared" si="88"/>
        <v>17220.284793000003</v>
      </c>
      <c r="I92" s="8">
        <f t="shared" si="88"/>
        <v>17736.893336790003</v>
      </c>
      <c r="J92" s="8">
        <f t="shared" si="88"/>
        <v>18269.000136893705</v>
      </c>
      <c r="K92" s="8">
        <f t="shared" si="88"/>
        <v>18817.070141000513</v>
      </c>
      <c r="L92" s="8">
        <f t="shared" si="88"/>
        <v>19381.582245230529</v>
      </c>
      <c r="M92" s="8">
        <f t="shared" si="88"/>
        <v>19963.029712587446</v>
      </c>
      <c r="N92" s="8">
        <f t="shared" si="88"/>
        <v>20561.920603965067</v>
      </c>
      <c r="O92" s="8">
        <f t="shared" si="88"/>
        <v>21178.77822208402</v>
      </c>
      <c r="P92" s="8">
        <f t="shared" ref="P92:S92" si="89">P19</f>
        <v>21814.141568746541</v>
      </c>
      <c r="Q92" s="8">
        <f t="shared" si="89"/>
        <v>22468.565815808939</v>
      </c>
      <c r="R92" s="8">
        <f t="shared" si="89"/>
        <v>23142.622790283211</v>
      </c>
      <c r="S92" s="8">
        <f t="shared" si="89"/>
        <v>23836.901473991707</v>
      </c>
    </row>
    <row r="94" spans="2:19" x14ac:dyDescent="0.25">
      <c r="B94" s="45" t="s">
        <v>128</v>
      </c>
      <c r="D94" s="37">
        <f>(D90+D91+D92)/Assumptions!$B$15</f>
        <v>3641.5384615384614</v>
      </c>
      <c r="E94" s="37">
        <f>(E90+E91+E92)/Assumptions!$B$15</f>
        <v>8762.3160669975168</v>
      </c>
      <c r="F94" s="37">
        <f>(F90+F91+F92)/Assumptions!$B$19</f>
        <v>3999.719558293466</v>
      </c>
      <c r="G94" s="37">
        <f>(G90+G91+G92)/Assumptions!$B$19</f>
        <v>6696.906245082936</v>
      </c>
      <c r="H94" s="37">
        <f>(H90+H91+H92)/Assumptions!$B$23</f>
        <v>4176.9521617937671</v>
      </c>
      <c r="I94" s="37">
        <f>(I90+I91+I92)/Assumptions!$B$23</f>
        <v>5171.5910404170909</v>
      </c>
      <c r="J94" s="37">
        <f>(J90+J91+J92)/Assumptions!$B$27</f>
        <v>3344.5076892440493</v>
      </c>
      <c r="K94" s="37">
        <f>(K90+K91+K92)/Assumptions!$B$27</f>
        <v>4684.9634296216191</v>
      </c>
      <c r="L94" s="37">
        <f>(L90+L91+L92)/Assumptions!$B$27</f>
        <v>4854.1474908517039</v>
      </c>
      <c r="M94" s="37">
        <f>(M90+M91+M92)/Assumptions!$B$31</f>
        <v>3948.1207534892792</v>
      </c>
      <c r="N94" s="37">
        <f>(N90+N91+N92)/Assumptions!$B$31</f>
        <v>4090.7154139206264</v>
      </c>
      <c r="O94" s="37">
        <f>(O90+O91+O92)/Assumptions!$B$31</f>
        <v>4238.4702898836222</v>
      </c>
      <c r="P94" s="37">
        <f>(P90+P91+P92)/Assumptions!$B$31</f>
        <v>559.07070784373263</v>
      </c>
      <c r="Q94" s="37">
        <f>(Q90+Q91+Q92)/Assumptions!$B$31</f>
        <v>4550.215821162622</v>
      </c>
      <c r="R94" s="37">
        <f>(R90+R91+R92)/Assumptions!$B$31</f>
        <v>4714.601276894191</v>
      </c>
      <c r="S94" s="37">
        <f>(S90+S91+S92)/Assumptions!$B$31</f>
        <v>4884.937052382581</v>
      </c>
    </row>
    <row r="96" spans="2:19" x14ac:dyDescent="0.25">
      <c r="B96" s="1" t="s">
        <v>131</v>
      </c>
      <c r="D96" s="36">
        <f>D85/(D76-D94)</f>
        <v>46.48305420305158</v>
      </c>
      <c r="E96" s="87">
        <f>E85/(E76-E94)</f>
        <v>135.56663812152883</v>
      </c>
      <c r="F96" s="36">
        <f t="shared" ref="F96:J96" si="90">F85/(F76-F94)</f>
        <v>51.609569484994182</v>
      </c>
      <c r="G96" s="36">
        <f t="shared" si="90"/>
        <v>77.430257193115935</v>
      </c>
      <c r="H96" s="36">
        <f t="shared" si="90"/>
        <v>54.944242822402572</v>
      </c>
      <c r="I96" s="36">
        <f t="shared" si="90"/>
        <v>105.75644673498201</v>
      </c>
      <c r="J96" s="36">
        <f t="shared" si="90"/>
        <v>78.331456933226647</v>
      </c>
      <c r="K96" s="36">
        <f>K85/(K76-K94)</f>
        <v>86.414819278127368</v>
      </c>
      <c r="L96" s="36">
        <f>L85/(L76-L94)</f>
        <v>89.426322174524742</v>
      </c>
      <c r="M96" s="36">
        <f>M85/(M76-M94)</f>
        <v>80.644045141931329</v>
      </c>
      <c r="N96" s="36">
        <f t="shared" ref="N96:P96" si="91">N85/(N76-N94)</f>
        <v>83.321017501579689</v>
      </c>
      <c r="O96" s="36">
        <f t="shared" si="91"/>
        <v>86.024537123821403</v>
      </c>
      <c r="P96" s="36">
        <f t="shared" si="91"/>
        <v>56.609306037854608</v>
      </c>
      <c r="Q96" s="36">
        <f t="shared" ref="Q96:S96" si="92">Q85/(Q76-Q94)</f>
        <v>82.398295849283215</v>
      </c>
      <c r="R96" s="36">
        <f t="shared" si="92"/>
        <v>85.174471519664976</v>
      </c>
      <c r="S96" s="36">
        <f t="shared" si="92"/>
        <v>87.982649507975992</v>
      </c>
    </row>
    <row r="97" spans="1:19" x14ac:dyDescent="0.25">
      <c r="B97" s="1" t="s">
        <v>132</v>
      </c>
      <c r="D97" s="37">
        <f>D96*D76</f>
        <v>518750.88490605564</v>
      </c>
      <c r="E97" s="37">
        <f t="shared" ref="E97:K97" si="93">E96*E76</f>
        <v>1570930.9593475759</v>
      </c>
      <c r="F97" s="37">
        <f t="shared" si="93"/>
        <v>619734.20882567379</v>
      </c>
      <c r="G97" s="37">
        <f t="shared" si="93"/>
        <v>963894.15562709188</v>
      </c>
      <c r="H97" s="37">
        <f t="shared" si="93"/>
        <v>708779.71832352935</v>
      </c>
      <c r="I97" s="37">
        <f t="shared" si="93"/>
        <v>1062138.7962635187</v>
      </c>
      <c r="J97" s="37">
        <f t="shared" si="93"/>
        <v>815237.637382927</v>
      </c>
      <c r="K97" s="37">
        <f t="shared" si="93"/>
        <v>998398.94421140791</v>
      </c>
      <c r="L97" s="37">
        <f>L96*L76</f>
        <v>1070669.1198851177</v>
      </c>
      <c r="M97" s="37">
        <f t="shared" ref="M97:O97" si="94">M96*M76</f>
        <v>1000545.6092977744</v>
      </c>
      <c r="N97" s="37">
        <f t="shared" si="94"/>
        <v>1071259.0164438477</v>
      </c>
      <c r="O97" s="37">
        <f t="shared" si="94"/>
        <v>1146141.5811905381</v>
      </c>
      <c r="P97" s="37">
        <f t="shared" ref="P97:S97" si="95">P96*P76</f>
        <v>781592.55527435301</v>
      </c>
      <c r="Q97" s="37">
        <f t="shared" si="95"/>
        <v>1178930.3057002262</v>
      </c>
      <c r="R97" s="37">
        <f t="shared" si="95"/>
        <v>1262866.169193981</v>
      </c>
      <c r="S97" s="37">
        <f t="shared" si="95"/>
        <v>1351834.5994501188</v>
      </c>
    </row>
    <row r="100" spans="1:19" s="69" customFormat="1" x14ac:dyDescent="0.25">
      <c r="A100" s="52" t="s">
        <v>155</v>
      </c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1:19" x14ac:dyDescent="0.25">
      <c r="A101" s="53"/>
      <c r="B101" s="53"/>
      <c r="C101" s="53"/>
      <c r="D101" s="53"/>
      <c r="E101" s="54" t="s">
        <v>156</v>
      </c>
      <c r="F101" s="53"/>
      <c r="G101" s="53"/>
      <c r="H101" s="55"/>
      <c r="I101" s="53"/>
      <c r="J101" s="53"/>
    </row>
    <row r="102" spans="1:19" x14ac:dyDescent="0.25">
      <c r="A102" s="53"/>
      <c r="B102" s="53"/>
      <c r="C102" s="53"/>
      <c r="D102" s="53"/>
      <c r="E102" s="54"/>
      <c r="F102" s="53"/>
      <c r="G102" s="53"/>
      <c r="H102" s="55"/>
      <c r="I102" s="53"/>
      <c r="J102" s="53"/>
    </row>
    <row r="103" spans="1:19" x14ac:dyDescent="0.25">
      <c r="A103" s="53"/>
      <c r="B103" s="53"/>
      <c r="C103" s="53"/>
      <c r="D103" s="53"/>
      <c r="E103" s="54" t="s">
        <v>157</v>
      </c>
      <c r="F103" s="53"/>
      <c r="G103" s="53"/>
      <c r="H103" s="55" t="s">
        <v>158</v>
      </c>
      <c r="I103" s="53"/>
      <c r="J103" s="53"/>
    </row>
    <row r="104" spans="1:19" x14ac:dyDescent="0.25">
      <c r="A104"/>
      <c r="B104"/>
      <c r="C104"/>
      <c r="D104"/>
      <c r="E104" s="54" t="s">
        <v>159</v>
      </c>
      <c r="F104" s="53">
        <f>C105</f>
        <v>1.19</v>
      </c>
      <c r="G104" s="53"/>
      <c r="H104" s="55" t="s">
        <v>160</v>
      </c>
      <c r="I104"/>
      <c r="J104"/>
    </row>
    <row r="105" spans="1:19" x14ac:dyDescent="0.25">
      <c r="A105"/>
      <c r="B105" s="1" t="s">
        <v>161</v>
      </c>
      <c r="C105" s="40">
        <f>Assumptions!B43</f>
        <v>1.19</v>
      </c>
      <c r="D105"/>
      <c r="E105" s="54" t="s">
        <v>162</v>
      </c>
      <c r="F105" s="56">
        <f>C113</f>
        <v>0.35</v>
      </c>
      <c r="G105" s="53"/>
      <c r="H105" s="57">
        <v>0.5</v>
      </c>
      <c r="I105"/>
      <c r="J105"/>
    </row>
    <row r="106" spans="1:19" x14ac:dyDescent="0.25">
      <c r="A106"/>
      <c r="B106" s="1" t="s">
        <v>163</v>
      </c>
      <c r="C106" s="76">
        <f>Assumptions!B44</f>
        <v>1.6999999999999999E-3</v>
      </c>
      <c r="D106"/>
      <c r="E106" s="54"/>
      <c r="F106" s="53"/>
      <c r="G106" s="53"/>
      <c r="H106" s="55" t="s">
        <v>164</v>
      </c>
      <c r="I106"/>
      <c r="J106"/>
    </row>
    <row r="107" spans="1:19" x14ac:dyDescent="0.25">
      <c r="A107"/>
      <c r="B107" s="1" t="s">
        <v>165</v>
      </c>
      <c r="C107" s="76">
        <f>Assumptions!B45</f>
        <v>9.7199999999999995E-2</v>
      </c>
      <c r="D107"/>
      <c r="E107" s="54" t="s">
        <v>166</v>
      </c>
      <c r="F107" s="58">
        <f>E116</f>
        <v>0.7303280669913913</v>
      </c>
      <c r="G107" s="53"/>
      <c r="H107" s="57">
        <v>0.5</v>
      </c>
      <c r="I107"/>
      <c r="J107"/>
    </row>
    <row r="108" spans="1:19" x14ac:dyDescent="0.25">
      <c r="A108"/>
      <c r="C108" s="40"/>
      <c r="D108"/>
      <c r="E108" s="54" t="s">
        <v>164</v>
      </c>
      <c r="F108" s="58">
        <f>E120</f>
        <v>0.2696719330086087</v>
      </c>
      <c r="G108" s="53"/>
      <c r="H108" s="55"/>
      <c r="I108"/>
      <c r="J108"/>
    </row>
    <row r="109" spans="1:19" x14ac:dyDescent="0.25">
      <c r="A109"/>
      <c r="B109" s="1" t="s">
        <v>167</v>
      </c>
      <c r="C109" s="59">
        <f>C106+C105*(C107-C106)</f>
        <v>0.11534499999999999</v>
      </c>
      <c r="D109"/>
      <c r="E109" s="54"/>
      <c r="F109" s="53"/>
      <c r="G109" s="53"/>
      <c r="H109" s="55"/>
      <c r="I109"/>
      <c r="J109"/>
    </row>
    <row r="110" spans="1:19" x14ac:dyDescent="0.25">
      <c r="A110"/>
      <c r="B110"/>
      <c r="C110" s="72"/>
      <c r="D110"/>
      <c r="E110" s="54" t="s">
        <v>168</v>
      </c>
      <c r="F110" s="60">
        <f>F104/(1+(1-F105)*(F107/F108))</f>
        <v>0.43110691935895906</v>
      </c>
      <c r="G110" s="53"/>
      <c r="H110" s="55"/>
      <c r="I110"/>
      <c r="J110"/>
    </row>
    <row r="111" spans="1:19" ht="15.75" thickBot="1" x14ac:dyDescent="0.3">
      <c r="A111"/>
      <c r="B111" s="1" t="s">
        <v>169</v>
      </c>
      <c r="C111" s="59">
        <f>Assumptions!B46</f>
        <v>7.4999999999999997E-2</v>
      </c>
      <c r="D111"/>
      <c r="E111" s="61" t="s">
        <v>158</v>
      </c>
      <c r="F111" s="62">
        <f>F110*(1+(1-F105)*(H105/H107))</f>
        <v>0.71132641694228238</v>
      </c>
      <c r="G111" s="63"/>
      <c r="H111" s="64"/>
      <c r="I111"/>
      <c r="J111"/>
    </row>
    <row r="112" spans="1:19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 s="1" t="s">
        <v>170</v>
      </c>
      <c r="C113" s="71">
        <f>Assumptions!B47</f>
        <v>0.35</v>
      </c>
      <c r="D113"/>
      <c r="E113"/>
      <c r="F113"/>
      <c r="G113"/>
      <c r="H113"/>
      <c r="I113"/>
      <c r="J113"/>
    </row>
    <row r="114" spans="1:10" x14ac:dyDescent="0.25">
      <c r="A114"/>
      <c r="B114" s="1" t="s">
        <v>171</v>
      </c>
      <c r="C114" s="73">
        <f>D64</f>
        <v>4903059.7741142809</v>
      </c>
      <c r="D114"/>
      <c r="G114" s="1" t="s">
        <v>172</v>
      </c>
      <c r="H114" s="1" t="s">
        <v>173</v>
      </c>
      <c r="J114" s="65" t="s">
        <v>174</v>
      </c>
    </row>
    <row r="115" spans="1:10" x14ac:dyDescent="0.25">
      <c r="A115"/>
      <c r="B115" s="1" t="s">
        <v>175</v>
      </c>
      <c r="C115" s="74">
        <f>D65</f>
        <v>16257.240830543027</v>
      </c>
      <c r="D115"/>
      <c r="E115" s="1" t="s">
        <v>176</v>
      </c>
      <c r="G115" s="77">
        <f>'Mortgage 1-2'!J2</f>
        <v>3.44E-2</v>
      </c>
      <c r="H115" s="4">
        <f>C114/C116</f>
        <v>0.99669522399529165</v>
      </c>
    </row>
    <row r="116" spans="1:10" ht="45" x14ac:dyDescent="0.25">
      <c r="A116"/>
      <c r="C116" s="8">
        <f>SUM(C114:C115)</f>
        <v>4919317.0149448244</v>
      </c>
      <c r="D116"/>
      <c r="E116" s="66">
        <f>(C114+C115)/C122</f>
        <v>0.7303280669913913</v>
      </c>
      <c r="G116" s="77">
        <f>C111</f>
        <v>7.4999999999999997E-2</v>
      </c>
      <c r="H116" s="4">
        <f>C115/C116</f>
        <v>3.3047760047083224E-3</v>
      </c>
      <c r="I116" s="70" t="s">
        <v>177</v>
      </c>
      <c r="J116" s="95">
        <f>H115*G115+H116*G116</f>
        <v>3.4534173905791159E-2</v>
      </c>
    </row>
    <row r="117" spans="1:10" x14ac:dyDescent="0.25">
      <c r="A117"/>
      <c r="D117"/>
      <c r="E117" s="66"/>
    </row>
    <row r="118" spans="1:10" x14ac:dyDescent="0.25">
      <c r="A118"/>
      <c r="B118" s="1" t="s">
        <v>178</v>
      </c>
      <c r="C118" s="73">
        <f>D67</f>
        <v>2200000</v>
      </c>
      <c r="D118"/>
    </row>
    <row r="119" spans="1:10" x14ac:dyDescent="0.25">
      <c r="A119"/>
      <c r="B119" s="1" t="s">
        <v>26</v>
      </c>
      <c r="C119" s="74">
        <f>D68</f>
        <v>-383553.68161149032</v>
      </c>
      <c r="D119"/>
      <c r="E119" t="s">
        <v>179</v>
      </c>
    </row>
    <row r="120" spans="1:10" x14ac:dyDescent="0.25">
      <c r="A120"/>
      <c r="C120" s="8">
        <f>SUM(C118:C119)</f>
        <v>1816446.3183885096</v>
      </c>
      <c r="D120"/>
      <c r="E120" s="66">
        <f>(C118+C119)/C122</f>
        <v>0.2696719330086087</v>
      </c>
    </row>
    <row r="121" spans="1:10" x14ac:dyDescent="0.25">
      <c r="A121"/>
      <c r="D121"/>
    </row>
    <row r="122" spans="1:10" x14ac:dyDescent="0.25">
      <c r="A122"/>
      <c r="B122" s="1" t="s">
        <v>180</v>
      </c>
      <c r="C122" s="8">
        <f>C116+C120</f>
        <v>6735763.333333334</v>
      </c>
      <c r="D122"/>
    </row>
    <row r="123" spans="1:10" x14ac:dyDescent="0.25">
      <c r="A123"/>
      <c r="B123"/>
      <c r="C123"/>
      <c r="D123"/>
      <c r="F123"/>
      <c r="G123"/>
      <c r="H123"/>
      <c r="I123"/>
    </row>
    <row r="124" spans="1:10" x14ac:dyDescent="0.25">
      <c r="A124"/>
      <c r="B124" s="1" t="s">
        <v>181</v>
      </c>
      <c r="C124" s="4">
        <f>E116*(J116*(1-C113))</f>
        <v>1.6393829707944653E-2</v>
      </c>
      <c r="D124"/>
      <c r="F124"/>
      <c r="G124"/>
      <c r="H124"/>
      <c r="I124"/>
    </row>
    <row r="125" spans="1:10" x14ac:dyDescent="0.25">
      <c r="A125"/>
      <c r="B125" s="1" t="s">
        <v>182</v>
      </c>
      <c r="C125" s="4">
        <f>E120*C109</f>
        <v>3.1105309112877969E-2</v>
      </c>
      <c r="D125"/>
      <c r="F125"/>
      <c r="G125"/>
      <c r="H125"/>
      <c r="I125"/>
    </row>
    <row r="126" spans="1:10" x14ac:dyDescent="0.25">
      <c r="A126"/>
      <c r="B126" s="67" t="s">
        <v>155</v>
      </c>
      <c r="C126" s="68">
        <f>SUM(C124:C125)</f>
        <v>4.7499138820822621E-2</v>
      </c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22" x14ac:dyDescent="0.25">
      <c r="A129"/>
      <c r="B129"/>
      <c r="C129"/>
      <c r="D129"/>
      <c r="E129"/>
      <c r="F129"/>
      <c r="G129"/>
      <c r="H129"/>
      <c r="I129"/>
      <c r="J129"/>
    </row>
    <row r="130" spans="1:22" x14ac:dyDescent="0.25">
      <c r="A130"/>
      <c r="C130" s="78"/>
      <c r="D130"/>
      <c r="E130"/>
      <c r="F130"/>
      <c r="G130"/>
      <c r="H130"/>
      <c r="I130"/>
      <c r="J130"/>
    </row>
    <row r="133" spans="1:22" s="69" customFormat="1" x14ac:dyDescent="0.25">
      <c r="A133" s="75" t="s">
        <v>133</v>
      </c>
    </row>
    <row r="135" spans="1:22" x14ac:dyDescent="0.25">
      <c r="B135" s="46" t="s">
        <v>134</v>
      </c>
    </row>
    <row r="137" spans="1:22" x14ac:dyDescent="0.25">
      <c r="B137" s="1" t="s">
        <v>12</v>
      </c>
      <c r="D137" s="79">
        <f>D24</f>
        <v>16480</v>
      </c>
      <c r="E137" s="79">
        <f>E24</f>
        <v>239905.14825806447</v>
      </c>
      <c r="F137" s="79">
        <f t="shared" ref="F137:S137" si="96">F24</f>
        <v>222772.57508103549</v>
      </c>
      <c r="G137" s="79">
        <f t="shared" si="96"/>
        <v>331447.35058040265</v>
      </c>
      <c r="H137" s="79">
        <f t="shared" si="96"/>
        <v>531779.30755464314</v>
      </c>
      <c r="I137" s="79">
        <f t="shared" si="96"/>
        <v>707081.01282557496</v>
      </c>
      <c r="J137" s="79">
        <f t="shared" si="96"/>
        <v>703931.52004807675</v>
      </c>
      <c r="K137" s="79">
        <f t="shared" si="96"/>
        <v>861754.35402334784</v>
      </c>
      <c r="L137" s="79">
        <f t="shared" si="96"/>
        <v>1136032.147456924</v>
      </c>
      <c r="M137" s="79">
        <f t="shared" si="96"/>
        <v>1145725.9236054469</v>
      </c>
      <c r="N137" s="79">
        <f t="shared" si="96"/>
        <v>842757.57956609013</v>
      </c>
      <c r="O137" s="79">
        <f t="shared" si="96"/>
        <v>955042.78270306275</v>
      </c>
      <c r="P137" s="79">
        <f t="shared" si="96"/>
        <v>2022706.3659804137</v>
      </c>
      <c r="Q137" s="79">
        <f t="shared" si="96"/>
        <v>1265987.8982352486</v>
      </c>
      <c r="R137" s="79">
        <f t="shared" si="96"/>
        <v>1274866.9996123593</v>
      </c>
      <c r="S137" s="79">
        <f t="shared" si="96"/>
        <v>1018735.0292017837</v>
      </c>
    </row>
    <row r="138" spans="1:22" x14ac:dyDescent="0.25">
      <c r="B138" s="1" t="s">
        <v>135</v>
      </c>
      <c r="D138" s="80">
        <f>D26</f>
        <v>228333.33333333334</v>
      </c>
      <c r="E138" s="80">
        <f t="shared" ref="E138:S138" si="97">E26</f>
        <v>228333.33333333334</v>
      </c>
      <c r="F138" s="80">
        <f t="shared" si="97"/>
        <v>228333.33333333334</v>
      </c>
      <c r="G138" s="80">
        <f t="shared" si="97"/>
        <v>228333.33333333334</v>
      </c>
      <c r="H138" s="80">
        <f t="shared" si="97"/>
        <v>228333.33333333334</v>
      </c>
      <c r="I138" s="80">
        <f t="shared" si="97"/>
        <v>228333.33333333334</v>
      </c>
      <c r="J138" s="80">
        <f t="shared" si="97"/>
        <v>228333.33333333334</v>
      </c>
      <c r="K138" s="80">
        <f t="shared" si="97"/>
        <v>228333.33333333334</v>
      </c>
      <c r="L138" s="80">
        <f t="shared" si="97"/>
        <v>228333.33333333334</v>
      </c>
      <c r="M138" s="80">
        <f t="shared" si="97"/>
        <v>228333.33333333334</v>
      </c>
      <c r="N138" s="80">
        <f t="shared" si="97"/>
        <v>228333.33333333334</v>
      </c>
      <c r="O138" s="80">
        <f t="shared" si="97"/>
        <v>228333.33333333334</v>
      </c>
      <c r="P138" s="80">
        <f t="shared" si="97"/>
        <v>228333.33333333334</v>
      </c>
      <c r="Q138" s="80">
        <f t="shared" si="97"/>
        <v>228333.33333333334</v>
      </c>
      <c r="R138" s="80">
        <f t="shared" si="97"/>
        <v>228333.33333333334</v>
      </c>
      <c r="S138" s="80">
        <f t="shared" si="97"/>
        <v>228333.33333333334</v>
      </c>
    </row>
    <row r="139" spans="1:22" x14ac:dyDescent="0.25">
      <c r="B139" s="1" t="s">
        <v>136</v>
      </c>
      <c r="D139" s="79">
        <f>D137-D138</f>
        <v>-211853.33333333334</v>
      </c>
      <c r="E139" s="79">
        <f>E137-E138</f>
        <v>11571.814924731123</v>
      </c>
      <c r="F139" s="79">
        <f t="shared" ref="F139:S139" si="98">F137-F138</f>
        <v>-5560.7582522978482</v>
      </c>
      <c r="G139" s="79">
        <f t="shared" si="98"/>
        <v>103114.01724706931</v>
      </c>
      <c r="H139" s="79">
        <f t="shared" si="98"/>
        <v>303445.97422130976</v>
      </c>
      <c r="I139" s="79">
        <f t="shared" si="98"/>
        <v>478747.67949224159</v>
      </c>
      <c r="J139" s="79">
        <f t="shared" si="98"/>
        <v>475598.18671474338</v>
      </c>
      <c r="K139" s="79">
        <f t="shared" si="98"/>
        <v>633421.02069001447</v>
      </c>
      <c r="L139" s="79">
        <f t="shared" si="98"/>
        <v>907698.81412359059</v>
      </c>
      <c r="M139" s="79">
        <f t="shared" si="98"/>
        <v>917392.59027211356</v>
      </c>
      <c r="N139" s="79">
        <f t="shared" si="98"/>
        <v>614424.24623275676</v>
      </c>
      <c r="O139" s="79">
        <f t="shared" si="98"/>
        <v>726709.44936972938</v>
      </c>
      <c r="P139" s="79">
        <f t="shared" si="98"/>
        <v>1794373.0326470805</v>
      </c>
      <c r="Q139" s="79">
        <f t="shared" si="98"/>
        <v>1037654.5649019153</v>
      </c>
      <c r="R139" s="79">
        <f t="shared" si="98"/>
        <v>1046533.666279026</v>
      </c>
      <c r="S139" s="79">
        <f t="shared" si="98"/>
        <v>790401.69586845033</v>
      </c>
    </row>
    <row r="140" spans="1:22" x14ac:dyDescent="0.25">
      <c r="B140" s="1" t="s">
        <v>137</v>
      </c>
      <c r="D140" s="81">
        <v>0</v>
      </c>
      <c r="E140" s="81">
        <f t="shared" ref="E140:S140" si="99">E139*$T$38</f>
        <v>4050.1352236558928</v>
      </c>
      <c r="F140" s="81">
        <v>0</v>
      </c>
      <c r="G140" s="81">
        <f t="shared" si="99"/>
        <v>36089.906036474255</v>
      </c>
      <c r="H140" s="81">
        <f t="shared" si="99"/>
        <v>106206.09097745841</v>
      </c>
      <c r="I140" s="81">
        <f t="shared" si="99"/>
        <v>167561.68782228456</v>
      </c>
      <c r="J140" s="81">
        <f t="shared" si="99"/>
        <v>166459.36535016017</v>
      </c>
      <c r="K140" s="81">
        <f t="shared" si="99"/>
        <v>221697.35724150506</v>
      </c>
      <c r="L140" s="81">
        <f t="shared" si="99"/>
        <v>317694.58494325669</v>
      </c>
      <c r="M140" s="81">
        <f t="shared" si="99"/>
        <v>321087.40659523971</v>
      </c>
      <c r="N140" s="81">
        <f t="shared" si="99"/>
        <v>215048.48618146486</v>
      </c>
      <c r="O140" s="81">
        <f t="shared" si="99"/>
        <v>254348.30727940527</v>
      </c>
      <c r="P140" s="81">
        <f t="shared" si="99"/>
        <v>628030.56142647809</v>
      </c>
      <c r="Q140" s="81">
        <f t="shared" si="99"/>
        <v>363179.0977156703</v>
      </c>
      <c r="R140" s="81">
        <f t="shared" si="99"/>
        <v>366286.78319765907</v>
      </c>
      <c r="S140" s="81">
        <f t="shared" si="99"/>
        <v>276640.59355395759</v>
      </c>
    </row>
    <row r="141" spans="1:22" x14ac:dyDescent="0.25">
      <c r="B141" s="1" t="s">
        <v>138</v>
      </c>
      <c r="D141" s="82">
        <f>D139-D140+D138</f>
        <v>16480</v>
      </c>
      <c r="E141" s="82">
        <f t="shared" ref="E141:K141" si="100">E139-E140+E138</f>
        <v>235855.01303440856</v>
      </c>
      <c r="F141" s="82">
        <f t="shared" si="100"/>
        <v>222772.57508103549</v>
      </c>
      <c r="G141" s="82">
        <f t="shared" si="100"/>
        <v>295357.44454392837</v>
      </c>
      <c r="H141" s="82">
        <f t="shared" si="100"/>
        <v>425573.21657718474</v>
      </c>
      <c r="I141" s="82">
        <f t="shared" si="100"/>
        <v>539519.32500329043</v>
      </c>
      <c r="J141" s="82">
        <f t="shared" si="100"/>
        <v>537472.15469791659</v>
      </c>
      <c r="K141" s="82">
        <f t="shared" si="100"/>
        <v>640056.99678184278</v>
      </c>
      <c r="L141" s="82">
        <f>L139-L140+L138</f>
        <v>818337.56251366728</v>
      </c>
      <c r="M141" s="82">
        <f t="shared" ref="M141:O141" si="101">M139-M140+M138</f>
        <v>824638.51701020717</v>
      </c>
      <c r="N141" s="82">
        <f t="shared" si="101"/>
        <v>627709.09338462527</v>
      </c>
      <c r="O141" s="82">
        <f t="shared" si="101"/>
        <v>700694.47542365745</v>
      </c>
      <c r="P141" s="82">
        <f>P139-P140+P138</f>
        <v>1394675.8045539355</v>
      </c>
      <c r="Q141" s="82">
        <f t="shared" ref="Q141:S141" si="102">Q139-Q140+Q138</f>
        <v>902808.80051957828</v>
      </c>
      <c r="R141" s="82">
        <f t="shared" si="102"/>
        <v>908580.21641470026</v>
      </c>
      <c r="S141" s="82">
        <f t="shared" si="102"/>
        <v>742094.43564782606</v>
      </c>
    </row>
    <row r="142" spans="1:22" x14ac:dyDescent="0.25">
      <c r="E142" s="47"/>
      <c r="F142" s="47"/>
      <c r="G142" s="47"/>
      <c r="H142" s="47"/>
      <c r="I142" s="47"/>
      <c r="J142" s="47"/>
      <c r="K142" s="47"/>
      <c r="M142" s="47"/>
      <c r="N142" s="47"/>
      <c r="O142" s="47"/>
      <c r="P142" s="47"/>
      <c r="Q142" s="47"/>
      <c r="R142" s="47"/>
      <c r="S142" s="47"/>
    </row>
    <row r="143" spans="1:22" x14ac:dyDescent="0.25">
      <c r="A143" s="46" t="s">
        <v>139</v>
      </c>
      <c r="E143" s="47"/>
      <c r="F143" s="47"/>
      <c r="G143" s="47"/>
      <c r="H143" s="47"/>
      <c r="I143" s="47"/>
      <c r="J143" s="47"/>
      <c r="K143" s="47"/>
      <c r="M143" s="47"/>
      <c r="N143" s="47"/>
      <c r="O143" s="47"/>
      <c r="P143" s="47"/>
      <c r="Q143" s="47"/>
      <c r="R143" s="47"/>
      <c r="S143" s="47"/>
    </row>
    <row r="144" spans="1:22" x14ac:dyDescent="0.25">
      <c r="B144" s="1" t="s">
        <v>202</v>
      </c>
      <c r="C144" s="8">
        <f>-C6</f>
        <v>-2981160</v>
      </c>
      <c r="H144" s="47"/>
      <c r="U144" s="47" t="s">
        <v>140</v>
      </c>
      <c r="V144" s="37">
        <f>SUM(S49:S52)-SUM(S53:S56)</f>
        <v>12216666.666666666</v>
      </c>
    </row>
    <row r="145" spans="1:22" x14ac:dyDescent="0.25">
      <c r="B145" s="1" t="s">
        <v>203</v>
      </c>
      <c r="C145" s="7">
        <v>-3600000</v>
      </c>
      <c r="E145" s="47"/>
      <c r="F145" s="47"/>
      <c r="G145" s="47"/>
      <c r="H145" s="47"/>
      <c r="P145" s="37"/>
      <c r="Q145" s="47" t="s">
        <v>141</v>
      </c>
      <c r="S145" s="37">
        <f>120%*V144</f>
        <v>14659999.999999998</v>
      </c>
    </row>
    <row r="146" spans="1:22" x14ac:dyDescent="0.25">
      <c r="B146" s="1" t="s">
        <v>207</v>
      </c>
      <c r="E146" s="37">
        <f>-'Mortage 3'!B2</f>
        <v>-3600000</v>
      </c>
      <c r="P146" s="37"/>
      <c r="Q146" s="1" t="s">
        <v>142</v>
      </c>
      <c r="S146" s="37">
        <f>-V146*T38</f>
        <v>-855166.66666666616</v>
      </c>
      <c r="U146" s="1" t="s">
        <v>143</v>
      </c>
      <c r="V146" s="37">
        <f>S145-V144</f>
        <v>2443333.3333333321</v>
      </c>
    </row>
    <row r="147" spans="1:22" x14ac:dyDescent="0.25">
      <c r="B147" s="1" t="s">
        <v>211</v>
      </c>
      <c r="G147" s="37">
        <f>-'Mortage 4'!B2</f>
        <v>-6500000</v>
      </c>
      <c r="K147" s="37"/>
      <c r="V147" s="37"/>
    </row>
    <row r="148" spans="1:22" x14ac:dyDescent="0.25">
      <c r="B148" s="1" t="s">
        <v>227</v>
      </c>
      <c r="I148" s="37">
        <f>-'Mortage 5'!B2</f>
        <v>-4800000</v>
      </c>
      <c r="K148" s="37"/>
      <c r="V148" s="37"/>
    </row>
    <row r="149" spans="1:22" x14ac:dyDescent="0.25">
      <c r="K149" s="37"/>
      <c r="V149" s="37"/>
    </row>
    <row r="150" spans="1:22" x14ac:dyDescent="0.25">
      <c r="K150" s="37"/>
      <c r="V150" s="37"/>
    </row>
    <row r="152" spans="1:22" x14ac:dyDescent="0.25">
      <c r="A152" s="46" t="s">
        <v>144</v>
      </c>
    </row>
    <row r="153" spans="1:22" x14ac:dyDescent="0.25">
      <c r="A153" s="1" t="s">
        <v>145</v>
      </c>
      <c r="B153" s="1" t="s">
        <v>21</v>
      </c>
      <c r="D153" s="8">
        <f>-(D46-C46)</f>
        <v>-24180</v>
      </c>
      <c r="E153" s="8">
        <f t="shared" ref="E153:K153" si="103">-(E46-D46)</f>
        <v>-32793.780499999993</v>
      </c>
      <c r="F153" s="8">
        <f t="shared" si="103"/>
        <v>-2066.1719183625028</v>
      </c>
      <c r="G153" s="8">
        <f t="shared" si="103"/>
        <v>-42623.177168328832</v>
      </c>
      <c r="H153" s="8">
        <f t="shared" si="103"/>
        <v>-3686.7196841780242</v>
      </c>
      <c r="I153" s="8">
        <f t="shared" si="103"/>
        <v>-26049.383086134811</v>
      </c>
      <c r="J153" s="8">
        <f t="shared" si="103"/>
        <v>-4766.0602769905527</v>
      </c>
      <c r="K153" s="8">
        <f t="shared" si="103"/>
        <v>-56394.068625182816</v>
      </c>
      <c r="L153" s="8">
        <f>-(L46-K46)</f>
        <v>-6984.6309067225957</v>
      </c>
      <c r="M153" s="8">
        <f t="shared" ref="M153:N153" si="104">-(M46-L46)</f>
        <v>-7238.2956721420051</v>
      </c>
      <c r="N153" s="8">
        <f t="shared" si="104"/>
        <v>-7501.1844010275963</v>
      </c>
      <c r="O153" s="8">
        <f t="shared" ref="O153" si="105">-(O46-N46)</f>
        <v>-7773.6329216769955</v>
      </c>
      <c r="P153" s="8">
        <f t="shared" ref="P153" si="106">-(P46-O46)</f>
        <v>-8055.9893045880599</v>
      </c>
      <c r="Q153" s="8">
        <f t="shared" ref="Q153" si="107">-(Q46-P46)</f>
        <v>-8348.6143092894345</v>
      </c>
      <c r="R153" s="8">
        <f t="shared" ref="R153" si="108">-(R46-Q46)</f>
        <v>-8651.8818475009466</v>
      </c>
      <c r="S153" s="8">
        <f>-(S46)</f>
        <v>-256079.77008534496</v>
      </c>
    </row>
    <row r="154" spans="1:22" x14ac:dyDescent="0.25">
      <c r="A154" s="1" t="s">
        <v>146</v>
      </c>
      <c r="B154" s="1" t="s">
        <v>147</v>
      </c>
      <c r="D154" s="79">
        <f>D140</f>
        <v>0</v>
      </c>
      <c r="E154" s="79">
        <f t="shared" ref="E154:J154" si="109">E140</f>
        <v>4050.1352236558928</v>
      </c>
      <c r="F154" s="79">
        <f t="shared" si="109"/>
        <v>0</v>
      </c>
      <c r="G154" s="79">
        <f t="shared" si="109"/>
        <v>36089.906036474255</v>
      </c>
      <c r="H154" s="79">
        <f t="shared" si="109"/>
        <v>106206.09097745841</v>
      </c>
      <c r="I154" s="79">
        <f t="shared" si="109"/>
        <v>167561.68782228456</v>
      </c>
      <c r="J154" s="79">
        <f t="shared" si="109"/>
        <v>166459.36535016017</v>
      </c>
      <c r="K154" s="48">
        <f>K140</f>
        <v>221697.35724150506</v>
      </c>
      <c r="L154" s="79">
        <f>L140</f>
        <v>317694.58494325669</v>
      </c>
      <c r="M154" s="79">
        <f t="shared" ref="M154:N154" si="110">M140</f>
        <v>321087.40659523971</v>
      </c>
      <c r="N154" s="79">
        <f t="shared" si="110"/>
        <v>215048.48618146486</v>
      </c>
      <c r="O154" s="79">
        <f t="shared" ref="O154:S154" si="111">O140</f>
        <v>254348.30727940527</v>
      </c>
      <c r="P154" s="79">
        <f t="shared" si="111"/>
        <v>628030.56142647809</v>
      </c>
      <c r="Q154" s="79">
        <f t="shared" si="111"/>
        <v>363179.0977156703</v>
      </c>
      <c r="R154" s="79">
        <f t="shared" si="111"/>
        <v>366286.78319765907</v>
      </c>
      <c r="S154" s="79">
        <f t="shared" si="111"/>
        <v>276640.59355395759</v>
      </c>
    </row>
    <row r="155" spans="1:22" x14ac:dyDescent="0.25">
      <c r="A155" s="1" t="s">
        <v>146</v>
      </c>
      <c r="B155" s="1" t="s">
        <v>148</v>
      </c>
      <c r="E155" s="8"/>
      <c r="F155" s="8"/>
      <c r="G155" s="8"/>
      <c r="H155" s="8"/>
      <c r="I155" s="8"/>
      <c r="J155" s="8"/>
      <c r="K155" s="8"/>
      <c r="M155" s="8"/>
      <c r="N155" s="8"/>
      <c r="O155" s="8"/>
      <c r="P155" s="8"/>
      <c r="Q155" s="8"/>
      <c r="R155" s="8"/>
      <c r="S155" s="8"/>
    </row>
    <row r="157" spans="1:22" x14ac:dyDescent="0.25">
      <c r="A157" s="46" t="s">
        <v>149</v>
      </c>
    </row>
    <row r="158" spans="1:22" x14ac:dyDescent="0.25">
      <c r="A158" s="1" t="s">
        <v>146</v>
      </c>
      <c r="B158" s="1" t="s">
        <v>21</v>
      </c>
      <c r="D158" s="8">
        <f>D46-C46</f>
        <v>24180</v>
      </c>
      <c r="E158" s="8">
        <f t="shared" ref="E158:K158" si="112">E46-D46</f>
        <v>32793.780499999993</v>
      </c>
      <c r="F158" s="8">
        <f t="shared" si="112"/>
        <v>2066.1719183625028</v>
      </c>
      <c r="G158" s="8">
        <f t="shared" si="112"/>
        <v>42623.177168328832</v>
      </c>
      <c r="H158" s="8">
        <f t="shared" si="112"/>
        <v>3686.7196841780242</v>
      </c>
      <c r="I158" s="8">
        <f t="shared" si="112"/>
        <v>26049.383086134811</v>
      </c>
      <c r="J158" s="8">
        <f t="shared" si="112"/>
        <v>4766.0602769905527</v>
      </c>
      <c r="K158" s="8">
        <f t="shared" si="112"/>
        <v>56394.068625182816</v>
      </c>
      <c r="L158" s="8">
        <f>L46-K46</f>
        <v>6984.6309067225957</v>
      </c>
      <c r="M158" s="8">
        <f t="shared" ref="M158:N158" si="113">M46-L46</f>
        <v>7238.2956721420051</v>
      </c>
      <c r="N158" s="8">
        <f t="shared" si="113"/>
        <v>7501.1844010275963</v>
      </c>
      <c r="O158" s="8">
        <f t="shared" ref="O158" si="114">O46-N46</f>
        <v>7773.6329216769955</v>
      </c>
      <c r="P158" s="8">
        <f t="shared" ref="P158" si="115">P46-O46</f>
        <v>8055.9893045880599</v>
      </c>
      <c r="Q158" s="8">
        <f t="shared" ref="Q158" si="116">Q46-P46</f>
        <v>8348.6143092894345</v>
      </c>
      <c r="R158" s="8">
        <f t="shared" ref="R158" si="117">R46-Q46</f>
        <v>8651.8818475009466</v>
      </c>
      <c r="S158" s="8">
        <f>S46</f>
        <v>256079.77008534496</v>
      </c>
    </row>
    <row r="159" spans="1:22" x14ac:dyDescent="0.25">
      <c r="A159" s="1" t="s">
        <v>145</v>
      </c>
      <c r="B159" s="1" t="s">
        <v>147</v>
      </c>
      <c r="D159" s="79">
        <f>-D140</f>
        <v>0</v>
      </c>
      <c r="E159" s="79">
        <f>-E140</f>
        <v>-4050.1352236558928</v>
      </c>
      <c r="F159" s="79">
        <f t="shared" ref="F159:J159" si="118">-F140</f>
        <v>0</v>
      </c>
      <c r="G159" s="79">
        <f t="shared" si="118"/>
        <v>-36089.906036474255</v>
      </c>
      <c r="H159" s="79">
        <f t="shared" si="118"/>
        <v>-106206.09097745841</v>
      </c>
      <c r="I159" s="79">
        <f t="shared" si="118"/>
        <v>-167561.68782228456</v>
      </c>
      <c r="J159" s="79">
        <f t="shared" si="118"/>
        <v>-166459.36535016017</v>
      </c>
      <c r="K159" s="48">
        <f>-K140</f>
        <v>-221697.35724150506</v>
      </c>
      <c r="L159" s="79">
        <f>-L140</f>
        <v>-317694.58494325669</v>
      </c>
      <c r="M159" s="79">
        <f>-M140</f>
        <v>-321087.40659523971</v>
      </c>
      <c r="N159" s="79">
        <f t="shared" ref="N159:O159" si="119">-N140</f>
        <v>-215048.48618146486</v>
      </c>
      <c r="O159" s="79">
        <f t="shared" si="119"/>
        <v>-254348.30727940527</v>
      </c>
      <c r="P159" s="79">
        <f t="shared" ref="P159:R159" si="120">-P140</f>
        <v>-628030.56142647809</v>
      </c>
      <c r="Q159" s="79">
        <f t="shared" si="120"/>
        <v>-363179.0977156703</v>
      </c>
      <c r="R159" s="79">
        <f t="shared" si="120"/>
        <v>-366286.78319765907</v>
      </c>
      <c r="S159" s="79">
        <f>-S140</f>
        <v>-276640.59355395759</v>
      </c>
    </row>
    <row r="160" spans="1:22" x14ac:dyDescent="0.25">
      <c r="A160" s="1" t="s">
        <v>145</v>
      </c>
      <c r="B160" s="1" t="s">
        <v>148</v>
      </c>
      <c r="K160" s="8"/>
    </row>
    <row r="162" spans="1:19" x14ac:dyDescent="0.25">
      <c r="A162" s="46" t="s">
        <v>150</v>
      </c>
      <c r="C162" s="37">
        <f>SUM(C141:C161)</f>
        <v>-6581160</v>
      </c>
      <c r="D162" s="37">
        <f>SUM(D141:D161)</f>
        <v>16480</v>
      </c>
      <c r="E162" s="37">
        <f>SUM(E141:E161)</f>
        <v>-3364144.9869655916</v>
      </c>
      <c r="F162" s="37">
        <f t="shared" ref="F162:J162" si="121">SUM(F141:F161)</f>
        <v>222772.57508103549</v>
      </c>
      <c r="G162" s="37">
        <f t="shared" si="121"/>
        <v>-6204642.5554560721</v>
      </c>
      <c r="H162" s="37">
        <f t="shared" si="121"/>
        <v>425573.21657718474</v>
      </c>
      <c r="I162" s="37">
        <f t="shared" si="121"/>
        <v>-4260480.6749967095</v>
      </c>
      <c r="J162" s="37">
        <f t="shared" si="121"/>
        <v>537472.15469791659</v>
      </c>
      <c r="K162" s="37">
        <f>SUM(K141:K161)</f>
        <v>640056.99678184278</v>
      </c>
      <c r="L162" s="37">
        <f>SUM(L141:L161)</f>
        <v>818337.56251366728</v>
      </c>
      <c r="M162" s="37">
        <f>SUM(M141:M161)</f>
        <v>824638.51701020706</v>
      </c>
      <c r="N162" s="37">
        <f t="shared" ref="N162:O162" si="122">SUM(N141:N161)</f>
        <v>627709.09338462527</v>
      </c>
      <c r="O162" s="37">
        <f t="shared" si="122"/>
        <v>700694.47542365745</v>
      </c>
      <c r="P162" s="37">
        <f t="shared" ref="P162:R162" si="123">SUM(P141:P161)</f>
        <v>1394675.8045539358</v>
      </c>
      <c r="Q162" s="37">
        <f t="shared" si="123"/>
        <v>902808.80051957839</v>
      </c>
      <c r="R162" s="37">
        <f t="shared" si="123"/>
        <v>908580.2164147005</v>
      </c>
      <c r="S162" s="37">
        <f>SUM(S141:S161)</f>
        <v>14546927.768981159</v>
      </c>
    </row>
    <row r="163" spans="1:19" ht="15.75" thickBot="1" x14ac:dyDescent="0.3"/>
    <row r="164" spans="1:19" ht="15.75" thickBot="1" x14ac:dyDescent="0.3">
      <c r="B164" s="49" t="s">
        <v>151</v>
      </c>
      <c r="C164" s="50">
        <f>IRR(C162:S162)</f>
        <v>8.8861885813074082E-3</v>
      </c>
    </row>
    <row r="165" spans="1:19" x14ac:dyDescent="0.25">
      <c r="B165" s="1" t="s">
        <v>152</v>
      </c>
      <c r="C165" s="1">
        <v>0</v>
      </c>
      <c r="D165" s="1">
        <v>1</v>
      </c>
      <c r="E165" s="1">
        <v>2</v>
      </c>
      <c r="F165" s="1">
        <v>3</v>
      </c>
      <c r="G165" s="1">
        <v>4</v>
      </c>
      <c r="H165" s="1">
        <v>5</v>
      </c>
      <c r="I165" s="1">
        <v>6</v>
      </c>
      <c r="J165" s="1">
        <v>7</v>
      </c>
      <c r="K165" s="1">
        <v>8</v>
      </c>
      <c r="L165" s="1">
        <v>9</v>
      </c>
      <c r="M165" s="1">
        <v>10</v>
      </c>
      <c r="N165" s="1">
        <v>11</v>
      </c>
      <c r="O165" s="1">
        <v>12</v>
      </c>
      <c r="P165" s="1">
        <v>13</v>
      </c>
      <c r="Q165" s="1">
        <v>14</v>
      </c>
      <c r="R165" s="1">
        <v>15</v>
      </c>
      <c r="S165" s="1">
        <v>16</v>
      </c>
    </row>
    <row r="166" spans="1:19" ht="15.75" thickBot="1" x14ac:dyDescent="0.3">
      <c r="B166" s="1" t="s">
        <v>153</v>
      </c>
      <c r="C166" s="51">
        <f>-PV($C$126,C165,,C162)</f>
        <v>-6581160</v>
      </c>
      <c r="D166" s="51">
        <f t="shared" ref="D166:J166" si="124">-PV($C$126,D165,,D162)</f>
        <v>15732.709831677434</v>
      </c>
      <c r="E166" s="51">
        <f t="shared" si="124"/>
        <v>-3065966.1482799649</v>
      </c>
      <c r="F166" s="51">
        <f t="shared" si="124"/>
        <v>193820.94255228664</v>
      </c>
      <c r="G166" s="51">
        <f t="shared" si="124"/>
        <v>-5153497.489577421</v>
      </c>
      <c r="H166" s="51">
        <f t="shared" si="124"/>
        <v>337447.26681943919</v>
      </c>
      <c r="I166" s="51">
        <f t="shared" si="124"/>
        <v>-3225050.7427431126</v>
      </c>
      <c r="J166" s="51">
        <f t="shared" si="124"/>
        <v>388400.91749100568</v>
      </c>
      <c r="K166" s="51">
        <f>-PV($C$126,K165,,K162)</f>
        <v>441559.52012345725</v>
      </c>
      <c r="L166" s="51">
        <f t="shared" ref="L166:N166" si="125">-PV($C$126,L165,,L162)</f>
        <v>538951.16477414418</v>
      </c>
      <c r="M166" s="51">
        <f t="shared" si="125"/>
        <v>518473.86545225122</v>
      </c>
      <c r="N166" s="51">
        <f t="shared" si="125"/>
        <v>376762.78598218231</v>
      </c>
      <c r="O166" s="51">
        <f t="shared" ref="O166:R166" si="126">-PV($C$126,O165,,O162)</f>
        <v>401499.12045994349</v>
      </c>
      <c r="P166" s="51">
        <f t="shared" si="126"/>
        <v>762913.84604885941</v>
      </c>
      <c r="Q166" s="51">
        <f t="shared" si="126"/>
        <v>471459.44390373863</v>
      </c>
      <c r="R166" s="51">
        <f t="shared" si="126"/>
        <v>452958.23243447364</v>
      </c>
      <c r="S166" s="51">
        <f>-PV($C$126,S165,,S162)</f>
        <v>6923289.448072182</v>
      </c>
    </row>
    <row r="167" spans="1:19" ht="15.75" thickBot="1" x14ac:dyDescent="0.3">
      <c r="B167" s="49" t="s">
        <v>154</v>
      </c>
      <c r="C167" s="86">
        <f>SUM(C166:S166)</f>
        <v>-6202405.1166548561</v>
      </c>
    </row>
  </sheetData>
  <sheetProtection selectLockedCells="1" selectUnlockedCells="1"/>
  <mergeCells count="5">
    <mergeCell ref="A1:B1"/>
    <mergeCell ref="A9:B9"/>
    <mergeCell ref="A14:B14"/>
    <mergeCell ref="A24:B24"/>
    <mergeCell ref="A74:S74"/>
  </mergeCells>
  <pageMargins left="0.7" right="0.7" top="0.75" bottom="0.75" header="0.51180555555555551" footer="0.51180555555555551"/>
  <pageSetup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zoomScale="90" zoomScaleNormal="90" workbookViewId="0">
      <selection activeCell="I37" sqref="I37:S41"/>
    </sheetView>
  </sheetViews>
  <sheetFormatPr defaultRowHeight="12.75" x14ac:dyDescent="0.2"/>
  <cols>
    <col min="1" max="1" width="43.42578125" customWidth="1"/>
    <col min="2" max="2" width="13.5703125" customWidth="1"/>
    <col min="3" max="3" width="4.140625" customWidth="1"/>
    <col min="4" max="4" width="16.140625" bestFit="1" customWidth="1"/>
    <col min="5" max="7" width="17.42578125" bestFit="1" customWidth="1"/>
    <col min="8" max="18" width="17.42578125" customWidth="1"/>
    <col min="19" max="19" width="12.85546875" customWidth="1"/>
    <col min="20" max="20" width="7.85546875" bestFit="1" customWidth="1"/>
    <col min="21" max="21" width="17" customWidth="1"/>
  </cols>
  <sheetData>
    <row r="1" spans="1:21" ht="15" x14ac:dyDescent="0.25">
      <c r="A1" s="1"/>
      <c r="B1" s="1"/>
      <c r="C1" s="14"/>
      <c r="D1" s="14">
        <v>41274</v>
      </c>
      <c r="E1" s="14">
        <v>41639</v>
      </c>
      <c r="F1" s="14">
        <v>42004</v>
      </c>
      <c r="G1" s="14">
        <v>42369</v>
      </c>
      <c r="H1" s="14">
        <v>42735</v>
      </c>
      <c r="I1" s="14">
        <v>43100</v>
      </c>
      <c r="J1" s="14">
        <v>43465</v>
      </c>
      <c r="K1" s="14">
        <v>43830</v>
      </c>
      <c r="L1" s="14">
        <v>44196</v>
      </c>
      <c r="M1" s="14">
        <v>44561</v>
      </c>
      <c r="N1" s="14">
        <v>44926</v>
      </c>
      <c r="O1" s="14">
        <v>45291</v>
      </c>
      <c r="P1" s="14">
        <v>45292</v>
      </c>
      <c r="Q1" s="14">
        <v>45659</v>
      </c>
      <c r="R1" s="14">
        <v>46025</v>
      </c>
      <c r="S1" s="14">
        <v>46391</v>
      </c>
      <c r="T1" s="1"/>
      <c r="U1" s="1"/>
    </row>
    <row r="2" spans="1:21" ht="15" x14ac:dyDescent="0.25">
      <c r="A2" s="1" t="s">
        <v>191</v>
      </c>
      <c r="B2" s="37">
        <v>15814.12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</row>
    <row r="3" spans="1:21" ht="15" x14ac:dyDescent="0.25">
      <c r="A3" s="1" t="s">
        <v>192</v>
      </c>
      <c r="B3" s="37">
        <v>65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</row>
    <row r="4" spans="1:21" ht="15" x14ac:dyDescent="0.25">
      <c r="A4" s="1" t="s">
        <v>193</v>
      </c>
      <c r="B4" s="1">
        <v>17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"/>
      <c r="U4" s="1"/>
    </row>
    <row r="5" spans="1:21" ht="15" x14ac:dyDescent="0.25">
      <c r="A5" s="1" t="s">
        <v>194</v>
      </c>
      <c r="B5" s="83">
        <v>45864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"/>
      <c r="U5" s="1"/>
    </row>
    <row r="6" spans="1:21" ht="15" x14ac:dyDescent="0.25">
      <c r="A6" s="1" t="s">
        <v>200</v>
      </c>
      <c r="B6" s="7">
        <v>3600000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"/>
      <c r="U6" s="1"/>
    </row>
    <row r="7" spans="1:21" ht="15" x14ac:dyDescent="0.25">
      <c r="A7" s="1"/>
      <c r="B7" s="7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"/>
      <c r="U7" s="1"/>
    </row>
    <row r="8" spans="1:21" ht="15" x14ac:dyDescent="0.25">
      <c r="A8" s="3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x14ac:dyDescent="0.25">
      <c r="A9" s="65" t="s">
        <v>201</v>
      </c>
      <c r="B9" s="1"/>
      <c r="C9" s="1"/>
      <c r="D9" s="83">
        <f>(D10*$B$13*D40)+(D11*$B$14*D41)</f>
        <v>24180</v>
      </c>
      <c r="E9" s="83">
        <f t="shared" ref="E9:O9" si="0">(E10*$B$13*E40)+(E11*$B$14*E41)+(E17*$B$17*E40)+(E18*$B$18*E41)</f>
        <v>56973.780500000001</v>
      </c>
      <c r="F9" s="83">
        <f t="shared" si="0"/>
        <v>59039.952418362496</v>
      </c>
      <c r="G9" s="83">
        <f t="shared" si="0"/>
        <v>61181.147459467575</v>
      </c>
      <c r="H9" s="83">
        <f t="shared" si="0"/>
        <v>63400.093119688034</v>
      </c>
      <c r="I9" s="83">
        <f t="shared" si="0"/>
        <v>65699.616178502081</v>
      </c>
      <c r="J9" s="83">
        <f t="shared" si="0"/>
        <v>68082.646316997358</v>
      </c>
      <c r="K9" s="83">
        <f t="shared" si="0"/>
        <v>70552.219868420754</v>
      </c>
      <c r="L9" s="83">
        <f t="shared" si="0"/>
        <v>73111.483705598439</v>
      </c>
      <c r="M9" s="83">
        <f t="shared" si="0"/>
        <v>75763.699270227531</v>
      </c>
      <c r="N9" s="83">
        <f t="shared" si="0"/>
        <v>78512.246749222759</v>
      </c>
      <c r="O9" s="83">
        <f t="shared" si="0"/>
        <v>81360.62940349261</v>
      </c>
      <c r="P9" s="83">
        <f t="shared" ref="P9:S9" si="1">(P10*$B$13*P40)+(P11*$B$14*P41)+(P17*$B$17*P40)+(P18*$B$18*P41)</f>
        <v>84312.478054714564</v>
      </c>
      <c r="Q9" s="83">
        <f t="shared" si="1"/>
        <v>87371.555735884031</v>
      </c>
      <c r="R9" s="83">
        <f t="shared" si="1"/>
        <v>90541.762511622044</v>
      </c>
      <c r="S9" s="83">
        <f t="shared" si="1"/>
        <v>93827.140474446191</v>
      </c>
      <c r="T9" s="4"/>
      <c r="U9" s="1"/>
    </row>
    <row r="10" spans="1:21" ht="15" x14ac:dyDescent="0.25">
      <c r="A10" s="65" t="s">
        <v>113</v>
      </c>
      <c r="B10" s="1"/>
      <c r="C10" s="1"/>
      <c r="D10" s="83">
        <v>1000</v>
      </c>
      <c r="E10" s="83">
        <f>D10*(1+$T$10)</f>
        <v>1030</v>
      </c>
      <c r="F10" s="83">
        <f t="shared" ref="F10:G10" si="2">E10*(1+$T$10)</f>
        <v>1060.9000000000001</v>
      </c>
      <c r="G10" s="83">
        <f t="shared" si="2"/>
        <v>1092.7270000000001</v>
      </c>
      <c r="H10" s="83">
        <f>G10*(1+$T$10)</f>
        <v>1125.50881</v>
      </c>
      <c r="I10" s="83">
        <f t="shared" ref="I10:J10" si="3">H10*(1+$T$10)</f>
        <v>1159.2740743000002</v>
      </c>
      <c r="J10" s="83">
        <f t="shared" si="3"/>
        <v>1194.0522965290002</v>
      </c>
      <c r="K10" s="83">
        <f>J10*(1+$T$10)</f>
        <v>1229.8738654248702</v>
      </c>
      <c r="L10" s="83">
        <f t="shared" ref="L10:O10" si="4">K10*(1+$T$10)</f>
        <v>1266.7700813876163</v>
      </c>
      <c r="M10" s="83">
        <f t="shared" si="4"/>
        <v>1304.7731838292448</v>
      </c>
      <c r="N10" s="83">
        <f t="shared" si="4"/>
        <v>1343.9163793441221</v>
      </c>
      <c r="O10" s="83">
        <f t="shared" si="4"/>
        <v>1384.2338707244458</v>
      </c>
      <c r="P10" s="83">
        <f t="shared" ref="P10" si="5">O10*(1+$T$10)</f>
        <v>1425.7608868461791</v>
      </c>
      <c r="Q10" s="83">
        <f t="shared" ref="Q10" si="6">P10*(1+$T$10)</f>
        <v>1468.5337134515646</v>
      </c>
      <c r="R10" s="83">
        <f t="shared" ref="R10" si="7">Q10*(1+$T$10)</f>
        <v>1512.5897248551116</v>
      </c>
      <c r="S10" s="83">
        <f t="shared" ref="S10" si="8">R10*(1+$T$10)</f>
        <v>1557.9674166007651</v>
      </c>
      <c r="T10" s="4">
        <v>0.03</v>
      </c>
      <c r="U10" s="1" t="s">
        <v>1</v>
      </c>
    </row>
    <row r="11" spans="1:21" ht="15" x14ac:dyDescent="0.25">
      <c r="A11" s="65" t="s">
        <v>114</v>
      </c>
      <c r="B11" s="1"/>
      <c r="C11" s="1"/>
      <c r="D11" s="83">
        <v>1300</v>
      </c>
      <c r="E11" s="83">
        <f>D11*(1+$T$10)</f>
        <v>1339</v>
      </c>
      <c r="F11" s="83">
        <f t="shared" ref="F11:G11" si="9">E11*(1+$T$10)</f>
        <v>1379.17</v>
      </c>
      <c r="G11" s="83">
        <f t="shared" si="9"/>
        <v>1420.5451</v>
      </c>
      <c r="H11" s="83">
        <f>G11*(1+$T$11)</f>
        <v>1463.1614530000002</v>
      </c>
      <c r="I11" s="83">
        <f t="shared" ref="I11:K11" si="10">H11*(1+$T$11)</f>
        <v>1507.0562965900001</v>
      </c>
      <c r="J11" s="83">
        <f t="shared" si="10"/>
        <v>1552.2679854877001</v>
      </c>
      <c r="K11" s="83">
        <f t="shared" si="10"/>
        <v>1598.8360250523313</v>
      </c>
      <c r="L11" s="83">
        <f t="shared" ref="L11" si="11">K11*(1+$T$11)</f>
        <v>1646.8011058039012</v>
      </c>
      <c r="M11" s="83">
        <f t="shared" ref="M11" si="12">L11*(1+$T$11)</f>
        <v>1696.2051389780183</v>
      </c>
      <c r="N11" s="83">
        <f t="shared" ref="N11" si="13">M11*(1+$T$11)</f>
        <v>1747.091293147359</v>
      </c>
      <c r="O11" s="83">
        <f t="shared" ref="O11" si="14">N11*(1+$T$11)</f>
        <v>1799.5040319417799</v>
      </c>
      <c r="P11" s="83">
        <f t="shared" ref="P11" si="15">O11*(1+$T$11)</f>
        <v>1853.4891529000333</v>
      </c>
      <c r="Q11" s="83">
        <f t="shared" ref="Q11" si="16">P11*(1+$T$11)</f>
        <v>1909.0938274870343</v>
      </c>
      <c r="R11" s="83">
        <f t="shared" ref="R11" si="17">Q11*(1+$T$11)</f>
        <v>1966.3666423116454</v>
      </c>
      <c r="S11" s="83">
        <f t="shared" ref="S11" si="18">R11*(1+$T$11)</f>
        <v>2025.3576415809948</v>
      </c>
      <c r="T11" s="4">
        <v>0.03</v>
      </c>
      <c r="U11" s="1" t="s">
        <v>1</v>
      </c>
    </row>
    <row r="12" spans="1:21" ht="15" x14ac:dyDescent="0.25">
      <c r="A12" s="22" t="s">
        <v>190</v>
      </c>
      <c r="B12" s="1"/>
      <c r="C12" s="1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4"/>
      <c r="U12" s="1"/>
    </row>
    <row r="13" spans="1:21" ht="15" x14ac:dyDescent="0.25">
      <c r="A13" s="65" t="s">
        <v>119</v>
      </c>
      <c r="B13" s="1">
        <v>13</v>
      </c>
      <c r="C13" s="1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4"/>
      <c r="U13" s="1"/>
    </row>
    <row r="14" spans="1:21" ht="15" x14ac:dyDescent="0.25">
      <c r="A14" s="65" t="s">
        <v>120</v>
      </c>
      <c r="B14" s="1">
        <v>13</v>
      </c>
      <c r="C14" s="1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4"/>
      <c r="U14" s="1"/>
    </row>
    <row r="15" spans="1:21" ht="15" x14ac:dyDescent="0.25">
      <c r="A15" s="65"/>
      <c r="B15" s="1">
        <f>SUM(B13:B14)</f>
        <v>26</v>
      </c>
      <c r="C15" s="1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4"/>
      <c r="U15" s="1"/>
    </row>
    <row r="16" spans="1:21" ht="15" x14ac:dyDescent="0.25">
      <c r="A16" s="22" t="s">
        <v>199</v>
      </c>
      <c r="C16" s="4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4"/>
      <c r="U16" s="1"/>
    </row>
    <row r="17" spans="1:21" ht="15" x14ac:dyDescent="0.25">
      <c r="A17" s="65" t="s">
        <v>119</v>
      </c>
      <c r="B17" s="1">
        <v>16</v>
      </c>
      <c r="C17" s="4"/>
      <c r="D17" s="89"/>
      <c r="E17" s="89">
        <f t="shared" ref="E17:K18" si="19">E10</f>
        <v>1030</v>
      </c>
      <c r="F17" s="89">
        <f t="shared" si="19"/>
        <v>1060.9000000000001</v>
      </c>
      <c r="G17" s="89">
        <f t="shared" si="19"/>
        <v>1092.7270000000001</v>
      </c>
      <c r="H17" s="89">
        <f t="shared" si="19"/>
        <v>1125.50881</v>
      </c>
      <c r="I17" s="89">
        <f t="shared" si="19"/>
        <v>1159.2740743000002</v>
      </c>
      <c r="J17" s="89">
        <f t="shared" si="19"/>
        <v>1194.0522965290002</v>
      </c>
      <c r="K17" s="89">
        <f t="shared" si="19"/>
        <v>1229.8738654248702</v>
      </c>
      <c r="L17" s="89">
        <f t="shared" ref="L17:O17" si="20">L10</f>
        <v>1266.7700813876163</v>
      </c>
      <c r="M17" s="89">
        <f t="shared" si="20"/>
        <v>1304.7731838292448</v>
      </c>
      <c r="N17" s="89">
        <f t="shared" si="20"/>
        <v>1343.9163793441221</v>
      </c>
      <c r="O17" s="89">
        <f t="shared" si="20"/>
        <v>1384.2338707244458</v>
      </c>
      <c r="P17" s="89">
        <f t="shared" ref="P17:S17" si="21">P10</f>
        <v>1425.7608868461791</v>
      </c>
      <c r="Q17" s="89">
        <f t="shared" si="21"/>
        <v>1468.5337134515646</v>
      </c>
      <c r="R17" s="89">
        <f t="shared" si="21"/>
        <v>1512.5897248551116</v>
      </c>
      <c r="S17" s="89">
        <f t="shared" si="21"/>
        <v>1557.9674166007651</v>
      </c>
      <c r="T17" s="36"/>
      <c r="U17" s="1"/>
    </row>
    <row r="18" spans="1:21" ht="15" x14ac:dyDescent="0.25">
      <c r="A18" s="65" t="s">
        <v>120</v>
      </c>
      <c r="B18" s="1">
        <v>17</v>
      </c>
      <c r="C18" s="1">
        <f>SUM(B17:B18)</f>
        <v>33</v>
      </c>
      <c r="D18" s="89"/>
      <c r="E18" s="89">
        <f t="shared" si="19"/>
        <v>1339</v>
      </c>
      <c r="F18" s="89">
        <f t="shared" si="19"/>
        <v>1379.17</v>
      </c>
      <c r="G18" s="89">
        <f t="shared" si="19"/>
        <v>1420.5451</v>
      </c>
      <c r="H18" s="89">
        <f t="shared" si="19"/>
        <v>1463.1614530000002</v>
      </c>
      <c r="I18" s="89">
        <f t="shared" si="19"/>
        <v>1507.0562965900001</v>
      </c>
      <c r="J18" s="89">
        <f t="shared" si="19"/>
        <v>1552.2679854877001</v>
      </c>
      <c r="K18" s="89">
        <f t="shared" si="19"/>
        <v>1598.8360250523313</v>
      </c>
      <c r="L18" s="89">
        <f t="shared" ref="L18:O18" si="22">L11</f>
        <v>1646.8011058039012</v>
      </c>
      <c r="M18" s="89">
        <f t="shared" si="22"/>
        <v>1696.2051389780183</v>
      </c>
      <c r="N18" s="89">
        <f t="shared" si="22"/>
        <v>1747.091293147359</v>
      </c>
      <c r="O18" s="89">
        <f t="shared" si="22"/>
        <v>1799.5040319417799</v>
      </c>
      <c r="P18" s="89">
        <f t="shared" ref="P18:S18" si="23">P11</f>
        <v>1853.4891529000333</v>
      </c>
      <c r="Q18" s="89">
        <f t="shared" si="23"/>
        <v>1909.0938274870343</v>
      </c>
      <c r="R18" s="89">
        <f t="shared" si="23"/>
        <v>1966.3666423116454</v>
      </c>
      <c r="S18" s="89">
        <f t="shared" si="23"/>
        <v>2025.3576415809948</v>
      </c>
      <c r="T18" s="36"/>
      <c r="U18" s="1"/>
    </row>
    <row r="19" spans="1:21" ht="15" x14ac:dyDescent="0.25">
      <c r="A19" s="65"/>
      <c r="B19" s="1">
        <f>SUM(B15:B18)</f>
        <v>59</v>
      </c>
      <c r="C19" s="1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36"/>
      <c r="U19" s="1"/>
    </row>
    <row r="20" spans="1:21" ht="15" x14ac:dyDescent="0.25">
      <c r="A20" s="22" t="s">
        <v>215</v>
      </c>
      <c r="C20" s="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1"/>
      <c r="U20" s="1"/>
    </row>
    <row r="21" spans="1:21" ht="15" x14ac:dyDescent="0.25">
      <c r="A21" s="65" t="s">
        <v>119</v>
      </c>
      <c r="B21" s="1">
        <v>19</v>
      </c>
      <c r="C21" s="1"/>
      <c r="D21" s="91"/>
      <c r="E21" s="91"/>
      <c r="F21" s="91"/>
      <c r="G21" s="89">
        <f>G10</f>
        <v>1092.7270000000001</v>
      </c>
      <c r="H21" s="89">
        <f t="shared" ref="H21:O21" si="24">H10</f>
        <v>1125.50881</v>
      </c>
      <c r="I21" s="89">
        <f t="shared" si="24"/>
        <v>1159.2740743000002</v>
      </c>
      <c r="J21" s="89">
        <f t="shared" si="24"/>
        <v>1194.0522965290002</v>
      </c>
      <c r="K21" s="89">
        <f t="shared" si="24"/>
        <v>1229.8738654248702</v>
      </c>
      <c r="L21" s="89">
        <f t="shared" si="24"/>
        <v>1266.7700813876163</v>
      </c>
      <c r="M21" s="89">
        <f t="shared" si="24"/>
        <v>1304.7731838292448</v>
      </c>
      <c r="N21" s="89">
        <f t="shared" si="24"/>
        <v>1343.9163793441221</v>
      </c>
      <c r="O21" s="89">
        <f t="shared" si="24"/>
        <v>1384.2338707244458</v>
      </c>
      <c r="P21" s="89">
        <f t="shared" ref="P21:S21" si="25">P10</f>
        <v>1425.7608868461791</v>
      </c>
      <c r="Q21" s="89">
        <f t="shared" si="25"/>
        <v>1468.5337134515646</v>
      </c>
      <c r="R21" s="89">
        <f t="shared" si="25"/>
        <v>1512.5897248551116</v>
      </c>
      <c r="S21" s="89">
        <f t="shared" si="25"/>
        <v>1557.9674166007651</v>
      </c>
      <c r="T21" s="1"/>
      <c r="U21" s="1"/>
    </row>
    <row r="22" spans="1:21" ht="15" x14ac:dyDescent="0.25">
      <c r="A22" s="65" t="s">
        <v>120</v>
      </c>
      <c r="B22" s="1">
        <v>20</v>
      </c>
      <c r="C22" s="1">
        <f>SUM(B21:B22)</f>
        <v>39</v>
      </c>
      <c r="D22" s="91"/>
      <c r="E22" s="91"/>
      <c r="F22" s="91"/>
      <c r="G22" s="89">
        <f>G11</f>
        <v>1420.5451</v>
      </c>
      <c r="H22" s="89">
        <f t="shared" ref="H22:O22" si="26">H11</f>
        <v>1463.1614530000002</v>
      </c>
      <c r="I22" s="89">
        <f t="shared" si="26"/>
        <v>1507.0562965900001</v>
      </c>
      <c r="J22" s="89">
        <f t="shared" si="26"/>
        <v>1552.2679854877001</v>
      </c>
      <c r="K22" s="89">
        <f t="shared" si="26"/>
        <v>1598.8360250523313</v>
      </c>
      <c r="L22" s="89">
        <f t="shared" si="26"/>
        <v>1646.8011058039012</v>
      </c>
      <c r="M22" s="89">
        <f t="shared" si="26"/>
        <v>1696.2051389780183</v>
      </c>
      <c r="N22" s="89">
        <f t="shared" si="26"/>
        <v>1747.091293147359</v>
      </c>
      <c r="O22" s="89">
        <f t="shared" si="26"/>
        <v>1799.5040319417799</v>
      </c>
      <c r="P22" s="89">
        <f t="shared" ref="P22:S22" si="27">P11</f>
        <v>1853.4891529000333</v>
      </c>
      <c r="Q22" s="89">
        <f t="shared" si="27"/>
        <v>1909.0938274870343</v>
      </c>
      <c r="R22" s="89">
        <f t="shared" si="27"/>
        <v>1966.3666423116454</v>
      </c>
      <c r="S22" s="89">
        <f t="shared" si="27"/>
        <v>2025.3576415809948</v>
      </c>
      <c r="T22" s="1"/>
      <c r="U22" s="1"/>
    </row>
    <row r="23" spans="1:21" ht="15" x14ac:dyDescent="0.25">
      <c r="A23" s="65"/>
      <c r="B23" s="1">
        <f>SUM(B19:B22)</f>
        <v>98</v>
      </c>
      <c r="C23" s="1"/>
      <c r="D23" s="91"/>
      <c r="E23" s="91"/>
      <c r="F23" s="91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1"/>
      <c r="U23" s="1"/>
    </row>
    <row r="24" spans="1:21" ht="15" x14ac:dyDescent="0.25">
      <c r="A24" s="22" t="s">
        <v>216</v>
      </c>
      <c r="C24" s="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1"/>
      <c r="U24" s="1"/>
    </row>
    <row r="25" spans="1:21" ht="15" x14ac:dyDescent="0.25">
      <c r="A25" s="65" t="s">
        <v>119</v>
      </c>
      <c r="B25" s="1">
        <v>29</v>
      </c>
      <c r="C25" s="1"/>
      <c r="D25" s="91"/>
      <c r="E25" s="91"/>
      <c r="F25" s="91"/>
      <c r="G25" s="91"/>
      <c r="H25" s="91"/>
      <c r="I25" s="91">
        <f>I10</f>
        <v>1159.2740743000002</v>
      </c>
      <c r="J25" s="91">
        <f t="shared" ref="J25:O25" si="28">J10</f>
        <v>1194.0522965290002</v>
      </c>
      <c r="K25" s="91">
        <f t="shared" si="28"/>
        <v>1229.8738654248702</v>
      </c>
      <c r="L25" s="91">
        <f t="shared" si="28"/>
        <v>1266.7700813876163</v>
      </c>
      <c r="M25" s="91">
        <f t="shared" si="28"/>
        <v>1304.7731838292448</v>
      </c>
      <c r="N25" s="91">
        <f t="shared" si="28"/>
        <v>1343.9163793441221</v>
      </c>
      <c r="O25" s="91">
        <f t="shared" si="28"/>
        <v>1384.2338707244458</v>
      </c>
      <c r="P25" s="91">
        <f t="shared" ref="P25:S25" si="29">P10</f>
        <v>1425.7608868461791</v>
      </c>
      <c r="Q25" s="91">
        <f t="shared" si="29"/>
        <v>1468.5337134515646</v>
      </c>
      <c r="R25" s="91">
        <f t="shared" si="29"/>
        <v>1512.5897248551116</v>
      </c>
      <c r="S25" s="91">
        <f t="shared" si="29"/>
        <v>1557.9674166007651</v>
      </c>
      <c r="T25" s="1"/>
      <c r="U25" s="1"/>
    </row>
    <row r="26" spans="1:21" ht="15" x14ac:dyDescent="0.25">
      <c r="A26" s="65" t="s">
        <v>120</v>
      </c>
      <c r="B26" s="1">
        <v>30</v>
      </c>
      <c r="C26" s="1"/>
      <c r="D26" s="91"/>
      <c r="E26" s="91"/>
      <c r="F26" s="91"/>
      <c r="G26" s="91"/>
      <c r="H26" s="91"/>
      <c r="I26" s="91">
        <f>I11</f>
        <v>1507.0562965900001</v>
      </c>
      <c r="J26" s="91">
        <f t="shared" ref="J26:O26" si="30">J11</f>
        <v>1552.2679854877001</v>
      </c>
      <c r="K26" s="91">
        <f t="shared" si="30"/>
        <v>1598.8360250523313</v>
      </c>
      <c r="L26" s="91">
        <f t="shared" si="30"/>
        <v>1646.8011058039012</v>
      </c>
      <c r="M26" s="91">
        <f t="shared" si="30"/>
        <v>1696.2051389780183</v>
      </c>
      <c r="N26" s="91">
        <f t="shared" si="30"/>
        <v>1747.091293147359</v>
      </c>
      <c r="O26" s="91">
        <f t="shared" si="30"/>
        <v>1799.5040319417799</v>
      </c>
      <c r="P26" s="91">
        <f t="shared" ref="P26:S26" si="31">P11</f>
        <v>1853.4891529000333</v>
      </c>
      <c r="Q26" s="91">
        <f t="shared" si="31"/>
        <v>1909.0938274870343</v>
      </c>
      <c r="R26" s="91">
        <f t="shared" si="31"/>
        <v>1966.3666423116454</v>
      </c>
      <c r="S26" s="91">
        <f t="shared" si="31"/>
        <v>2025.3576415809948</v>
      </c>
      <c r="T26" s="1"/>
      <c r="U26" s="1"/>
    </row>
    <row r="27" spans="1:21" ht="15" x14ac:dyDescent="0.25">
      <c r="A27" s="65"/>
      <c r="B27" s="1">
        <f>SUM(B23:B26)</f>
        <v>157</v>
      </c>
      <c r="C27" s="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1"/>
      <c r="U27" s="1"/>
    </row>
    <row r="28" spans="1:21" ht="15" x14ac:dyDescent="0.25">
      <c r="A28" s="22" t="s">
        <v>217</v>
      </c>
      <c r="B28" s="1"/>
      <c r="C28" s="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1"/>
      <c r="U28" s="1"/>
    </row>
    <row r="29" spans="1:21" ht="15" x14ac:dyDescent="0.25">
      <c r="A29" s="65" t="s">
        <v>119</v>
      </c>
      <c r="B29" s="1">
        <v>21</v>
      </c>
      <c r="C29" s="1"/>
      <c r="D29" s="91"/>
      <c r="E29" s="91"/>
      <c r="F29" s="91"/>
      <c r="G29" s="91"/>
      <c r="H29" s="91"/>
      <c r="I29" s="91"/>
      <c r="J29" s="91"/>
      <c r="K29" s="91">
        <f>K10</f>
        <v>1229.8738654248702</v>
      </c>
      <c r="L29" s="91">
        <f t="shared" ref="L29:O29" si="32">L10</f>
        <v>1266.7700813876163</v>
      </c>
      <c r="M29" s="91">
        <f t="shared" si="32"/>
        <v>1304.7731838292448</v>
      </c>
      <c r="N29" s="91">
        <f t="shared" si="32"/>
        <v>1343.9163793441221</v>
      </c>
      <c r="O29" s="91">
        <f t="shared" si="32"/>
        <v>1384.2338707244458</v>
      </c>
      <c r="P29" s="91">
        <f t="shared" ref="P29:S29" si="33">P10</f>
        <v>1425.7608868461791</v>
      </c>
      <c r="Q29" s="91">
        <f t="shared" si="33"/>
        <v>1468.5337134515646</v>
      </c>
      <c r="R29" s="91">
        <f t="shared" si="33"/>
        <v>1512.5897248551116</v>
      </c>
      <c r="S29" s="91">
        <f t="shared" si="33"/>
        <v>1557.9674166007651</v>
      </c>
      <c r="T29" s="1"/>
      <c r="U29" s="1"/>
    </row>
    <row r="30" spans="1:21" ht="15" x14ac:dyDescent="0.25">
      <c r="A30" s="65" t="s">
        <v>120</v>
      </c>
      <c r="B30" s="1">
        <v>22</v>
      </c>
      <c r="C30" s="1"/>
      <c r="D30" s="91"/>
      <c r="E30" s="91"/>
      <c r="F30" s="91"/>
      <c r="G30" s="91"/>
      <c r="H30" s="91"/>
      <c r="I30" s="91"/>
      <c r="J30" s="91"/>
      <c r="K30" s="91">
        <f>K11</f>
        <v>1598.8360250523313</v>
      </c>
      <c r="L30" s="91">
        <f t="shared" ref="L30:O30" si="34">L11</f>
        <v>1646.8011058039012</v>
      </c>
      <c r="M30" s="91">
        <f t="shared" si="34"/>
        <v>1696.2051389780183</v>
      </c>
      <c r="N30" s="91">
        <f t="shared" si="34"/>
        <v>1747.091293147359</v>
      </c>
      <c r="O30" s="91">
        <f t="shared" si="34"/>
        <v>1799.5040319417799</v>
      </c>
      <c r="P30" s="91">
        <f t="shared" ref="P30:S30" si="35">P11</f>
        <v>1853.4891529000333</v>
      </c>
      <c r="Q30" s="91">
        <f t="shared" si="35"/>
        <v>1909.0938274870343</v>
      </c>
      <c r="R30" s="91">
        <f t="shared" si="35"/>
        <v>1966.3666423116454</v>
      </c>
      <c r="S30" s="91">
        <f t="shared" si="35"/>
        <v>2025.3576415809948</v>
      </c>
      <c r="T30" s="1"/>
      <c r="U30" s="1"/>
    </row>
    <row r="31" spans="1:21" ht="15" x14ac:dyDescent="0.25">
      <c r="A31" s="3"/>
      <c r="B31" s="1">
        <f>SUM(B27:B30)</f>
        <v>200</v>
      </c>
      <c r="C31" s="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1"/>
      <c r="U31" s="1"/>
    </row>
    <row r="32" spans="1:21" ht="15" x14ac:dyDescent="0.25">
      <c r="A32" s="3"/>
      <c r="B32" s="1"/>
      <c r="C32" s="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1"/>
      <c r="U32" s="1"/>
    </row>
    <row r="33" spans="1:21" ht="15" x14ac:dyDescent="0.25">
      <c r="A33" s="3" t="s">
        <v>229</v>
      </c>
      <c r="B33" s="7">
        <v>8000</v>
      </c>
      <c r="C33" s="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1"/>
      <c r="U33" s="1"/>
    </row>
    <row r="34" spans="1:21" ht="15" x14ac:dyDescent="0.25">
      <c r="A34" s="3" t="s">
        <v>230</v>
      </c>
      <c r="B34" s="1"/>
      <c r="C34" s="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1"/>
      <c r="U34" s="1"/>
    </row>
    <row r="35" spans="1:21" ht="15" x14ac:dyDescent="0.25">
      <c r="A35" s="3"/>
      <c r="B35" s="1"/>
      <c r="C35" s="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1"/>
      <c r="U35" s="1"/>
    </row>
    <row r="36" spans="1:21" ht="15" x14ac:dyDescent="0.25">
      <c r="A36" s="1" t="s">
        <v>112</v>
      </c>
      <c r="B36" s="1"/>
      <c r="C36" s="1"/>
      <c r="D36" s="91">
        <v>30</v>
      </c>
      <c r="E36" s="91">
        <f>D36*(1+$T$36)</f>
        <v>30</v>
      </c>
      <c r="F36" s="91">
        <f t="shared" ref="F36:G36" si="36">E36*(1+$T$36)</f>
        <v>30</v>
      </c>
      <c r="G36" s="91">
        <f t="shared" si="36"/>
        <v>30</v>
      </c>
      <c r="H36" s="91">
        <f t="shared" ref="H36" si="37">G36*(1+$T$36)</f>
        <v>30</v>
      </c>
      <c r="I36" s="91">
        <f t="shared" ref="I36" si="38">H36*(1+$T$36)</f>
        <v>30</v>
      </c>
      <c r="J36" s="91">
        <f t="shared" ref="J36" si="39">I36*(1+$T$36)</f>
        <v>30</v>
      </c>
      <c r="K36" s="91">
        <f t="shared" ref="K36" si="40">J36*(1+$T$36)</f>
        <v>30</v>
      </c>
      <c r="L36" s="91">
        <v>30</v>
      </c>
      <c r="M36" s="91">
        <f>L36*(1+$T$36)</f>
        <v>30</v>
      </c>
      <c r="N36" s="91">
        <f t="shared" ref="N36" si="41">M36*(1+$T$36)</f>
        <v>30</v>
      </c>
      <c r="O36" s="91">
        <f t="shared" ref="O36" si="42">N36*(1+$T$36)</f>
        <v>30</v>
      </c>
      <c r="P36" s="91">
        <f t="shared" ref="P36" si="43">O36*(1+$T$36)</f>
        <v>30</v>
      </c>
      <c r="Q36" s="91">
        <f t="shared" ref="Q36" si="44">P36*(1+$T$36)</f>
        <v>30</v>
      </c>
      <c r="R36" s="91">
        <f t="shared" ref="R36" si="45">Q36*(1+$T$36)</f>
        <v>30</v>
      </c>
      <c r="S36" s="91">
        <f t="shared" ref="S36" si="46">R36*(1+$T$36)</f>
        <v>30</v>
      </c>
      <c r="T36" s="4">
        <v>0</v>
      </c>
      <c r="U36" s="1" t="s">
        <v>1</v>
      </c>
    </row>
    <row r="37" spans="1:21" ht="15" x14ac:dyDescent="0.25">
      <c r="A37" s="1" t="s">
        <v>205</v>
      </c>
      <c r="B37" s="1"/>
      <c r="C37" s="1"/>
      <c r="D37" s="91">
        <v>30</v>
      </c>
      <c r="E37" s="91">
        <v>30</v>
      </c>
      <c r="F37" s="91">
        <v>45</v>
      </c>
      <c r="G37" s="91">
        <v>45</v>
      </c>
      <c r="H37" s="91">
        <v>52.5</v>
      </c>
      <c r="I37" s="91">
        <v>58.5</v>
      </c>
      <c r="J37" s="91">
        <v>64.5</v>
      </c>
      <c r="K37" s="91">
        <v>70.5</v>
      </c>
      <c r="L37" s="91">
        <v>76.5</v>
      </c>
      <c r="M37" s="91">
        <v>82.5</v>
      </c>
      <c r="N37" s="91">
        <v>88.5</v>
      </c>
      <c r="O37" s="91">
        <v>94.5</v>
      </c>
      <c r="P37" s="91">
        <v>100.5</v>
      </c>
      <c r="Q37" s="91">
        <v>106.5</v>
      </c>
      <c r="R37" s="91">
        <v>112.5</v>
      </c>
      <c r="S37" s="91">
        <v>118.5</v>
      </c>
      <c r="T37" s="4">
        <v>0</v>
      </c>
      <c r="U37" s="1" t="s">
        <v>2</v>
      </c>
    </row>
    <row r="38" spans="1:21" ht="15" x14ac:dyDescent="0.25">
      <c r="A38" s="1" t="s">
        <v>188</v>
      </c>
      <c r="B38" s="1"/>
      <c r="C38" s="1"/>
      <c r="D38" s="92">
        <v>180</v>
      </c>
      <c r="E38" s="92">
        <f>D38*(1+$T$38)</f>
        <v>185.4</v>
      </c>
      <c r="F38" s="92">
        <f t="shared" ref="F38:L38" si="47">E38*(1+$T$38)</f>
        <v>190.96200000000002</v>
      </c>
      <c r="G38" s="92">
        <f t="shared" si="47"/>
        <v>196.69086000000001</v>
      </c>
      <c r="H38" s="92">
        <f t="shared" si="47"/>
        <v>202.59158580000002</v>
      </c>
      <c r="I38" s="92">
        <f t="shared" si="47"/>
        <v>208.66933337400002</v>
      </c>
      <c r="J38" s="92">
        <f t="shared" si="47"/>
        <v>214.92941337522004</v>
      </c>
      <c r="K38" s="92">
        <f t="shared" si="47"/>
        <v>221.37729577647664</v>
      </c>
      <c r="L38" s="92">
        <f t="shared" si="47"/>
        <v>228.01861464977094</v>
      </c>
      <c r="M38" s="92">
        <f t="shared" ref="M38" si="48">L38*(1+$T$38)</f>
        <v>234.85917308926406</v>
      </c>
      <c r="N38" s="92">
        <f t="shared" ref="N38" si="49">M38*(1+$T$38)</f>
        <v>241.90494828194198</v>
      </c>
      <c r="O38" s="92">
        <f t="shared" ref="O38" si="50">N38*(1+$T$38)</f>
        <v>249.16209673040024</v>
      </c>
      <c r="P38" s="92">
        <f t="shared" ref="P38" si="51">O38*(1+$T$38)</f>
        <v>256.63695963231226</v>
      </c>
      <c r="Q38" s="92">
        <f t="shared" ref="Q38" si="52">P38*(1+$T$38)</f>
        <v>264.33606842128165</v>
      </c>
      <c r="R38" s="92">
        <f t="shared" ref="R38" si="53">Q38*(1+$T$38)</f>
        <v>272.26615047392011</v>
      </c>
      <c r="S38" s="92">
        <f t="shared" ref="S38" si="54">R38*(1+$T$38)</f>
        <v>280.43413498813771</v>
      </c>
      <c r="T38" s="66">
        <v>0.03</v>
      </c>
      <c r="U38" s="1" t="s">
        <v>189</v>
      </c>
    </row>
    <row r="40" spans="1:21" ht="15" x14ac:dyDescent="0.25">
      <c r="A40" s="40" t="s">
        <v>115</v>
      </c>
      <c r="D40" s="88">
        <v>0.82</v>
      </c>
      <c r="E40" s="88">
        <f>D40*(1+$T$40)</f>
        <v>0.82615000000000005</v>
      </c>
      <c r="F40" s="88">
        <f t="shared" ref="F40:K40" si="55">E40*(1+$T$40)</f>
        <v>0.83234612500000005</v>
      </c>
      <c r="G40" s="88">
        <f t="shared" si="55"/>
        <v>0.83858872093750014</v>
      </c>
      <c r="H40" s="88">
        <f t="shared" si="55"/>
        <v>0.84487813634453146</v>
      </c>
      <c r="I40" s="88">
        <f t="shared" si="55"/>
        <v>0.85121472236711548</v>
      </c>
      <c r="J40" s="88">
        <f t="shared" si="55"/>
        <v>0.85759883278486893</v>
      </c>
      <c r="K40" s="88">
        <f t="shared" si="55"/>
        <v>0.86403082403075548</v>
      </c>
      <c r="L40" s="88">
        <f t="shared" ref="L40" si="56">K40*(1+$T$40)</f>
        <v>0.87051105521098615</v>
      </c>
      <c r="M40" s="88">
        <f t="shared" ref="M40" si="57">L40*(1+$T$40)</f>
        <v>0.87703988812506861</v>
      </c>
      <c r="N40" s="88">
        <f t="shared" ref="N40" si="58">M40*(1+$T$40)</f>
        <v>0.88361768728600665</v>
      </c>
      <c r="O40" s="88">
        <f t="shared" ref="O40" si="59">N40*(1+$T$40)</f>
        <v>0.89024481994065174</v>
      </c>
      <c r="P40" s="88">
        <f t="shared" ref="P40" si="60">O40*(1+$T$40)</f>
        <v>0.89692165609020669</v>
      </c>
      <c r="Q40" s="88">
        <f t="shared" ref="Q40" si="61">P40*(1+$T$40)</f>
        <v>0.90364856851088327</v>
      </c>
      <c r="R40" s="88">
        <f t="shared" ref="R40" si="62">Q40*(1+$T$40)</f>
        <v>0.91042593277471495</v>
      </c>
      <c r="S40" s="88">
        <f t="shared" ref="S40" si="63">R40*(1+$T$40)</f>
        <v>0.91725412727052535</v>
      </c>
      <c r="T40" s="4">
        <v>7.4999999999999997E-3</v>
      </c>
      <c r="U40" s="1" t="s">
        <v>1</v>
      </c>
    </row>
    <row r="41" spans="1:21" ht="15" x14ac:dyDescent="0.25">
      <c r="A41" s="40" t="s">
        <v>116</v>
      </c>
      <c r="D41" s="88">
        <v>0.8</v>
      </c>
      <c r="E41" s="88">
        <f>D41*(1+$T$41)</f>
        <v>0.80399999999999994</v>
      </c>
      <c r="F41" s="88">
        <f t="shared" ref="F41:K41" si="64">E41*(1+$T$41)</f>
        <v>0.80801999999999985</v>
      </c>
      <c r="G41" s="88">
        <f t="shared" si="64"/>
        <v>0.81206009999999973</v>
      </c>
      <c r="H41" s="88">
        <f t="shared" si="64"/>
        <v>0.81612040049999968</v>
      </c>
      <c r="I41" s="88">
        <f t="shared" si="64"/>
        <v>0.82020100250249961</v>
      </c>
      <c r="J41" s="88">
        <f t="shared" si="64"/>
        <v>0.82430200751501204</v>
      </c>
      <c r="K41" s="88">
        <f t="shared" si="64"/>
        <v>0.82842351755258703</v>
      </c>
      <c r="L41" s="88">
        <f t="shared" ref="L41" si="65">K41*(1+$T$41)</f>
        <v>0.83256563514034987</v>
      </c>
      <c r="M41" s="88">
        <f t="shared" ref="M41" si="66">L41*(1+$T$41)</f>
        <v>0.83672846331605155</v>
      </c>
      <c r="N41" s="88">
        <f t="shared" ref="N41" si="67">M41*(1+$T$41)</f>
        <v>0.84091210563263175</v>
      </c>
      <c r="O41" s="88">
        <f t="shared" ref="O41" si="68">N41*(1+$T$41)</f>
        <v>0.84511666616079484</v>
      </c>
      <c r="P41" s="88">
        <f t="shared" ref="P41" si="69">O41*(1+$T$41)</f>
        <v>0.84934224949159876</v>
      </c>
      <c r="Q41" s="88">
        <f t="shared" ref="Q41" si="70">P41*(1+$T$41)</f>
        <v>0.85358896073905666</v>
      </c>
      <c r="R41" s="88">
        <f t="shared" ref="R41" si="71">Q41*(1+$T$41)</f>
        <v>0.85785690554275185</v>
      </c>
      <c r="S41" s="88">
        <f t="shared" ref="S41" si="72">R41*(1+$T$41)</f>
        <v>0.86214619007046556</v>
      </c>
      <c r="T41" s="4">
        <v>5.0000000000000001E-3</v>
      </c>
      <c r="U41" s="1" t="s">
        <v>1</v>
      </c>
    </row>
    <row r="43" spans="1:21" ht="15" x14ac:dyDescent="0.25">
      <c r="A43" s="40" t="s">
        <v>186</v>
      </c>
      <c r="B43">
        <v>1.19</v>
      </c>
      <c r="D43" s="37"/>
    </row>
    <row r="44" spans="1:21" ht="15" x14ac:dyDescent="0.25">
      <c r="A44" t="s">
        <v>183</v>
      </c>
      <c r="B44" s="4">
        <v>1.6999999999999999E-3</v>
      </c>
    </row>
    <row r="45" spans="1:21" ht="15" x14ac:dyDescent="0.25">
      <c r="A45" t="s">
        <v>184</v>
      </c>
      <c r="B45" s="4">
        <v>9.7199999999999995E-2</v>
      </c>
    </row>
    <row r="46" spans="1:21" ht="15" x14ac:dyDescent="0.25">
      <c r="A46" t="s">
        <v>185</v>
      </c>
      <c r="B46" s="66">
        <v>7.4999999999999997E-2</v>
      </c>
    </row>
    <row r="47" spans="1:21" ht="15" x14ac:dyDescent="0.25">
      <c r="A47" t="s">
        <v>170</v>
      </c>
      <c r="B47" s="23">
        <v>0.35</v>
      </c>
    </row>
  </sheetData>
  <pageMargins left="0.7" right="0.7" top="0.75" bottom="0.75" header="0.3" footer="0.3"/>
  <pageSetup orientation="portrait" horizontalDpi="75" verticalDpi="7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zoomScale="110" zoomScaleNormal="110" workbookViewId="0">
      <selection activeCell="A212" sqref="A212:A223"/>
    </sheetView>
  </sheetViews>
  <sheetFormatPr defaultColWidth="11.5703125" defaultRowHeight="12.75" x14ac:dyDescent="0.2"/>
  <cols>
    <col min="1" max="1" width="30.140625" customWidth="1"/>
    <col min="2" max="3" width="12.7109375" customWidth="1"/>
    <col min="4" max="4" width="12.85546875" customWidth="1"/>
    <col min="5" max="5" width="13.5703125" customWidth="1"/>
    <col min="6" max="6" width="12.85546875" bestFit="1" customWidth="1"/>
    <col min="9" max="9" width="41.140625" bestFit="1" customWidth="1"/>
    <col min="10" max="10" width="14.140625" bestFit="1" customWidth="1"/>
  </cols>
  <sheetData>
    <row r="1" spans="1:12" x14ac:dyDescent="0.2">
      <c r="B1" t="s">
        <v>28</v>
      </c>
      <c r="C1" t="s">
        <v>29</v>
      </c>
      <c r="D1" t="s">
        <v>30</v>
      </c>
      <c r="E1" t="s">
        <v>31</v>
      </c>
      <c r="F1" t="s">
        <v>32</v>
      </c>
      <c r="I1" t="s">
        <v>29</v>
      </c>
      <c r="J1" s="15">
        <f>B2</f>
        <v>5000000</v>
      </c>
      <c r="L1" t="s">
        <v>86</v>
      </c>
    </row>
    <row r="2" spans="1:12" ht="15" x14ac:dyDescent="0.25">
      <c r="A2" s="9" t="s">
        <v>33</v>
      </c>
      <c r="B2" s="10">
        <v>5000000</v>
      </c>
      <c r="C2" s="10">
        <f>+E2-D2</f>
        <v>7951.7734251320162</v>
      </c>
      <c r="D2" s="10">
        <f>+B2*$L$2</f>
        <v>14333.333333333334</v>
      </c>
      <c r="E2" s="10">
        <f>-$L$5</f>
        <v>22285.10675846535</v>
      </c>
      <c r="F2" s="10">
        <f t="shared" ref="F2:F13" si="0">+B2-C2</f>
        <v>4992048.226574868</v>
      </c>
      <c r="G2">
        <v>1</v>
      </c>
      <c r="I2" t="s">
        <v>103</v>
      </c>
      <c r="J2" s="4">
        <v>3.44E-2</v>
      </c>
      <c r="L2" s="4">
        <f>J2/12</f>
        <v>2.8666666666666667E-3</v>
      </c>
    </row>
    <row r="3" spans="1:12" x14ac:dyDescent="0.2">
      <c r="A3" s="9" t="s">
        <v>34</v>
      </c>
      <c r="B3" s="10">
        <f t="shared" ref="B3:B13" si="1">+F2</f>
        <v>4992048.226574868</v>
      </c>
      <c r="C3" s="10">
        <f t="shared" ref="C3:C13" si="2">+E3-D3</f>
        <v>7974.5685089507278</v>
      </c>
      <c r="D3" s="10">
        <f>+B3*$L$2</f>
        <v>14310.538249514622</v>
      </c>
      <c r="E3" s="10">
        <f t="shared" ref="E3:E13" si="3">-$L$5</f>
        <v>22285.10675846535</v>
      </c>
      <c r="F3" s="10">
        <f t="shared" si="0"/>
        <v>4984073.658065917</v>
      </c>
      <c r="G3">
        <v>2</v>
      </c>
      <c r="I3" t="s">
        <v>85</v>
      </c>
      <c r="J3">
        <v>30</v>
      </c>
      <c r="L3">
        <f>J3*12</f>
        <v>360</v>
      </c>
    </row>
    <row r="4" spans="1:12" x14ac:dyDescent="0.2">
      <c r="A4" s="9" t="s">
        <v>35</v>
      </c>
      <c r="B4" s="10">
        <f t="shared" si="1"/>
        <v>4984073.658065917</v>
      </c>
      <c r="C4" s="10">
        <f t="shared" si="2"/>
        <v>7997.4289386763885</v>
      </c>
      <c r="D4" s="10">
        <f t="shared" ref="D4:D13" si="4">+B4*$L$2</f>
        <v>14287.677819788962</v>
      </c>
      <c r="E4" s="10">
        <f t="shared" si="3"/>
        <v>22285.10675846535</v>
      </c>
      <c r="F4" s="10">
        <f t="shared" si="0"/>
        <v>4976076.2291272404</v>
      </c>
      <c r="G4">
        <v>3</v>
      </c>
    </row>
    <row r="5" spans="1:12" x14ac:dyDescent="0.2">
      <c r="A5" s="9" t="s">
        <v>36</v>
      </c>
      <c r="B5" s="10">
        <f t="shared" si="1"/>
        <v>4976076.2291272404</v>
      </c>
      <c r="C5" s="10">
        <f t="shared" si="2"/>
        <v>8020.3549016339275</v>
      </c>
      <c r="D5" s="10">
        <f t="shared" si="4"/>
        <v>14264.751856831423</v>
      </c>
      <c r="E5" s="10">
        <f t="shared" si="3"/>
        <v>22285.10675846535</v>
      </c>
      <c r="F5" s="10">
        <f t="shared" si="0"/>
        <v>4968055.8742256062</v>
      </c>
      <c r="G5">
        <v>4</v>
      </c>
      <c r="I5" t="s">
        <v>31</v>
      </c>
      <c r="L5" s="16">
        <f>PMT(L2,L3,J1,,0)</f>
        <v>-22285.10675846535</v>
      </c>
    </row>
    <row r="6" spans="1:12" x14ac:dyDescent="0.2">
      <c r="A6" s="9" t="s">
        <v>37</v>
      </c>
      <c r="B6" s="10">
        <f t="shared" si="1"/>
        <v>4968055.8742256062</v>
      </c>
      <c r="C6" s="10">
        <f t="shared" si="2"/>
        <v>8043.3465856852781</v>
      </c>
      <c r="D6" s="10">
        <f t="shared" si="4"/>
        <v>14241.760172780072</v>
      </c>
      <c r="E6" s="10">
        <f t="shared" si="3"/>
        <v>22285.10675846535</v>
      </c>
      <c r="F6" s="10">
        <f t="shared" si="0"/>
        <v>4960012.5276399208</v>
      </c>
      <c r="G6">
        <v>5</v>
      </c>
    </row>
    <row r="7" spans="1:12" x14ac:dyDescent="0.2">
      <c r="A7" s="9" t="s">
        <v>38</v>
      </c>
      <c r="B7" s="10">
        <f t="shared" si="1"/>
        <v>4960012.5276399208</v>
      </c>
      <c r="C7" s="10">
        <f t="shared" si="2"/>
        <v>8066.4041792309108</v>
      </c>
      <c r="D7" s="10">
        <f t="shared" si="4"/>
        <v>14218.702579234439</v>
      </c>
      <c r="E7" s="10">
        <f t="shared" si="3"/>
        <v>22285.10675846535</v>
      </c>
      <c r="F7" s="10">
        <f t="shared" si="0"/>
        <v>4951946.1234606896</v>
      </c>
      <c r="G7">
        <v>6</v>
      </c>
    </row>
    <row r="8" spans="1:12" x14ac:dyDescent="0.2">
      <c r="A8" s="9" t="s">
        <v>39</v>
      </c>
      <c r="B8" s="10">
        <f t="shared" si="1"/>
        <v>4951946.1234606896</v>
      </c>
      <c r="C8" s="10">
        <f t="shared" si="2"/>
        <v>8089.5278712113741</v>
      </c>
      <c r="D8" s="10">
        <f t="shared" si="4"/>
        <v>14195.578887253976</v>
      </c>
      <c r="E8" s="10">
        <f t="shared" si="3"/>
        <v>22285.10675846535</v>
      </c>
      <c r="F8" s="10">
        <f t="shared" si="0"/>
        <v>4943856.5955894785</v>
      </c>
      <c r="G8">
        <v>7</v>
      </c>
    </row>
    <row r="9" spans="1:12" x14ac:dyDescent="0.2">
      <c r="A9" s="9" t="s">
        <v>40</v>
      </c>
      <c r="B9" s="10">
        <f t="shared" si="1"/>
        <v>4943856.5955894785</v>
      </c>
      <c r="C9" s="10">
        <f t="shared" si="2"/>
        <v>8112.7178511088459</v>
      </c>
      <c r="D9" s="10">
        <f t="shared" si="4"/>
        <v>14172.388907356504</v>
      </c>
      <c r="E9" s="10">
        <f t="shared" si="3"/>
        <v>22285.10675846535</v>
      </c>
      <c r="F9" s="10">
        <f t="shared" si="0"/>
        <v>4935743.8777383696</v>
      </c>
      <c r="G9">
        <v>8</v>
      </c>
    </row>
    <row r="10" spans="1:12" x14ac:dyDescent="0.2">
      <c r="A10" s="9" t="s">
        <v>41</v>
      </c>
      <c r="B10" s="10">
        <f t="shared" si="1"/>
        <v>4935743.8777383696</v>
      </c>
      <c r="C10" s="10">
        <f t="shared" si="2"/>
        <v>8135.974308948691</v>
      </c>
      <c r="D10" s="10">
        <f t="shared" si="4"/>
        <v>14149.132449516659</v>
      </c>
      <c r="E10" s="10">
        <f t="shared" si="3"/>
        <v>22285.10675846535</v>
      </c>
      <c r="F10" s="10">
        <f t="shared" si="0"/>
        <v>4927607.9034294207</v>
      </c>
      <c r="G10">
        <v>9</v>
      </c>
      <c r="I10" s="13" t="s">
        <v>88</v>
      </c>
    </row>
    <row r="11" spans="1:12" x14ac:dyDescent="0.2">
      <c r="A11" s="9" t="s">
        <v>42</v>
      </c>
      <c r="B11" s="10">
        <f t="shared" si="1"/>
        <v>4927607.9034294207</v>
      </c>
      <c r="C11" s="10">
        <f t="shared" si="2"/>
        <v>8159.2974353010104</v>
      </c>
      <c r="D11" s="10">
        <f t="shared" si="4"/>
        <v>14125.80932316434</v>
      </c>
      <c r="E11" s="10">
        <f t="shared" si="3"/>
        <v>22285.10675846535</v>
      </c>
      <c r="F11" s="10">
        <f t="shared" si="0"/>
        <v>4919448.6059941193</v>
      </c>
      <c r="G11">
        <v>10</v>
      </c>
    </row>
    <row r="12" spans="1:12" x14ac:dyDescent="0.2">
      <c r="A12" s="9" t="s">
        <v>43</v>
      </c>
      <c r="B12" s="10">
        <f t="shared" si="1"/>
        <v>4919448.6059941193</v>
      </c>
      <c r="C12" s="10">
        <f t="shared" si="2"/>
        <v>8182.6874212822077</v>
      </c>
      <c r="D12" s="10">
        <f t="shared" si="4"/>
        <v>14102.419337183142</v>
      </c>
      <c r="E12" s="10">
        <f t="shared" si="3"/>
        <v>22285.10675846535</v>
      </c>
      <c r="F12" s="10">
        <f t="shared" si="0"/>
        <v>4911265.9185728375</v>
      </c>
      <c r="G12">
        <v>11</v>
      </c>
      <c r="I12" t="s">
        <v>29</v>
      </c>
      <c r="J12" t="s">
        <v>87</v>
      </c>
    </row>
    <row r="13" spans="1:12" ht="15" x14ac:dyDescent="0.25">
      <c r="A13" s="9" t="s">
        <v>44</v>
      </c>
      <c r="B13" s="10">
        <f t="shared" si="1"/>
        <v>4911265.9185728375</v>
      </c>
      <c r="C13" s="10">
        <f t="shared" si="2"/>
        <v>8206.1444585565496</v>
      </c>
      <c r="D13" s="10">
        <f t="shared" si="4"/>
        <v>14078.962299908801</v>
      </c>
      <c r="E13" s="10">
        <f t="shared" si="3"/>
        <v>22285.10675846535</v>
      </c>
      <c r="F13" s="17">
        <f t="shared" si="0"/>
        <v>4903059.7741142809</v>
      </c>
      <c r="G13">
        <v>12</v>
      </c>
      <c r="I13" s="18">
        <f>$B$2+CUMPRINC($L$2,$L$3,$B$2,G2,G13,0)</f>
        <v>4903059.7741142819</v>
      </c>
      <c r="J13" s="19">
        <f>-CUMIPMT($L$2,$L$3,$B$2,G2,G13,0)</f>
        <v>170481.05521586636</v>
      </c>
    </row>
    <row r="14" spans="1:12" x14ac:dyDescent="0.2">
      <c r="A14" s="12" t="s">
        <v>45</v>
      </c>
      <c r="B14" s="12"/>
      <c r="C14" s="11">
        <f>SUM(C2:C13)</f>
        <v>96940.225885717926</v>
      </c>
      <c r="D14" s="17">
        <f>SUM(D2:D13)</f>
        <v>170481.05521586628</v>
      </c>
      <c r="E14" s="10"/>
      <c r="F14" s="10"/>
    </row>
    <row r="15" spans="1:12" x14ac:dyDescent="0.2">
      <c r="A15" s="9"/>
      <c r="B15" s="9"/>
      <c r="C15" s="10"/>
      <c r="D15" s="10"/>
      <c r="E15" s="10"/>
      <c r="F15" s="10"/>
    </row>
    <row r="16" spans="1:12" x14ac:dyDescent="0.2">
      <c r="A16" s="9" t="s">
        <v>46</v>
      </c>
      <c r="B16" s="10">
        <f>+F13</f>
        <v>4903059.7741142809</v>
      </c>
      <c r="C16" s="10">
        <f t="shared" ref="C16:C27" si="5">+E16-D16</f>
        <v>8229.6687393377451</v>
      </c>
      <c r="D16" s="10">
        <f>+B16*$L$2</f>
        <v>14055.438019127605</v>
      </c>
      <c r="E16" s="10">
        <f t="shared" ref="E16:E27" si="6">-$L$5</f>
        <v>22285.10675846535</v>
      </c>
      <c r="F16" s="10">
        <f t="shared" ref="F16:F27" si="7">+B16-C16</f>
        <v>4894830.1053749435</v>
      </c>
      <c r="G16">
        <v>13</v>
      </c>
    </row>
    <row r="17" spans="1:10" x14ac:dyDescent="0.2">
      <c r="A17" s="41">
        <v>41306</v>
      </c>
      <c r="B17" s="10">
        <f t="shared" ref="B17:B27" si="8">+F16</f>
        <v>4894830.1053749435</v>
      </c>
      <c r="C17" s="10">
        <f t="shared" si="5"/>
        <v>8253.2604563905115</v>
      </c>
      <c r="D17" s="10">
        <f t="shared" ref="D17:D27" si="9">+B17*$L$2</f>
        <v>14031.846302074839</v>
      </c>
      <c r="E17" s="10">
        <f t="shared" si="6"/>
        <v>22285.10675846535</v>
      </c>
      <c r="F17" s="10">
        <f t="shared" si="7"/>
        <v>4886576.8449185528</v>
      </c>
      <c r="G17">
        <v>14</v>
      </c>
    </row>
    <row r="18" spans="1:10" x14ac:dyDescent="0.2">
      <c r="A18" s="9" t="s">
        <v>47</v>
      </c>
      <c r="B18" s="10">
        <f t="shared" si="8"/>
        <v>4886576.8449185528</v>
      </c>
      <c r="C18" s="10">
        <f t="shared" si="5"/>
        <v>8276.9198030321659</v>
      </c>
      <c r="D18" s="10">
        <f t="shared" si="9"/>
        <v>14008.186955433184</v>
      </c>
      <c r="E18" s="10">
        <f t="shared" si="6"/>
        <v>22285.10675846535</v>
      </c>
      <c r="F18" s="10">
        <f t="shared" si="7"/>
        <v>4878299.9251155211</v>
      </c>
      <c r="G18">
        <v>15</v>
      </c>
    </row>
    <row r="19" spans="1:10" x14ac:dyDescent="0.2">
      <c r="A19" s="9" t="s">
        <v>48</v>
      </c>
      <c r="B19" s="10">
        <f t="shared" si="8"/>
        <v>4878299.9251155211</v>
      </c>
      <c r="C19" s="10">
        <f t="shared" si="5"/>
        <v>8300.6469731341895</v>
      </c>
      <c r="D19" s="10">
        <f t="shared" si="9"/>
        <v>13984.459785331161</v>
      </c>
      <c r="E19" s="10">
        <f t="shared" si="6"/>
        <v>22285.10675846535</v>
      </c>
      <c r="F19" s="10">
        <f t="shared" si="7"/>
        <v>4869999.278142387</v>
      </c>
      <c r="G19">
        <v>16</v>
      </c>
    </row>
    <row r="20" spans="1:10" x14ac:dyDescent="0.2">
      <c r="A20" s="9" t="s">
        <v>49</v>
      </c>
      <c r="B20" s="10">
        <f t="shared" si="8"/>
        <v>4869999.278142387</v>
      </c>
      <c r="C20" s="10">
        <f t="shared" si="5"/>
        <v>8324.4421611238413</v>
      </c>
      <c r="D20" s="10">
        <f t="shared" si="9"/>
        <v>13960.664597341509</v>
      </c>
      <c r="E20" s="10">
        <f t="shared" si="6"/>
        <v>22285.10675846535</v>
      </c>
      <c r="F20" s="10">
        <f t="shared" si="7"/>
        <v>4861674.8359812628</v>
      </c>
      <c r="G20">
        <v>17</v>
      </c>
    </row>
    <row r="21" spans="1:10" x14ac:dyDescent="0.2">
      <c r="A21" s="9" t="s">
        <v>50</v>
      </c>
      <c r="B21" s="10">
        <f t="shared" si="8"/>
        <v>4861674.8359812628</v>
      </c>
      <c r="C21" s="10">
        <f t="shared" si="5"/>
        <v>8348.3055619857296</v>
      </c>
      <c r="D21" s="10">
        <f t="shared" si="9"/>
        <v>13936.801196479621</v>
      </c>
      <c r="E21" s="10">
        <f t="shared" si="6"/>
        <v>22285.10675846535</v>
      </c>
      <c r="F21" s="10">
        <f t="shared" si="7"/>
        <v>4853326.530419277</v>
      </c>
      <c r="G21">
        <v>18</v>
      </c>
    </row>
    <row r="22" spans="1:10" x14ac:dyDescent="0.2">
      <c r="A22" s="9" t="s">
        <v>51</v>
      </c>
      <c r="B22" s="10">
        <f t="shared" si="8"/>
        <v>4853326.530419277</v>
      </c>
      <c r="C22" s="10">
        <f t="shared" si="5"/>
        <v>8372.2373712634235</v>
      </c>
      <c r="D22" s="10">
        <f t="shared" si="9"/>
        <v>13912.869387201927</v>
      </c>
      <c r="E22" s="10">
        <f t="shared" si="6"/>
        <v>22285.10675846535</v>
      </c>
      <c r="F22" s="10">
        <f t="shared" si="7"/>
        <v>4844954.2930480139</v>
      </c>
      <c r="G22">
        <v>19</v>
      </c>
    </row>
    <row r="23" spans="1:10" x14ac:dyDescent="0.2">
      <c r="A23" s="9" t="s">
        <v>52</v>
      </c>
      <c r="B23" s="10">
        <f t="shared" si="8"/>
        <v>4844954.2930480139</v>
      </c>
      <c r="C23" s="10">
        <f t="shared" si="5"/>
        <v>8396.2377850610428</v>
      </c>
      <c r="D23" s="10">
        <f t="shared" si="9"/>
        <v>13888.868973404307</v>
      </c>
      <c r="E23" s="10">
        <f t="shared" si="6"/>
        <v>22285.10675846535</v>
      </c>
      <c r="F23" s="10">
        <f t="shared" si="7"/>
        <v>4836558.055262953</v>
      </c>
      <c r="G23">
        <v>20</v>
      </c>
    </row>
    <row r="24" spans="1:10" x14ac:dyDescent="0.2">
      <c r="A24" s="9" t="s">
        <v>53</v>
      </c>
      <c r="B24" s="10">
        <f t="shared" si="8"/>
        <v>4836558.055262953</v>
      </c>
      <c r="C24" s="10">
        <f t="shared" si="5"/>
        <v>8420.3070000448843</v>
      </c>
      <c r="D24" s="10">
        <f t="shared" si="9"/>
        <v>13864.799758420466</v>
      </c>
      <c r="E24" s="10">
        <f t="shared" si="6"/>
        <v>22285.10675846535</v>
      </c>
      <c r="F24" s="10">
        <f t="shared" si="7"/>
        <v>4828137.7482629083</v>
      </c>
      <c r="G24">
        <v>21</v>
      </c>
    </row>
    <row r="25" spans="1:10" x14ac:dyDescent="0.2">
      <c r="A25" s="9" t="s">
        <v>54</v>
      </c>
      <c r="B25" s="10">
        <f t="shared" si="8"/>
        <v>4828137.7482629083</v>
      </c>
      <c r="C25" s="10">
        <f t="shared" si="5"/>
        <v>8444.445213445013</v>
      </c>
      <c r="D25" s="10">
        <f t="shared" si="9"/>
        <v>13840.661545020337</v>
      </c>
      <c r="E25" s="10">
        <f t="shared" si="6"/>
        <v>22285.10675846535</v>
      </c>
      <c r="F25" s="10">
        <f t="shared" si="7"/>
        <v>4819693.3030494628</v>
      </c>
      <c r="G25">
        <v>22</v>
      </c>
    </row>
    <row r="26" spans="1:10" x14ac:dyDescent="0.2">
      <c r="A26" s="9" t="s">
        <v>55</v>
      </c>
      <c r="B26" s="10">
        <f t="shared" si="8"/>
        <v>4819693.3030494628</v>
      </c>
      <c r="C26" s="10">
        <f t="shared" si="5"/>
        <v>8468.6526230568907</v>
      </c>
      <c r="D26" s="10">
        <f t="shared" si="9"/>
        <v>13816.454135408459</v>
      </c>
      <c r="E26" s="10">
        <f t="shared" si="6"/>
        <v>22285.10675846535</v>
      </c>
      <c r="F26" s="10">
        <f t="shared" si="7"/>
        <v>4811224.6504264064</v>
      </c>
      <c r="G26">
        <v>23</v>
      </c>
      <c r="I26" t="s">
        <v>29</v>
      </c>
      <c r="J26" t="s">
        <v>87</v>
      </c>
    </row>
    <row r="27" spans="1:10" ht="15" x14ac:dyDescent="0.25">
      <c r="A27" s="9" t="s">
        <v>56</v>
      </c>
      <c r="B27" s="10">
        <f t="shared" si="8"/>
        <v>4811224.6504264064</v>
      </c>
      <c r="C27" s="10">
        <f t="shared" si="5"/>
        <v>8492.9294272429852</v>
      </c>
      <c r="D27" s="10">
        <f t="shared" si="9"/>
        <v>13792.177331222365</v>
      </c>
      <c r="E27" s="10">
        <f t="shared" si="6"/>
        <v>22285.10675846535</v>
      </c>
      <c r="F27" s="11">
        <f t="shared" si="7"/>
        <v>4802731.7209991636</v>
      </c>
      <c r="G27">
        <v>24</v>
      </c>
      <c r="I27" s="18">
        <f>$B$2+CUMPRINC($L$2,$L$3,$B$2,G2,G27,0)</f>
        <v>4802731.7209991636</v>
      </c>
      <c r="J27" s="19">
        <f>-CUMIPMT($L$2,$L$3,$B$2,G16,G27,0)</f>
        <v>167093.22798646585</v>
      </c>
    </row>
    <row r="28" spans="1:10" x14ac:dyDescent="0.2">
      <c r="A28" s="12" t="s">
        <v>45</v>
      </c>
      <c r="B28" s="12"/>
      <c r="C28" s="11">
        <f>SUM(C16:C27)</f>
        <v>100328.0531151184</v>
      </c>
      <c r="D28" s="11">
        <f>SUM(D16:D27)</f>
        <v>167093.22798646576</v>
      </c>
      <c r="E28" s="10"/>
      <c r="F28" s="10"/>
    </row>
    <row r="29" spans="1:10" x14ac:dyDescent="0.2">
      <c r="A29" s="9"/>
      <c r="B29" s="9"/>
      <c r="C29" s="10"/>
      <c r="D29" s="10"/>
      <c r="E29" s="10"/>
      <c r="F29" s="10"/>
    </row>
    <row r="30" spans="1:10" x14ac:dyDescent="0.2">
      <c r="A30" s="9" t="s">
        <v>57</v>
      </c>
      <c r="B30" s="10">
        <f>+F27</f>
        <v>4802731.7209991636</v>
      </c>
      <c r="C30" s="10">
        <f>+E30-D30</f>
        <v>8517.2758249344151</v>
      </c>
      <c r="D30" s="10">
        <f>+B30*$L$2</f>
        <v>13767.830933530935</v>
      </c>
      <c r="E30" s="10">
        <f t="shared" ref="E30:E41" si="10">-$L$5</f>
        <v>22285.10675846535</v>
      </c>
      <c r="F30" s="10">
        <f t="shared" ref="F30:F41" si="11">+B30-C30</f>
        <v>4794214.4451742293</v>
      </c>
      <c r="G30">
        <v>25</v>
      </c>
    </row>
    <row r="31" spans="1:10" x14ac:dyDescent="0.2">
      <c r="A31" s="9" t="s">
        <v>58</v>
      </c>
      <c r="B31" s="10">
        <f t="shared" ref="B31:B41" si="12">+F30</f>
        <v>4794214.4451742293</v>
      </c>
      <c r="C31" s="10">
        <f t="shared" ref="C31:C40" si="13">+E31-D31</f>
        <v>8541.6920156325596</v>
      </c>
      <c r="D31" s="10">
        <f t="shared" ref="D31:D41" si="14">+B31*$L$2</f>
        <v>13743.414742832791</v>
      </c>
      <c r="E31" s="10">
        <f t="shared" si="10"/>
        <v>22285.10675846535</v>
      </c>
      <c r="F31" s="10">
        <f t="shared" si="11"/>
        <v>4785672.7531585963</v>
      </c>
      <c r="G31">
        <v>26</v>
      </c>
    </row>
    <row r="32" spans="1:10" x14ac:dyDescent="0.2">
      <c r="A32" s="9" t="s">
        <v>59</v>
      </c>
      <c r="B32" s="10">
        <f t="shared" si="12"/>
        <v>4785672.7531585963</v>
      </c>
      <c r="C32" s="10">
        <f t="shared" si="13"/>
        <v>8566.1781994107077</v>
      </c>
      <c r="D32" s="10">
        <f t="shared" si="14"/>
        <v>13718.928559054642</v>
      </c>
      <c r="E32" s="10">
        <f t="shared" si="10"/>
        <v>22285.10675846535</v>
      </c>
      <c r="F32" s="10">
        <f t="shared" si="11"/>
        <v>4777106.5749591859</v>
      </c>
      <c r="G32">
        <v>27</v>
      </c>
    </row>
    <row r="33" spans="1:10" x14ac:dyDescent="0.2">
      <c r="A33" s="9" t="s">
        <v>60</v>
      </c>
      <c r="B33" s="10">
        <f t="shared" si="12"/>
        <v>4777106.5749591859</v>
      </c>
      <c r="C33" s="10">
        <f t="shared" si="13"/>
        <v>8590.7345769156836</v>
      </c>
      <c r="D33" s="10">
        <f t="shared" si="14"/>
        <v>13694.372181549666</v>
      </c>
      <c r="E33" s="10">
        <f t="shared" si="10"/>
        <v>22285.10675846535</v>
      </c>
      <c r="F33" s="10">
        <f t="shared" si="11"/>
        <v>4768515.8403822705</v>
      </c>
      <c r="G33">
        <v>28</v>
      </c>
    </row>
    <row r="34" spans="1:10" x14ac:dyDescent="0.2">
      <c r="A34" s="9" t="s">
        <v>61</v>
      </c>
      <c r="B34" s="10">
        <f t="shared" si="12"/>
        <v>4768515.8403822705</v>
      </c>
      <c r="C34" s="10">
        <f t="shared" si="13"/>
        <v>8615.3613493695084</v>
      </c>
      <c r="D34" s="10">
        <f t="shared" si="14"/>
        <v>13669.745409095842</v>
      </c>
      <c r="E34" s="10">
        <f t="shared" si="10"/>
        <v>22285.10675846535</v>
      </c>
      <c r="F34" s="10">
        <f t="shared" si="11"/>
        <v>4759900.4790329011</v>
      </c>
      <c r="G34">
        <v>29</v>
      </c>
    </row>
    <row r="35" spans="1:10" x14ac:dyDescent="0.2">
      <c r="A35" s="9" t="s">
        <v>62</v>
      </c>
      <c r="B35" s="10">
        <f t="shared" si="12"/>
        <v>4759900.4790329011</v>
      </c>
      <c r="C35" s="10">
        <f t="shared" si="13"/>
        <v>8640.0587185710338</v>
      </c>
      <c r="D35" s="10">
        <f t="shared" si="14"/>
        <v>13645.048039894316</v>
      </c>
      <c r="E35" s="10">
        <f t="shared" si="10"/>
        <v>22285.10675846535</v>
      </c>
      <c r="F35" s="10">
        <f t="shared" si="11"/>
        <v>4751260.4203143297</v>
      </c>
      <c r="G35">
        <v>30</v>
      </c>
    </row>
    <row r="36" spans="1:10" x14ac:dyDescent="0.2">
      <c r="A36" s="9" t="s">
        <v>63</v>
      </c>
      <c r="B36" s="10">
        <f t="shared" si="12"/>
        <v>4751260.4203143297</v>
      </c>
      <c r="C36" s="10">
        <f t="shared" si="13"/>
        <v>8664.8268868976047</v>
      </c>
      <c r="D36" s="10">
        <f t="shared" si="14"/>
        <v>13620.279871567745</v>
      </c>
      <c r="E36" s="10">
        <f t="shared" si="10"/>
        <v>22285.10675846535</v>
      </c>
      <c r="F36" s="10">
        <f t="shared" si="11"/>
        <v>4742595.5934274318</v>
      </c>
      <c r="G36">
        <v>31</v>
      </c>
    </row>
    <row r="37" spans="1:10" x14ac:dyDescent="0.2">
      <c r="A37" s="9" t="s">
        <v>64</v>
      </c>
      <c r="B37" s="10">
        <f t="shared" si="12"/>
        <v>4742595.5934274318</v>
      </c>
      <c r="C37" s="10">
        <f t="shared" si="13"/>
        <v>8689.6660573067129</v>
      </c>
      <c r="D37" s="10">
        <f t="shared" si="14"/>
        <v>13595.440701158637</v>
      </c>
      <c r="E37" s="10">
        <f t="shared" si="10"/>
        <v>22285.10675846535</v>
      </c>
      <c r="F37" s="10">
        <f t="shared" si="11"/>
        <v>4733905.9273701254</v>
      </c>
      <c r="G37">
        <v>32</v>
      </c>
    </row>
    <row r="38" spans="1:10" x14ac:dyDescent="0.2">
      <c r="A38" s="9" t="s">
        <v>65</v>
      </c>
      <c r="B38" s="10">
        <f t="shared" si="12"/>
        <v>4733905.9273701254</v>
      </c>
      <c r="C38" s="10">
        <f t="shared" si="13"/>
        <v>8714.5764333376574</v>
      </c>
      <c r="D38" s="10">
        <f t="shared" si="14"/>
        <v>13570.530325127693</v>
      </c>
      <c r="E38" s="10">
        <f t="shared" si="10"/>
        <v>22285.10675846535</v>
      </c>
      <c r="F38" s="10">
        <f t="shared" si="11"/>
        <v>4725191.3509367881</v>
      </c>
      <c r="G38">
        <v>33</v>
      </c>
    </row>
    <row r="39" spans="1:10" x14ac:dyDescent="0.2">
      <c r="A39" s="9" t="s">
        <v>66</v>
      </c>
      <c r="B39" s="10">
        <f t="shared" si="12"/>
        <v>4725191.3509367881</v>
      </c>
      <c r="C39" s="10">
        <f t="shared" si="13"/>
        <v>8739.5582191132235</v>
      </c>
      <c r="D39" s="10">
        <f t="shared" si="14"/>
        <v>13545.548539352127</v>
      </c>
      <c r="E39" s="10">
        <f t="shared" si="10"/>
        <v>22285.10675846535</v>
      </c>
      <c r="F39" s="10">
        <f t="shared" si="11"/>
        <v>4716451.7927176747</v>
      </c>
      <c r="G39">
        <v>34</v>
      </c>
    </row>
    <row r="40" spans="1:10" x14ac:dyDescent="0.2">
      <c r="A40" s="9" t="s">
        <v>67</v>
      </c>
      <c r="B40" s="10">
        <f t="shared" si="12"/>
        <v>4716451.7927176747</v>
      </c>
      <c r="C40" s="10">
        <f t="shared" si="13"/>
        <v>8764.6116193413491</v>
      </c>
      <c r="D40" s="10">
        <f t="shared" si="14"/>
        <v>13520.495139124001</v>
      </c>
      <c r="E40" s="10">
        <f t="shared" si="10"/>
        <v>22285.10675846535</v>
      </c>
      <c r="F40" s="10">
        <f t="shared" si="11"/>
        <v>4707687.1810983336</v>
      </c>
      <c r="G40">
        <v>35</v>
      </c>
      <c r="I40" t="s">
        <v>29</v>
      </c>
      <c r="J40" t="s">
        <v>87</v>
      </c>
    </row>
    <row r="41" spans="1:10" ht="15" x14ac:dyDescent="0.25">
      <c r="A41" s="9" t="s">
        <v>68</v>
      </c>
      <c r="B41" s="10">
        <f t="shared" si="12"/>
        <v>4707687.1810983336</v>
      </c>
      <c r="C41" s="10">
        <f>+E41-D41</f>
        <v>8789.7368393167944</v>
      </c>
      <c r="D41" s="10">
        <f t="shared" si="14"/>
        <v>13495.369919148556</v>
      </c>
      <c r="E41" s="10">
        <f t="shared" si="10"/>
        <v>22285.10675846535</v>
      </c>
      <c r="F41" s="11">
        <f t="shared" si="11"/>
        <v>4698897.4442590168</v>
      </c>
      <c r="G41">
        <v>36</v>
      </c>
      <c r="I41" s="18">
        <f>$B$2+CUMPRINC($L$2,$L$3,$B$2,G2,G41,0)</f>
        <v>4698897.4442590168</v>
      </c>
      <c r="J41" s="19">
        <f>-CUMIPMT($L$2,$L$3,$B$2,G30,G41,0)</f>
        <v>163587.00436143699</v>
      </c>
    </row>
    <row r="42" spans="1:10" x14ac:dyDescent="0.2">
      <c r="A42" s="12" t="s">
        <v>45</v>
      </c>
      <c r="B42" s="12"/>
      <c r="C42" s="11">
        <f>SUM(C30:C41)</f>
        <v>103834.27674014727</v>
      </c>
      <c r="D42" s="11">
        <f>SUM(D30:D41)</f>
        <v>163587.00436143696</v>
      </c>
      <c r="E42" s="10"/>
      <c r="F42" s="10"/>
    </row>
    <row r="43" spans="1:10" x14ac:dyDescent="0.2">
      <c r="A43" s="9"/>
      <c r="B43" s="9"/>
      <c r="C43" s="10"/>
      <c r="D43" s="10"/>
      <c r="E43" s="10"/>
      <c r="F43" s="10"/>
    </row>
    <row r="44" spans="1:10" x14ac:dyDescent="0.2">
      <c r="A44" s="9" t="s">
        <v>69</v>
      </c>
      <c r="B44" s="10">
        <f>+F41</f>
        <v>4698897.4442590168</v>
      </c>
      <c r="C44" s="10">
        <f t="shared" ref="C44:C55" si="15">+E44-D44</f>
        <v>8814.9340849228356</v>
      </c>
      <c r="D44" s="10">
        <f>+B44*$L$2</f>
        <v>13470.172673542515</v>
      </c>
      <c r="E44" s="10">
        <f>-$L$5</f>
        <v>22285.10675846535</v>
      </c>
      <c r="F44" s="10">
        <f>+B44-C44</f>
        <v>4690082.5101740938</v>
      </c>
      <c r="G44">
        <v>37</v>
      </c>
    </row>
    <row r="45" spans="1:10" x14ac:dyDescent="0.2">
      <c r="A45" s="9" t="s">
        <v>70</v>
      </c>
      <c r="B45" s="10">
        <f t="shared" ref="B45:B55" si="16">+F44</f>
        <v>4690082.5101740938</v>
      </c>
      <c r="C45" s="10">
        <f t="shared" si="15"/>
        <v>8840.2035626329489</v>
      </c>
      <c r="D45" s="10">
        <f t="shared" ref="D45:D55" si="17">+B45*$L$2</f>
        <v>13444.903195832401</v>
      </c>
      <c r="E45" s="10">
        <f t="shared" ref="E45:E55" si="18">-$L$5</f>
        <v>22285.10675846535</v>
      </c>
      <c r="F45" s="10">
        <f t="shared" ref="F45:F55" si="19">+B45-C45</f>
        <v>4681242.3066114606</v>
      </c>
      <c r="G45">
        <v>38</v>
      </c>
    </row>
    <row r="46" spans="1:10" x14ac:dyDescent="0.2">
      <c r="A46" s="9" t="s">
        <v>71</v>
      </c>
      <c r="B46" s="10">
        <f t="shared" si="16"/>
        <v>4681242.3066114606</v>
      </c>
      <c r="C46" s="10">
        <f t="shared" si="15"/>
        <v>8865.545479512497</v>
      </c>
      <c r="D46" s="10">
        <f t="shared" si="17"/>
        <v>13419.561278952853</v>
      </c>
      <c r="E46" s="10">
        <f t="shared" si="18"/>
        <v>22285.10675846535</v>
      </c>
      <c r="F46" s="10">
        <f t="shared" si="19"/>
        <v>4672376.7611319479</v>
      </c>
      <c r="G46">
        <v>39</v>
      </c>
    </row>
    <row r="47" spans="1:10" x14ac:dyDescent="0.2">
      <c r="A47" s="9" t="s">
        <v>72</v>
      </c>
      <c r="B47" s="10">
        <f t="shared" si="16"/>
        <v>4672376.7611319479</v>
      </c>
      <c r="C47" s="10">
        <f t="shared" si="15"/>
        <v>8890.9600432204334</v>
      </c>
      <c r="D47" s="10">
        <f t="shared" si="17"/>
        <v>13394.146715244917</v>
      </c>
      <c r="E47" s="10">
        <f t="shared" si="18"/>
        <v>22285.10675846535</v>
      </c>
      <c r="F47" s="10">
        <f t="shared" si="19"/>
        <v>4663485.8010887271</v>
      </c>
      <c r="G47">
        <v>40</v>
      </c>
    </row>
    <row r="48" spans="1:10" x14ac:dyDescent="0.2">
      <c r="A48" s="9" t="s">
        <v>73</v>
      </c>
      <c r="B48" s="10">
        <f t="shared" si="16"/>
        <v>4663485.8010887271</v>
      </c>
      <c r="C48" s="10">
        <f t="shared" si="15"/>
        <v>8916.4474620109995</v>
      </c>
      <c r="D48" s="10">
        <f t="shared" si="17"/>
        <v>13368.659296454351</v>
      </c>
      <c r="E48" s="10">
        <f t="shared" si="18"/>
        <v>22285.10675846535</v>
      </c>
      <c r="F48" s="10">
        <f t="shared" si="19"/>
        <v>4654569.353626716</v>
      </c>
      <c r="G48">
        <v>41</v>
      </c>
    </row>
    <row r="49" spans="1:10" x14ac:dyDescent="0.2">
      <c r="A49" s="9" t="s">
        <v>74</v>
      </c>
      <c r="B49" s="10">
        <f t="shared" si="16"/>
        <v>4654569.353626716</v>
      </c>
      <c r="C49" s="10">
        <f t="shared" si="15"/>
        <v>8942.007944735431</v>
      </c>
      <c r="D49" s="10">
        <f t="shared" si="17"/>
        <v>13343.098813729919</v>
      </c>
      <c r="E49" s="10">
        <f t="shared" si="18"/>
        <v>22285.10675846535</v>
      </c>
      <c r="F49" s="10">
        <f t="shared" si="19"/>
        <v>4645627.3456819803</v>
      </c>
      <c r="G49">
        <v>42</v>
      </c>
    </row>
    <row r="50" spans="1:10" x14ac:dyDescent="0.2">
      <c r="A50" s="9" t="s">
        <v>75</v>
      </c>
      <c r="B50" s="10">
        <f t="shared" si="16"/>
        <v>4645627.3456819803</v>
      </c>
      <c r="C50" s="10">
        <f t="shared" si="15"/>
        <v>8967.6417008436729</v>
      </c>
      <c r="D50" s="10">
        <f t="shared" si="17"/>
        <v>13317.465057621677</v>
      </c>
      <c r="E50" s="10">
        <f t="shared" si="18"/>
        <v>22285.10675846535</v>
      </c>
      <c r="F50" s="10">
        <f t="shared" si="19"/>
        <v>4636659.7039811369</v>
      </c>
      <c r="G50">
        <v>43</v>
      </c>
    </row>
    <row r="51" spans="1:10" x14ac:dyDescent="0.2">
      <c r="A51" s="9" t="s">
        <v>76</v>
      </c>
      <c r="B51" s="10">
        <f t="shared" si="16"/>
        <v>4636659.7039811369</v>
      </c>
      <c r="C51" s="10">
        <f t="shared" si="15"/>
        <v>8993.3489403860913</v>
      </c>
      <c r="D51" s="10">
        <f t="shared" si="17"/>
        <v>13291.757818079259</v>
      </c>
      <c r="E51" s="10">
        <f t="shared" si="18"/>
        <v>22285.10675846535</v>
      </c>
      <c r="F51" s="10">
        <f t="shared" si="19"/>
        <v>4627666.3550407505</v>
      </c>
      <c r="G51">
        <v>44</v>
      </c>
    </row>
    <row r="52" spans="1:10" x14ac:dyDescent="0.2">
      <c r="A52" s="9" t="s">
        <v>77</v>
      </c>
      <c r="B52" s="10">
        <f t="shared" si="16"/>
        <v>4627666.3550407505</v>
      </c>
      <c r="C52" s="10">
        <f t="shared" si="15"/>
        <v>9019.1298740151997</v>
      </c>
      <c r="D52" s="10">
        <f t="shared" si="17"/>
        <v>13265.97688445015</v>
      </c>
      <c r="E52" s="10">
        <f t="shared" si="18"/>
        <v>22285.10675846535</v>
      </c>
      <c r="F52" s="10">
        <f t="shared" si="19"/>
        <v>4618647.2251667352</v>
      </c>
      <c r="G52">
        <v>45</v>
      </c>
    </row>
    <row r="53" spans="1:10" x14ac:dyDescent="0.2">
      <c r="A53" s="9" t="s">
        <v>78</v>
      </c>
      <c r="B53" s="10">
        <f t="shared" si="16"/>
        <v>4618647.2251667352</v>
      </c>
      <c r="C53" s="10">
        <f t="shared" si="15"/>
        <v>9044.984712987376</v>
      </c>
      <c r="D53" s="10">
        <f t="shared" si="17"/>
        <v>13240.122045477974</v>
      </c>
      <c r="E53" s="10">
        <f t="shared" si="18"/>
        <v>22285.10675846535</v>
      </c>
      <c r="F53" s="10">
        <f t="shared" si="19"/>
        <v>4609602.240453748</v>
      </c>
      <c r="G53">
        <v>46</v>
      </c>
    </row>
    <row r="54" spans="1:10" x14ac:dyDescent="0.2">
      <c r="A54" s="9" t="s">
        <v>79</v>
      </c>
      <c r="B54" s="10">
        <f t="shared" si="16"/>
        <v>4609602.240453748</v>
      </c>
      <c r="C54" s="10">
        <f t="shared" si="15"/>
        <v>9070.9136691646054</v>
      </c>
      <c r="D54" s="10">
        <f t="shared" si="17"/>
        <v>13214.193089300745</v>
      </c>
      <c r="E54" s="10">
        <f t="shared" si="18"/>
        <v>22285.10675846535</v>
      </c>
      <c r="F54" s="10">
        <f t="shared" si="19"/>
        <v>4600531.3267845837</v>
      </c>
      <c r="G54">
        <v>47</v>
      </c>
      <c r="I54" t="s">
        <v>29</v>
      </c>
      <c r="J54" t="s">
        <v>87</v>
      </c>
    </row>
    <row r="55" spans="1:10" ht="15" x14ac:dyDescent="0.25">
      <c r="A55" s="9" t="s">
        <v>80</v>
      </c>
      <c r="B55" s="10">
        <f t="shared" si="16"/>
        <v>4600531.3267845837</v>
      </c>
      <c r="C55" s="10">
        <f t="shared" si="15"/>
        <v>9096.9169550162096</v>
      </c>
      <c r="D55" s="10">
        <f t="shared" si="17"/>
        <v>13188.189803449141</v>
      </c>
      <c r="E55" s="10">
        <f t="shared" si="18"/>
        <v>22285.10675846535</v>
      </c>
      <c r="F55" s="11">
        <f t="shared" si="19"/>
        <v>4591434.4098295672</v>
      </c>
      <c r="G55">
        <v>48</v>
      </c>
      <c r="H55" s="10"/>
      <c r="I55" s="18">
        <f>$B$2+CUMPRINC($L$2,$L$3,$B$2,G2,G55,0)</f>
        <v>4591434.4098295681</v>
      </c>
      <c r="J55" s="19">
        <f>-CUMIPMT($L$2,$L$3,$B$2,G44,G55,0)</f>
        <v>159958.24667213595</v>
      </c>
    </row>
    <row r="56" spans="1:10" x14ac:dyDescent="0.2">
      <c r="A56" s="12" t="s">
        <v>45</v>
      </c>
      <c r="B56" s="13"/>
      <c r="C56" s="11">
        <f>SUM(C44:C55)</f>
        <v>107463.03442944828</v>
      </c>
      <c r="D56" s="11">
        <f>SUM(D44:D55)</f>
        <v>159958.24667213589</v>
      </c>
    </row>
    <row r="58" spans="1:10" x14ac:dyDescent="0.2">
      <c r="A58" s="41">
        <v>42370</v>
      </c>
      <c r="B58" s="15">
        <f>F55</f>
        <v>4591434.4098295672</v>
      </c>
      <c r="C58" s="42">
        <f>E58-D58</f>
        <v>9122.9947836205902</v>
      </c>
      <c r="D58" s="10">
        <f t="shared" ref="D58" si="20">+B58*$L$2</f>
        <v>13162.11197484476</v>
      </c>
      <c r="E58" s="10">
        <f t="shared" ref="E58:E69" si="21">-$L$5</f>
        <v>22285.10675846535</v>
      </c>
      <c r="F58" s="10">
        <f t="shared" ref="F58" si="22">+B58-C58</f>
        <v>4582311.4150459468</v>
      </c>
      <c r="G58">
        <v>49</v>
      </c>
    </row>
    <row r="59" spans="1:10" x14ac:dyDescent="0.2">
      <c r="A59" s="41">
        <v>42401</v>
      </c>
      <c r="B59" s="15">
        <f>F58</f>
        <v>4582311.4150459468</v>
      </c>
      <c r="C59" s="42">
        <f t="shared" ref="C59:C69" si="23">E59-D59</f>
        <v>9149.1473686669688</v>
      </c>
      <c r="D59" s="10">
        <f t="shared" ref="D59:D69" si="24">+B59*$L$2</f>
        <v>13135.959389798381</v>
      </c>
      <c r="E59" s="10">
        <f t="shared" si="21"/>
        <v>22285.10675846535</v>
      </c>
      <c r="F59" s="10">
        <f t="shared" ref="F59:F69" si="25">+B59-C59</f>
        <v>4573162.2676772801</v>
      </c>
      <c r="G59">
        <v>50</v>
      </c>
    </row>
    <row r="60" spans="1:10" x14ac:dyDescent="0.2">
      <c r="A60" s="41">
        <v>42430</v>
      </c>
      <c r="B60" s="15">
        <f t="shared" ref="B60:B69" si="26">F59</f>
        <v>4573162.2676772801</v>
      </c>
      <c r="C60" s="42">
        <f t="shared" si="23"/>
        <v>9175.3749244571463</v>
      </c>
      <c r="D60" s="10">
        <f t="shared" si="24"/>
        <v>13109.731834008204</v>
      </c>
      <c r="E60" s="10">
        <f t="shared" si="21"/>
        <v>22285.10675846535</v>
      </c>
      <c r="F60" s="10">
        <f t="shared" si="25"/>
        <v>4563986.8927528234</v>
      </c>
      <c r="G60">
        <v>51</v>
      </c>
    </row>
    <row r="61" spans="1:10" x14ac:dyDescent="0.2">
      <c r="A61" s="41">
        <v>42461</v>
      </c>
      <c r="B61" s="15">
        <f t="shared" si="26"/>
        <v>4563986.8927528234</v>
      </c>
      <c r="C61" s="42">
        <f t="shared" si="23"/>
        <v>9201.6776659072566</v>
      </c>
      <c r="D61" s="10">
        <f t="shared" si="24"/>
        <v>13083.429092558094</v>
      </c>
      <c r="E61" s="10">
        <f t="shared" si="21"/>
        <v>22285.10675846535</v>
      </c>
      <c r="F61" s="10">
        <f t="shared" si="25"/>
        <v>4554785.2150869165</v>
      </c>
      <c r="G61">
        <v>52</v>
      </c>
    </row>
    <row r="62" spans="1:10" x14ac:dyDescent="0.2">
      <c r="A62" s="41">
        <v>42491</v>
      </c>
      <c r="B62" s="15">
        <f t="shared" si="26"/>
        <v>4554785.2150869165</v>
      </c>
      <c r="C62" s="42">
        <f t="shared" si="23"/>
        <v>9228.0558085495231</v>
      </c>
      <c r="D62" s="10">
        <f t="shared" si="24"/>
        <v>13057.050949915827</v>
      </c>
      <c r="E62" s="10">
        <f t="shared" si="21"/>
        <v>22285.10675846535</v>
      </c>
      <c r="F62" s="10">
        <f t="shared" si="25"/>
        <v>4545557.1592783667</v>
      </c>
      <c r="G62">
        <v>53</v>
      </c>
    </row>
    <row r="63" spans="1:10" x14ac:dyDescent="0.2">
      <c r="A63" s="41">
        <v>42522</v>
      </c>
      <c r="B63" s="15">
        <f t="shared" si="26"/>
        <v>4545557.1592783667</v>
      </c>
      <c r="C63" s="42">
        <f t="shared" si="23"/>
        <v>9254.509568534033</v>
      </c>
      <c r="D63" s="10">
        <f t="shared" si="24"/>
        <v>13030.597189931317</v>
      </c>
      <c r="E63" s="10">
        <f t="shared" si="21"/>
        <v>22285.10675846535</v>
      </c>
      <c r="F63" s="10">
        <f t="shared" si="25"/>
        <v>4536302.6497098329</v>
      </c>
      <c r="G63">
        <v>54</v>
      </c>
    </row>
    <row r="64" spans="1:10" x14ac:dyDescent="0.2">
      <c r="A64" s="41">
        <v>42552</v>
      </c>
      <c r="B64" s="15">
        <f t="shared" si="26"/>
        <v>4536302.6497098329</v>
      </c>
      <c r="C64" s="42">
        <f t="shared" si="23"/>
        <v>9281.0391626304954</v>
      </c>
      <c r="D64" s="10">
        <f t="shared" si="24"/>
        <v>13004.067595834855</v>
      </c>
      <c r="E64" s="10">
        <f t="shared" si="21"/>
        <v>22285.10675846535</v>
      </c>
      <c r="F64" s="10">
        <f t="shared" si="25"/>
        <v>4527021.6105472026</v>
      </c>
      <c r="G64">
        <v>55</v>
      </c>
    </row>
    <row r="65" spans="1:10" x14ac:dyDescent="0.2">
      <c r="A65" s="41">
        <v>42583</v>
      </c>
      <c r="B65" s="15">
        <f t="shared" si="26"/>
        <v>4527021.6105472026</v>
      </c>
      <c r="C65" s="42">
        <f t="shared" si="23"/>
        <v>9307.6448082300358</v>
      </c>
      <c r="D65" s="10">
        <f t="shared" si="24"/>
        <v>12977.461950235314</v>
      </c>
      <c r="E65" s="10">
        <f t="shared" si="21"/>
        <v>22285.10675846535</v>
      </c>
      <c r="F65" s="10">
        <f t="shared" si="25"/>
        <v>4517713.9657389726</v>
      </c>
      <c r="G65">
        <v>56</v>
      </c>
    </row>
    <row r="66" spans="1:10" x14ac:dyDescent="0.2">
      <c r="A66" s="41">
        <v>42614</v>
      </c>
      <c r="B66" s="15">
        <f t="shared" si="26"/>
        <v>4517713.9657389726</v>
      </c>
      <c r="C66" s="42">
        <f t="shared" si="23"/>
        <v>9334.3267233469614</v>
      </c>
      <c r="D66" s="10">
        <f t="shared" si="24"/>
        <v>12950.780035118389</v>
      </c>
      <c r="E66" s="10">
        <f t="shared" si="21"/>
        <v>22285.10675846535</v>
      </c>
      <c r="F66" s="10">
        <f t="shared" si="25"/>
        <v>4508379.6390156252</v>
      </c>
      <c r="G66">
        <v>57</v>
      </c>
    </row>
    <row r="67" spans="1:10" x14ac:dyDescent="0.2">
      <c r="A67" s="41">
        <v>42644</v>
      </c>
      <c r="B67" s="15">
        <f t="shared" si="26"/>
        <v>4508379.6390156252</v>
      </c>
      <c r="C67" s="42">
        <f t="shared" si="23"/>
        <v>9361.0851266205573</v>
      </c>
      <c r="D67" s="10">
        <f t="shared" si="24"/>
        <v>12924.021631844793</v>
      </c>
      <c r="E67" s="10">
        <f t="shared" si="21"/>
        <v>22285.10675846535</v>
      </c>
      <c r="F67" s="10">
        <f t="shared" si="25"/>
        <v>4499018.5538890045</v>
      </c>
      <c r="G67">
        <v>58</v>
      </c>
    </row>
    <row r="68" spans="1:10" x14ac:dyDescent="0.2">
      <c r="A68" s="41">
        <v>42675</v>
      </c>
      <c r="B68" s="15">
        <f t="shared" si="26"/>
        <v>4499018.5538890045</v>
      </c>
      <c r="C68" s="42">
        <f t="shared" si="23"/>
        <v>9387.92023731687</v>
      </c>
      <c r="D68" s="10">
        <f t="shared" si="24"/>
        <v>12897.18652114848</v>
      </c>
      <c r="E68" s="10">
        <f t="shared" si="21"/>
        <v>22285.10675846535</v>
      </c>
      <c r="F68" s="10">
        <f t="shared" si="25"/>
        <v>4489630.6336516878</v>
      </c>
      <c r="G68">
        <v>59</v>
      </c>
      <c r="I68" t="s">
        <v>29</v>
      </c>
      <c r="J68" t="s">
        <v>87</v>
      </c>
    </row>
    <row r="69" spans="1:10" ht="15" x14ac:dyDescent="0.25">
      <c r="A69" s="41">
        <v>42705</v>
      </c>
      <c r="B69" s="15">
        <f t="shared" si="26"/>
        <v>4489630.6336516878</v>
      </c>
      <c r="C69" s="42">
        <f t="shared" si="23"/>
        <v>9414.832275330511</v>
      </c>
      <c r="D69" s="10">
        <f t="shared" si="24"/>
        <v>12870.274483134839</v>
      </c>
      <c r="E69" s="10">
        <f t="shared" si="21"/>
        <v>22285.10675846535</v>
      </c>
      <c r="F69" s="11">
        <f t="shared" si="25"/>
        <v>4480215.8013763577</v>
      </c>
      <c r="G69">
        <v>60</v>
      </c>
      <c r="I69" s="18">
        <f>$B$2+CUMPRINC($L$2,$L$3,$B$2,G16,G69,0)</f>
        <v>4577156.0272620749</v>
      </c>
      <c r="J69" s="19">
        <f>-CUMIPMT($L$2,$L$3,$B$2,G58,G69,0)</f>
        <v>156202.67264837329</v>
      </c>
    </row>
    <row r="70" spans="1:10" x14ac:dyDescent="0.2">
      <c r="A70" s="12" t="s">
        <v>45</v>
      </c>
      <c r="C70" s="43">
        <f>SUM(C58:C69)</f>
        <v>111218.60845321095</v>
      </c>
      <c r="D70" s="44">
        <f>SUM(D58:D69)</f>
        <v>156202.67264837323</v>
      </c>
    </row>
    <row r="72" spans="1:10" x14ac:dyDescent="0.2">
      <c r="A72" s="41">
        <v>42736</v>
      </c>
      <c r="B72" s="15">
        <f>F69</f>
        <v>4480215.8013763577</v>
      </c>
      <c r="C72" s="42">
        <f>E72-D72</f>
        <v>9441.8214611864587</v>
      </c>
      <c r="D72" s="10">
        <f t="shared" ref="D72:D83" si="27">+B72*$L$2</f>
        <v>12843.285297278891</v>
      </c>
      <c r="E72" s="10">
        <f t="shared" ref="E72:E83" si="28">-$L$5</f>
        <v>22285.10675846535</v>
      </c>
      <c r="F72" s="10">
        <f t="shared" ref="F72:F83" si="29">+B72-C72</f>
        <v>4470773.9799151709</v>
      </c>
      <c r="G72">
        <v>61</v>
      </c>
    </row>
    <row r="73" spans="1:10" x14ac:dyDescent="0.2">
      <c r="A73" s="41">
        <v>42767</v>
      </c>
      <c r="B73" s="15">
        <f>F72</f>
        <v>4470773.9799151709</v>
      </c>
      <c r="C73" s="42">
        <f t="shared" ref="C73:C83" si="30">E73-D73</f>
        <v>9468.8880160418594</v>
      </c>
      <c r="D73" s="10">
        <f t="shared" si="27"/>
        <v>12816.218742423491</v>
      </c>
      <c r="E73" s="10">
        <f t="shared" si="28"/>
        <v>22285.10675846535</v>
      </c>
      <c r="F73" s="10">
        <f t="shared" si="29"/>
        <v>4461305.0918991286</v>
      </c>
      <c r="G73">
        <v>62</v>
      </c>
    </row>
    <row r="74" spans="1:10" x14ac:dyDescent="0.2">
      <c r="A74" s="41">
        <v>42795</v>
      </c>
      <c r="B74" s="15">
        <f t="shared" ref="B74:B83" si="31">F73</f>
        <v>4461305.0918991286</v>
      </c>
      <c r="C74" s="42">
        <f t="shared" si="30"/>
        <v>9496.0321616878482</v>
      </c>
      <c r="D74" s="10">
        <f t="shared" si="27"/>
        <v>12789.074596777502</v>
      </c>
      <c r="E74" s="10">
        <f t="shared" si="28"/>
        <v>22285.10675846535</v>
      </c>
      <c r="F74" s="10">
        <f t="shared" si="29"/>
        <v>4451809.0597374411</v>
      </c>
      <c r="G74">
        <v>63</v>
      </c>
    </row>
    <row r="75" spans="1:10" x14ac:dyDescent="0.2">
      <c r="A75" s="41">
        <v>42826</v>
      </c>
      <c r="B75" s="15">
        <f t="shared" si="31"/>
        <v>4451809.0597374411</v>
      </c>
      <c r="C75" s="42">
        <f t="shared" si="30"/>
        <v>9523.2541205513517</v>
      </c>
      <c r="D75" s="10">
        <f t="shared" si="27"/>
        <v>12761.852637913998</v>
      </c>
      <c r="E75" s="10">
        <f t="shared" si="28"/>
        <v>22285.10675846535</v>
      </c>
      <c r="F75" s="10">
        <f t="shared" si="29"/>
        <v>4442285.8056168901</v>
      </c>
      <c r="G75">
        <v>64</v>
      </c>
    </row>
    <row r="76" spans="1:10" x14ac:dyDescent="0.2">
      <c r="A76" s="41">
        <v>42856</v>
      </c>
      <c r="B76" s="15">
        <f t="shared" si="31"/>
        <v>4442285.8056168901</v>
      </c>
      <c r="C76" s="42">
        <f t="shared" si="30"/>
        <v>9550.5541156969321</v>
      </c>
      <c r="D76" s="10">
        <f t="shared" si="27"/>
        <v>12734.552642768418</v>
      </c>
      <c r="E76" s="10">
        <f t="shared" si="28"/>
        <v>22285.10675846535</v>
      </c>
      <c r="F76" s="10">
        <f t="shared" si="29"/>
        <v>4432735.2515011933</v>
      </c>
      <c r="G76">
        <v>65</v>
      </c>
    </row>
    <row r="77" spans="1:10" x14ac:dyDescent="0.2">
      <c r="A77" s="41">
        <v>42887</v>
      </c>
      <c r="B77" s="15">
        <f t="shared" si="31"/>
        <v>4432735.2515011933</v>
      </c>
      <c r="C77" s="42">
        <f t="shared" si="30"/>
        <v>9577.9323708285956</v>
      </c>
      <c r="D77" s="10">
        <f t="shared" si="27"/>
        <v>12707.174387636755</v>
      </c>
      <c r="E77" s="10">
        <f t="shared" si="28"/>
        <v>22285.10675846535</v>
      </c>
      <c r="F77" s="10">
        <f t="shared" si="29"/>
        <v>4423157.3191303648</v>
      </c>
      <c r="G77">
        <v>66</v>
      </c>
    </row>
    <row r="78" spans="1:10" x14ac:dyDescent="0.2">
      <c r="A78" s="41">
        <v>42917</v>
      </c>
      <c r="B78" s="15">
        <f t="shared" si="31"/>
        <v>4423157.3191303648</v>
      </c>
      <c r="C78" s="42">
        <f t="shared" si="30"/>
        <v>9605.3891102916368</v>
      </c>
      <c r="D78" s="10">
        <f t="shared" si="27"/>
        <v>12679.717648173713</v>
      </c>
      <c r="E78" s="10">
        <f t="shared" si="28"/>
        <v>22285.10675846535</v>
      </c>
      <c r="F78" s="10">
        <f t="shared" si="29"/>
        <v>4413551.9300200734</v>
      </c>
      <c r="G78">
        <v>67</v>
      </c>
    </row>
    <row r="79" spans="1:10" x14ac:dyDescent="0.2">
      <c r="A79" s="41">
        <v>42948</v>
      </c>
      <c r="B79" s="15">
        <f t="shared" si="31"/>
        <v>4413551.9300200734</v>
      </c>
      <c r="C79" s="42">
        <f t="shared" si="30"/>
        <v>9632.9245590744722</v>
      </c>
      <c r="D79" s="10">
        <f t="shared" si="27"/>
        <v>12652.182199390878</v>
      </c>
      <c r="E79" s="10">
        <f t="shared" si="28"/>
        <v>22285.10675846535</v>
      </c>
      <c r="F79" s="10">
        <f t="shared" si="29"/>
        <v>4403919.005460999</v>
      </c>
      <c r="G79">
        <v>68</v>
      </c>
    </row>
    <row r="80" spans="1:10" x14ac:dyDescent="0.2">
      <c r="A80" s="41">
        <v>42979</v>
      </c>
      <c r="B80" s="15">
        <f t="shared" si="31"/>
        <v>4403919.005460999</v>
      </c>
      <c r="C80" s="42">
        <f t="shared" si="30"/>
        <v>9660.5389428104863</v>
      </c>
      <c r="D80" s="10">
        <f t="shared" si="27"/>
        <v>12624.567815654864</v>
      </c>
      <c r="E80" s="10">
        <f t="shared" si="28"/>
        <v>22285.10675846535</v>
      </c>
      <c r="F80" s="10">
        <f t="shared" si="29"/>
        <v>4394258.4665181888</v>
      </c>
      <c r="G80">
        <v>69</v>
      </c>
    </row>
    <row r="81" spans="1:10" x14ac:dyDescent="0.2">
      <c r="A81" s="41">
        <v>43009</v>
      </c>
      <c r="B81" s="15">
        <f t="shared" si="31"/>
        <v>4394258.4665181888</v>
      </c>
      <c r="C81" s="42">
        <f t="shared" si="30"/>
        <v>9688.2324877798746</v>
      </c>
      <c r="D81" s="10">
        <f t="shared" si="27"/>
        <v>12596.874270685475</v>
      </c>
      <c r="E81" s="10">
        <f t="shared" si="28"/>
        <v>22285.10675846535</v>
      </c>
      <c r="F81" s="10">
        <f t="shared" si="29"/>
        <v>4384570.2340304088</v>
      </c>
      <c r="G81">
        <v>70</v>
      </c>
    </row>
    <row r="82" spans="1:10" x14ac:dyDescent="0.2">
      <c r="A82" s="41">
        <v>43040</v>
      </c>
      <c r="B82" s="15">
        <f t="shared" si="31"/>
        <v>4384570.2340304088</v>
      </c>
      <c r="C82" s="42">
        <f t="shared" si="30"/>
        <v>9716.0054209115115</v>
      </c>
      <c r="D82" s="10">
        <f t="shared" si="27"/>
        <v>12569.101337553839</v>
      </c>
      <c r="E82" s="10">
        <f t="shared" si="28"/>
        <v>22285.10675846535</v>
      </c>
      <c r="F82" s="10">
        <f t="shared" si="29"/>
        <v>4374854.2286094977</v>
      </c>
      <c r="G82">
        <v>71</v>
      </c>
      <c r="I82" t="s">
        <v>29</v>
      </c>
      <c r="J82" t="s">
        <v>87</v>
      </c>
    </row>
    <row r="83" spans="1:10" ht="15" x14ac:dyDescent="0.25">
      <c r="A83" s="41">
        <v>43070</v>
      </c>
      <c r="B83" s="15">
        <f t="shared" si="31"/>
        <v>4374854.2286094977</v>
      </c>
      <c r="C83" s="42">
        <f t="shared" si="30"/>
        <v>9743.8579697847908</v>
      </c>
      <c r="D83" s="10">
        <f t="shared" si="27"/>
        <v>12541.248788680559</v>
      </c>
      <c r="E83" s="10">
        <f t="shared" si="28"/>
        <v>22285.10675846535</v>
      </c>
      <c r="F83" s="11">
        <f t="shared" si="29"/>
        <v>4365110.3706397125</v>
      </c>
      <c r="G83">
        <v>72</v>
      </c>
      <c r="I83" s="18">
        <f>$B$2+CUMPRINC($L$2,$L$3,$B$2,G30,G83,0)</f>
        <v>4562378.649640548</v>
      </c>
      <c r="J83" s="19">
        <f>-CUMIPMT($L$2,$L$3,$B$2,G72,G83,0)</f>
        <v>152315.85036493838</v>
      </c>
    </row>
    <row r="84" spans="1:10" x14ac:dyDescent="0.2">
      <c r="A84" s="12" t="s">
        <v>45</v>
      </c>
      <c r="C84" s="43">
        <f>SUM(C72:C83)</f>
        <v>115105.43073664579</v>
      </c>
      <c r="D84" s="44">
        <f>SUM(D72:D83)</f>
        <v>152315.85036493841</v>
      </c>
    </row>
    <row r="86" spans="1:10" x14ac:dyDescent="0.2">
      <c r="A86" s="41">
        <v>43101</v>
      </c>
      <c r="B86" s="15">
        <f>F83</f>
        <v>4365110.3706397125</v>
      </c>
      <c r="C86" s="42">
        <f>E86-D86</f>
        <v>9771.7903626315074</v>
      </c>
      <c r="D86" s="10">
        <f t="shared" ref="D86:D97" si="32">+B86*$L$2</f>
        <v>12513.316395833843</v>
      </c>
      <c r="E86" s="10">
        <f t="shared" ref="E86:E97" si="33">-$L$5</f>
        <v>22285.10675846535</v>
      </c>
      <c r="F86" s="10">
        <f t="shared" ref="F86:F97" si="34">+B86-C86</f>
        <v>4355338.5802770806</v>
      </c>
      <c r="G86">
        <v>73</v>
      </c>
    </row>
    <row r="87" spans="1:10" x14ac:dyDescent="0.2">
      <c r="A87" s="41">
        <v>43132</v>
      </c>
      <c r="B87" s="15">
        <f>F86</f>
        <v>4355338.5802770806</v>
      </c>
      <c r="C87" s="42">
        <f t="shared" ref="C87:C97" si="35">E87-D87</f>
        <v>9799.8028283377189</v>
      </c>
      <c r="D87" s="10">
        <f t="shared" si="32"/>
        <v>12485.303930127631</v>
      </c>
      <c r="E87" s="10">
        <f t="shared" si="33"/>
        <v>22285.10675846535</v>
      </c>
      <c r="F87" s="10">
        <f t="shared" si="34"/>
        <v>4345538.7774487427</v>
      </c>
      <c r="G87">
        <v>74</v>
      </c>
    </row>
    <row r="88" spans="1:10" x14ac:dyDescent="0.2">
      <c r="A88" s="41">
        <v>43160</v>
      </c>
      <c r="B88" s="15">
        <f t="shared" ref="B88:B97" si="36">F87</f>
        <v>4345538.7774487427</v>
      </c>
      <c r="C88" s="42">
        <f t="shared" si="35"/>
        <v>9827.8955964456218</v>
      </c>
      <c r="D88" s="10">
        <f t="shared" si="32"/>
        <v>12457.211162019728</v>
      </c>
      <c r="E88" s="10">
        <f t="shared" si="33"/>
        <v>22285.10675846535</v>
      </c>
      <c r="F88" s="10">
        <f t="shared" si="34"/>
        <v>4335710.8818522971</v>
      </c>
      <c r="G88">
        <v>75</v>
      </c>
    </row>
    <row r="89" spans="1:10" x14ac:dyDescent="0.2">
      <c r="A89" s="41">
        <v>43191</v>
      </c>
      <c r="B89" s="15">
        <f t="shared" si="36"/>
        <v>4335710.8818522971</v>
      </c>
      <c r="C89" s="42">
        <f t="shared" si="35"/>
        <v>9856.0688971554318</v>
      </c>
      <c r="D89" s="10">
        <f t="shared" si="32"/>
        <v>12429.037861309918</v>
      </c>
      <c r="E89" s="10">
        <f t="shared" si="33"/>
        <v>22285.10675846535</v>
      </c>
      <c r="F89" s="10">
        <f t="shared" si="34"/>
        <v>4325854.812955142</v>
      </c>
      <c r="G89">
        <v>76</v>
      </c>
    </row>
    <row r="90" spans="1:10" x14ac:dyDescent="0.2">
      <c r="A90" s="41">
        <v>43221</v>
      </c>
      <c r="B90" s="15">
        <f t="shared" si="36"/>
        <v>4325854.812955142</v>
      </c>
      <c r="C90" s="42">
        <f t="shared" si="35"/>
        <v>9884.3229613272761</v>
      </c>
      <c r="D90" s="10">
        <f t="shared" si="32"/>
        <v>12400.783797138074</v>
      </c>
      <c r="E90" s="10">
        <f t="shared" si="33"/>
        <v>22285.10675846535</v>
      </c>
      <c r="F90" s="10">
        <f t="shared" si="34"/>
        <v>4315970.4899938144</v>
      </c>
      <c r="G90">
        <v>77</v>
      </c>
    </row>
    <row r="91" spans="1:10" x14ac:dyDescent="0.2">
      <c r="A91" s="41">
        <v>43252</v>
      </c>
      <c r="B91" s="15">
        <f t="shared" si="36"/>
        <v>4315970.4899938144</v>
      </c>
      <c r="C91" s="42">
        <f t="shared" si="35"/>
        <v>9912.6580204830825</v>
      </c>
      <c r="D91" s="10">
        <f t="shared" si="32"/>
        <v>12372.448737982268</v>
      </c>
      <c r="E91" s="10">
        <f t="shared" si="33"/>
        <v>22285.10675846535</v>
      </c>
      <c r="F91" s="10">
        <f t="shared" si="34"/>
        <v>4306057.831973331</v>
      </c>
      <c r="G91">
        <v>78</v>
      </c>
    </row>
    <row r="92" spans="1:10" x14ac:dyDescent="0.2">
      <c r="A92" s="41">
        <v>43282</v>
      </c>
      <c r="B92" s="15">
        <f t="shared" si="36"/>
        <v>4306057.831973331</v>
      </c>
      <c r="C92" s="42">
        <f t="shared" si="35"/>
        <v>9941.0743068084685</v>
      </c>
      <c r="D92" s="10">
        <f t="shared" si="32"/>
        <v>12344.032451656882</v>
      </c>
      <c r="E92" s="10">
        <f t="shared" si="33"/>
        <v>22285.10675846535</v>
      </c>
      <c r="F92" s="10">
        <f t="shared" si="34"/>
        <v>4296116.7576665226</v>
      </c>
      <c r="G92">
        <v>79</v>
      </c>
    </row>
    <row r="93" spans="1:10" x14ac:dyDescent="0.2">
      <c r="A93" s="41">
        <v>43313</v>
      </c>
      <c r="B93" s="15">
        <f t="shared" si="36"/>
        <v>4296116.7576665226</v>
      </c>
      <c r="C93" s="42">
        <f t="shared" si="35"/>
        <v>9969.5720531546522</v>
      </c>
      <c r="D93" s="10">
        <f t="shared" si="32"/>
        <v>12315.534705310698</v>
      </c>
      <c r="E93" s="10">
        <f t="shared" si="33"/>
        <v>22285.10675846535</v>
      </c>
      <c r="F93" s="10">
        <f t="shared" si="34"/>
        <v>4286147.1856133677</v>
      </c>
      <c r="G93">
        <v>80</v>
      </c>
    </row>
    <row r="94" spans="1:10" x14ac:dyDescent="0.2">
      <c r="A94" s="41">
        <v>43344</v>
      </c>
      <c r="B94" s="15">
        <f t="shared" si="36"/>
        <v>4286147.1856133677</v>
      </c>
      <c r="C94" s="42">
        <f t="shared" si="35"/>
        <v>9998.1514930403628</v>
      </c>
      <c r="D94" s="10">
        <f t="shared" si="32"/>
        <v>12286.955265424987</v>
      </c>
      <c r="E94" s="10">
        <f t="shared" si="33"/>
        <v>22285.10675846535</v>
      </c>
      <c r="F94" s="10">
        <f t="shared" si="34"/>
        <v>4276149.0341203278</v>
      </c>
      <c r="G94">
        <v>81</v>
      </c>
    </row>
    <row r="95" spans="1:10" x14ac:dyDescent="0.2">
      <c r="A95" s="41">
        <v>43374</v>
      </c>
      <c r="B95" s="15">
        <f t="shared" si="36"/>
        <v>4276149.0341203278</v>
      </c>
      <c r="C95" s="42">
        <f t="shared" si="35"/>
        <v>10026.812860653743</v>
      </c>
      <c r="D95" s="10">
        <f t="shared" si="32"/>
        <v>12258.293897811607</v>
      </c>
      <c r="E95" s="10">
        <f t="shared" si="33"/>
        <v>22285.10675846535</v>
      </c>
      <c r="F95" s="10">
        <f t="shared" si="34"/>
        <v>4266122.2212596741</v>
      </c>
      <c r="G95">
        <v>82</v>
      </c>
    </row>
    <row r="96" spans="1:10" x14ac:dyDescent="0.2">
      <c r="A96" s="41">
        <v>43405</v>
      </c>
      <c r="B96" s="15">
        <f t="shared" si="36"/>
        <v>4266122.2212596741</v>
      </c>
      <c r="C96" s="42">
        <f t="shared" si="35"/>
        <v>10055.556390854284</v>
      </c>
      <c r="D96" s="10">
        <f t="shared" si="32"/>
        <v>12229.550367611066</v>
      </c>
      <c r="E96" s="10">
        <f t="shared" si="33"/>
        <v>22285.10675846535</v>
      </c>
      <c r="F96" s="10">
        <f t="shared" si="34"/>
        <v>4256066.6648688195</v>
      </c>
      <c r="G96">
        <v>83</v>
      </c>
      <c r="I96" t="s">
        <v>29</v>
      </c>
      <c r="J96" t="s">
        <v>87</v>
      </c>
    </row>
    <row r="97" spans="1:10" ht="15" x14ac:dyDescent="0.25">
      <c r="A97" s="41">
        <v>43435</v>
      </c>
      <c r="B97" s="15">
        <f t="shared" si="36"/>
        <v>4256066.6648688195</v>
      </c>
      <c r="C97" s="42">
        <f t="shared" si="35"/>
        <v>10084.382319174734</v>
      </c>
      <c r="D97" s="10">
        <f t="shared" si="32"/>
        <v>12200.724439290616</v>
      </c>
      <c r="E97" s="10">
        <f t="shared" si="33"/>
        <v>22285.10675846535</v>
      </c>
      <c r="F97" s="11">
        <f t="shared" si="34"/>
        <v>4245982.2825496448</v>
      </c>
      <c r="G97">
        <v>84</v>
      </c>
      <c r="I97" s="18">
        <f>$B$2+CUMPRINC($L$2,$L$3,$B$2,G44,G97,0)</f>
        <v>4547084.838290628</v>
      </c>
      <c r="J97" s="19">
        <f>-CUMIPMT($L$2,$L$3,$B$2,G86,G97,0)</f>
        <v>148293.19301151735</v>
      </c>
    </row>
    <row r="98" spans="1:10" x14ac:dyDescent="0.2">
      <c r="A98" s="12" t="s">
        <v>45</v>
      </c>
      <c r="C98" s="43">
        <f>SUM(C86:C97)</f>
        <v>119128.0880900669</v>
      </c>
      <c r="D98" s="44">
        <f>SUM(D86:D97)</f>
        <v>148293.19301151729</v>
      </c>
    </row>
    <row r="100" spans="1:10" x14ac:dyDescent="0.2">
      <c r="A100" s="41">
        <v>43466</v>
      </c>
      <c r="B100" s="15">
        <f>F97</f>
        <v>4245982.2825496448</v>
      </c>
      <c r="C100" s="42">
        <f>E100-D100</f>
        <v>10113.290881823035</v>
      </c>
      <c r="D100" s="10">
        <f t="shared" ref="D100:D111" si="37">+B100*$L$2</f>
        <v>12171.815876642315</v>
      </c>
      <c r="E100" s="10">
        <f t="shared" ref="E100:E111" si="38">-$L$5</f>
        <v>22285.10675846535</v>
      </c>
      <c r="F100" s="10">
        <f t="shared" ref="F100:F111" si="39">+B100-C100</f>
        <v>4235868.991667822</v>
      </c>
      <c r="G100">
        <v>85</v>
      </c>
    </row>
    <row r="101" spans="1:10" x14ac:dyDescent="0.2">
      <c r="A101" s="41">
        <v>43497</v>
      </c>
      <c r="B101" s="15">
        <f>F100</f>
        <v>4235868.991667822</v>
      </c>
      <c r="C101" s="42">
        <f t="shared" ref="C101:C111" si="40">E101-D101</f>
        <v>10142.282315684261</v>
      </c>
      <c r="D101" s="10">
        <f t="shared" si="37"/>
        <v>12142.82444278109</v>
      </c>
      <c r="E101" s="10">
        <f t="shared" si="38"/>
        <v>22285.10675846535</v>
      </c>
      <c r="F101" s="10">
        <f t="shared" si="39"/>
        <v>4225726.7093521375</v>
      </c>
      <c r="G101">
        <v>86</v>
      </c>
    </row>
    <row r="102" spans="1:10" x14ac:dyDescent="0.2">
      <c r="A102" s="41">
        <v>43525</v>
      </c>
      <c r="B102" s="15">
        <f t="shared" ref="B102:B111" si="41">F101</f>
        <v>4225726.7093521375</v>
      </c>
      <c r="C102" s="42">
        <f t="shared" si="40"/>
        <v>10171.356858322555</v>
      </c>
      <c r="D102" s="10">
        <f t="shared" si="37"/>
        <v>12113.749900142795</v>
      </c>
      <c r="E102" s="10">
        <f t="shared" si="38"/>
        <v>22285.10675846535</v>
      </c>
      <c r="F102" s="10">
        <f t="shared" si="39"/>
        <v>4215555.3524938151</v>
      </c>
      <c r="G102">
        <v>87</v>
      </c>
    </row>
    <row r="103" spans="1:10" x14ac:dyDescent="0.2">
      <c r="A103" s="41">
        <v>43556</v>
      </c>
      <c r="B103" s="15">
        <f t="shared" si="41"/>
        <v>4215555.3524938151</v>
      </c>
      <c r="C103" s="42">
        <f t="shared" si="40"/>
        <v>10200.514747983079</v>
      </c>
      <c r="D103" s="10">
        <f t="shared" si="37"/>
        <v>12084.592010482271</v>
      </c>
      <c r="E103" s="10">
        <f t="shared" si="38"/>
        <v>22285.10675846535</v>
      </c>
      <c r="F103" s="10">
        <f t="shared" si="39"/>
        <v>4205354.8377458323</v>
      </c>
      <c r="G103">
        <v>88</v>
      </c>
    </row>
    <row r="104" spans="1:10" x14ac:dyDescent="0.2">
      <c r="A104" s="41">
        <v>43586</v>
      </c>
      <c r="B104" s="15">
        <f t="shared" si="41"/>
        <v>4205354.8377458323</v>
      </c>
      <c r="C104" s="42">
        <f t="shared" si="40"/>
        <v>10229.756223593964</v>
      </c>
      <c r="D104" s="10">
        <f t="shared" si="37"/>
        <v>12055.350534871386</v>
      </c>
      <c r="E104" s="10">
        <f t="shared" si="38"/>
        <v>22285.10675846535</v>
      </c>
      <c r="F104" s="10">
        <f t="shared" si="39"/>
        <v>4195125.0815222384</v>
      </c>
      <c r="G104">
        <v>89</v>
      </c>
    </row>
    <row r="105" spans="1:10" x14ac:dyDescent="0.2">
      <c r="A105" s="41">
        <v>43617</v>
      </c>
      <c r="B105" s="15">
        <f t="shared" si="41"/>
        <v>4195125.0815222384</v>
      </c>
      <c r="C105" s="42">
        <f t="shared" si="40"/>
        <v>10259.081524768266</v>
      </c>
      <c r="D105" s="10">
        <f t="shared" si="37"/>
        <v>12026.025233697084</v>
      </c>
      <c r="E105" s="10">
        <f t="shared" si="38"/>
        <v>22285.10675846535</v>
      </c>
      <c r="F105" s="10">
        <f t="shared" si="39"/>
        <v>4184865.9999974701</v>
      </c>
      <c r="G105">
        <v>90</v>
      </c>
    </row>
    <row r="106" spans="1:10" x14ac:dyDescent="0.2">
      <c r="A106" s="41">
        <v>43647</v>
      </c>
      <c r="B106" s="15">
        <f t="shared" si="41"/>
        <v>4184865.9999974701</v>
      </c>
      <c r="C106" s="42">
        <f t="shared" si="40"/>
        <v>10288.490891805935</v>
      </c>
      <c r="D106" s="10">
        <f t="shared" si="37"/>
        <v>11996.615866659415</v>
      </c>
      <c r="E106" s="10">
        <f t="shared" si="38"/>
        <v>22285.10675846535</v>
      </c>
      <c r="F106" s="10">
        <f t="shared" si="39"/>
        <v>4174577.5091056642</v>
      </c>
      <c r="G106">
        <v>91</v>
      </c>
    </row>
    <row r="107" spans="1:10" x14ac:dyDescent="0.2">
      <c r="A107" s="41">
        <v>43678</v>
      </c>
      <c r="B107" s="15">
        <f t="shared" si="41"/>
        <v>4174577.5091056642</v>
      </c>
      <c r="C107" s="42">
        <f t="shared" si="40"/>
        <v>10317.984565695779</v>
      </c>
      <c r="D107" s="10">
        <f t="shared" si="37"/>
        <v>11967.122192769571</v>
      </c>
      <c r="E107" s="10">
        <f t="shared" si="38"/>
        <v>22285.10675846535</v>
      </c>
      <c r="F107" s="10">
        <f t="shared" si="39"/>
        <v>4164259.5245399685</v>
      </c>
      <c r="G107">
        <v>92</v>
      </c>
    </row>
    <row r="108" spans="1:10" x14ac:dyDescent="0.2">
      <c r="A108" s="41">
        <v>43709</v>
      </c>
      <c r="B108" s="15">
        <f t="shared" si="41"/>
        <v>4164259.5245399685</v>
      </c>
      <c r="C108" s="42">
        <f t="shared" si="40"/>
        <v>10347.562788117441</v>
      </c>
      <c r="D108" s="10">
        <f t="shared" si="37"/>
        <v>11937.54397034791</v>
      </c>
      <c r="E108" s="10">
        <f t="shared" si="38"/>
        <v>22285.10675846535</v>
      </c>
      <c r="F108" s="10">
        <f t="shared" si="39"/>
        <v>4153911.9617518513</v>
      </c>
      <c r="G108">
        <v>93</v>
      </c>
    </row>
    <row r="109" spans="1:10" x14ac:dyDescent="0.2">
      <c r="A109" s="41">
        <v>43739</v>
      </c>
      <c r="B109" s="15">
        <f t="shared" si="41"/>
        <v>4153911.9617518513</v>
      </c>
      <c r="C109" s="42">
        <f t="shared" si="40"/>
        <v>10377.225801443377</v>
      </c>
      <c r="D109" s="10">
        <f t="shared" si="37"/>
        <v>11907.880957021973</v>
      </c>
      <c r="E109" s="10">
        <f t="shared" si="38"/>
        <v>22285.10675846535</v>
      </c>
      <c r="F109" s="10">
        <f t="shared" si="39"/>
        <v>4143534.735950408</v>
      </c>
      <c r="G109">
        <v>94</v>
      </c>
    </row>
    <row r="110" spans="1:10" x14ac:dyDescent="0.2">
      <c r="A110" s="41">
        <v>43770</v>
      </c>
      <c r="B110" s="15">
        <f t="shared" si="41"/>
        <v>4143534.735950408</v>
      </c>
      <c r="C110" s="42">
        <f t="shared" si="40"/>
        <v>10406.973848740847</v>
      </c>
      <c r="D110" s="10">
        <f t="shared" si="37"/>
        <v>11878.132909724503</v>
      </c>
      <c r="E110" s="10">
        <f t="shared" si="38"/>
        <v>22285.10675846535</v>
      </c>
      <c r="F110" s="10">
        <f t="shared" si="39"/>
        <v>4133127.762101667</v>
      </c>
      <c r="G110">
        <v>95</v>
      </c>
      <c r="I110" t="s">
        <v>29</v>
      </c>
      <c r="J110" t="s">
        <v>87</v>
      </c>
    </row>
    <row r="111" spans="1:10" ht="15" x14ac:dyDescent="0.25">
      <c r="A111" s="41">
        <v>43800</v>
      </c>
      <c r="B111" s="15">
        <f t="shared" si="41"/>
        <v>4133127.762101667</v>
      </c>
      <c r="C111" s="42">
        <f t="shared" si="40"/>
        <v>10436.807173773905</v>
      </c>
      <c r="D111" s="10">
        <f t="shared" si="37"/>
        <v>11848.299584691445</v>
      </c>
      <c r="E111" s="10">
        <f t="shared" si="38"/>
        <v>22285.10675846535</v>
      </c>
      <c r="F111" s="11">
        <f t="shared" si="39"/>
        <v>4122690.9549278929</v>
      </c>
      <c r="G111">
        <v>96</v>
      </c>
      <c r="I111" s="18">
        <f>$B$2+CUMPRINC($L$2,$L$3,$B$2,G58,G111,0)</f>
        <v>4531256.5450983243</v>
      </c>
      <c r="J111" s="19">
        <f>-CUMIPMT($L$2,$L$3,$B$2,G100,G111,0)</f>
        <v>144129.95347983175</v>
      </c>
    </row>
    <row r="112" spans="1:10" x14ac:dyDescent="0.2">
      <c r="A112" s="12" t="s">
        <v>45</v>
      </c>
      <c r="C112" s="43">
        <f>SUM(C100:C111)</f>
        <v>123291.32762175244</v>
      </c>
      <c r="D112" s="44">
        <f>SUM(D100:D111)</f>
        <v>144129.95347983178</v>
      </c>
    </row>
    <row r="114" spans="1:10" x14ac:dyDescent="0.2">
      <c r="A114" s="41">
        <v>43831</v>
      </c>
      <c r="B114" s="15">
        <f>B111</f>
        <v>4133127.762101667</v>
      </c>
      <c r="C114" s="42">
        <f>E114-D114</f>
        <v>10436.807173773905</v>
      </c>
      <c r="D114" s="10">
        <f>+B114*$L$2</f>
        <v>11848.299584691445</v>
      </c>
      <c r="E114" s="10">
        <f t="shared" ref="E114:E125" si="42">-$L$5</f>
        <v>22285.10675846535</v>
      </c>
      <c r="F114" s="10">
        <f t="shared" ref="F114:F125" si="43">+B114-C114</f>
        <v>4122690.9549278929</v>
      </c>
      <c r="G114">
        <v>97</v>
      </c>
    </row>
    <row r="115" spans="1:10" x14ac:dyDescent="0.2">
      <c r="A115" s="41">
        <v>43862</v>
      </c>
      <c r="B115" s="15">
        <f>F114</f>
        <v>4122690.9549278929</v>
      </c>
      <c r="C115" s="42">
        <f t="shared" ref="C115:C125" si="44">E115-D115</f>
        <v>10466.72602100539</v>
      </c>
      <c r="D115" s="10">
        <f t="shared" ref="D115:D125" si="45">+B115*$L$2</f>
        <v>11818.38073745996</v>
      </c>
      <c r="E115" s="10">
        <f t="shared" si="42"/>
        <v>22285.10675846535</v>
      </c>
      <c r="F115" s="10">
        <f t="shared" si="43"/>
        <v>4112224.2289068876</v>
      </c>
      <c r="G115">
        <v>98</v>
      </c>
    </row>
    <row r="116" spans="1:10" x14ac:dyDescent="0.2">
      <c r="A116" s="41">
        <v>43891</v>
      </c>
      <c r="B116" s="15">
        <f t="shared" ref="B116:B125" si="46">F115</f>
        <v>4112224.2289068876</v>
      </c>
      <c r="C116" s="42">
        <f t="shared" si="44"/>
        <v>10496.730635598939</v>
      </c>
      <c r="D116" s="10">
        <f t="shared" si="45"/>
        <v>11788.376122866412</v>
      </c>
      <c r="E116" s="10">
        <f t="shared" si="42"/>
        <v>22285.10675846535</v>
      </c>
      <c r="F116" s="10">
        <f t="shared" si="43"/>
        <v>4101727.4982712888</v>
      </c>
      <c r="G116">
        <v>99</v>
      </c>
    </row>
    <row r="117" spans="1:10" x14ac:dyDescent="0.2">
      <c r="A117" s="41">
        <v>43922</v>
      </c>
      <c r="B117" s="15">
        <f t="shared" si="46"/>
        <v>4101727.4982712888</v>
      </c>
      <c r="C117" s="42">
        <f t="shared" si="44"/>
        <v>10526.821263420989</v>
      </c>
      <c r="D117" s="10">
        <f t="shared" si="45"/>
        <v>11758.285495044362</v>
      </c>
      <c r="E117" s="10">
        <f t="shared" si="42"/>
        <v>22285.10675846535</v>
      </c>
      <c r="F117" s="10">
        <f t="shared" si="43"/>
        <v>4091200.677007868</v>
      </c>
      <c r="G117">
        <v>100</v>
      </c>
    </row>
    <row r="118" spans="1:10" x14ac:dyDescent="0.2">
      <c r="A118" s="41">
        <v>43952</v>
      </c>
      <c r="B118" s="15">
        <f t="shared" si="46"/>
        <v>4091200.677007868</v>
      </c>
      <c r="C118" s="42">
        <f t="shared" si="44"/>
        <v>10556.998151042795</v>
      </c>
      <c r="D118" s="10">
        <f t="shared" si="45"/>
        <v>11728.108607422555</v>
      </c>
      <c r="E118" s="10">
        <f t="shared" si="42"/>
        <v>22285.10675846535</v>
      </c>
      <c r="F118" s="10">
        <f t="shared" si="43"/>
        <v>4080643.678856825</v>
      </c>
      <c r="G118">
        <v>101</v>
      </c>
    </row>
    <row r="119" spans="1:10" x14ac:dyDescent="0.2">
      <c r="A119" s="41">
        <v>43983</v>
      </c>
      <c r="B119" s="15">
        <f t="shared" si="46"/>
        <v>4080643.678856825</v>
      </c>
      <c r="C119" s="42">
        <f t="shared" si="44"/>
        <v>10587.261545742453</v>
      </c>
      <c r="D119" s="10">
        <f t="shared" si="45"/>
        <v>11697.845212722897</v>
      </c>
      <c r="E119" s="10">
        <f t="shared" si="42"/>
        <v>22285.10675846535</v>
      </c>
      <c r="F119" s="10">
        <f t="shared" si="43"/>
        <v>4070056.4173110826</v>
      </c>
      <c r="G119">
        <v>102</v>
      </c>
    </row>
    <row r="120" spans="1:10" x14ac:dyDescent="0.2">
      <c r="A120" s="41">
        <v>44013</v>
      </c>
      <c r="B120" s="15">
        <f t="shared" si="46"/>
        <v>4070056.4173110826</v>
      </c>
      <c r="C120" s="42">
        <f t="shared" si="44"/>
        <v>10617.611695506914</v>
      </c>
      <c r="D120" s="10">
        <f t="shared" si="45"/>
        <v>11667.495062958436</v>
      </c>
      <c r="E120" s="10">
        <f t="shared" si="42"/>
        <v>22285.10675846535</v>
      </c>
      <c r="F120" s="10">
        <f t="shared" si="43"/>
        <v>4059438.8056155755</v>
      </c>
      <c r="G120">
        <v>103</v>
      </c>
    </row>
    <row r="121" spans="1:10" x14ac:dyDescent="0.2">
      <c r="A121" s="41">
        <v>44044</v>
      </c>
      <c r="B121" s="15">
        <f t="shared" si="46"/>
        <v>4059438.8056155755</v>
      </c>
      <c r="C121" s="42">
        <f t="shared" si="44"/>
        <v>10648.048849034034</v>
      </c>
      <c r="D121" s="10">
        <f t="shared" si="45"/>
        <v>11637.057909431316</v>
      </c>
      <c r="E121" s="10">
        <f t="shared" si="42"/>
        <v>22285.10675846535</v>
      </c>
      <c r="F121" s="10">
        <f t="shared" si="43"/>
        <v>4048790.7567665414</v>
      </c>
      <c r="G121">
        <v>104</v>
      </c>
    </row>
    <row r="122" spans="1:10" x14ac:dyDescent="0.2">
      <c r="A122" s="41">
        <v>44075</v>
      </c>
      <c r="B122" s="15">
        <f t="shared" si="46"/>
        <v>4048790.7567665414</v>
      </c>
      <c r="C122" s="42">
        <f t="shared" si="44"/>
        <v>10678.573255734598</v>
      </c>
      <c r="D122" s="10">
        <f t="shared" si="45"/>
        <v>11606.533502730752</v>
      </c>
      <c r="E122" s="10">
        <f t="shared" si="42"/>
        <v>22285.10675846535</v>
      </c>
      <c r="F122" s="10">
        <f t="shared" si="43"/>
        <v>4038112.1835108069</v>
      </c>
      <c r="G122">
        <v>105</v>
      </c>
    </row>
    <row r="123" spans="1:10" x14ac:dyDescent="0.2">
      <c r="A123" s="41">
        <v>44105</v>
      </c>
      <c r="B123" s="15">
        <f t="shared" si="46"/>
        <v>4038112.1835108069</v>
      </c>
      <c r="C123" s="42">
        <f t="shared" si="44"/>
        <v>10709.18516573437</v>
      </c>
      <c r="D123" s="10">
        <f t="shared" si="45"/>
        <v>11575.92159273098</v>
      </c>
      <c r="E123" s="10">
        <f t="shared" si="42"/>
        <v>22285.10675846535</v>
      </c>
      <c r="F123" s="10">
        <f t="shared" si="43"/>
        <v>4027402.9983450724</v>
      </c>
      <c r="G123">
        <v>106</v>
      </c>
    </row>
    <row r="124" spans="1:10" x14ac:dyDescent="0.2">
      <c r="A124" s="41">
        <v>44136</v>
      </c>
      <c r="B124" s="15">
        <f t="shared" si="46"/>
        <v>4027402.9983450724</v>
      </c>
      <c r="C124" s="42">
        <f t="shared" si="44"/>
        <v>10739.884829876142</v>
      </c>
      <c r="D124" s="10">
        <f t="shared" si="45"/>
        <v>11545.221928589208</v>
      </c>
      <c r="E124" s="10">
        <f t="shared" si="42"/>
        <v>22285.10675846535</v>
      </c>
      <c r="F124" s="10">
        <f t="shared" si="43"/>
        <v>4016663.1135151964</v>
      </c>
      <c r="G124">
        <v>107</v>
      </c>
      <c r="I124" t="s">
        <v>29</v>
      </c>
      <c r="J124" t="s">
        <v>87</v>
      </c>
    </row>
    <row r="125" spans="1:10" ht="15" x14ac:dyDescent="0.25">
      <c r="A125" s="41">
        <v>44166</v>
      </c>
      <c r="B125" s="15">
        <f t="shared" si="46"/>
        <v>4016663.1135151964</v>
      </c>
      <c r="C125" s="42">
        <f t="shared" si="44"/>
        <v>10770.672499721788</v>
      </c>
      <c r="D125" s="10">
        <f t="shared" si="45"/>
        <v>11514.434258743562</v>
      </c>
      <c r="E125" s="10">
        <f t="shared" si="42"/>
        <v>22285.10675846535</v>
      </c>
      <c r="F125" s="11">
        <f t="shared" si="43"/>
        <v>4005892.4410154745</v>
      </c>
      <c r="G125">
        <v>108</v>
      </c>
      <c r="I125" s="18">
        <f>$B$2+CUMPRINC($L$2,$L$3,$B$2,G72,G125,0)</f>
        <v>4514875.091211562</v>
      </c>
      <c r="J125" s="19">
        <f>-CUMIPMT($L$2,$L$3,$B$2,G114,G125,0)</f>
        <v>139821.2187616115</v>
      </c>
    </row>
    <row r="126" spans="1:10" x14ac:dyDescent="0.2">
      <c r="A126" s="12" t="s">
        <v>45</v>
      </c>
      <c r="C126" s="43">
        <f>SUM(C114:C125)</f>
        <v>127235.3210861923</v>
      </c>
      <c r="D126" s="44">
        <f>SUM(D114:D125)</f>
        <v>140185.9600153919</v>
      </c>
    </row>
    <row r="128" spans="1:10" x14ac:dyDescent="0.2">
      <c r="A128" s="41">
        <v>44197</v>
      </c>
      <c r="B128" s="15">
        <f>B125</f>
        <v>4016663.1135151964</v>
      </c>
      <c r="C128" s="42">
        <f>E128-D128</f>
        <v>10770.672499721788</v>
      </c>
      <c r="D128" s="10">
        <f t="shared" ref="D128:D139" si="47">+B128*$L$2</f>
        <v>11514.434258743562</v>
      </c>
      <c r="E128" s="10">
        <f t="shared" ref="E128:E139" si="48">-$L$5</f>
        <v>22285.10675846535</v>
      </c>
      <c r="F128" s="10">
        <f t="shared" ref="F128:F139" si="49">+B128-C128</f>
        <v>4005892.4410154745</v>
      </c>
      <c r="G128">
        <v>109</v>
      </c>
    </row>
    <row r="129" spans="1:10" x14ac:dyDescent="0.2">
      <c r="A129" s="41">
        <v>44228</v>
      </c>
      <c r="B129" s="15">
        <f>F128</f>
        <v>4005892.4410154745</v>
      </c>
      <c r="C129" s="42">
        <f t="shared" ref="C129:C139" si="50">E129-D129</f>
        <v>10801.548427554324</v>
      </c>
      <c r="D129" s="10">
        <f t="shared" si="47"/>
        <v>11483.558330911026</v>
      </c>
      <c r="E129" s="10">
        <f t="shared" si="48"/>
        <v>22285.10675846535</v>
      </c>
      <c r="F129" s="10">
        <f t="shared" si="49"/>
        <v>3995090.8925879202</v>
      </c>
      <c r="G129">
        <v>110</v>
      </c>
    </row>
    <row r="130" spans="1:10" x14ac:dyDescent="0.2">
      <c r="A130" s="41">
        <v>44256</v>
      </c>
      <c r="B130" s="15">
        <f t="shared" ref="B130:B139" si="51">F129</f>
        <v>3995090.8925879202</v>
      </c>
      <c r="C130" s="42">
        <f t="shared" si="50"/>
        <v>10832.512866379979</v>
      </c>
      <c r="D130" s="10">
        <f t="shared" si="47"/>
        <v>11452.593892085371</v>
      </c>
      <c r="E130" s="10">
        <f t="shared" si="48"/>
        <v>22285.10675846535</v>
      </c>
      <c r="F130" s="10">
        <f t="shared" si="49"/>
        <v>3984258.37972154</v>
      </c>
      <c r="G130">
        <v>111</v>
      </c>
    </row>
    <row r="131" spans="1:10" x14ac:dyDescent="0.2">
      <c r="A131" s="41">
        <v>44287</v>
      </c>
      <c r="B131" s="15">
        <f t="shared" si="51"/>
        <v>3984258.37972154</v>
      </c>
      <c r="C131" s="42">
        <f t="shared" si="50"/>
        <v>10863.566069930268</v>
      </c>
      <c r="D131" s="10">
        <f t="shared" si="47"/>
        <v>11421.540688535082</v>
      </c>
      <c r="E131" s="10">
        <f t="shared" si="48"/>
        <v>22285.10675846535</v>
      </c>
      <c r="F131" s="10">
        <f t="shared" si="49"/>
        <v>3973394.8136516097</v>
      </c>
      <c r="G131">
        <v>112</v>
      </c>
    </row>
    <row r="132" spans="1:10" x14ac:dyDescent="0.2">
      <c r="A132" s="41">
        <v>44317</v>
      </c>
      <c r="B132" s="15">
        <f t="shared" si="51"/>
        <v>3973394.8136516097</v>
      </c>
      <c r="C132" s="42">
        <f t="shared" si="50"/>
        <v>10894.708292664069</v>
      </c>
      <c r="D132" s="10">
        <f t="shared" si="47"/>
        <v>11390.398465801281</v>
      </c>
      <c r="E132" s="10">
        <f t="shared" si="48"/>
        <v>22285.10675846535</v>
      </c>
      <c r="F132" s="10">
        <f t="shared" si="49"/>
        <v>3962500.1053589457</v>
      </c>
      <c r="G132">
        <v>113</v>
      </c>
    </row>
    <row r="133" spans="1:10" x14ac:dyDescent="0.2">
      <c r="A133" s="41">
        <v>44348</v>
      </c>
      <c r="B133" s="15">
        <f t="shared" si="51"/>
        <v>3962500.1053589457</v>
      </c>
      <c r="C133" s="42">
        <f t="shared" si="50"/>
        <v>10925.939789769705</v>
      </c>
      <c r="D133" s="10">
        <f t="shared" si="47"/>
        <v>11359.166968695645</v>
      </c>
      <c r="E133" s="10">
        <f t="shared" si="48"/>
        <v>22285.10675846535</v>
      </c>
      <c r="F133" s="10">
        <f t="shared" si="49"/>
        <v>3951574.165569176</v>
      </c>
      <c r="G133">
        <v>114</v>
      </c>
    </row>
    <row r="134" spans="1:10" x14ac:dyDescent="0.2">
      <c r="A134" s="41">
        <v>44378</v>
      </c>
      <c r="B134" s="15">
        <f t="shared" si="51"/>
        <v>3951574.165569176</v>
      </c>
      <c r="C134" s="42">
        <f t="shared" si="50"/>
        <v>10957.260817167045</v>
      </c>
      <c r="D134" s="10">
        <f t="shared" si="47"/>
        <v>11327.845941298305</v>
      </c>
      <c r="E134" s="10">
        <f t="shared" si="48"/>
        <v>22285.10675846535</v>
      </c>
      <c r="F134" s="10">
        <f t="shared" si="49"/>
        <v>3940616.9047520091</v>
      </c>
      <c r="G134">
        <v>115</v>
      </c>
    </row>
    <row r="135" spans="1:10" x14ac:dyDescent="0.2">
      <c r="A135" s="41">
        <v>44409</v>
      </c>
      <c r="B135" s="15">
        <f t="shared" si="51"/>
        <v>3940616.9047520091</v>
      </c>
      <c r="C135" s="42">
        <f t="shared" si="50"/>
        <v>10988.671631509591</v>
      </c>
      <c r="D135" s="10">
        <f t="shared" si="47"/>
        <v>11296.435126955759</v>
      </c>
      <c r="E135" s="10">
        <f t="shared" si="48"/>
        <v>22285.10675846535</v>
      </c>
      <c r="F135" s="10">
        <f t="shared" si="49"/>
        <v>3929628.2331204996</v>
      </c>
      <c r="G135">
        <v>116</v>
      </c>
    </row>
    <row r="136" spans="1:10" x14ac:dyDescent="0.2">
      <c r="A136" s="41">
        <v>44440</v>
      </c>
      <c r="B136" s="15">
        <f t="shared" si="51"/>
        <v>3929628.2331204996</v>
      </c>
      <c r="C136" s="42">
        <f t="shared" si="50"/>
        <v>11020.172490186584</v>
      </c>
      <c r="D136" s="10">
        <f t="shared" si="47"/>
        <v>11264.934268278766</v>
      </c>
      <c r="E136" s="10">
        <f t="shared" si="48"/>
        <v>22285.10675846535</v>
      </c>
      <c r="F136" s="10">
        <f t="shared" si="49"/>
        <v>3918608.0606303131</v>
      </c>
      <c r="G136">
        <v>117</v>
      </c>
    </row>
    <row r="137" spans="1:10" x14ac:dyDescent="0.2">
      <c r="A137" s="41">
        <v>44470</v>
      </c>
      <c r="B137" s="15">
        <f t="shared" si="51"/>
        <v>3918608.0606303131</v>
      </c>
      <c r="C137" s="42">
        <f t="shared" si="50"/>
        <v>11051.76365132512</v>
      </c>
      <c r="D137" s="10">
        <f t="shared" si="47"/>
        <v>11233.34310714023</v>
      </c>
      <c r="E137" s="10">
        <f t="shared" si="48"/>
        <v>22285.10675846535</v>
      </c>
      <c r="F137" s="10">
        <f t="shared" si="49"/>
        <v>3907556.2969789882</v>
      </c>
      <c r="G137">
        <v>118</v>
      </c>
    </row>
    <row r="138" spans="1:10" x14ac:dyDescent="0.2">
      <c r="A138" s="41">
        <v>44501</v>
      </c>
      <c r="B138" s="15">
        <f t="shared" si="51"/>
        <v>3907556.2969789882</v>
      </c>
      <c r="C138" s="42">
        <f t="shared" si="50"/>
        <v>11083.44537379225</v>
      </c>
      <c r="D138" s="10">
        <f t="shared" si="47"/>
        <v>11201.6613846731</v>
      </c>
      <c r="E138" s="10">
        <f t="shared" si="48"/>
        <v>22285.10675846535</v>
      </c>
      <c r="F138" s="10">
        <f t="shared" si="49"/>
        <v>3896472.851605196</v>
      </c>
      <c r="G138">
        <v>119</v>
      </c>
      <c r="I138" t="s">
        <v>29</v>
      </c>
      <c r="J138" t="s">
        <v>87</v>
      </c>
    </row>
    <row r="139" spans="1:10" ht="15" x14ac:dyDescent="0.25">
      <c r="A139" s="41">
        <v>44531</v>
      </c>
      <c r="B139" s="15">
        <f t="shared" si="51"/>
        <v>3896472.851605196</v>
      </c>
      <c r="C139" s="42">
        <f t="shared" si="50"/>
        <v>11115.217917197122</v>
      </c>
      <c r="D139" s="10">
        <f t="shared" si="47"/>
        <v>11169.888841268228</v>
      </c>
      <c r="E139" s="10">
        <f t="shared" si="48"/>
        <v>22285.10675846535</v>
      </c>
      <c r="F139" s="11">
        <f t="shared" si="49"/>
        <v>3885357.6336879991</v>
      </c>
      <c r="G139">
        <v>120</v>
      </c>
      <c r="I139" s="18">
        <f>$B$2+CUMPRINC($L$2,$L$3,$B$2,G86,G139,0)</f>
        <v>4497921.1449974133</v>
      </c>
      <c r="J139" s="19">
        <f>-CUMIPMT($L$2,$L$3,$B$2,G128,G139,0)</f>
        <v>135361.90415078955</v>
      </c>
    </row>
    <row r="140" spans="1:10" x14ac:dyDescent="0.2">
      <c r="A140" s="12" t="s">
        <v>45</v>
      </c>
      <c r="C140" s="43">
        <f>SUM(C128:C139)</f>
        <v>131305.47982719782</v>
      </c>
      <c r="D140" s="44">
        <f>SUM(D128:D139)</f>
        <v>136115.80127438638</v>
      </c>
    </row>
    <row r="142" spans="1:10" x14ac:dyDescent="0.2">
      <c r="A142" s="41">
        <v>44562</v>
      </c>
      <c r="B142" s="15">
        <f>B139</f>
        <v>3896472.851605196</v>
      </c>
      <c r="C142" s="42">
        <f>E142-D142</f>
        <v>11115.217917197122</v>
      </c>
      <c r="D142" s="10">
        <f t="shared" ref="D142:D153" si="52">+B142*$L$2</f>
        <v>11169.888841268228</v>
      </c>
      <c r="E142" s="10">
        <f t="shared" ref="E142:E153" si="53">-$L$5</f>
        <v>22285.10675846535</v>
      </c>
      <c r="F142" s="10">
        <f t="shared" ref="F142:F153" si="54">+B142-C142</f>
        <v>3885357.6336879991</v>
      </c>
      <c r="G142">
        <v>121</v>
      </c>
    </row>
    <row r="143" spans="1:10" x14ac:dyDescent="0.2">
      <c r="A143" s="41">
        <v>44593</v>
      </c>
      <c r="B143" s="15">
        <f>F142</f>
        <v>3885357.6336879991</v>
      </c>
      <c r="C143" s="42">
        <f t="shared" ref="C143:C153" si="55">E143-D143</f>
        <v>11147.081541893085</v>
      </c>
      <c r="D143" s="10">
        <f t="shared" si="52"/>
        <v>11138.025216572265</v>
      </c>
      <c r="E143" s="10">
        <f t="shared" si="53"/>
        <v>22285.10675846535</v>
      </c>
      <c r="F143" s="10">
        <f t="shared" si="54"/>
        <v>3874210.552146106</v>
      </c>
      <c r="G143">
        <v>122</v>
      </c>
    </row>
    <row r="144" spans="1:10" x14ac:dyDescent="0.2">
      <c r="A144" s="41">
        <v>44621</v>
      </c>
      <c r="B144" s="15">
        <f t="shared" ref="B144:B153" si="56">F143</f>
        <v>3874210.552146106</v>
      </c>
      <c r="C144" s="42">
        <f t="shared" si="55"/>
        <v>11179.036508979847</v>
      </c>
      <c r="D144" s="10">
        <f t="shared" si="52"/>
        <v>11106.070249485503</v>
      </c>
      <c r="E144" s="10">
        <f t="shared" si="53"/>
        <v>22285.10675846535</v>
      </c>
      <c r="F144" s="10">
        <f t="shared" si="54"/>
        <v>3863031.5156371263</v>
      </c>
      <c r="G144">
        <v>123</v>
      </c>
    </row>
    <row r="145" spans="1:10" x14ac:dyDescent="0.2">
      <c r="A145" s="41">
        <v>44652</v>
      </c>
      <c r="B145" s="15">
        <f t="shared" si="56"/>
        <v>3863031.5156371263</v>
      </c>
      <c r="C145" s="42">
        <f t="shared" si="55"/>
        <v>11211.083080305589</v>
      </c>
      <c r="D145" s="10">
        <f t="shared" si="52"/>
        <v>11074.023678159761</v>
      </c>
      <c r="E145" s="10">
        <f t="shared" si="53"/>
        <v>22285.10675846535</v>
      </c>
      <c r="F145" s="10">
        <f t="shared" si="54"/>
        <v>3851820.4325568206</v>
      </c>
      <c r="G145">
        <v>124</v>
      </c>
    </row>
    <row r="146" spans="1:10" x14ac:dyDescent="0.2">
      <c r="A146" s="41">
        <v>44682</v>
      </c>
      <c r="B146" s="15">
        <f t="shared" si="56"/>
        <v>3851820.4325568206</v>
      </c>
      <c r="C146" s="42">
        <f t="shared" si="55"/>
        <v>11243.22151846913</v>
      </c>
      <c r="D146" s="10">
        <f t="shared" si="52"/>
        <v>11041.88523999622</v>
      </c>
      <c r="E146" s="10">
        <f t="shared" si="53"/>
        <v>22285.10675846535</v>
      </c>
      <c r="F146" s="10">
        <f t="shared" si="54"/>
        <v>3840577.2110383515</v>
      </c>
      <c r="G146">
        <v>125</v>
      </c>
    </row>
    <row r="147" spans="1:10" x14ac:dyDescent="0.2">
      <c r="A147" s="41">
        <v>44713</v>
      </c>
      <c r="B147" s="15">
        <f t="shared" si="56"/>
        <v>3840577.2110383515</v>
      </c>
      <c r="C147" s="42">
        <f t="shared" si="55"/>
        <v>11275.452086822075</v>
      </c>
      <c r="D147" s="10">
        <f t="shared" si="52"/>
        <v>11009.654671643275</v>
      </c>
      <c r="E147" s="10">
        <f t="shared" si="53"/>
        <v>22285.10675846535</v>
      </c>
      <c r="F147" s="10">
        <f t="shared" si="54"/>
        <v>3829301.7589515294</v>
      </c>
      <c r="G147">
        <v>126</v>
      </c>
    </row>
    <row r="148" spans="1:10" x14ac:dyDescent="0.2">
      <c r="A148" s="41">
        <v>44743</v>
      </c>
      <c r="B148" s="15">
        <f t="shared" si="56"/>
        <v>3829301.7589515294</v>
      </c>
      <c r="C148" s="42">
        <f t="shared" si="55"/>
        <v>11307.775049470965</v>
      </c>
      <c r="D148" s="10">
        <f t="shared" si="52"/>
        <v>10977.331708994385</v>
      </c>
      <c r="E148" s="10">
        <f t="shared" si="53"/>
        <v>22285.10675846535</v>
      </c>
      <c r="F148" s="10">
        <f t="shared" si="54"/>
        <v>3817993.9839020586</v>
      </c>
      <c r="G148">
        <v>127</v>
      </c>
    </row>
    <row r="149" spans="1:10" x14ac:dyDescent="0.2">
      <c r="A149" s="41">
        <v>44774</v>
      </c>
      <c r="B149" s="15">
        <f t="shared" si="56"/>
        <v>3817993.9839020586</v>
      </c>
      <c r="C149" s="42">
        <f t="shared" si="55"/>
        <v>11340.19067127945</v>
      </c>
      <c r="D149" s="10">
        <f t="shared" si="52"/>
        <v>10944.9160871859</v>
      </c>
      <c r="E149" s="10">
        <f t="shared" si="53"/>
        <v>22285.10675846535</v>
      </c>
      <c r="F149" s="10">
        <f t="shared" si="54"/>
        <v>3806653.793230779</v>
      </c>
      <c r="G149">
        <v>128</v>
      </c>
    </row>
    <row r="150" spans="1:10" x14ac:dyDescent="0.2">
      <c r="A150" s="41">
        <v>44805</v>
      </c>
      <c r="B150" s="15">
        <f t="shared" si="56"/>
        <v>3806653.793230779</v>
      </c>
      <c r="C150" s="42">
        <f t="shared" si="55"/>
        <v>11372.69921787045</v>
      </c>
      <c r="D150" s="10">
        <f t="shared" si="52"/>
        <v>10912.407540594901</v>
      </c>
      <c r="E150" s="10">
        <f t="shared" si="53"/>
        <v>22285.10675846535</v>
      </c>
      <c r="F150" s="10">
        <f t="shared" si="54"/>
        <v>3795281.0940129086</v>
      </c>
      <c r="G150">
        <v>129</v>
      </c>
    </row>
    <row r="151" spans="1:10" x14ac:dyDescent="0.2">
      <c r="A151" s="41">
        <v>44835</v>
      </c>
      <c r="B151" s="15">
        <f t="shared" si="56"/>
        <v>3795281.0940129086</v>
      </c>
      <c r="C151" s="42">
        <f t="shared" si="55"/>
        <v>11405.300955628345</v>
      </c>
      <c r="D151" s="10">
        <f t="shared" si="52"/>
        <v>10879.805802837005</v>
      </c>
      <c r="E151" s="10">
        <f t="shared" si="53"/>
        <v>22285.10675846535</v>
      </c>
      <c r="F151" s="10">
        <f t="shared" si="54"/>
        <v>3783875.7930572801</v>
      </c>
      <c r="G151">
        <v>130</v>
      </c>
    </row>
    <row r="152" spans="1:10" x14ac:dyDescent="0.2">
      <c r="A152" s="41">
        <v>44866</v>
      </c>
      <c r="B152" s="15">
        <f t="shared" si="56"/>
        <v>3783875.7930572801</v>
      </c>
      <c r="C152" s="42">
        <f t="shared" si="55"/>
        <v>11437.996151701147</v>
      </c>
      <c r="D152" s="10">
        <f t="shared" si="52"/>
        <v>10847.110606764203</v>
      </c>
      <c r="E152" s="10">
        <f t="shared" si="53"/>
        <v>22285.10675846535</v>
      </c>
      <c r="F152" s="10">
        <f t="shared" si="54"/>
        <v>3772437.796905579</v>
      </c>
      <c r="G152">
        <v>131</v>
      </c>
      <c r="I152" t="s">
        <v>29</v>
      </c>
      <c r="J152" t="s">
        <v>87</v>
      </c>
    </row>
    <row r="153" spans="1:10" ht="15" x14ac:dyDescent="0.25">
      <c r="A153" s="41">
        <v>44896</v>
      </c>
      <c r="B153" s="15">
        <f t="shared" si="56"/>
        <v>3772437.796905579</v>
      </c>
      <c r="C153" s="42">
        <f t="shared" si="55"/>
        <v>11470.78507400269</v>
      </c>
      <c r="D153" s="10">
        <f t="shared" si="52"/>
        <v>10814.32168446266</v>
      </c>
      <c r="E153" s="10">
        <f t="shared" si="53"/>
        <v>22285.10675846535</v>
      </c>
      <c r="F153" s="11">
        <f t="shared" si="54"/>
        <v>3760967.0118315765</v>
      </c>
      <c r="G153">
        <v>132</v>
      </c>
      <c r="I153" s="18">
        <f>$B$2+CUMPRINC($L$2,$L$3,$B$2,G100,G153,0)</f>
        <v>4480374.6992289741</v>
      </c>
      <c r="J153" s="19">
        <f>-CUMIPMT($L$2,$L$3,$B$2,G142,G153,0)</f>
        <v>130746.74724307825</v>
      </c>
    </row>
    <row r="154" spans="1:10" x14ac:dyDescent="0.2">
      <c r="A154" s="12" t="s">
        <v>45</v>
      </c>
      <c r="C154" s="43">
        <f>SUM(C142:C153)</f>
        <v>135505.8397736199</v>
      </c>
      <c r="D154" s="44">
        <f>SUM(D142:D153)</f>
        <v>131915.4413279643</v>
      </c>
    </row>
    <row r="156" spans="1:10" x14ac:dyDescent="0.2">
      <c r="A156" s="41">
        <v>44927</v>
      </c>
      <c r="B156" s="15">
        <f>B153</f>
        <v>3772437.796905579</v>
      </c>
      <c r="C156" s="42">
        <f>E156-D156</f>
        <v>11470.78507400269</v>
      </c>
      <c r="D156" s="10">
        <f t="shared" ref="D156:D167" si="57">+B156*$L$2</f>
        <v>10814.32168446266</v>
      </c>
      <c r="E156" s="10">
        <f t="shared" ref="E156:E167" si="58">-$L$5</f>
        <v>22285.10675846535</v>
      </c>
      <c r="F156" s="10">
        <f t="shared" ref="F156:F167" si="59">+B156-C156</f>
        <v>3760967.0118315765</v>
      </c>
      <c r="G156">
        <v>133</v>
      </c>
    </row>
    <row r="157" spans="1:10" x14ac:dyDescent="0.2">
      <c r="A157" s="41">
        <v>44958</v>
      </c>
      <c r="B157" s="15">
        <f>F156</f>
        <v>3760967.0118315765</v>
      </c>
      <c r="C157" s="42">
        <f t="shared" ref="C157:C167" si="60">E157-D157</f>
        <v>11503.66799121483</v>
      </c>
      <c r="D157" s="10">
        <f t="shared" si="57"/>
        <v>10781.43876725052</v>
      </c>
      <c r="E157" s="10">
        <f t="shared" si="58"/>
        <v>22285.10675846535</v>
      </c>
      <c r="F157" s="10">
        <f t="shared" si="59"/>
        <v>3749463.3438403616</v>
      </c>
      <c r="G157">
        <v>134</v>
      </c>
    </row>
    <row r="158" spans="1:10" x14ac:dyDescent="0.2">
      <c r="A158" s="41">
        <v>44986</v>
      </c>
      <c r="B158" s="15">
        <f t="shared" ref="B158:B167" si="61">F157</f>
        <v>3749463.3438403616</v>
      </c>
      <c r="C158" s="42">
        <f t="shared" si="60"/>
        <v>11536.645172789647</v>
      </c>
      <c r="D158" s="10">
        <f t="shared" si="57"/>
        <v>10748.461585675703</v>
      </c>
      <c r="E158" s="10">
        <f t="shared" si="58"/>
        <v>22285.10675846535</v>
      </c>
      <c r="F158" s="10">
        <f t="shared" si="59"/>
        <v>3737926.6986675719</v>
      </c>
      <c r="G158">
        <v>135</v>
      </c>
    </row>
    <row r="159" spans="1:10" x14ac:dyDescent="0.2">
      <c r="A159" s="41">
        <v>45017</v>
      </c>
      <c r="B159" s="15">
        <f t="shared" si="61"/>
        <v>3737926.6986675719</v>
      </c>
      <c r="C159" s="42">
        <f t="shared" si="60"/>
        <v>11569.716888951643</v>
      </c>
      <c r="D159" s="10">
        <f t="shared" si="57"/>
        <v>10715.389869513707</v>
      </c>
      <c r="E159" s="10">
        <f t="shared" si="58"/>
        <v>22285.10675846535</v>
      </c>
      <c r="F159" s="10">
        <f t="shared" si="59"/>
        <v>3726356.9817786203</v>
      </c>
      <c r="G159">
        <v>136</v>
      </c>
    </row>
    <row r="160" spans="1:10" x14ac:dyDescent="0.2">
      <c r="A160" s="41">
        <v>45047</v>
      </c>
      <c r="B160" s="15">
        <f t="shared" si="61"/>
        <v>3726356.9817786203</v>
      </c>
      <c r="C160" s="42">
        <f t="shared" si="60"/>
        <v>11602.883410699971</v>
      </c>
      <c r="D160" s="10">
        <f t="shared" si="57"/>
        <v>10682.223347765379</v>
      </c>
      <c r="E160" s="10">
        <f t="shared" si="58"/>
        <v>22285.10675846535</v>
      </c>
      <c r="F160" s="10">
        <f t="shared" si="59"/>
        <v>3714754.0983679201</v>
      </c>
      <c r="G160">
        <v>137</v>
      </c>
    </row>
    <row r="161" spans="1:10" x14ac:dyDescent="0.2">
      <c r="A161" s="41">
        <v>45078</v>
      </c>
      <c r="B161" s="15">
        <f t="shared" si="61"/>
        <v>3714754.0983679201</v>
      </c>
      <c r="C161" s="42">
        <f t="shared" si="60"/>
        <v>11636.145009810645</v>
      </c>
      <c r="D161" s="10">
        <f t="shared" si="57"/>
        <v>10648.961748654705</v>
      </c>
      <c r="E161" s="10">
        <f t="shared" si="58"/>
        <v>22285.10675846535</v>
      </c>
      <c r="F161" s="10">
        <f t="shared" si="59"/>
        <v>3703117.9533581096</v>
      </c>
      <c r="G161">
        <v>138</v>
      </c>
    </row>
    <row r="162" spans="1:10" x14ac:dyDescent="0.2">
      <c r="A162" s="41">
        <v>45108</v>
      </c>
      <c r="B162" s="15">
        <f t="shared" si="61"/>
        <v>3703117.9533581096</v>
      </c>
      <c r="C162" s="42">
        <f t="shared" si="60"/>
        <v>11669.501958838769</v>
      </c>
      <c r="D162" s="10">
        <f t="shared" si="57"/>
        <v>10615.604799626581</v>
      </c>
      <c r="E162" s="10">
        <f t="shared" si="58"/>
        <v>22285.10675846535</v>
      </c>
      <c r="F162" s="10">
        <f t="shared" si="59"/>
        <v>3691448.4513992709</v>
      </c>
      <c r="G162">
        <v>139</v>
      </c>
    </row>
    <row r="163" spans="1:10" x14ac:dyDescent="0.2">
      <c r="A163" s="41">
        <v>45139</v>
      </c>
      <c r="B163" s="15">
        <f t="shared" si="61"/>
        <v>3691448.4513992709</v>
      </c>
      <c r="C163" s="42">
        <f t="shared" si="60"/>
        <v>11702.954531120773</v>
      </c>
      <c r="D163" s="10">
        <f t="shared" si="57"/>
        <v>10582.152227344577</v>
      </c>
      <c r="E163" s="10">
        <f t="shared" si="58"/>
        <v>22285.10675846535</v>
      </c>
      <c r="F163" s="10">
        <f t="shared" si="59"/>
        <v>3679745.4968681503</v>
      </c>
      <c r="G163">
        <v>140</v>
      </c>
    </row>
    <row r="164" spans="1:10" x14ac:dyDescent="0.2">
      <c r="A164" s="41">
        <v>45170</v>
      </c>
      <c r="B164" s="15">
        <f t="shared" si="61"/>
        <v>3679745.4968681503</v>
      </c>
      <c r="C164" s="42">
        <f t="shared" si="60"/>
        <v>11736.503000776653</v>
      </c>
      <c r="D164" s="10">
        <f t="shared" si="57"/>
        <v>10548.603757688697</v>
      </c>
      <c r="E164" s="10">
        <f t="shared" si="58"/>
        <v>22285.10675846535</v>
      </c>
      <c r="F164" s="10">
        <f t="shared" si="59"/>
        <v>3668008.9938673736</v>
      </c>
      <c r="G164">
        <v>141</v>
      </c>
    </row>
    <row r="165" spans="1:10" x14ac:dyDescent="0.2">
      <c r="A165" s="41">
        <v>45200</v>
      </c>
      <c r="B165" s="15">
        <f t="shared" si="61"/>
        <v>3668008.9938673736</v>
      </c>
      <c r="C165" s="42">
        <f t="shared" si="60"/>
        <v>11770.147642712212</v>
      </c>
      <c r="D165" s="10">
        <f t="shared" si="57"/>
        <v>10514.959115753138</v>
      </c>
      <c r="E165" s="10">
        <f t="shared" si="58"/>
        <v>22285.10675846535</v>
      </c>
      <c r="F165" s="10">
        <f t="shared" si="59"/>
        <v>3656238.8462246615</v>
      </c>
      <c r="G165">
        <v>142</v>
      </c>
    </row>
    <row r="166" spans="1:10" x14ac:dyDescent="0.2">
      <c r="A166" s="41">
        <v>45231</v>
      </c>
      <c r="B166" s="15">
        <f t="shared" si="61"/>
        <v>3656238.8462246615</v>
      </c>
      <c r="C166" s="42">
        <f t="shared" si="60"/>
        <v>11803.888732621321</v>
      </c>
      <c r="D166" s="10">
        <f t="shared" si="57"/>
        <v>10481.218025844029</v>
      </c>
      <c r="E166" s="10">
        <f t="shared" si="58"/>
        <v>22285.10675846535</v>
      </c>
      <c r="F166" s="10">
        <f t="shared" si="59"/>
        <v>3644434.95749204</v>
      </c>
      <c r="G166">
        <v>143</v>
      </c>
      <c r="I166" t="s">
        <v>29</v>
      </c>
      <c r="J166" t="s">
        <v>87</v>
      </c>
    </row>
    <row r="167" spans="1:10" ht="15" x14ac:dyDescent="0.25">
      <c r="A167" s="41">
        <v>45261</v>
      </c>
      <c r="B167" s="15">
        <f t="shared" si="61"/>
        <v>3644434.95749204</v>
      </c>
      <c r="C167" s="42">
        <f t="shared" si="60"/>
        <v>11837.72654698817</v>
      </c>
      <c r="D167" s="10">
        <f t="shared" si="57"/>
        <v>10447.380211477181</v>
      </c>
      <c r="E167" s="10">
        <f t="shared" si="58"/>
        <v>22285.10675846535</v>
      </c>
      <c r="F167" s="11">
        <f t="shared" si="59"/>
        <v>3632597.2309450516</v>
      </c>
      <c r="G167">
        <v>144</v>
      </c>
      <c r="I167" s="18">
        <f>$B$2+CUMPRINC($L$2,$L$3,$B$2,G114,G167,0)</f>
        <v>4462215.0474749869</v>
      </c>
      <c r="J167" s="19">
        <f>-CUMIPMT($L$2,$L$3,$B$2,G156,G167,0)</f>
        <v>125970.30172584447</v>
      </c>
    </row>
    <row r="168" spans="1:10" x14ac:dyDescent="0.2">
      <c r="A168" s="12" t="s">
        <v>45</v>
      </c>
      <c r="C168" s="43">
        <f>SUM(C156:C167)</f>
        <v>139840.56596052731</v>
      </c>
      <c r="D168" s="44">
        <f>SUM(D156:D167)</f>
        <v>127580.71514105689</v>
      </c>
    </row>
    <row r="170" spans="1:10" x14ac:dyDescent="0.2">
      <c r="A170" s="41">
        <v>45292</v>
      </c>
      <c r="B170" s="15">
        <f>B167</f>
        <v>3644434.95749204</v>
      </c>
      <c r="C170" s="42">
        <f>E170-D170</f>
        <v>11837.72654698817</v>
      </c>
      <c r="D170" s="10">
        <f t="shared" ref="D170:D181" si="62">+B170*$L$2</f>
        <v>10447.380211477181</v>
      </c>
      <c r="E170" s="10">
        <f t="shared" ref="E170:E181" si="63">-$L$5</f>
        <v>22285.10675846535</v>
      </c>
      <c r="F170" s="10">
        <f t="shared" ref="F170:F181" si="64">+B170-C170</f>
        <v>3632597.2309450516</v>
      </c>
      <c r="G170">
        <v>133</v>
      </c>
    </row>
    <row r="171" spans="1:10" x14ac:dyDescent="0.2">
      <c r="A171" s="41">
        <v>45323</v>
      </c>
      <c r="B171" s="15">
        <f>F170</f>
        <v>3632597.2309450516</v>
      </c>
      <c r="C171" s="42">
        <f t="shared" ref="C171:C181" si="65">E171-D171</f>
        <v>11871.661363089535</v>
      </c>
      <c r="D171" s="10">
        <f t="shared" si="62"/>
        <v>10413.445395375815</v>
      </c>
      <c r="E171" s="10">
        <f t="shared" si="63"/>
        <v>22285.10675846535</v>
      </c>
      <c r="F171" s="10">
        <f t="shared" si="64"/>
        <v>3620725.5695819622</v>
      </c>
      <c r="G171">
        <v>134</v>
      </c>
    </row>
    <row r="172" spans="1:10" x14ac:dyDescent="0.2">
      <c r="A172" s="41">
        <v>45352</v>
      </c>
      <c r="B172" s="15">
        <f t="shared" ref="B172:B181" si="66">F171</f>
        <v>3620725.5695819622</v>
      </c>
      <c r="C172" s="42">
        <f t="shared" si="65"/>
        <v>11905.693458997059</v>
      </c>
      <c r="D172" s="10">
        <f t="shared" si="62"/>
        <v>10379.413299468291</v>
      </c>
      <c r="E172" s="10">
        <f t="shared" si="63"/>
        <v>22285.10675846535</v>
      </c>
      <c r="F172" s="10">
        <f t="shared" si="64"/>
        <v>3608819.876122965</v>
      </c>
      <c r="G172">
        <v>135</v>
      </c>
    </row>
    <row r="173" spans="1:10" x14ac:dyDescent="0.2">
      <c r="A173" s="41">
        <v>45383</v>
      </c>
      <c r="B173" s="15">
        <f t="shared" si="66"/>
        <v>3608819.876122965</v>
      </c>
      <c r="C173" s="42">
        <f t="shared" si="65"/>
        <v>11939.823113579518</v>
      </c>
      <c r="D173" s="10">
        <f t="shared" si="62"/>
        <v>10345.283644885832</v>
      </c>
      <c r="E173" s="10">
        <f t="shared" si="63"/>
        <v>22285.10675846535</v>
      </c>
      <c r="F173" s="10">
        <f t="shared" si="64"/>
        <v>3596880.0530093857</v>
      </c>
      <c r="G173">
        <v>136</v>
      </c>
    </row>
    <row r="174" spans="1:10" x14ac:dyDescent="0.2">
      <c r="A174" s="41">
        <v>45413</v>
      </c>
      <c r="B174" s="15">
        <f t="shared" si="66"/>
        <v>3596880.0530093857</v>
      </c>
      <c r="C174" s="42">
        <f t="shared" si="65"/>
        <v>11974.05060650511</v>
      </c>
      <c r="D174" s="10">
        <f t="shared" si="62"/>
        <v>10311.05615196024</v>
      </c>
      <c r="E174" s="10">
        <f t="shared" si="63"/>
        <v>22285.10675846535</v>
      </c>
      <c r="F174" s="10">
        <f t="shared" si="64"/>
        <v>3584906.0024028807</v>
      </c>
      <c r="G174">
        <v>137</v>
      </c>
    </row>
    <row r="175" spans="1:10" x14ac:dyDescent="0.2">
      <c r="A175" s="41">
        <v>45444</v>
      </c>
      <c r="B175" s="15">
        <f t="shared" si="66"/>
        <v>3584906.0024028807</v>
      </c>
      <c r="C175" s="42">
        <f t="shared" si="65"/>
        <v>12008.376218243759</v>
      </c>
      <c r="D175" s="10">
        <f t="shared" si="62"/>
        <v>10276.730540221592</v>
      </c>
      <c r="E175" s="10">
        <f t="shared" si="63"/>
        <v>22285.10675846535</v>
      </c>
      <c r="F175" s="10">
        <f t="shared" si="64"/>
        <v>3572897.6261846367</v>
      </c>
      <c r="G175">
        <v>138</v>
      </c>
    </row>
    <row r="176" spans="1:10" x14ac:dyDescent="0.2">
      <c r="A176" s="41">
        <v>45474</v>
      </c>
      <c r="B176" s="15">
        <f t="shared" si="66"/>
        <v>3572897.6261846367</v>
      </c>
      <c r="C176" s="42">
        <f t="shared" si="65"/>
        <v>12042.800230069392</v>
      </c>
      <c r="D176" s="10">
        <f t="shared" si="62"/>
        <v>10242.306528395959</v>
      </c>
      <c r="E176" s="10">
        <f t="shared" si="63"/>
        <v>22285.10675846535</v>
      </c>
      <c r="F176" s="10">
        <f t="shared" si="64"/>
        <v>3560854.8259545672</v>
      </c>
      <c r="G176">
        <v>139</v>
      </c>
    </row>
    <row r="177" spans="1:10" x14ac:dyDescent="0.2">
      <c r="A177" s="41">
        <v>45505</v>
      </c>
      <c r="B177" s="15">
        <f t="shared" si="66"/>
        <v>3560854.8259545672</v>
      </c>
      <c r="C177" s="42">
        <f t="shared" si="65"/>
        <v>12077.322924062257</v>
      </c>
      <c r="D177" s="10">
        <f t="shared" si="62"/>
        <v>10207.783834403093</v>
      </c>
      <c r="E177" s="10">
        <f t="shared" si="63"/>
        <v>22285.10675846535</v>
      </c>
      <c r="F177" s="10">
        <f t="shared" si="64"/>
        <v>3548777.503030505</v>
      </c>
      <c r="G177">
        <v>140</v>
      </c>
    </row>
    <row r="178" spans="1:10" x14ac:dyDescent="0.2">
      <c r="A178" s="41">
        <v>45536</v>
      </c>
      <c r="B178" s="15">
        <f t="shared" si="66"/>
        <v>3548777.503030505</v>
      </c>
      <c r="C178" s="42">
        <f t="shared" si="65"/>
        <v>12111.944583111235</v>
      </c>
      <c r="D178" s="10">
        <f t="shared" si="62"/>
        <v>10173.162175354115</v>
      </c>
      <c r="E178" s="10">
        <f t="shared" si="63"/>
        <v>22285.10675846535</v>
      </c>
      <c r="F178" s="10">
        <f t="shared" si="64"/>
        <v>3536665.5584473936</v>
      </c>
      <c r="G178">
        <v>141</v>
      </c>
    </row>
    <row r="179" spans="1:10" x14ac:dyDescent="0.2">
      <c r="A179" s="41">
        <v>45566</v>
      </c>
      <c r="B179" s="15">
        <f t="shared" si="66"/>
        <v>3536665.5584473936</v>
      </c>
      <c r="C179" s="42">
        <f t="shared" si="65"/>
        <v>12146.665490916155</v>
      </c>
      <c r="D179" s="10">
        <f t="shared" si="62"/>
        <v>10138.441267549195</v>
      </c>
      <c r="E179" s="10">
        <f t="shared" si="63"/>
        <v>22285.10675846535</v>
      </c>
      <c r="F179" s="10">
        <f t="shared" si="64"/>
        <v>3524518.8929564776</v>
      </c>
      <c r="G179">
        <v>142</v>
      </c>
    </row>
    <row r="180" spans="1:10" x14ac:dyDescent="0.2">
      <c r="A180" s="41">
        <v>45597</v>
      </c>
      <c r="B180" s="15">
        <f t="shared" si="66"/>
        <v>3524518.8929564776</v>
      </c>
      <c r="C180" s="42">
        <f t="shared" si="65"/>
        <v>12181.485931990115</v>
      </c>
      <c r="D180" s="10">
        <f t="shared" si="62"/>
        <v>10103.620826475235</v>
      </c>
      <c r="E180" s="10">
        <f t="shared" si="63"/>
        <v>22285.10675846535</v>
      </c>
      <c r="F180" s="10">
        <f t="shared" si="64"/>
        <v>3512337.4070244874</v>
      </c>
      <c r="G180">
        <v>143</v>
      </c>
      <c r="I180" t="s">
        <v>29</v>
      </c>
      <c r="J180" t="s">
        <v>87</v>
      </c>
    </row>
    <row r="181" spans="1:10" ht="15" x14ac:dyDescent="0.25">
      <c r="A181" s="41">
        <v>45627</v>
      </c>
      <c r="B181" s="15">
        <f t="shared" si="66"/>
        <v>3512337.4070244874</v>
      </c>
      <c r="C181" s="42">
        <f t="shared" si="65"/>
        <v>12216.406191661819</v>
      </c>
      <c r="D181" s="10">
        <f t="shared" si="62"/>
        <v>10068.700566803531</v>
      </c>
      <c r="E181" s="10">
        <f t="shared" si="63"/>
        <v>22285.10675846535</v>
      </c>
      <c r="F181" s="11">
        <f t="shared" si="64"/>
        <v>3500121.0008328254</v>
      </c>
      <c r="G181">
        <v>144</v>
      </c>
      <c r="I181" s="18">
        <f>$B$2+CUMPRINC($L$2,$L$3,$B$2,G128,G181,0)</f>
        <v>4589815.1098149596</v>
      </c>
      <c r="J181" s="19">
        <f>-CUMIPMT($L$2,$L$3,$B$2,G170,G181,0)</f>
        <v>125970.30172584447</v>
      </c>
    </row>
    <row r="182" spans="1:10" x14ac:dyDescent="0.2">
      <c r="A182" s="12" t="s">
        <v>45</v>
      </c>
      <c r="C182" s="43">
        <f>SUM(C170:C181)</f>
        <v>144313.95665921413</v>
      </c>
      <c r="D182" s="44">
        <f>SUM(D170:D181)</f>
        <v>123107.32444237007</v>
      </c>
    </row>
    <row r="184" spans="1:10" x14ac:dyDescent="0.2">
      <c r="A184" s="41">
        <v>45658</v>
      </c>
      <c r="B184" s="15">
        <f>B181</f>
        <v>3512337.4070244874</v>
      </c>
      <c r="C184" s="42">
        <f>E184-D184</f>
        <v>12216.406191661819</v>
      </c>
      <c r="D184" s="10">
        <f t="shared" ref="D184:D195" si="67">+B184*$L$2</f>
        <v>10068.700566803531</v>
      </c>
      <c r="E184" s="10">
        <f t="shared" ref="E184:E195" si="68">-$L$5</f>
        <v>22285.10675846535</v>
      </c>
      <c r="F184" s="10">
        <f t="shared" ref="F184:F195" si="69">+B184-C184</f>
        <v>3500121.0008328254</v>
      </c>
      <c r="G184">
        <v>133</v>
      </c>
    </row>
    <row r="185" spans="1:10" x14ac:dyDescent="0.2">
      <c r="A185" s="41">
        <v>45689</v>
      </c>
      <c r="B185" s="15">
        <f>F184</f>
        <v>3500121.0008328254</v>
      </c>
      <c r="C185" s="42">
        <f t="shared" ref="C185:C195" si="70">E185-D185</f>
        <v>12251.426556077917</v>
      </c>
      <c r="D185" s="10">
        <f t="shared" si="67"/>
        <v>10033.680202387433</v>
      </c>
      <c r="E185" s="10">
        <f t="shared" si="68"/>
        <v>22285.10675846535</v>
      </c>
      <c r="F185" s="10">
        <f t="shared" si="69"/>
        <v>3487869.5742767476</v>
      </c>
      <c r="G185">
        <v>134</v>
      </c>
    </row>
    <row r="186" spans="1:10" x14ac:dyDescent="0.2">
      <c r="A186" s="41">
        <v>45717</v>
      </c>
      <c r="B186" s="15">
        <f t="shared" ref="B186:B195" si="71">F185</f>
        <v>3487869.5742767476</v>
      </c>
      <c r="C186" s="42">
        <f t="shared" si="70"/>
        <v>12286.547312205341</v>
      </c>
      <c r="D186" s="10">
        <f t="shared" si="67"/>
        <v>9998.5594462600093</v>
      </c>
      <c r="E186" s="10">
        <f t="shared" si="68"/>
        <v>22285.10675846535</v>
      </c>
      <c r="F186" s="10">
        <f t="shared" si="69"/>
        <v>3475583.0269645425</v>
      </c>
      <c r="G186">
        <v>135</v>
      </c>
    </row>
    <row r="187" spans="1:10" x14ac:dyDescent="0.2">
      <c r="A187" s="41">
        <v>45748</v>
      </c>
      <c r="B187" s="15">
        <f t="shared" si="71"/>
        <v>3475583.0269645425</v>
      </c>
      <c r="C187" s="42">
        <f t="shared" si="70"/>
        <v>12321.768747833661</v>
      </c>
      <c r="D187" s="10">
        <f t="shared" si="67"/>
        <v>9963.338010631689</v>
      </c>
      <c r="E187" s="10">
        <f t="shared" si="68"/>
        <v>22285.10675846535</v>
      </c>
      <c r="F187" s="10">
        <f t="shared" si="69"/>
        <v>3463261.2582167089</v>
      </c>
      <c r="G187">
        <v>136</v>
      </c>
    </row>
    <row r="188" spans="1:10" x14ac:dyDescent="0.2">
      <c r="A188" s="41">
        <v>45778</v>
      </c>
      <c r="B188" s="15">
        <f t="shared" si="71"/>
        <v>3463261.2582167089</v>
      </c>
      <c r="C188" s="42">
        <f t="shared" si="70"/>
        <v>12357.091151577451</v>
      </c>
      <c r="D188" s="10">
        <f t="shared" si="67"/>
        <v>9928.0156068878987</v>
      </c>
      <c r="E188" s="10">
        <f t="shared" si="68"/>
        <v>22285.10675846535</v>
      </c>
      <c r="F188" s="10">
        <f t="shared" si="69"/>
        <v>3450904.1670651315</v>
      </c>
      <c r="G188">
        <v>137</v>
      </c>
    </row>
    <row r="189" spans="1:10" x14ac:dyDescent="0.2">
      <c r="A189" s="41">
        <v>45809</v>
      </c>
      <c r="B189" s="15">
        <f t="shared" si="71"/>
        <v>3450904.1670651315</v>
      </c>
      <c r="C189" s="42">
        <f t="shared" si="70"/>
        <v>12392.51481287864</v>
      </c>
      <c r="D189" s="10">
        <f t="shared" si="67"/>
        <v>9892.5919455867097</v>
      </c>
      <c r="E189" s="10">
        <f t="shared" si="68"/>
        <v>22285.10675846535</v>
      </c>
      <c r="F189" s="10">
        <f t="shared" si="69"/>
        <v>3438511.6522522527</v>
      </c>
      <c r="G189">
        <v>138</v>
      </c>
    </row>
    <row r="190" spans="1:10" x14ac:dyDescent="0.2">
      <c r="A190" s="41">
        <v>45839</v>
      </c>
      <c r="B190" s="15">
        <f t="shared" si="71"/>
        <v>3438511.6522522527</v>
      </c>
      <c r="C190" s="42">
        <f t="shared" si="70"/>
        <v>12428.040022008892</v>
      </c>
      <c r="D190" s="10">
        <f t="shared" si="67"/>
        <v>9857.0667364564579</v>
      </c>
      <c r="E190" s="10">
        <f t="shared" si="68"/>
        <v>22285.10675846535</v>
      </c>
      <c r="F190" s="10">
        <f t="shared" si="69"/>
        <v>3426083.6122302436</v>
      </c>
      <c r="G190">
        <v>139</v>
      </c>
    </row>
    <row r="191" spans="1:10" x14ac:dyDescent="0.2">
      <c r="A191" s="41">
        <v>45870</v>
      </c>
      <c r="B191" s="15">
        <f t="shared" si="71"/>
        <v>3426083.6122302436</v>
      </c>
      <c r="C191" s="42">
        <f t="shared" si="70"/>
        <v>12463.667070071984</v>
      </c>
      <c r="D191" s="10">
        <f t="shared" si="67"/>
        <v>9821.4396883933659</v>
      </c>
      <c r="E191" s="10">
        <f t="shared" si="68"/>
        <v>22285.10675846535</v>
      </c>
      <c r="F191" s="10">
        <f t="shared" si="69"/>
        <v>3413619.9451601715</v>
      </c>
      <c r="G191">
        <v>140</v>
      </c>
    </row>
    <row r="192" spans="1:10" x14ac:dyDescent="0.2">
      <c r="A192" s="41">
        <v>45901</v>
      </c>
      <c r="B192" s="15">
        <f t="shared" si="71"/>
        <v>3413619.9451601715</v>
      </c>
      <c r="C192" s="42">
        <f t="shared" si="70"/>
        <v>12499.396249006191</v>
      </c>
      <c r="D192" s="10">
        <f t="shared" si="67"/>
        <v>9785.7105094591589</v>
      </c>
      <c r="E192" s="10">
        <f t="shared" si="68"/>
        <v>22285.10675846535</v>
      </c>
      <c r="F192" s="10">
        <f t="shared" si="69"/>
        <v>3401120.5489111654</v>
      </c>
      <c r="G192">
        <v>141</v>
      </c>
    </row>
    <row r="193" spans="1:10" x14ac:dyDescent="0.2">
      <c r="A193" s="41">
        <v>45931</v>
      </c>
      <c r="B193" s="15">
        <f t="shared" si="71"/>
        <v>3401120.5489111654</v>
      </c>
      <c r="C193" s="42">
        <f t="shared" si="70"/>
        <v>12535.227851586676</v>
      </c>
      <c r="D193" s="10">
        <f t="shared" si="67"/>
        <v>9749.8789068786737</v>
      </c>
      <c r="E193" s="10">
        <f t="shared" si="68"/>
        <v>22285.10675846535</v>
      </c>
      <c r="F193" s="10">
        <f t="shared" si="69"/>
        <v>3388585.3210595786</v>
      </c>
      <c r="G193">
        <v>142</v>
      </c>
    </row>
    <row r="194" spans="1:10" x14ac:dyDescent="0.2">
      <c r="A194" s="41">
        <v>45962</v>
      </c>
      <c r="B194" s="15">
        <f t="shared" si="71"/>
        <v>3388585.3210595786</v>
      </c>
      <c r="C194" s="42">
        <f t="shared" si="70"/>
        <v>12571.162171427892</v>
      </c>
      <c r="D194" s="10">
        <f t="shared" si="67"/>
        <v>9713.9445870374584</v>
      </c>
      <c r="E194" s="10">
        <f t="shared" si="68"/>
        <v>22285.10675846535</v>
      </c>
      <c r="F194" s="10">
        <f t="shared" si="69"/>
        <v>3376014.1588881505</v>
      </c>
      <c r="G194">
        <v>143</v>
      </c>
      <c r="I194" t="s">
        <v>29</v>
      </c>
      <c r="J194" t="s">
        <v>87</v>
      </c>
    </row>
    <row r="195" spans="1:10" ht="15" x14ac:dyDescent="0.25">
      <c r="A195" s="41">
        <v>45992</v>
      </c>
      <c r="B195" s="15">
        <f t="shared" si="71"/>
        <v>3376014.1588881505</v>
      </c>
      <c r="C195" s="42">
        <f t="shared" si="70"/>
        <v>12607.199502985986</v>
      </c>
      <c r="D195" s="10">
        <f t="shared" si="67"/>
        <v>9677.9072554793638</v>
      </c>
      <c r="E195" s="10">
        <f t="shared" si="68"/>
        <v>22285.10675846535</v>
      </c>
      <c r="F195" s="11">
        <f t="shared" si="69"/>
        <v>3363406.9593851645</v>
      </c>
      <c r="G195">
        <v>144</v>
      </c>
      <c r="I195" s="18">
        <f>$B$2+CUMPRINC($L$2,$L$3,$B$2,G142,G195,0)</f>
        <v>4721874.4867657544</v>
      </c>
      <c r="J195" s="19">
        <f>-CUMIPMT($L$2,$L$3,$B$2,G184,G195,0)</f>
        <v>125970.30172584447</v>
      </c>
    </row>
    <row r="196" spans="1:10" x14ac:dyDescent="0.2">
      <c r="A196" s="12" t="s">
        <v>45</v>
      </c>
      <c r="C196" s="43">
        <f>SUM(C184:C195)</f>
        <v>148930.44763932246</v>
      </c>
      <c r="D196" s="44">
        <f>SUM(D184:D195)</f>
        <v>118490.83346226175</v>
      </c>
    </row>
    <row r="198" spans="1:10" x14ac:dyDescent="0.2">
      <c r="A198" s="41">
        <v>46023</v>
      </c>
      <c r="B198" s="15">
        <f>B195</f>
        <v>3376014.1588881505</v>
      </c>
      <c r="C198" s="42">
        <f>E198-D198</f>
        <v>12607.199502985986</v>
      </c>
      <c r="D198" s="10">
        <f t="shared" ref="D198:D209" si="72">+B198*$L$2</f>
        <v>9677.9072554793638</v>
      </c>
      <c r="E198" s="10">
        <f t="shared" ref="E198:E209" si="73">-$L$5</f>
        <v>22285.10675846535</v>
      </c>
      <c r="F198" s="10">
        <f t="shared" ref="F198:F209" si="74">+B198-C198</f>
        <v>3363406.9593851645</v>
      </c>
      <c r="G198">
        <v>133</v>
      </c>
    </row>
    <row r="199" spans="1:10" x14ac:dyDescent="0.2">
      <c r="A199" s="41">
        <v>46054</v>
      </c>
      <c r="B199" s="15">
        <f>F198</f>
        <v>3363406.9593851645</v>
      </c>
      <c r="C199" s="42">
        <f t="shared" ref="C199:C209" si="75">E199-D199</f>
        <v>12643.340141561212</v>
      </c>
      <c r="D199" s="10">
        <f t="shared" si="72"/>
        <v>9641.7666169041386</v>
      </c>
      <c r="E199" s="10">
        <f t="shared" si="73"/>
        <v>22285.10675846535</v>
      </c>
      <c r="F199" s="10">
        <f t="shared" si="74"/>
        <v>3350763.6192436032</v>
      </c>
      <c r="G199">
        <v>134</v>
      </c>
    </row>
    <row r="200" spans="1:10" x14ac:dyDescent="0.2">
      <c r="A200" s="41">
        <v>46082</v>
      </c>
      <c r="B200" s="15">
        <f t="shared" ref="B200:B209" si="76">F199</f>
        <v>3350763.6192436032</v>
      </c>
      <c r="C200" s="42">
        <f t="shared" si="75"/>
        <v>12679.584383300355</v>
      </c>
      <c r="D200" s="10">
        <f t="shared" si="72"/>
        <v>9605.5223751649955</v>
      </c>
      <c r="E200" s="10">
        <f t="shared" si="73"/>
        <v>22285.10675846535</v>
      </c>
      <c r="F200" s="10">
        <f t="shared" si="74"/>
        <v>3338084.0348603027</v>
      </c>
      <c r="G200">
        <v>135</v>
      </c>
    </row>
    <row r="201" spans="1:10" x14ac:dyDescent="0.2">
      <c r="A201" s="41">
        <v>46113</v>
      </c>
      <c r="B201" s="15">
        <f t="shared" si="76"/>
        <v>3338084.0348603027</v>
      </c>
      <c r="C201" s="42">
        <f t="shared" si="75"/>
        <v>12715.932525199149</v>
      </c>
      <c r="D201" s="10">
        <f t="shared" si="72"/>
        <v>9569.1742332662016</v>
      </c>
      <c r="E201" s="10">
        <f t="shared" si="73"/>
        <v>22285.10675846535</v>
      </c>
      <c r="F201" s="10">
        <f t="shared" si="74"/>
        <v>3325368.1023351033</v>
      </c>
      <c r="G201">
        <v>136</v>
      </c>
    </row>
    <row r="202" spans="1:10" x14ac:dyDescent="0.2">
      <c r="A202" s="41">
        <v>46143</v>
      </c>
      <c r="B202" s="15">
        <f t="shared" si="76"/>
        <v>3325368.1023351033</v>
      </c>
      <c r="C202" s="42">
        <f t="shared" si="75"/>
        <v>12752.384865104721</v>
      </c>
      <c r="D202" s="10">
        <f t="shared" si="72"/>
        <v>9532.7218933606291</v>
      </c>
      <c r="E202" s="10">
        <f t="shared" si="73"/>
        <v>22285.10675846535</v>
      </c>
      <c r="F202" s="10">
        <f t="shared" si="74"/>
        <v>3312615.7174699986</v>
      </c>
      <c r="G202">
        <v>137</v>
      </c>
    </row>
    <row r="203" spans="1:10" x14ac:dyDescent="0.2">
      <c r="A203" s="41">
        <v>46174</v>
      </c>
      <c r="B203" s="15">
        <f t="shared" si="76"/>
        <v>3312615.7174699986</v>
      </c>
      <c r="C203" s="42">
        <f t="shared" si="75"/>
        <v>12788.94170171802</v>
      </c>
      <c r="D203" s="10">
        <f t="shared" si="72"/>
        <v>9496.1650567473298</v>
      </c>
      <c r="E203" s="10">
        <f t="shared" si="73"/>
        <v>22285.10675846535</v>
      </c>
      <c r="F203" s="10">
        <f t="shared" si="74"/>
        <v>3299826.7757682805</v>
      </c>
      <c r="G203">
        <v>138</v>
      </c>
    </row>
    <row r="204" spans="1:10" x14ac:dyDescent="0.2">
      <c r="A204" s="41">
        <v>46204</v>
      </c>
      <c r="B204" s="15">
        <f t="shared" si="76"/>
        <v>3299826.7757682805</v>
      </c>
      <c r="C204" s="42">
        <f t="shared" si="75"/>
        <v>12825.603334596279</v>
      </c>
      <c r="D204" s="10">
        <f t="shared" si="72"/>
        <v>9459.5034238690714</v>
      </c>
      <c r="E204" s="10">
        <f t="shared" si="73"/>
        <v>22285.10675846535</v>
      </c>
      <c r="F204" s="10">
        <f t="shared" si="74"/>
        <v>3287001.1724336841</v>
      </c>
      <c r="G204">
        <v>139</v>
      </c>
    </row>
    <row r="205" spans="1:10" x14ac:dyDescent="0.2">
      <c r="A205" s="41">
        <v>46235</v>
      </c>
      <c r="B205" s="15">
        <f t="shared" si="76"/>
        <v>3287001.1724336841</v>
      </c>
      <c r="C205" s="42">
        <f t="shared" si="75"/>
        <v>12862.370064155455</v>
      </c>
      <c r="D205" s="10">
        <f t="shared" si="72"/>
        <v>9422.736694309895</v>
      </c>
      <c r="E205" s="10">
        <f t="shared" si="73"/>
        <v>22285.10675846535</v>
      </c>
      <c r="F205" s="10">
        <f t="shared" si="74"/>
        <v>3274138.8023695285</v>
      </c>
      <c r="G205">
        <v>140</v>
      </c>
    </row>
    <row r="206" spans="1:10" x14ac:dyDescent="0.2">
      <c r="A206" s="41">
        <v>46266</v>
      </c>
      <c r="B206" s="15">
        <f t="shared" si="76"/>
        <v>3274138.8023695285</v>
      </c>
      <c r="C206" s="42">
        <f t="shared" si="75"/>
        <v>12899.242191672702</v>
      </c>
      <c r="D206" s="10">
        <f t="shared" si="72"/>
        <v>9385.8645667926485</v>
      </c>
      <c r="E206" s="10">
        <f t="shared" si="73"/>
        <v>22285.10675846535</v>
      </c>
      <c r="F206" s="10">
        <f t="shared" si="74"/>
        <v>3261239.5601778557</v>
      </c>
      <c r="G206">
        <v>141</v>
      </c>
    </row>
    <row r="207" spans="1:10" x14ac:dyDescent="0.2">
      <c r="A207" s="41">
        <v>46296</v>
      </c>
      <c r="B207" s="15">
        <f t="shared" si="76"/>
        <v>3261239.5601778557</v>
      </c>
      <c r="C207" s="42">
        <f t="shared" si="75"/>
        <v>12936.22001928883</v>
      </c>
      <c r="D207" s="10">
        <f t="shared" si="72"/>
        <v>9348.8867391765198</v>
      </c>
      <c r="E207" s="10">
        <f t="shared" si="73"/>
        <v>22285.10675846535</v>
      </c>
      <c r="F207" s="10">
        <f t="shared" si="74"/>
        <v>3248303.3401585668</v>
      </c>
      <c r="G207">
        <v>142</v>
      </c>
    </row>
    <row r="208" spans="1:10" x14ac:dyDescent="0.2">
      <c r="A208" s="41">
        <v>46327</v>
      </c>
      <c r="B208" s="15">
        <f t="shared" si="76"/>
        <v>3248303.3401585668</v>
      </c>
      <c r="C208" s="42">
        <f t="shared" si="75"/>
        <v>12973.303850010792</v>
      </c>
      <c r="D208" s="10">
        <f t="shared" si="72"/>
        <v>9311.8029084545578</v>
      </c>
      <c r="E208" s="10">
        <f t="shared" si="73"/>
        <v>22285.10675846535</v>
      </c>
      <c r="F208" s="10">
        <f t="shared" si="74"/>
        <v>3235330.0363085559</v>
      </c>
      <c r="G208">
        <v>143</v>
      </c>
      <c r="I208" t="s">
        <v>29</v>
      </c>
      <c r="J208" t="s">
        <v>87</v>
      </c>
    </row>
    <row r="209" spans="1:10" ht="15" x14ac:dyDescent="0.25">
      <c r="A209" s="41">
        <v>46357</v>
      </c>
      <c r="B209" s="15">
        <f t="shared" si="76"/>
        <v>3235330.0363085559</v>
      </c>
      <c r="C209" s="42">
        <f t="shared" si="75"/>
        <v>13010.493987714157</v>
      </c>
      <c r="D209" s="10">
        <f t="shared" si="72"/>
        <v>9274.6127707511932</v>
      </c>
      <c r="E209" s="10">
        <f t="shared" si="73"/>
        <v>22285.10675846535</v>
      </c>
      <c r="F209" s="11">
        <f t="shared" si="74"/>
        <v>3222319.5423208419</v>
      </c>
      <c r="G209">
        <v>144</v>
      </c>
      <c r="I209" s="18">
        <f>$B$2+CUMPRINC($L$2,$L$3,$B$2,G156,G209,0)</f>
        <v>4858549.0206242604</v>
      </c>
      <c r="J209" s="19">
        <f>-CUMIPMT($L$2,$L$3,$B$2,G198,G209,0)</f>
        <v>125970.30172584447</v>
      </c>
    </row>
    <row r="210" spans="1:10" x14ac:dyDescent="0.2">
      <c r="A210" s="12" t="s">
        <v>45</v>
      </c>
      <c r="C210" s="43">
        <f>SUM(C198:C209)</f>
        <v>153694.61656730765</v>
      </c>
      <c r="D210" s="44">
        <f>SUM(D198:D209)</f>
        <v>113726.66453427654</v>
      </c>
    </row>
    <row r="212" spans="1:10" x14ac:dyDescent="0.2">
      <c r="A212" s="41">
        <v>46388</v>
      </c>
      <c r="B212" s="15">
        <f>B209</f>
        <v>3235330.0363085559</v>
      </c>
      <c r="C212" s="42">
        <f>E212-D212</f>
        <v>13010.493987714157</v>
      </c>
      <c r="D212" s="10">
        <f t="shared" ref="D212:D223" si="77">+B212*$L$2</f>
        <v>9274.6127707511932</v>
      </c>
      <c r="E212" s="10">
        <f t="shared" ref="E212:E223" si="78">-$L$5</f>
        <v>22285.10675846535</v>
      </c>
      <c r="F212" s="10">
        <f t="shared" ref="F212:F223" si="79">+B212-C212</f>
        <v>3222319.5423208419</v>
      </c>
      <c r="G212">
        <v>133</v>
      </c>
    </row>
    <row r="213" spans="1:10" x14ac:dyDescent="0.2">
      <c r="A213" s="41">
        <v>46419</v>
      </c>
      <c r="B213" s="15">
        <f>F212</f>
        <v>3222319.5423208419</v>
      </c>
      <c r="C213" s="42">
        <f t="shared" ref="C213:C223" si="80">E213-D213</f>
        <v>13047.790737145604</v>
      </c>
      <c r="D213" s="10">
        <f t="shared" si="77"/>
        <v>9237.3160213197461</v>
      </c>
      <c r="E213" s="10">
        <f t="shared" si="78"/>
        <v>22285.10675846535</v>
      </c>
      <c r="F213" s="10">
        <f t="shared" si="79"/>
        <v>3209271.7515836963</v>
      </c>
      <c r="G213">
        <v>134</v>
      </c>
    </row>
    <row r="214" spans="1:10" x14ac:dyDescent="0.2">
      <c r="A214" s="41">
        <v>46447</v>
      </c>
      <c r="B214" s="15">
        <f t="shared" ref="B214:B223" si="81">F213</f>
        <v>3209271.7515836963</v>
      </c>
      <c r="C214" s="42">
        <f t="shared" si="80"/>
        <v>13085.194403925421</v>
      </c>
      <c r="D214" s="10">
        <f t="shared" si="77"/>
        <v>9199.9123545399289</v>
      </c>
      <c r="E214" s="10">
        <f t="shared" si="78"/>
        <v>22285.10675846535</v>
      </c>
      <c r="F214" s="10">
        <f t="shared" si="79"/>
        <v>3196186.5571797709</v>
      </c>
      <c r="G214">
        <v>135</v>
      </c>
    </row>
    <row r="215" spans="1:10" x14ac:dyDescent="0.2">
      <c r="A215" s="41">
        <v>46478</v>
      </c>
      <c r="B215" s="15">
        <f t="shared" si="81"/>
        <v>3196186.5571797709</v>
      </c>
      <c r="C215" s="42">
        <f t="shared" si="80"/>
        <v>13122.705294550007</v>
      </c>
      <c r="D215" s="10">
        <f t="shared" si="77"/>
        <v>9162.4014639153429</v>
      </c>
      <c r="E215" s="10">
        <f t="shared" si="78"/>
        <v>22285.10675846535</v>
      </c>
      <c r="F215" s="10">
        <f t="shared" si="79"/>
        <v>3183063.851885221</v>
      </c>
      <c r="G215">
        <v>136</v>
      </c>
    </row>
    <row r="216" spans="1:10" x14ac:dyDescent="0.2">
      <c r="A216" s="41">
        <v>46508</v>
      </c>
      <c r="B216" s="15">
        <f t="shared" si="81"/>
        <v>3183063.851885221</v>
      </c>
      <c r="C216" s="42">
        <f t="shared" si="80"/>
        <v>13160.323716394383</v>
      </c>
      <c r="D216" s="10">
        <f t="shared" si="77"/>
        <v>9124.783042070967</v>
      </c>
      <c r="E216" s="10">
        <f t="shared" si="78"/>
        <v>22285.10675846535</v>
      </c>
      <c r="F216" s="10">
        <f t="shared" si="79"/>
        <v>3169903.5281688264</v>
      </c>
      <c r="G216">
        <v>137</v>
      </c>
    </row>
    <row r="217" spans="1:10" x14ac:dyDescent="0.2">
      <c r="A217" s="41">
        <v>46539</v>
      </c>
      <c r="B217" s="15">
        <f t="shared" si="81"/>
        <v>3169903.5281688264</v>
      </c>
      <c r="C217" s="42">
        <f t="shared" si="80"/>
        <v>13198.049977714714</v>
      </c>
      <c r="D217" s="10">
        <f t="shared" si="77"/>
        <v>9087.0567807506359</v>
      </c>
      <c r="E217" s="10">
        <f t="shared" si="78"/>
        <v>22285.10675846535</v>
      </c>
      <c r="F217" s="10">
        <f t="shared" si="79"/>
        <v>3156705.4781911117</v>
      </c>
      <c r="G217">
        <v>138</v>
      </c>
    </row>
    <row r="218" spans="1:10" x14ac:dyDescent="0.2">
      <c r="A218" s="41">
        <v>46569</v>
      </c>
      <c r="B218" s="15">
        <f t="shared" si="81"/>
        <v>3156705.4781911117</v>
      </c>
      <c r="C218" s="42">
        <f t="shared" si="80"/>
        <v>13235.884387650829</v>
      </c>
      <c r="D218" s="10">
        <f t="shared" si="77"/>
        <v>9049.2223708145211</v>
      </c>
      <c r="E218" s="10">
        <f t="shared" si="78"/>
        <v>22285.10675846535</v>
      </c>
      <c r="F218" s="10">
        <f t="shared" si="79"/>
        <v>3143469.5938034607</v>
      </c>
      <c r="G218">
        <v>139</v>
      </c>
    </row>
    <row r="219" spans="1:10" x14ac:dyDescent="0.2">
      <c r="A219" s="41">
        <v>46600</v>
      </c>
      <c r="B219" s="15">
        <f t="shared" si="81"/>
        <v>3143469.5938034607</v>
      </c>
      <c r="C219" s="42">
        <f t="shared" si="80"/>
        <v>13273.827256228762</v>
      </c>
      <c r="D219" s="10">
        <f t="shared" si="77"/>
        <v>9011.2795022365881</v>
      </c>
      <c r="E219" s="10">
        <f t="shared" si="78"/>
        <v>22285.10675846535</v>
      </c>
      <c r="F219" s="10">
        <f t="shared" si="79"/>
        <v>3130195.7665472319</v>
      </c>
      <c r="G219">
        <v>140</v>
      </c>
    </row>
    <row r="220" spans="1:10" x14ac:dyDescent="0.2">
      <c r="A220" s="41">
        <v>46631</v>
      </c>
      <c r="B220" s="15">
        <f t="shared" si="81"/>
        <v>3130195.7665472319</v>
      </c>
      <c r="C220" s="42">
        <f t="shared" si="80"/>
        <v>13311.878894363284</v>
      </c>
      <c r="D220" s="10">
        <f t="shared" si="77"/>
        <v>8973.2278641020657</v>
      </c>
      <c r="E220" s="10">
        <f t="shared" si="78"/>
        <v>22285.10675846535</v>
      </c>
      <c r="F220" s="10">
        <f t="shared" si="79"/>
        <v>3116883.8876528689</v>
      </c>
      <c r="G220">
        <v>141</v>
      </c>
    </row>
    <row r="221" spans="1:10" x14ac:dyDescent="0.2">
      <c r="A221" s="41">
        <v>46661</v>
      </c>
      <c r="B221" s="15">
        <f t="shared" si="81"/>
        <v>3116883.8876528689</v>
      </c>
      <c r="C221" s="42">
        <f t="shared" si="80"/>
        <v>13350.039613860459</v>
      </c>
      <c r="D221" s="10">
        <f t="shared" si="77"/>
        <v>8935.0671446048909</v>
      </c>
      <c r="E221" s="10">
        <f t="shared" si="78"/>
        <v>22285.10675846535</v>
      </c>
      <c r="F221" s="10">
        <f t="shared" si="79"/>
        <v>3103533.8480390082</v>
      </c>
      <c r="G221">
        <v>142</v>
      </c>
    </row>
    <row r="222" spans="1:10" x14ac:dyDescent="0.2">
      <c r="A222" s="41">
        <v>46692</v>
      </c>
      <c r="B222" s="15">
        <f t="shared" si="81"/>
        <v>3103533.8480390082</v>
      </c>
      <c r="C222" s="42">
        <f t="shared" si="80"/>
        <v>13388.309727420194</v>
      </c>
      <c r="D222" s="10">
        <f t="shared" si="77"/>
        <v>8896.7970310451565</v>
      </c>
      <c r="E222" s="10">
        <f t="shared" si="78"/>
        <v>22285.10675846535</v>
      </c>
      <c r="F222" s="10">
        <f t="shared" si="79"/>
        <v>3090145.5383115881</v>
      </c>
      <c r="G222">
        <v>143</v>
      </c>
      <c r="I222" t="s">
        <v>29</v>
      </c>
      <c r="J222" t="s">
        <v>87</v>
      </c>
    </row>
    <row r="223" spans="1:10" ht="15" x14ac:dyDescent="0.25">
      <c r="A223" s="41">
        <v>46722</v>
      </c>
      <c r="B223" s="15">
        <f t="shared" si="81"/>
        <v>3090145.5383115881</v>
      </c>
      <c r="C223" s="42">
        <f t="shared" si="80"/>
        <v>13426.689548638798</v>
      </c>
      <c r="D223" s="10">
        <f t="shared" si="77"/>
        <v>8858.4172098265517</v>
      </c>
      <c r="E223" s="10">
        <f t="shared" si="78"/>
        <v>22285.10675846535</v>
      </c>
      <c r="F223" s="11">
        <f t="shared" si="79"/>
        <v>3076718.8487629495</v>
      </c>
      <c r="G223">
        <v>144</v>
      </c>
      <c r="I223" s="18">
        <f>$B$2+CUMPRINC($L$2,$L$3,$B$2,G170,G223,0)</f>
        <v>4858549.0206242604</v>
      </c>
      <c r="J223" s="19">
        <f>-CUMIPMT($L$2,$L$3,$B$2,G212,G223,0)</f>
        <v>125970.30172584447</v>
      </c>
    </row>
    <row r="224" spans="1:10" x14ac:dyDescent="0.2">
      <c r="A224" s="12" t="s">
        <v>45</v>
      </c>
      <c r="C224" s="43">
        <f>SUM(C212:C223)</f>
        <v>158611.1875456066</v>
      </c>
      <c r="D224" s="44">
        <f>SUM(D212:D223)</f>
        <v>108810.0935559776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workbookViewId="0">
      <selection activeCell="A184" sqref="A184:A195"/>
    </sheetView>
  </sheetViews>
  <sheetFormatPr defaultRowHeight="12.75" x14ac:dyDescent="0.2"/>
  <cols>
    <col min="1" max="1" width="19.85546875" customWidth="1"/>
    <col min="2" max="2" width="12.7109375" bestFit="1" customWidth="1"/>
    <col min="3" max="3" width="12.42578125" customWidth="1"/>
    <col min="4" max="4" width="11.140625" bestFit="1" customWidth="1"/>
    <col min="5" max="5" width="12.140625" customWidth="1"/>
    <col min="6" max="6" width="17.85546875" customWidth="1"/>
    <col min="7" max="7" width="6.85546875" customWidth="1"/>
    <col min="8" max="8" width="5.85546875" customWidth="1"/>
    <col min="9" max="9" width="41.5703125" bestFit="1" customWidth="1"/>
    <col min="10" max="10" width="14" bestFit="1" customWidth="1"/>
    <col min="11" max="11" width="11.140625" customWidth="1"/>
    <col min="12" max="12" width="11.28515625" bestFit="1" customWidth="1"/>
    <col min="13" max="13" width="5.85546875" customWidth="1"/>
  </cols>
  <sheetData>
    <row r="1" spans="1:11" ht="18.75" customHeight="1" x14ac:dyDescent="0.2">
      <c r="B1" s="13" t="s">
        <v>28</v>
      </c>
      <c r="C1" s="13" t="s">
        <v>29</v>
      </c>
      <c r="D1" s="13" t="s">
        <v>30</v>
      </c>
      <c r="E1" s="13" t="s">
        <v>31</v>
      </c>
      <c r="F1" s="13" t="s">
        <v>32</v>
      </c>
      <c r="I1" t="s">
        <v>29</v>
      </c>
      <c r="J1" s="15">
        <f>B2</f>
        <v>3600000</v>
      </c>
      <c r="K1" t="s">
        <v>86</v>
      </c>
    </row>
    <row r="2" spans="1:11" ht="18.75" customHeight="1" x14ac:dyDescent="0.25">
      <c r="A2" s="41">
        <v>41640</v>
      </c>
      <c r="B2" s="10">
        <v>3600000</v>
      </c>
      <c r="C2" s="10">
        <f>+E2-D2</f>
        <v>5725.2768660950533</v>
      </c>
      <c r="D2" s="10">
        <f t="shared" ref="D2:D13" si="0">+B2*$K$2</f>
        <v>10320</v>
      </c>
      <c r="E2" s="10">
        <f t="shared" ref="E2:E13" si="1">-$K$5</f>
        <v>16045.276866095053</v>
      </c>
      <c r="F2" s="10">
        <f t="shared" ref="F2:F13" si="2">+B2-C2</f>
        <v>3594274.7231339049</v>
      </c>
      <c r="G2">
        <v>1</v>
      </c>
      <c r="I2" t="s">
        <v>103</v>
      </c>
      <c r="J2" s="4">
        <v>3.44E-2</v>
      </c>
      <c r="K2" s="4">
        <f>J2/12</f>
        <v>2.8666666666666667E-3</v>
      </c>
    </row>
    <row r="3" spans="1:11" ht="18.75" customHeight="1" x14ac:dyDescent="0.2">
      <c r="A3" s="41">
        <v>41671</v>
      </c>
      <c r="B3" s="10">
        <f t="shared" ref="B3:B13" si="3">+F2</f>
        <v>3594274.7231339049</v>
      </c>
      <c r="C3" s="10">
        <f t="shared" ref="C3:C13" si="4">+E3-D3</f>
        <v>5741.6893264445262</v>
      </c>
      <c r="D3" s="10">
        <f t="shared" si="0"/>
        <v>10303.587539650527</v>
      </c>
      <c r="E3" s="10">
        <f t="shared" si="1"/>
        <v>16045.276866095053</v>
      </c>
      <c r="F3" s="10">
        <f t="shared" si="2"/>
        <v>3588533.0338074602</v>
      </c>
      <c r="G3">
        <v>2</v>
      </c>
      <c r="I3" t="s">
        <v>85</v>
      </c>
      <c r="J3">
        <v>30</v>
      </c>
      <c r="K3">
        <f>J3*12</f>
        <v>360</v>
      </c>
    </row>
    <row r="4" spans="1:11" ht="18.75" customHeight="1" x14ac:dyDescent="0.2">
      <c r="A4" s="41">
        <v>41699</v>
      </c>
      <c r="B4" s="10">
        <f t="shared" si="3"/>
        <v>3588533.0338074602</v>
      </c>
      <c r="C4" s="10">
        <f t="shared" si="4"/>
        <v>5758.1488358470015</v>
      </c>
      <c r="D4" s="10">
        <f t="shared" si="0"/>
        <v>10287.128030248052</v>
      </c>
      <c r="E4" s="10">
        <f t="shared" si="1"/>
        <v>16045.276866095053</v>
      </c>
      <c r="F4" s="10">
        <f t="shared" si="2"/>
        <v>3582774.8849716131</v>
      </c>
      <c r="G4">
        <v>3</v>
      </c>
    </row>
    <row r="5" spans="1:11" ht="18.75" customHeight="1" x14ac:dyDescent="0.2">
      <c r="A5" s="41">
        <v>41730</v>
      </c>
      <c r="B5" s="10">
        <f t="shared" si="3"/>
        <v>3582774.8849716131</v>
      </c>
      <c r="C5" s="10">
        <f t="shared" si="4"/>
        <v>5774.6555291764289</v>
      </c>
      <c r="D5" s="10">
        <f t="shared" si="0"/>
        <v>10270.621336918624</v>
      </c>
      <c r="E5" s="10">
        <f t="shared" si="1"/>
        <v>16045.276866095053</v>
      </c>
      <c r="F5" s="10">
        <f t="shared" si="2"/>
        <v>3577000.2294424367</v>
      </c>
      <c r="G5">
        <v>4</v>
      </c>
      <c r="I5" t="s">
        <v>31</v>
      </c>
      <c r="K5" s="16">
        <f>PMT(K2,K3,J1,,0)</f>
        <v>-16045.276866095053</v>
      </c>
    </row>
    <row r="6" spans="1:11" ht="18.75" customHeight="1" x14ac:dyDescent="0.2">
      <c r="A6" s="41">
        <v>41760</v>
      </c>
      <c r="B6" s="10">
        <f t="shared" si="3"/>
        <v>3577000.2294424367</v>
      </c>
      <c r="C6" s="10">
        <f t="shared" si="4"/>
        <v>5791.2095416934008</v>
      </c>
      <c r="D6" s="10">
        <f t="shared" si="0"/>
        <v>10254.067324401653</v>
      </c>
      <c r="E6" s="10">
        <f t="shared" si="1"/>
        <v>16045.276866095053</v>
      </c>
      <c r="F6" s="10">
        <f t="shared" si="2"/>
        <v>3571209.0199007434</v>
      </c>
      <c r="G6">
        <v>5</v>
      </c>
    </row>
    <row r="7" spans="1:11" ht="18.75" customHeight="1" x14ac:dyDescent="0.2">
      <c r="A7" s="41">
        <v>41791</v>
      </c>
      <c r="B7" s="10">
        <f t="shared" si="3"/>
        <v>3571209.0199007434</v>
      </c>
      <c r="C7" s="10">
        <f t="shared" si="4"/>
        <v>5807.811009046256</v>
      </c>
      <c r="D7" s="10">
        <f t="shared" si="0"/>
        <v>10237.465857048797</v>
      </c>
      <c r="E7" s="10">
        <f t="shared" si="1"/>
        <v>16045.276866095053</v>
      </c>
      <c r="F7" s="10">
        <f t="shared" si="2"/>
        <v>3565401.2088916972</v>
      </c>
      <c r="G7">
        <v>6</v>
      </c>
    </row>
    <row r="8" spans="1:11" ht="18.75" customHeight="1" x14ac:dyDescent="0.2">
      <c r="A8" s="41">
        <v>41821</v>
      </c>
      <c r="B8" s="10">
        <f t="shared" si="3"/>
        <v>3565401.2088916972</v>
      </c>
      <c r="C8" s="10">
        <f t="shared" si="4"/>
        <v>5824.4600672721881</v>
      </c>
      <c r="D8" s="10">
        <f t="shared" si="0"/>
        <v>10220.816798822865</v>
      </c>
      <c r="E8" s="10">
        <f t="shared" si="1"/>
        <v>16045.276866095053</v>
      </c>
      <c r="F8" s="10">
        <f t="shared" si="2"/>
        <v>3559576.748824425</v>
      </c>
      <c r="G8">
        <v>7</v>
      </c>
    </row>
    <row r="9" spans="1:11" ht="18.75" customHeight="1" x14ac:dyDescent="0.2">
      <c r="A9" s="41">
        <v>41852</v>
      </c>
      <c r="B9" s="10">
        <f t="shared" si="3"/>
        <v>3559576.748824425</v>
      </c>
      <c r="C9" s="10">
        <f t="shared" si="4"/>
        <v>5841.1568527983673</v>
      </c>
      <c r="D9" s="10">
        <f t="shared" si="0"/>
        <v>10204.120013296686</v>
      </c>
      <c r="E9" s="10">
        <f t="shared" si="1"/>
        <v>16045.276866095053</v>
      </c>
      <c r="F9" s="10">
        <f t="shared" si="2"/>
        <v>3553735.5919716265</v>
      </c>
      <c r="G9">
        <v>8</v>
      </c>
    </row>
    <row r="10" spans="1:11" ht="18.75" customHeight="1" x14ac:dyDescent="0.2">
      <c r="A10" s="41">
        <v>41883</v>
      </c>
      <c r="B10" s="10">
        <f t="shared" si="3"/>
        <v>3553735.5919716265</v>
      </c>
      <c r="C10" s="10">
        <f t="shared" si="4"/>
        <v>5857.9015024430573</v>
      </c>
      <c r="D10" s="10">
        <f t="shared" si="0"/>
        <v>10187.375363651996</v>
      </c>
      <c r="E10" s="10">
        <f t="shared" si="1"/>
        <v>16045.276866095053</v>
      </c>
      <c r="F10" s="10">
        <f t="shared" si="2"/>
        <v>3547877.6904691835</v>
      </c>
      <c r="G10">
        <v>9</v>
      </c>
      <c r="I10" s="13" t="s">
        <v>88</v>
      </c>
    </row>
    <row r="11" spans="1:11" ht="18.75" customHeight="1" x14ac:dyDescent="0.2">
      <c r="A11" s="41">
        <v>41913</v>
      </c>
      <c r="B11" s="10">
        <f t="shared" si="3"/>
        <v>3547877.6904691835</v>
      </c>
      <c r="C11" s="10">
        <f t="shared" si="4"/>
        <v>5874.6941534167272</v>
      </c>
      <c r="D11" s="10">
        <f t="shared" si="0"/>
        <v>10170.582712678326</v>
      </c>
      <c r="E11" s="10">
        <f t="shared" si="1"/>
        <v>16045.276866095053</v>
      </c>
      <c r="F11" s="10">
        <f t="shared" si="2"/>
        <v>3542002.9963157666</v>
      </c>
      <c r="G11">
        <v>10</v>
      </c>
    </row>
    <row r="12" spans="1:11" ht="18.75" customHeight="1" x14ac:dyDescent="0.2">
      <c r="A12" s="41">
        <v>41944</v>
      </c>
      <c r="B12" s="10">
        <f t="shared" si="3"/>
        <v>3542002.9963157666</v>
      </c>
      <c r="C12" s="10">
        <f t="shared" si="4"/>
        <v>5891.5349433231895</v>
      </c>
      <c r="D12" s="10">
        <f t="shared" si="0"/>
        <v>10153.741922771864</v>
      </c>
      <c r="E12" s="10">
        <f t="shared" si="1"/>
        <v>16045.276866095053</v>
      </c>
      <c r="F12" s="10">
        <f t="shared" si="2"/>
        <v>3536111.4613724435</v>
      </c>
      <c r="G12">
        <v>11</v>
      </c>
      <c r="I12" t="s">
        <v>29</v>
      </c>
      <c r="J12" t="s">
        <v>87</v>
      </c>
    </row>
    <row r="13" spans="1:11" ht="18.75" customHeight="1" x14ac:dyDescent="0.25">
      <c r="A13" s="41">
        <v>41974</v>
      </c>
      <c r="B13" s="10">
        <f t="shared" si="3"/>
        <v>3536111.4613724435</v>
      </c>
      <c r="C13" s="10">
        <f t="shared" si="4"/>
        <v>5908.4240101607156</v>
      </c>
      <c r="D13" s="10">
        <f t="shared" si="0"/>
        <v>10136.852855934338</v>
      </c>
      <c r="E13" s="10">
        <f t="shared" si="1"/>
        <v>16045.276866095053</v>
      </c>
      <c r="F13" s="17">
        <f t="shared" si="2"/>
        <v>3530203.0373622826</v>
      </c>
      <c r="G13">
        <v>12</v>
      </c>
      <c r="I13" s="18">
        <f>$B$2+CUMPRINC($K$2,$K$3,$B$2,G2,G13,0)</f>
        <v>3530203.0373622831</v>
      </c>
      <c r="J13" s="19">
        <f>-CUMIPMT($K$2,$K$3,$B$2,G2,G13,0)</f>
        <v>122746.35975542378</v>
      </c>
    </row>
    <row r="14" spans="1:11" ht="18.75" customHeight="1" x14ac:dyDescent="0.2">
      <c r="A14" s="12" t="s">
        <v>45</v>
      </c>
      <c r="B14" s="12"/>
      <c r="C14" s="11">
        <f>SUM(C2:C13)</f>
        <v>69796.962637716919</v>
      </c>
      <c r="D14" s="17">
        <f>SUM(D2:D13)</f>
        <v>122746.35975542373</v>
      </c>
      <c r="E14" s="10"/>
      <c r="F14" s="10"/>
    </row>
    <row r="16" spans="1:11" x14ac:dyDescent="0.2">
      <c r="A16" s="41">
        <v>42005</v>
      </c>
      <c r="B16" s="10">
        <f>+F13</f>
        <v>3530203.0373622826</v>
      </c>
      <c r="C16" s="10">
        <f t="shared" ref="C16:C27" si="5">+E16-D16</f>
        <v>5925.3614923231762</v>
      </c>
      <c r="D16" s="10">
        <f>+B16*$K$2</f>
        <v>10119.915373771877</v>
      </c>
      <c r="E16" s="10">
        <f>-$K$5</f>
        <v>16045.276866095053</v>
      </c>
      <c r="F16" s="10">
        <f t="shared" ref="F16:F27" si="6">+B16-C16</f>
        <v>3524277.6758699594</v>
      </c>
      <c r="G16">
        <v>13</v>
      </c>
    </row>
    <row r="17" spans="1:10" x14ac:dyDescent="0.2">
      <c r="A17" s="41">
        <v>42036</v>
      </c>
      <c r="B17" s="10">
        <f t="shared" ref="B17:B27" si="7">+F16</f>
        <v>3524277.6758699594</v>
      </c>
      <c r="C17" s="10">
        <f t="shared" si="5"/>
        <v>5942.347528601169</v>
      </c>
      <c r="D17" s="10">
        <f t="shared" ref="D17:D27" si="8">+B17*$K$2</f>
        <v>10102.929337493884</v>
      </c>
      <c r="E17" s="10">
        <f t="shared" ref="E17:E27" si="9">-$K$5</f>
        <v>16045.276866095053</v>
      </c>
      <c r="F17" s="10">
        <f t="shared" si="6"/>
        <v>3518335.3283413583</v>
      </c>
      <c r="G17">
        <v>14</v>
      </c>
    </row>
    <row r="18" spans="1:10" x14ac:dyDescent="0.2">
      <c r="A18" s="41">
        <v>42064</v>
      </c>
      <c r="B18" s="10">
        <f t="shared" si="7"/>
        <v>3518335.3283413583</v>
      </c>
      <c r="C18" s="10">
        <f t="shared" si="5"/>
        <v>5959.3822581831591</v>
      </c>
      <c r="D18" s="10">
        <f t="shared" si="8"/>
        <v>10085.894607911894</v>
      </c>
      <c r="E18" s="10">
        <f t="shared" si="9"/>
        <v>16045.276866095053</v>
      </c>
      <c r="F18" s="10">
        <f t="shared" si="6"/>
        <v>3512375.946083175</v>
      </c>
      <c r="G18">
        <v>15</v>
      </c>
    </row>
    <row r="19" spans="1:10" x14ac:dyDescent="0.2">
      <c r="A19" s="41">
        <v>42095</v>
      </c>
      <c r="B19" s="10">
        <f t="shared" si="7"/>
        <v>3512375.946083175</v>
      </c>
      <c r="C19" s="10">
        <f t="shared" si="5"/>
        <v>5976.4658206566182</v>
      </c>
      <c r="D19" s="10">
        <f t="shared" si="8"/>
        <v>10068.811045438435</v>
      </c>
      <c r="E19" s="10">
        <f t="shared" si="9"/>
        <v>16045.276866095053</v>
      </c>
      <c r="F19" s="10">
        <f t="shared" si="6"/>
        <v>3506399.4802625184</v>
      </c>
      <c r="G19">
        <v>16</v>
      </c>
    </row>
    <row r="20" spans="1:10" x14ac:dyDescent="0.2">
      <c r="A20" s="41">
        <v>42125</v>
      </c>
      <c r="B20" s="10">
        <f t="shared" si="7"/>
        <v>3506399.4802625184</v>
      </c>
      <c r="C20" s="10">
        <f t="shared" si="5"/>
        <v>5993.5983560091663</v>
      </c>
      <c r="D20" s="10">
        <f t="shared" si="8"/>
        <v>10051.678510085887</v>
      </c>
      <c r="E20" s="10">
        <f t="shared" si="9"/>
        <v>16045.276866095053</v>
      </c>
      <c r="F20" s="10">
        <f t="shared" si="6"/>
        <v>3500405.8819065094</v>
      </c>
      <c r="G20">
        <v>17</v>
      </c>
    </row>
    <row r="21" spans="1:10" x14ac:dyDescent="0.2">
      <c r="A21" s="41">
        <v>42156</v>
      </c>
      <c r="B21" s="10">
        <f t="shared" si="7"/>
        <v>3500405.8819065094</v>
      </c>
      <c r="C21" s="10">
        <f t="shared" si="5"/>
        <v>6010.780004629727</v>
      </c>
      <c r="D21" s="10">
        <f t="shared" si="8"/>
        <v>10034.496861465326</v>
      </c>
      <c r="E21" s="10">
        <f t="shared" si="9"/>
        <v>16045.276866095053</v>
      </c>
      <c r="F21" s="10">
        <f t="shared" si="6"/>
        <v>3494395.1019018795</v>
      </c>
      <c r="G21">
        <v>18</v>
      </c>
    </row>
    <row r="22" spans="1:10" x14ac:dyDescent="0.2">
      <c r="A22" s="41">
        <v>42186</v>
      </c>
      <c r="B22" s="10">
        <f t="shared" si="7"/>
        <v>3494395.1019018795</v>
      </c>
      <c r="C22" s="10">
        <f t="shared" si="5"/>
        <v>6028.0109073096646</v>
      </c>
      <c r="D22" s="10">
        <f t="shared" si="8"/>
        <v>10017.265958785389</v>
      </c>
      <c r="E22" s="10">
        <f t="shared" si="9"/>
        <v>16045.276866095053</v>
      </c>
      <c r="F22" s="10">
        <f t="shared" si="6"/>
        <v>3488367.0909945699</v>
      </c>
      <c r="G22">
        <v>19</v>
      </c>
    </row>
    <row r="23" spans="1:10" x14ac:dyDescent="0.2">
      <c r="A23" s="41">
        <v>42217</v>
      </c>
      <c r="B23" s="10">
        <f t="shared" si="7"/>
        <v>3488367.0909945699</v>
      </c>
      <c r="C23" s="10">
        <f t="shared" si="5"/>
        <v>6045.2912052439533</v>
      </c>
      <c r="D23" s="10">
        <f t="shared" si="8"/>
        <v>9999.9856608511</v>
      </c>
      <c r="E23" s="10">
        <f t="shared" si="9"/>
        <v>16045.276866095053</v>
      </c>
      <c r="F23" s="10">
        <f t="shared" si="6"/>
        <v>3482321.7997893258</v>
      </c>
      <c r="G23">
        <v>20</v>
      </c>
    </row>
    <row r="24" spans="1:10" x14ac:dyDescent="0.2">
      <c r="A24" s="41">
        <v>42248</v>
      </c>
      <c r="B24" s="10">
        <f t="shared" si="7"/>
        <v>3482321.7997893258</v>
      </c>
      <c r="C24" s="10">
        <f t="shared" si="5"/>
        <v>6062.6210400323198</v>
      </c>
      <c r="D24" s="10">
        <f t="shared" si="8"/>
        <v>9982.6558260627335</v>
      </c>
      <c r="E24" s="10">
        <f t="shared" si="9"/>
        <v>16045.276866095053</v>
      </c>
      <c r="F24" s="10">
        <f t="shared" si="6"/>
        <v>3476259.1787492936</v>
      </c>
      <c r="G24">
        <v>21</v>
      </c>
    </row>
    <row r="25" spans="1:10" x14ac:dyDescent="0.2">
      <c r="A25" s="41">
        <v>42278</v>
      </c>
      <c r="B25" s="10">
        <f t="shared" si="7"/>
        <v>3476259.1787492936</v>
      </c>
      <c r="C25" s="10">
        <f t="shared" si="5"/>
        <v>6080.000553680411</v>
      </c>
      <c r="D25" s="10">
        <f t="shared" si="8"/>
        <v>9965.2763124146422</v>
      </c>
      <c r="E25" s="10">
        <f t="shared" si="9"/>
        <v>16045.276866095053</v>
      </c>
      <c r="F25" s="10">
        <f t="shared" si="6"/>
        <v>3470179.178195613</v>
      </c>
      <c r="G25">
        <v>22</v>
      </c>
    </row>
    <row r="26" spans="1:10" x14ac:dyDescent="0.2">
      <c r="A26" s="41">
        <v>42309</v>
      </c>
      <c r="B26" s="10">
        <f t="shared" si="7"/>
        <v>3470179.178195613</v>
      </c>
      <c r="C26" s="10">
        <f t="shared" si="5"/>
        <v>6097.4298886009619</v>
      </c>
      <c r="D26" s="10">
        <f t="shared" si="8"/>
        <v>9947.8469774940913</v>
      </c>
      <c r="E26" s="10">
        <f t="shared" si="9"/>
        <v>16045.276866095053</v>
      </c>
      <c r="F26" s="10">
        <f t="shared" si="6"/>
        <v>3464081.748307012</v>
      </c>
      <c r="G26">
        <v>23</v>
      </c>
      <c r="I26" t="s">
        <v>29</v>
      </c>
      <c r="J26" t="s">
        <v>87</v>
      </c>
    </row>
    <row r="27" spans="1:10" ht="15" x14ac:dyDescent="0.25">
      <c r="A27" s="41">
        <v>42339</v>
      </c>
      <c r="B27" s="10">
        <f t="shared" si="7"/>
        <v>3464081.748307012</v>
      </c>
      <c r="C27" s="10">
        <f t="shared" si="5"/>
        <v>6114.9091876149523</v>
      </c>
      <c r="D27" s="10">
        <f t="shared" si="8"/>
        <v>9930.3676784801009</v>
      </c>
      <c r="E27" s="10">
        <f t="shared" si="9"/>
        <v>16045.276866095053</v>
      </c>
      <c r="F27" s="11">
        <f t="shared" si="6"/>
        <v>3457966.8391193971</v>
      </c>
      <c r="G27">
        <v>24</v>
      </c>
      <c r="I27" s="18">
        <f>$B$2+CUMPRINC($K$2,$K$3,$B$2,G2,G27,0)</f>
        <v>3457966.839119398</v>
      </c>
      <c r="J27" s="19">
        <f>-CUMIPMT($K$2,$K$3,$B$2,G16,G27,0)</f>
        <v>120307.1241502554</v>
      </c>
    </row>
    <row r="28" spans="1:10" x14ac:dyDescent="0.2">
      <c r="A28" s="12" t="s">
        <v>45</v>
      </c>
      <c r="B28" s="12"/>
      <c r="C28" s="11">
        <f>SUM(C16:C27)</f>
        <v>72236.198242885264</v>
      </c>
      <c r="D28" s="11">
        <f>SUM(D16:D27)</f>
        <v>120307.12415025537</v>
      </c>
      <c r="E28" s="10"/>
      <c r="F28" s="10"/>
    </row>
    <row r="30" spans="1:10" x14ac:dyDescent="0.2">
      <c r="A30" s="41">
        <v>42370</v>
      </c>
      <c r="B30" s="10">
        <f>+F27</f>
        <v>3457966.8391193971</v>
      </c>
      <c r="C30" s="10">
        <f t="shared" ref="C30:C41" si="10">+E30-D30</f>
        <v>6132.438593952782</v>
      </c>
      <c r="D30" s="10">
        <f>+B30*$K$2</f>
        <v>9912.8382721422713</v>
      </c>
      <c r="E30" s="10">
        <f>-$K$5</f>
        <v>16045.276866095053</v>
      </c>
      <c r="F30" s="10">
        <f t="shared" ref="F30:F41" si="11">+B30-C30</f>
        <v>3451834.4005254442</v>
      </c>
      <c r="G30">
        <v>25</v>
      </c>
    </row>
    <row r="31" spans="1:10" x14ac:dyDescent="0.2">
      <c r="A31" s="41">
        <v>42401</v>
      </c>
      <c r="B31" s="10">
        <f t="shared" ref="B31:B41" si="12">+F30</f>
        <v>3451834.4005254442</v>
      </c>
      <c r="C31" s="10">
        <f t="shared" si="10"/>
        <v>6150.0182512554475</v>
      </c>
      <c r="D31" s="10">
        <f t="shared" ref="D31:D41" si="13">+B31*$K$2</f>
        <v>9895.2586148396058</v>
      </c>
      <c r="E31" s="10">
        <f t="shared" ref="E31:E41" si="14">-$K$5</f>
        <v>16045.276866095053</v>
      </c>
      <c r="F31" s="10">
        <f t="shared" si="11"/>
        <v>3445684.3822741886</v>
      </c>
      <c r="G31">
        <v>26</v>
      </c>
    </row>
    <row r="32" spans="1:10" x14ac:dyDescent="0.2">
      <c r="A32" s="41">
        <v>42430</v>
      </c>
      <c r="B32" s="10">
        <f t="shared" si="12"/>
        <v>3445684.3822741886</v>
      </c>
      <c r="C32" s="10">
        <f t="shared" si="10"/>
        <v>6167.6483035757119</v>
      </c>
      <c r="D32" s="10">
        <f t="shared" si="13"/>
        <v>9877.6285625193414</v>
      </c>
      <c r="E32" s="10">
        <f t="shared" si="14"/>
        <v>16045.276866095053</v>
      </c>
      <c r="F32" s="10">
        <f t="shared" si="11"/>
        <v>3439516.7339706128</v>
      </c>
      <c r="G32">
        <v>27</v>
      </c>
    </row>
    <row r="33" spans="1:10" x14ac:dyDescent="0.2">
      <c r="A33" s="41">
        <v>42461</v>
      </c>
      <c r="B33" s="10">
        <f t="shared" si="12"/>
        <v>3439516.7339706128</v>
      </c>
      <c r="C33" s="10">
        <f t="shared" si="10"/>
        <v>6185.3288953792962</v>
      </c>
      <c r="D33" s="10">
        <f t="shared" si="13"/>
        <v>9859.947970715757</v>
      </c>
      <c r="E33" s="10">
        <f t="shared" si="14"/>
        <v>16045.276866095053</v>
      </c>
      <c r="F33" s="10">
        <f t="shared" si="11"/>
        <v>3433331.4050752334</v>
      </c>
      <c r="G33">
        <v>28</v>
      </c>
    </row>
    <row r="34" spans="1:10" x14ac:dyDescent="0.2">
      <c r="A34" s="41">
        <v>42491</v>
      </c>
      <c r="B34" s="10">
        <f t="shared" si="12"/>
        <v>3433331.4050752334</v>
      </c>
      <c r="C34" s="10">
        <f t="shared" si="10"/>
        <v>6203.0601715460507</v>
      </c>
      <c r="D34" s="10">
        <f t="shared" si="13"/>
        <v>9842.2166945490026</v>
      </c>
      <c r="E34" s="10">
        <f t="shared" si="14"/>
        <v>16045.276866095053</v>
      </c>
      <c r="F34" s="10">
        <f t="shared" si="11"/>
        <v>3427128.3449036875</v>
      </c>
      <c r="G34">
        <v>29</v>
      </c>
    </row>
    <row r="35" spans="1:10" x14ac:dyDescent="0.2">
      <c r="A35" s="41">
        <v>42522</v>
      </c>
      <c r="B35" s="10">
        <f t="shared" si="12"/>
        <v>3427128.3449036875</v>
      </c>
      <c r="C35" s="10">
        <f t="shared" si="10"/>
        <v>6220.84227737115</v>
      </c>
      <c r="D35" s="10">
        <f t="shared" si="13"/>
        <v>9824.4345887239033</v>
      </c>
      <c r="E35" s="10">
        <f t="shared" si="14"/>
        <v>16045.276866095053</v>
      </c>
      <c r="F35" s="10">
        <f t="shared" si="11"/>
        <v>3420907.5026263162</v>
      </c>
      <c r="G35">
        <v>30</v>
      </c>
    </row>
    <row r="36" spans="1:10" x14ac:dyDescent="0.2">
      <c r="A36" s="41">
        <v>42552</v>
      </c>
      <c r="B36" s="10">
        <f t="shared" si="12"/>
        <v>3420907.5026263162</v>
      </c>
      <c r="C36" s="10">
        <f t="shared" si="10"/>
        <v>6238.6753585662809</v>
      </c>
      <c r="D36" s="10">
        <f t="shared" si="13"/>
        <v>9806.6015075287723</v>
      </c>
      <c r="E36" s="10">
        <f t="shared" si="14"/>
        <v>16045.276866095053</v>
      </c>
      <c r="F36" s="10">
        <f t="shared" si="11"/>
        <v>3414668.8272677497</v>
      </c>
      <c r="G36">
        <v>31</v>
      </c>
    </row>
    <row r="37" spans="1:10" x14ac:dyDescent="0.2">
      <c r="A37" s="41">
        <v>42583</v>
      </c>
      <c r="B37" s="10">
        <f t="shared" si="12"/>
        <v>3414668.8272677497</v>
      </c>
      <c r="C37" s="10">
        <f t="shared" si="10"/>
        <v>6256.5595612608377</v>
      </c>
      <c r="D37" s="10">
        <f t="shared" si="13"/>
        <v>9788.7173048342156</v>
      </c>
      <c r="E37" s="10">
        <f t="shared" si="14"/>
        <v>16045.276866095053</v>
      </c>
      <c r="F37" s="10">
        <f t="shared" si="11"/>
        <v>3408412.2677064887</v>
      </c>
      <c r="G37">
        <v>32</v>
      </c>
    </row>
    <row r="38" spans="1:10" x14ac:dyDescent="0.2">
      <c r="A38" s="41">
        <v>42614</v>
      </c>
      <c r="B38" s="10">
        <f t="shared" si="12"/>
        <v>3408412.2677064887</v>
      </c>
      <c r="C38" s="10">
        <f t="shared" si="10"/>
        <v>6274.4950320031185</v>
      </c>
      <c r="D38" s="10">
        <f t="shared" si="13"/>
        <v>9770.7818340919348</v>
      </c>
      <c r="E38" s="10">
        <f t="shared" si="14"/>
        <v>16045.276866095053</v>
      </c>
      <c r="F38" s="10">
        <f t="shared" si="11"/>
        <v>3402137.7726744856</v>
      </c>
      <c r="G38">
        <v>33</v>
      </c>
    </row>
    <row r="39" spans="1:10" x14ac:dyDescent="0.2">
      <c r="A39" s="41">
        <v>42644</v>
      </c>
      <c r="B39" s="10">
        <f t="shared" si="12"/>
        <v>3402137.7726744856</v>
      </c>
      <c r="C39" s="10">
        <f t="shared" si="10"/>
        <v>6292.4819177615282</v>
      </c>
      <c r="D39" s="10">
        <f t="shared" si="13"/>
        <v>9752.7949483335251</v>
      </c>
      <c r="E39" s="10">
        <f t="shared" si="14"/>
        <v>16045.276866095053</v>
      </c>
      <c r="F39" s="10">
        <f t="shared" si="11"/>
        <v>3395845.2907567238</v>
      </c>
      <c r="G39">
        <v>34</v>
      </c>
    </row>
    <row r="40" spans="1:10" x14ac:dyDescent="0.2">
      <c r="A40" s="41">
        <v>42675</v>
      </c>
      <c r="B40" s="10">
        <f t="shared" si="12"/>
        <v>3395845.2907567238</v>
      </c>
      <c r="C40" s="10">
        <f t="shared" si="10"/>
        <v>6310.5203659257786</v>
      </c>
      <c r="D40" s="10">
        <f t="shared" si="13"/>
        <v>9734.7565001692747</v>
      </c>
      <c r="E40" s="10">
        <f t="shared" si="14"/>
        <v>16045.276866095053</v>
      </c>
      <c r="F40" s="10">
        <f t="shared" si="11"/>
        <v>3389534.7703907979</v>
      </c>
      <c r="G40">
        <v>35</v>
      </c>
      <c r="I40" t="s">
        <v>29</v>
      </c>
      <c r="J40" t="s">
        <v>87</v>
      </c>
    </row>
    <row r="41" spans="1:10" ht="15" x14ac:dyDescent="0.25">
      <c r="A41" s="41">
        <v>42705</v>
      </c>
      <c r="B41" s="10">
        <f t="shared" si="12"/>
        <v>3389534.7703907979</v>
      </c>
      <c r="C41" s="10">
        <f t="shared" si="10"/>
        <v>6328.6105243081001</v>
      </c>
      <c r="D41" s="10">
        <f t="shared" si="13"/>
        <v>9716.6663417869531</v>
      </c>
      <c r="E41" s="10">
        <f t="shared" si="14"/>
        <v>16045.276866095053</v>
      </c>
      <c r="F41" s="11">
        <f t="shared" si="11"/>
        <v>3383206.1598664899</v>
      </c>
      <c r="G41">
        <v>36</v>
      </c>
      <c r="I41" s="18">
        <f>$B$2+CUMPRINC($K$2,$K$3,$B$2,G16,G41,0)</f>
        <v>3453003.1225042087</v>
      </c>
      <c r="J41" s="19">
        <f>-CUMIPMT($K$2,$K$3,$B$2,G30,G41,0)</f>
        <v>117782.64314023465</v>
      </c>
    </row>
    <row r="42" spans="1:10" x14ac:dyDescent="0.2">
      <c r="A42" s="12" t="s">
        <v>45</v>
      </c>
      <c r="B42" s="12"/>
      <c r="C42" s="11">
        <f>SUM(C30:C41)</f>
        <v>74760.679252906077</v>
      </c>
      <c r="D42" s="11">
        <f>SUM(D30:D41)</f>
        <v>117782.64314023455</v>
      </c>
      <c r="E42" s="10"/>
      <c r="F42" s="10"/>
    </row>
    <row r="44" spans="1:10" x14ac:dyDescent="0.2">
      <c r="A44" s="41">
        <v>42736</v>
      </c>
      <c r="B44" s="10">
        <f>+F41</f>
        <v>3383206.1598664899</v>
      </c>
      <c r="C44" s="10">
        <f t="shared" ref="C44:C55" si="15">+E44-D44</f>
        <v>6346.7525411444494</v>
      </c>
      <c r="D44" s="10">
        <f>+B44*$K$2</f>
        <v>9698.5243249506038</v>
      </c>
      <c r="E44" s="10">
        <f>-$K$5</f>
        <v>16045.276866095053</v>
      </c>
      <c r="F44" s="10">
        <f t="shared" ref="F44:F55" si="16">+B44-C44</f>
        <v>3376859.4073253456</v>
      </c>
      <c r="G44">
        <v>37</v>
      </c>
    </row>
    <row r="45" spans="1:10" x14ac:dyDescent="0.2">
      <c r="A45" s="41">
        <v>42767</v>
      </c>
      <c r="B45" s="10">
        <f t="shared" ref="B45:B55" si="17">+F44</f>
        <v>3376859.4073253456</v>
      </c>
      <c r="C45" s="10">
        <f t="shared" si="15"/>
        <v>6364.94656509573</v>
      </c>
      <c r="D45" s="10">
        <f t="shared" ref="D45:D55" si="18">+B45*$K$2</f>
        <v>9680.3303009993233</v>
      </c>
      <c r="E45" s="10">
        <f t="shared" ref="E45:E55" si="19">-$K$5</f>
        <v>16045.276866095053</v>
      </c>
      <c r="F45" s="10">
        <f t="shared" si="16"/>
        <v>3370494.4607602498</v>
      </c>
      <c r="G45">
        <v>38</v>
      </c>
    </row>
    <row r="46" spans="1:10" x14ac:dyDescent="0.2">
      <c r="A46" s="41">
        <v>42795</v>
      </c>
      <c r="B46" s="10">
        <f t="shared" si="17"/>
        <v>3370494.4607602498</v>
      </c>
      <c r="C46" s="10">
        <f t="shared" si="15"/>
        <v>6383.1927452490036</v>
      </c>
      <c r="D46" s="10">
        <f t="shared" si="18"/>
        <v>9662.0841208460497</v>
      </c>
      <c r="E46" s="10">
        <f t="shared" si="19"/>
        <v>16045.276866095053</v>
      </c>
      <c r="F46" s="10">
        <f t="shared" si="16"/>
        <v>3364111.268015001</v>
      </c>
      <c r="G46">
        <v>39</v>
      </c>
    </row>
    <row r="47" spans="1:10" x14ac:dyDescent="0.2">
      <c r="A47" s="41">
        <v>42826</v>
      </c>
      <c r="B47" s="10">
        <f t="shared" si="17"/>
        <v>3364111.268015001</v>
      </c>
      <c r="C47" s="10">
        <f t="shared" si="15"/>
        <v>6401.4912311187163</v>
      </c>
      <c r="D47" s="10">
        <f t="shared" si="18"/>
        <v>9643.785634976337</v>
      </c>
      <c r="E47" s="10">
        <f t="shared" si="19"/>
        <v>16045.276866095053</v>
      </c>
      <c r="F47" s="10">
        <f t="shared" si="16"/>
        <v>3357709.7767838822</v>
      </c>
      <c r="G47">
        <v>40</v>
      </c>
    </row>
    <row r="48" spans="1:10" x14ac:dyDescent="0.2">
      <c r="A48" s="41">
        <v>42856</v>
      </c>
      <c r="B48" s="10">
        <f t="shared" si="17"/>
        <v>3357709.7767838822</v>
      </c>
      <c r="C48" s="10">
        <f t="shared" si="15"/>
        <v>6419.8421726479246</v>
      </c>
      <c r="D48" s="10">
        <f t="shared" si="18"/>
        <v>9625.4346934471287</v>
      </c>
      <c r="E48" s="10">
        <f t="shared" si="19"/>
        <v>16045.276866095053</v>
      </c>
      <c r="F48" s="10">
        <f t="shared" si="16"/>
        <v>3351289.9346112343</v>
      </c>
      <c r="G48">
        <v>41</v>
      </c>
    </row>
    <row r="49" spans="1:10" x14ac:dyDescent="0.2">
      <c r="A49" s="41">
        <v>42887</v>
      </c>
      <c r="B49" s="10">
        <f t="shared" si="17"/>
        <v>3351289.9346112343</v>
      </c>
      <c r="C49" s="10">
        <f t="shared" si="15"/>
        <v>6438.2457202095156</v>
      </c>
      <c r="D49" s="10">
        <f t="shared" si="18"/>
        <v>9607.0311458855376</v>
      </c>
      <c r="E49" s="10">
        <f t="shared" si="19"/>
        <v>16045.276866095053</v>
      </c>
      <c r="F49" s="10">
        <f t="shared" si="16"/>
        <v>3344851.6888910248</v>
      </c>
      <c r="G49">
        <v>42</v>
      </c>
    </row>
    <row r="50" spans="1:10" x14ac:dyDescent="0.2">
      <c r="A50" s="41">
        <v>42917</v>
      </c>
      <c r="B50" s="10">
        <f t="shared" si="17"/>
        <v>3344851.6888910248</v>
      </c>
      <c r="C50" s="10">
        <f t="shared" si="15"/>
        <v>6456.702024607448</v>
      </c>
      <c r="D50" s="10">
        <f t="shared" si="18"/>
        <v>9588.5748414876052</v>
      </c>
      <c r="E50" s="10">
        <f t="shared" si="19"/>
        <v>16045.276866095053</v>
      </c>
      <c r="F50" s="10">
        <f t="shared" si="16"/>
        <v>3338394.9868664173</v>
      </c>
      <c r="G50">
        <v>43</v>
      </c>
    </row>
    <row r="51" spans="1:10" x14ac:dyDescent="0.2">
      <c r="A51" s="41">
        <v>42948</v>
      </c>
      <c r="B51" s="10">
        <f t="shared" si="17"/>
        <v>3338394.9868664173</v>
      </c>
      <c r="C51" s="10">
        <f t="shared" si="15"/>
        <v>6475.2112370779905</v>
      </c>
      <c r="D51" s="10">
        <f t="shared" si="18"/>
        <v>9570.0656290170627</v>
      </c>
      <c r="E51" s="10">
        <f t="shared" si="19"/>
        <v>16045.276866095053</v>
      </c>
      <c r="F51" s="10">
        <f t="shared" si="16"/>
        <v>3331919.7756293393</v>
      </c>
      <c r="G51">
        <v>44</v>
      </c>
    </row>
    <row r="52" spans="1:10" x14ac:dyDescent="0.2">
      <c r="A52" s="41">
        <v>42979</v>
      </c>
      <c r="B52" s="10">
        <f t="shared" si="17"/>
        <v>3331919.7756293393</v>
      </c>
      <c r="C52" s="10">
        <f t="shared" si="15"/>
        <v>6493.7735092909479</v>
      </c>
      <c r="D52" s="10">
        <f t="shared" si="18"/>
        <v>9551.5033568041054</v>
      </c>
      <c r="E52" s="10">
        <f t="shared" si="19"/>
        <v>16045.276866095053</v>
      </c>
      <c r="F52" s="10">
        <f t="shared" si="16"/>
        <v>3325426.0021200483</v>
      </c>
      <c r="G52">
        <v>45</v>
      </c>
    </row>
    <row r="53" spans="1:10" x14ac:dyDescent="0.2">
      <c r="A53" s="41">
        <v>43009</v>
      </c>
      <c r="B53" s="10">
        <f t="shared" si="17"/>
        <v>3325426.0021200483</v>
      </c>
      <c r="C53" s="10">
        <f t="shared" si="15"/>
        <v>6512.3889933509145</v>
      </c>
      <c r="D53" s="10">
        <f t="shared" si="18"/>
        <v>9532.8878727441388</v>
      </c>
      <c r="E53" s="10">
        <f t="shared" si="19"/>
        <v>16045.276866095053</v>
      </c>
      <c r="F53" s="10">
        <f t="shared" si="16"/>
        <v>3318913.6131266975</v>
      </c>
      <c r="G53">
        <v>46</v>
      </c>
    </row>
    <row r="54" spans="1:10" x14ac:dyDescent="0.2">
      <c r="A54" s="41">
        <v>43040</v>
      </c>
      <c r="B54" s="10">
        <f t="shared" si="17"/>
        <v>3318913.6131266975</v>
      </c>
      <c r="C54" s="10">
        <f t="shared" si="15"/>
        <v>6531.0578417985198</v>
      </c>
      <c r="D54" s="10">
        <f t="shared" si="18"/>
        <v>9514.2190242965335</v>
      </c>
      <c r="E54" s="10">
        <f t="shared" si="19"/>
        <v>16045.276866095053</v>
      </c>
      <c r="F54" s="10">
        <f t="shared" si="16"/>
        <v>3312382.5552848992</v>
      </c>
      <c r="G54">
        <v>47</v>
      </c>
      <c r="I54" t="s">
        <v>29</v>
      </c>
      <c r="J54" t="s">
        <v>87</v>
      </c>
    </row>
    <row r="55" spans="1:10" ht="15" x14ac:dyDescent="0.25">
      <c r="A55" s="41">
        <v>43070</v>
      </c>
      <c r="B55" s="10">
        <f t="shared" si="17"/>
        <v>3312382.5552848992</v>
      </c>
      <c r="C55" s="10">
        <f t="shared" si="15"/>
        <v>6549.780207611675</v>
      </c>
      <c r="D55" s="10">
        <f t="shared" si="18"/>
        <v>9495.4966584833783</v>
      </c>
      <c r="E55" s="10">
        <f t="shared" si="19"/>
        <v>16045.276866095053</v>
      </c>
      <c r="F55" s="11">
        <f t="shared" si="16"/>
        <v>3305832.7750772876</v>
      </c>
      <c r="G55">
        <v>48</v>
      </c>
      <c r="I55" s="18">
        <f>$B$2+CUMPRINC($K$2,$K$3,$B$2,G30,G55,0)</f>
        <v>3447865.9359578914</v>
      </c>
      <c r="J55" s="19">
        <f>-CUMIPMT($K$2,$K$3,$B$2,G44,G55,0)</f>
        <v>115169.9376039379</v>
      </c>
    </row>
    <row r="56" spans="1:10" x14ac:dyDescent="0.2">
      <c r="A56" s="12" t="s">
        <v>45</v>
      </c>
      <c r="B56" s="12"/>
      <c r="C56" s="11">
        <f>SUM(C44:C55)</f>
        <v>77373.384789202843</v>
      </c>
      <c r="D56" s="11">
        <f>SUM(D44:D55)</f>
        <v>115169.9376039378</v>
      </c>
      <c r="E56" s="10"/>
      <c r="F56" s="10"/>
    </row>
    <row r="58" spans="1:10" x14ac:dyDescent="0.2">
      <c r="A58" s="41">
        <v>43101</v>
      </c>
      <c r="B58" s="10">
        <f>+F55</f>
        <v>3305832.7750772876</v>
      </c>
      <c r="C58" s="10">
        <f t="shared" ref="C58:C69" si="20">+E58-D58</f>
        <v>6568.5562442068294</v>
      </c>
      <c r="D58" s="10">
        <f>+B58*$K$2</f>
        <v>9476.7206218882238</v>
      </c>
      <c r="E58" s="10">
        <f>-$K$5</f>
        <v>16045.276866095053</v>
      </c>
      <c r="F58" s="10">
        <f t="shared" ref="F58:F69" si="21">+B58-C58</f>
        <v>3299264.218833081</v>
      </c>
      <c r="G58">
        <v>49</v>
      </c>
    </row>
    <row r="59" spans="1:10" x14ac:dyDescent="0.2">
      <c r="A59" s="41">
        <v>43132</v>
      </c>
      <c r="B59" s="10">
        <f t="shared" ref="B59:B69" si="22">+F58</f>
        <v>3299264.218833081</v>
      </c>
      <c r="C59" s="10">
        <f t="shared" si="20"/>
        <v>6587.3861054402205</v>
      </c>
      <c r="D59" s="10">
        <f t="shared" ref="D59:D69" si="23">+B59*$K$2</f>
        <v>9457.8907606548328</v>
      </c>
      <c r="E59" s="10">
        <f t="shared" ref="E59:E69" si="24">-$K$5</f>
        <v>16045.276866095053</v>
      </c>
      <c r="F59" s="10">
        <f t="shared" si="21"/>
        <v>3292676.8327276409</v>
      </c>
      <c r="G59">
        <v>50</v>
      </c>
    </row>
    <row r="60" spans="1:10" x14ac:dyDescent="0.2">
      <c r="A60" s="41">
        <v>43160</v>
      </c>
      <c r="B60" s="10">
        <f t="shared" si="22"/>
        <v>3292676.8327276409</v>
      </c>
      <c r="C60" s="10">
        <f t="shared" si="20"/>
        <v>6606.2699456091486</v>
      </c>
      <c r="D60" s="10">
        <f t="shared" si="23"/>
        <v>9439.0069204859046</v>
      </c>
      <c r="E60" s="10">
        <f t="shared" si="24"/>
        <v>16045.276866095053</v>
      </c>
      <c r="F60" s="10">
        <f t="shared" si="21"/>
        <v>3286070.5627820319</v>
      </c>
      <c r="G60">
        <v>51</v>
      </c>
    </row>
    <row r="61" spans="1:10" x14ac:dyDescent="0.2">
      <c r="A61" s="41">
        <v>43191</v>
      </c>
      <c r="B61" s="10">
        <f t="shared" si="22"/>
        <v>3286070.5627820319</v>
      </c>
      <c r="C61" s="10">
        <f t="shared" si="20"/>
        <v>6625.2079194532289</v>
      </c>
      <c r="D61" s="10">
        <f t="shared" si="23"/>
        <v>9420.0689466418244</v>
      </c>
      <c r="E61" s="10">
        <f t="shared" si="24"/>
        <v>16045.276866095053</v>
      </c>
      <c r="F61" s="10">
        <f t="shared" si="21"/>
        <v>3279445.3548625787</v>
      </c>
      <c r="G61">
        <v>52</v>
      </c>
    </row>
    <row r="62" spans="1:10" x14ac:dyDescent="0.2">
      <c r="A62" s="41">
        <v>43221</v>
      </c>
      <c r="B62" s="10">
        <f t="shared" si="22"/>
        <v>3279445.3548625787</v>
      </c>
      <c r="C62" s="10">
        <f t="shared" si="20"/>
        <v>6644.2001821556605</v>
      </c>
      <c r="D62" s="10">
        <f t="shared" si="23"/>
        <v>9401.0766839393928</v>
      </c>
      <c r="E62" s="10">
        <f t="shared" si="24"/>
        <v>16045.276866095053</v>
      </c>
      <c r="F62" s="10">
        <f t="shared" si="21"/>
        <v>3272801.154680423</v>
      </c>
      <c r="G62">
        <v>53</v>
      </c>
    </row>
    <row r="63" spans="1:10" x14ac:dyDescent="0.2">
      <c r="A63" s="41">
        <v>43252</v>
      </c>
      <c r="B63" s="10">
        <f t="shared" si="22"/>
        <v>3272801.154680423</v>
      </c>
      <c r="C63" s="10">
        <f t="shared" si="20"/>
        <v>6663.2468893445075</v>
      </c>
      <c r="D63" s="10">
        <f t="shared" si="23"/>
        <v>9382.0299767505458</v>
      </c>
      <c r="E63" s="10">
        <f t="shared" si="24"/>
        <v>16045.276866095053</v>
      </c>
      <c r="F63" s="10">
        <f t="shared" si="21"/>
        <v>3266137.9077910786</v>
      </c>
      <c r="G63">
        <v>54</v>
      </c>
    </row>
    <row r="64" spans="1:10" x14ac:dyDescent="0.2">
      <c r="A64" s="41">
        <v>43282</v>
      </c>
      <c r="B64" s="10">
        <f t="shared" si="22"/>
        <v>3266137.9077910786</v>
      </c>
      <c r="C64" s="10">
        <f t="shared" si="20"/>
        <v>6682.3481970939611</v>
      </c>
      <c r="D64" s="10">
        <f t="shared" si="23"/>
        <v>9362.9286690010922</v>
      </c>
      <c r="E64" s="10">
        <f t="shared" si="24"/>
        <v>16045.276866095053</v>
      </c>
      <c r="F64" s="10">
        <f t="shared" si="21"/>
        <v>3259455.5595939844</v>
      </c>
      <c r="G64">
        <v>55</v>
      </c>
    </row>
    <row r="65" spans="1:10" x14ac:dyDescent="0.2">
      <c r="A65" s="41">
        <v>43313</v>
      </c>
      <c r="B65" s="10">
        <f t="shared" si="22"/>
        <v>3259455.5595939844</v>
      </c>
      <c r="C65" s="10">
        <f t="shared" si="20"/>
        <v>6701.504261925631</v>
      </c>
      <c r="D65" s="10">
        <f t="shared" si="23"/>
        <v>9343.7726041694223</v>
      </c>
      <c r="E65" s="10">
        <f t="shared" si="24"/>
        <v>16045.276866095053</v>
      </c>
      <c r="F65" s="10">
        <f t="shared" si="21"/>
        <v>3252754.0553320586</v>
      </c>
      <c r="G65">
        <v>56</v>
      </c>
    </row>
    <row r="66" spans="1:10" x14ac:dyDescent="0.2">
      <c r="A66" s="41">
        <v>43344</v>
      </c>
      <c r="B66" s="10">
        <f t="shared" si="22"/>
        <v>3252754.0553320586</v>
      </c>
      <c r="C66" s="10">
        <f t="shared" si="20"/>
        <v>6720.7152408098191</v>
      </c>
      <c r="D66" s="10">
        <f t="shared" si="23"/>
        <v>9324.5616252852342</v>
      </c>
      <c r="E66" s="10">
        <f t="shared" si="24"/>
        <v>16045.276866095053</v>
      </c>
      <c r="F66" s="10">
        <f t="shared" si="21"/>
        <v>3246033.340091249</v>
      </c>
      <c r="G66">
        <v>57</v>
      </c>
    </row>
    <row r="67" spans="1:10" x14ac:dyDescent="0.2">
      <c r="A67" s="41">
        <v>43374</v>
      </c>
      <c r="B67" s="10">
        <f t="shared" si="22"/>
        <v>3246033.340091249</v>
      </c>
      <c r="C67" s="10">
        <f t="shared" si="20"/>
        <v>6739.9812911668068</v>
      </c>
      <c r="D67" s="10">
        <f t="shared" si="23"/>
        <v>9305.2955749282464</v>
      </c>
      <c r="E67" s="10">
        <f t="shared" si="24"/>
        <v>16045.276866095053</v>
      </c>
      <c r="F67" s="10">
        <f t="shared" si="21"/>
        <v>3239293.358800082</v>
      </c>
      <c r="G67">
        <v>58</v>
      </c>
    </row>
    <row r="68" spans="1:10" x14ac:dyDescent="0.2">
      <c r="A68" s="41">
        <v>43405</v>
      </c>
      <c r="B68" s="10">
        <f t="shared" si="22"/>
        <v>3239293.358800082</v>
      </c>
      <c r="C68" s="10">
        <f t="shared" si="20"/>
        <v>6759.3025708681507</v>
      </c>
      <c r="D68" s="10">
        <f t="shared" si="23"/>
        <v>9285.9742952269025</v>
      </c>
      <c r="E68" s="10">
        <f t="shared" si="24"/>
        <v>16045.276866095053</v>
      </c>
      <c r="F68" s="10">
        <f t="shared" si="21"/>
        <v>3232534.0562292137</v>
      </c>
      <c r="G68">
        <v>59</v>
      </c>
      <c r="I68" t="s">
        <v>29</v>
      </c>
      <c r="J68" t="s">
        <v>87</v>
      </c>
    </row>
    <row r="69" spans="1:10" ht="15" x14ac:dyDescent="0.25">
      <c r="A69" s="41">
        <v>43435</v>
      </c>
      <c r="B69" s="10">
        <f t="shared" si="22"/>
        <v>3232534.0562292137</v>
      </c>
      <c r="C69" s="10">
        <f t="shared" si="20"/>
        <v>6778.6792382379735</v>
      </c>
      <c r="D69" s="10">
        <f t="shared" si="23"/>
        <v>9266.5976278570797</v>
      </c>
      <c r="E69" s="10">
        <f t="shared" si="24"/>
        <v>16045.276866095053</v>
      </c>
      <c r="F69" s="11">
        <f t="shared" si="21"/>
        <v>3225755.3769909758</v>
      </c>
      <c r="G69">
        <v>60</v>
      </c>
      <c r="I69" s="18">
        <f>$B$2+CUMPRINC($K$2,$K$3,$B$2,G44,G69,0)</f>
        <v>3442549.2171244854</v>
      </c>
      <c r="J69" s="19">
        <f>-CUMIPMT($K$2,$K$3,$B$2,G58,G69,0)</f>
        <v>112465.92430682878</v>
      </c>
    </row>
    <row r="70" spans="1:10" x14ac:dyDescent="0.2">
      <c r="A70" s="12" t="s">
        <v>45</v>
      </c>
      <c r="B70" s="12"/>
      <c r="C70" s="11">
        <f>SUM(C58:C69)</f>
        <v>80077.39808631195</v>
      </c>
      <c r="D70" s="11">
        <f>SUM(D58:D69)</f>
        <v>112465.92430682869</v>
      </c>
      <c r="E70" s="10"/>
      <c r="F70" s="10"/>
    </row>
    <row r="72" spans="1:10" x14ac:dyDescent="0.2">
      <c r="A72" s="41">
        <v>43466</v>
      </c>
      <c r="B72" s="10">
        <f>+F69</f>
        <v>3225755.3769909758</v>
      </c>
      <c r="C72" s="10">
        <f t="shared" ref="C72:C83" si="25">+E72-D72</f>
        <v>6798.111452054256</v>
      </c>
      <c r="D72" s="10">
        <f>+B72*$K$2</f>
        <v>9247.1654140407973</v>
      </c>
      <c r="E72" s="10">
        <f>-$K$5</f>
        <v>16045.276866095053</v>
      </c>
      <c r="F72" s="10">
        <f t="shared" ref="F72:F83" si="26">+B72-C72</f>
        <v>3218957.2655389216</v>
      </c>
      <c r="G72">
        <v>61</v>
      </c>
    </row>
    <row r="73" spans="1:10" x14ac:dyDescent="0.2">
      <c r="A73" s="41">
        <v>43497</v>
      </c>
      <c r="B73" s="10">
        <f t="shared" ref="B73:B83" si="27">+F72</f>
        <v>3218957.2655389216</v>
      </c>
      <c r="C73" s="10">
        <f t="shared" si="25"/>
        <v>6817.5993715501445</v>
      </c>
      <c r="D73" s="10">
        <f t="shared" ref="D73:D83" si="28">+B73*$K$2</f>
        <v>9227.6774945449088</v>
      </c>
      <c r="E73" s="10">
        <f t="shared" ref="E73:E83" si="29">-$K$5</f>
        <v>16045.276866095053</v>
      </c>
      <c r="F73" s="10">
        <f t="shared" si="26"/>
        <v>3212139.6661673714</v>
      </c>
      <c r="G73">
        <v>62</v>
      </c>
    </row>
    <row r="74" spans="1:10" x14ac:dyDescent="0.2">
      <c r="A74" s="41">
        <v>43525</v>
      </c>
      <c r="B74" s="10">
        <f t="shared" si="27"/>
        <v>3212139.6661673714</v>
      </c>
      <c r="C74" s="10">
        <f t="shared" si="25"/>
        <v>6837.1431564152554</v>
      </c>
      <c r="D74" s="10">
        <f t="shared" si="28"/>
        <v>9208.1337096797979</v>
      </c>
      <c r="E74" s="10">
        <f t="shared" si="29"/>
        <v>16045.276866095053</v>
      </c>
      <c r="F74" s="10">
        <f t="shared" si="26"/>
        <v>3205302.5230109561</v>
      </c>
      <c r="G74">
        <v>63</v>
      </c>
    </row>
    <row r="75" spans="1:10" x14ac:dyDescent="0.2">
      <c r="A75" s="41">
        <v>43556</v>
      </c>
      <c r="B75" s="10">
        <f t="shared" si="27"/>
        <v>3205302.5230109561</v>
      </c>
      <c r="C75" s="10">
        <f t="shared" si="25"/>
        <v>6856.7429667969791</v>
      </c>
      <c r="D75" s="10">
        <f t="shared" si="28"/>
        <v>9188.5338992980742</v>
      </c>
      <c r="E75" s="10">
        <f t="shared" si="29"/>
        <v>16045.276866095053</v>
      </c>
      <c r="F75" s="10">
        <f t="shared" si="26"/>
        <v>3198445.7800441589</v>
      </c>
      <c r="G75">
        <v>64</v>
      </c>
    </row>
    <row r="76" spans="1:10" x14ac:dyDescent="0.2">
      <c r="A76" s="41">
        <v>43586</v>
      </c>
      <c r="B76" s="10">
        <f t="shared" si="27"/>
        <v>3198445.7800441589</v>
      </c>
      <c r="C76" s="10">
        <f t="shared" si="25"/>
        <v>6876.3989633017973</v>
      </c>
      <c r="D76" s="10">
        <f t="shared" si="28"/>
        <v>9168.877902793256</v>
      </c>
      <c r="E76" s="10">
        <f t="shared" si="29"/>
        <v>16045.276866095053</v>
      </c>
      <c r="F76" s="10">
        <f t="shared" si="26"/>
        <v>3191569.381080857</v>
      </c>
      <c r="G76">
        <v>65</v>
      </c>
    </row>
    <row r="77" spans="1:10" x14ac:dyDescent="0.2">
      <c r="A77" s="41">
        <v>43617</v>
      </c>
      <c r="B77" s="10">
        <f t="shared" si="27"/>
        <v>3191569.381080857</v>
      </c>
      <c r="C77" s="10">
        <f t="shared" si="25"/>
        <v>6896.1113069965959</v>
      </c>
      <c r="D77" s="10">
        <f t="shared" si="28"/>
        <v>9149.1655590984574</v>
      </c>
      <c r="E77" s="10">
        <f t="shared" si="29"/>
        <v>16045.276866095053</v>
      </c>
      <c r="F77" s="10">
        <f t="shared" si="26"/>
        <v>3184673.2697738605</v>
      </c>
      <c r="G77">
        <v>66</v>
      </c>
    </row>
    <row r="78" spans="1:10" x14ac:dyDescent="0.2">
      <c r="A78" s="41">
        <v>43647</v>
      </c>
      <c r="B78" s="10">
        <f t="shared" si="27"/>
        <v>3184673.2697738605</v>
      </c>
      <c r="C78" s="10">
        <f t="shared" si="25"/>
        <v>6915.8801594099859</v>
      </c>
      <c r="D78" s="10">
        <f t="shared" si="28"/>
        <v>9129.3967066850673</v>
      </c>
      <c r="E78" s="10">
        <f t="shared" si="29"/>
        <v>16045.276866095053</v>
      </c>
      <c r="F78" s="10">
        <f t="shared" si="26"/>
        <v>3177757.3896144503</v>
      </c>
      <c r="G78">
        <v>67</v>
      </c>
    </row>
    <row r="79" spans="1:10" x14ac:dyDescent="0.2">
      <c r="A79" s="41">
        <v>43678</v>
      </c>
      <c r="B79" s="10">
        <f t="shared" si="27"/>
        <v>3177757.3896144503</v>
      </c>
      <c r="C79" s="10">
        <f t="shared" si="25"/>
        <v>6935.7056825336294</v>
      </c>
      <c r="D79" s="10">
        <f t="shared" si="28"/>
        <v>9109.5711835614238</v>
      </c>
      <c r="E79" s="10">
        <f t="shared" si="29"/>
        <v>16045.276866095053</v>
      </c>
      <c r="F79" s="10">
        <f t="shared" si="26"/>
        <v>3170821.6839319165</v>
      </c>
      <c r="G79">
        <v>68</v>
      </c>
    </row>
    <row r="80" spans="1:10" x14ac:dyDescent="0.2">
      <c r="A80" s="41">
        <v>43709</v>
      </c>
      <c r="B80" s="10">
        <f t="shared" si="27"/>
        <v>3170821.6839319165</v>
      </c>
      <c r="C80" s="10">
        <f t="shared" si="25"/>
        <v>6955.5880388235601</v>
      </c>
      <c r="D80" s="10">
        <f t="shared" si="28"/>
        <v>9089.6888272714932</v>
      </c>
      <c r="E80" s="10">
        <f t="shared" si="29"/>
        <v>16045.276866095053</v>
      </c>
      <c r="F80" s="10">
        <f t="shared" si="26"/>
        <v>3163866.0958930929</v>
      </c>
      <c r="G80">
        <v>69</v>
      </c>
    </row>
    <row r="81" spans="1:10" x14ac:dyDescent="0.2">
      <c r="A81" s="41">
        <v>43739</v>
      </c>
      <c r="B81" s="10">
        <f t="shared" si="27"/>
        <v>3163866.0958930929</v>
      </c>
      <c r="C81" s="10">
        <f t="shared" si="25"/>
        <v>6975.52739120152</v>
      </c>
      <c r="D81" s="10">
        <f t="shared" si="28"/>
        <v>9069.7494748935333</v>
      </c>
      <c r="E81" s="10">
        <f t="shared" si="29"/>
        <v>16045.276866095053</v>
      </c>
      <c r="F81" s="10">
        <f t="shared" si="26"/>
        <v>3156890.5685018916</v>
      </c>
      <c r="G81">
        <v>70</v>
      </c>
    </row>
    <row r="82" spans="1:10" x14ac:dyDescent="0.2">
      <c r="A82" s="41">
        <v>43770</v>
      </c>
      <c r="B82" s="10">
        <f t="shared" si="27"/>
        <v>3156890.5685018916</v>
      </c>
      <c r="C82" s="10">
        <f t="shared" si="25"/>
        <v>6995.5239030562971</v>
      </c>
      <c r="D82" s="10">
        <f t="shared" si="28"/>
        <v>9049.7529630387562</v>
      </c>
      <c r="E82" s="10">
        <f t="shared" si="29"/>
        <v>16045.276866095053</v>
      </c>
      <c r="F82" s="10">
        <f t="shared" si="26"/>
        <v>3149895.0445988351</v>
      </c>
      <c r="G82">
        <v>71</v>
      </c>
      <c r="I82" t="s">
        <v>29</v>
      </c>
      <c r="J82" t="s">
        <v>87</v>
      </c>
    </row>
    <row r="83" spans="1:10" ht="15" x14ac:dyDescent="0.25">
      <c r="A83" s="41">
        <v>43800</v>
      </c>
      <c r="B83" s="10">
        <f t="shared" si="27"/>
        <v>3149895.0445988351</v>
      </c>
      <c r="C83" s="10">
        <f t="shared" si="25"/>
        <v>7015.5777382450597</v>
      </c>
      <c r="D83" s="10">
        <f t="shared" si="28"/>
        <v>9029.6991278499936</v>
      </c>
      <c r="E83" s="10">
        <f t="shared" si="29"/>
        <v>16045.276866095053</v>
      </c>
      <c r="F83" s="11">
        <f t="shared" si="26"/>
        <v>3142879.46686059</v>
      </c>
      <c r="G83">
        <v>72</v>
      </c>
      <c r="I83" s="18">
        <f>$B$2+CUMPRINC($K$2,$K$3,$B$2,G58,G83,0)</f>
        <v>3437046.6917833029</v>
      </c>
      <c r="J83" s="19">
        <f>-CUMIPMT($K$2,$K$3,$B$2,G72,G83,0)</f>
        <v>109667.41226275565</v>
      </c>
    </row>
    <row r="84" spans="1:10" x14ac:dyDescent="0.2">
      <c r="A84" s="12" t="s">
        <v>45</v>
      </c>
      <c r="B84" s="12"/>
      <c r="C84" s="11">
        <f>SUM(C72:C83)</f>
        <v>82875.910130385077</v>
      </c>
      <c r="D84" s="11">
        <f>SUM(D72:D83)</f>
        <v>109667.41226275556</v>
      </c>
      <c r="E84" s="10"/>
      <c r="F84" s="10"/>
    </row>
    <row r="86" spans="1:10" x14ac:dyDescent="0.2">
      <c r="A86" s="41">
        <v>43831</v>
      </c>
      <c r="B86" s="10">
        <f>+F83</f>
        <v>3142879.46686059</v>
      </c>
      <c r="C86" s="10">
        <f t="shared" ref="C86:C97" si="30">+E86-D86</f>
        <v>7035.6890610946957</v>
      </c>
      <c r="D86" s="10">
        <f>+B86*$K$2</f>
        <v>9009.5878050003575</v>
      </c>
      <c r="E86" s="10">
        <f>-$K$5</f>
        <v>16045.276866095053</v>
      </c>
      <c r="F86" s="10">
        <f t="shared" ref="F86:F97" si="31">+B86-C86</f>
        <v>3135843.7777994955</v>
      </c>
      <c r="G86">
        <v>73</v>
      </c>
    </row>
    <row r="87" spans="1:10" x14ac:dyDescent="0.2">
      <c r="A87" s="41">
        <v>43862</v>
      </c>
      <c r="B87" s="10">
        <f t="shared" ref="B87:B97" si="32">+F86</f>
        <v>3135843.7777994955</v>
      </c>
      <c r="C87" s="10">
        <f t="shared" si="30"/>
        <v>7055.8580364031659</v>
      </c>
      <c r="D87" s="10">
        <f t="shared" ref="D87:D97" si="33">+B87*$K$2</f>
        <v>8989.4188296918874</v>
      </c>
      <c r="E87" s="10">
        <f t="shared" ref="E87:E97" si="34">-$K$5</f>
        <v>16045.276866095053</v>
      </c>
      <c r="F87" s="10">
        <f t="shared" si="31"/>
        <v>3128787.9197630924</v>
      </c>
      <c r="G87">
        <v>74</v>
      </c>
    </row>
    <row r="88" spans="1:10" x14ac:dyDescent="0.2">
      <c r="A88" s="41">
        <v>43891</v>
      </c>
      <c r="B88" s="10">
        <f t="shared" si="32"/>
        <v>3128787.9197630924</v>
      </c>
      <c r="C88" s="10">
        <f t="shared" si="30"/>
        <v>7076.0848294408552</v>
      </c>
      <c r="D88" s="10">
        <f t="shared" si="33"/>
        <v>8969.1920366541981</v>
      </c>
      <c r="E88" s="10">
        <f t="shared" si="34"/>
        <v>16045.276866095053</v>
      </c>
      <c r="F88" s="10">
        <f t="shared" si="31"/>
        <v>3121711.8349336516</v>
      </c>
      <c r="G88">
        <v>75</v>
      </c>
    </row>
    <row r="89" spans="1:10" x14ac:dyDescent="0.2">
      <c r="A89" s="41">
        <v>43922</v>
      </c>
      <c r="B89" s="10">
        <f t="shared" si="32"/>
        <v>3121711.8349336516</v>
      </c>
      <c r="C89" s="10">
        <f t="shared" si="30"/>
        <v>7096.3696059519189</v>
      </c>
      <c r="D89" s="10">
        <f t="shared" si="33"/>
        <v>8948.9072601431344</v>
      </c>
      <c r="E89" s="10">
        <f t="shared" si="34"/>
        <v>16045.276866095053</v>
      </c>
      <c r="F89" s="10">
        <f t="shared" si="31"/>
        <v>3114615.4653276997</v>
      </c>
      <c r="G89">
        <v>76</v>
      </c>
    </row>
    <row r="90" spans="1:10" x14ac:dyDescent="0.2">
      <c r="A90" s="41">
        <v>43952</v>
      </c>
      <c r="B90" s="10">
        <f t="shared" si="32"/>
        <v>3114615.4653276997</v>
      </c>
      <c r="C90" s="10">
        <f t="shared" si="30"/>
        <v>7116.7125321556468</v>
      </c>
      <c r="D90" s="10">
        <f t="shared" si="33"/>
        <v>8928.5643339394064</v>
      </c>
      <c r="E90" s="10">
        <f t="shared" si="34"/>
        <v>16045.276866095053</v>
      </c>
      <c r="F90" s="10">
        <f t="shared" si="31"/>
        <v>3107498.752795544</v>
      </c>
      <c r="G90">
        <v>77</v>
      </c>
    </row>
    <row r="91" spans="1:10" x14ac:dyDescent="0.2">
      <c r="A91" s="41">
        <v>43983</v>
      </c>
      <c r="B91" s="10">
        <f t="shared" si="32"/>
        <v>3107498.752795544</v>
      </c>
      <c r="C91" s="10">
        <f t="shared" si="30"/>
        <v>7137.1137747478278</v>
      </c>
      <c r="D91" s="10">
        <f t="shared" si="33"/>
        <v>8908.1630913472254</v>
      </c>
      <c r="E91" s="10">
        <f t="shared" si="34"/>
        <v>16045.276866095053</v>
      </c>
      <c r="F91" s="10">
        <f t="shared" si="31"/>
        <v>3100361.6390207959</v>
      </c>
      <c r="G91">
        <v>78</v>
      </c>
    </row>
    <row r="92" spans="1:10" x14ac:dyDescent="0.2">
      <c r="A92" s="41">
        <v>44013</v>
      </c>
      <c r="B92" s="10">
        <f t="shared" si="32"/>
        <v>3100361.6390207959</v>
      </c>
      <c r="C92" s="10">
        <f t="shared" si="30"/>
        <v>7157.5735009021046</v>
      </c>
      <c r="D92" s="10">
        <f t="shared" si="33"/>
        <v>8887.7033651929487</v>
      </c>
      <c r="E92" s="10">
        <f t="shared" si="34"/>
        <v>16045.276866095053</v>
      </c>
      <c r="F92" s="10">
        <f t="shared" si="31"/>
        <v>3093204.065519894</v>
      </c>
      <c r="G92">
        <v>79</v>
      </c>
    </row>
    <row r="93" spans="1:10" x14ac:dyDescent="0.2">
      <c r="A93" s="41">
        <v>44044</v>
      </c>
      <c r="B93" s="10">
        <f t="shared" si="32"/>
        <v>3093204.065519894</v>
      </c>
      <c r="C93" s="10">
        <f t="shared" si="30"/>
        <v>7178.0918782713579</v>
      </c>
      <c r="D93" s="10">
        <f t="shared" si="33"/>
        <v>8867.1849878236953</v>
      </c>
      <c r="E93" s="10">
        <f t="shared" si="34"/>
        <v>16045.276866095053</v>
      </c>
      <c r="F93" s="10">
        <f t="shared" si="31"/>
        <v>3086025.9736416228</v>
      </c>
      <c r="G93">
        <v>80</v>
      </c>
    </row>
    <row r="94" spans="1:10" x14ac:dyDescent="0.2">
      <c r="A94" s="41">
        <v>44075</v>
      </c>
      <c r="B94" s="10">
        <f t="shared" si="32"/>
        <v>3086025.9736416228</v>
      </c>
      <c r="C94" s="10">
        <f t="shared" si="30"/>
        <v>7198.6690749890677</v>
      </c>
      <c r="D94" s="10">
        <f t="shared" si="33"/>
        <v>8846.6077911059856</v>
      </c>
      <c r="E94" s="10">
        <f t="shared" si="34"/>
        <v>16045.276866095053</v>
      </c>
      <c r="F94" s="10">
        <f t="shared" si="31"/>
        <v>3078827.3045666339</v>
      </c>
      <c r="G94">
        <v>81</v>
      </c>
    </row>
    <row r="95" spans="1:10" x14ac:dyDescent="0.2">
      <c r="A95" s="41">
        <v>44105</v>
      </c>
      <c r="B95" s="10">
        <f t="shared" si="32"/>
        <v>3078827.3045666339</v>
      </c>
      <c r="C95" s="10">
        <f t="shared" si="30"/>
        <v>7219.3052596707021</v>
      </c>
      <c r="D95" s="10">
        <f t="shared" si="33"/>
        <v>8825.9716064243512</v>
      </c>
      <c r="E95" s="10">
        <f t="shared" si="34"/>
        <v>16045.276866095053</v>
      </c>
      <c r="F95" s="10">
        <f t="shared" si="31"/>
        <v>3071607.9993069633</v>
      </c>
      <c r="G95">
        <v>82</v>
      </c>
    </row>
    <row r="96" spans="1:10" x14ac:dyDescent="0.2">
      <c r="A96" s="41">
        <v>44136</v>
      </c>
      <c r="B96" s="10">
        <f t="shared" si="32"/>
        <v>3071607.9993069633</v>
      </c>
      <c r="C96" s="10">
        <f t="shared" si="30"/>
        <v>7240.0006014150913</v>
      </c>
      <c r="D96" s="10">
        <f t="shared" si="33"/>
        <v>8805.276264679962</v>
      </c>
      <c r="E96" s="10">
        <f t="shared" si="34"/>
        <v>16045.276866095053</v>
      </c>
      <c r="F96" s="10">
        <f t="shared" si="31"/>
        <v>3064367.9987055482</v>
      </c>
      <c r="G96">
        <v>83</v>
      </c>
      <c r="I96" t="s">
        <v>29</v>
      </c>
      <c r="J96" t="s">
        <v>87</v>
      </c>
    </row>
    <row r="97" spans="1:10" ht="15" x14ac:dyDescent="0.25">
      <c r="A97" s="41">
        <v>44166</v>
      </c>
      <c r="B97" s="10">
        <f t="shared" si="32"/>
        <v>3064367.9987055482</v>
      </c>
      <c r="C97" s="10">
        <f t="shared" si="30"/>
        <v>7260.7552698058153</v>
      </c>
      <c r="D97" s="10">
        <f t="shared" si="33"/>
        <v>8784.521596289238</v>
      </c>
      <c r="E97" s="10">
        <f t="shared" si="34"/>
        <v>16045.276866095053</v>
      </c>
      <c r="F97" s="11">
        <f t="shared" si="31"/>
        <v>3057107.2434357423</v>
      </c>
      <c r="G97">
        <v>84</v>
      </c>
      <c r="I97" s="18">
        <f>$B$2+CUMPRINC($K$2,$K$3,$B$2,G72,G97,0)</f>
        <v>3431351.866444767</v>
      </c>
      <c r="J97" s="19">
        <f>-CUMIPMT($K$2,$K$3,$B$2,G86,G97,0)</f>
        <v>106771.0989682925</v>
      </c>
    </row>
    <row r="98" spans="1:10" x14ac:dyDescent="0.2">
      <c r="A98" s="12" t="s">
        <v>45</v>
      </c>
      <c r="B98" s="12"/>
      <c r="C98" s="11">
        <f>SUM(C86:C97)</f>
        <v>85772.223424848242</v>
      </c>
      <c r="D98" s="11">
        <f>SUM(D86:D97)</f>
        <v>106771.0989682924</v>
      </c>
      <c r="E98" s="10"/>
      <c r="F98" s="10"/>
    </row>
    <row r="100" spans="1:10" x14ac:dyDescent="0.2">
      <c r="A100" s="41">
        <v>44197</v>
      </c>
      <c r="B100" s="10">
        <f>+F97</f>
        <v>3057107.2434357423</v>
      </c>
      <c r="C100" s="10">
        <f t="shared" ref="C100:C111" si="35">+E100-D100</f>
        <v>7281.5694349125915</v>
      </c>
      <c r="D100" s="10">
        <f>+B100*$K$2</f>
        <v>8763.7074311824617</v>
      </c>
      <c r="E100" s="10">
        <f>-$K$5</f>
        <v>16045.276866095053</v>
      </c>
      <c r="F100" s="10">
        <f t="shared" ref="F100:F111" si="36">+B100-C100</f>
        <v>3049825.6740008299</v>
      </c>
      <c r="G100">
        <v>85</v>
      </c>
    </row>
    <row r="101" spans="1:10" x14ac:dyDescent="0.2">
      <c r="A101" s="41">
        <v>44228</v>
      </c>
      <c r="B101" s="10">
        <f t="shared" ref="B101:B111" si="37">+F100</f>
        <v>3049825.6740008299</v>
      </c>
      <c r="C101" s="10">
        <f t="shared" si="35"/>
        <v>7302.4432672926741</v>
      </c>
      <c r="D101" s="10">
        <f t="shared" ref="D101:D111" si="38">+B101*$K$2</f>
        <v>8742.8335988023791</v>
      </c>
      <c r="E101" s="10">
        <f t="shared" ref="E101:E111" si="39">-$K$5</f>
        <v>16045.276866095053</v>
      </c>
      <c r="F101" s="10">
        <f t="shared" si="36"/>
        <v>3042523.2307335371</v>
      </c>
      <c r="G101">
        <v>86</v>
      </c>
    </row>
    <row r="102" spans="1:10" x14ac:dyDescent="0.2">
      <c r="A102" s="41">
        <v>44256</v>
      </c>
      <c r="B102" s="10">
        <f t="shared" si="37"/>
        <v>3042523.2307335371</v>
      </c>
      <c r="C102" s="10">
        <f t="shared" si="35"/>
        <v>7323.3769379922469</v>
      </c>
      <c r="D102" s="10">
        <f t="shared" si="38"/>
        <v>8721.8999281028064</v>
      </c>
      <c r="E102" s="10">
        <f t="shared" si="39"/>
        <v>16045.276866095053</v>
      </c>
      <c r="F102" s="10">
        <f t="shared" si="36"/>
        <v>3035199.8537955447</v>
      </c>
      <c r="G102">
        <v>87</v>
      </c>
    </row>
    <row r="103" spans="1:10" x14ac:dyDescent="0.2">
      <c r="A103" s="41">
        <v>44287</v>
      </c>
      <c r="B103" s="10">
        <f t="shared" si="37"/>
        <v>3035199.8537955447</v>
      </c>
      <c r="C103" s="10">
        <f t="shared" si="35"/>
        <v>7344.3706185478259</v>
      </c>
      <c r="D103" s="10">
        <f t="shared" si="38"/>
        <v>8700.9062475472274</v>
      </c>
      <c r="E103" s="10">
        <f t="shared" si="39"/>
        <v>16045.276866095053</v>
      </c>
      <c r="F103" s="10">
        <f t="shared" si="36"/>
        <v>3027855.4831769969</v>
      </c>
      <c r="G103">
        <v>88</v>
      </c>
    </row>
    <row r="104" spans="1:10" x14ac:dyDescent="0.2">
      <c r="A104" s="41">
        <v>44317</v>
      </c>
      <c r="B104" s="10">
        <f t="shared" si="37"/>
        <v>3027855.4831769969</v>
      </c>
      <c r="C104" s="10">
        <f t="shared" si="35"/>
        <v>7365.4244809876618</v>
      </c>
      <c r="D104" s="10">
        <f t="shared" si="38"/>
        <v>8679.8523851073915</v>
      </c>
      <c r="E104" s="10">
        <f t="shared" si="39"/>
        <v>16045.276866095053</v>
      </c>
      <c r="F104" s="10">
        <f t="shared" si="36"/>
        <v>3020490.0586960092</v>
      </c>
      <c r="G104">
        <v>89</v>
      </c>
    </row>
    <row r="105" spans="1:10" x14ac:dyDescent="0.2">
      <c r="A105" s="41">
        <v>44348</v>
      </c>
      <c r="B105" s="10">
        <f t="shared" si="37"/>
        <v>3020490.0586960092</v>
      </c>
      <c r="C105" s="10">
        <f t="shared" si="35"/>
        <v>7386.5386978331608</v>
      </c>
      <c r="D105" s="10">
        <f t="shared" si="38"/>
        <v>8658.7381682618925</v>
      </c>
      <c r="E105" s="10">
        <f t="shared" si="39"/>
        <v>16045.276866095053</v>
      </c>
      <c r="F105" s="10">
        <f t="shared" si="36"/>
        <v>3013103.519998176</v>
      </c>
      <c r="G105">
        <v>90</v>
      </c>
    </row>
    <row r="106" spans="1:10" x14ac:dyDescent="0.2">
      <c r="A106" s="41">
        <v>44378</v>
      </c>
      <c r="B106" s="10">
        <f t="shared" si="37"/>
        <v>3013103.519998176</v>
      </c>
      <c r="C106" s="10">
        <f t="shared" si="35"/>
        <v>7407.7134421002811</v>
      </c>
      <c r="D106" s="10">
        <f t="shared" si="38"/>
        <v>8637.5634239947722</v>
      </c>
      <c r="E106" s="10">
        <f t="shared" si="39"/>
        <v>16045.276866095053</v>
      </c>
      <c r="F106" s="10">
        <f t="shared" si="36"/>
        <v>3005695.8065560758</v>
      </c>
      <c r="G106">
        <v>91</v>
      </c>
    </row>
    <row r="107" spans="1:10" x14ac:dyDescent="0.2">
      <c r="A107" s="41">
        <v>44409</v>
      </c>
      <c r="B107" s="10">
        <f t="shared" si="37"/>
        <v>3005695.8065560758</v>
      </c>
      <c r="C107" s="10">
        <f t="shared" si="35"/>
        <v>7428.9488873009686</v>
      </c>
      <c r="D107" s="10">
        <f t="shared" si="38"/>
        <v>8616.3279787940846</v>
      </c>
      <c r="E107" s="10">
        <f t="shared" si="39"/>
        <v>16045.276866095053</v>
      </c>
      <c r="F107" s="10">
        <f t="shared" si="36"/>
        <v>2998266.8576687747</v>
      </c>
      <c r="G107">
        <v>92</v>
      </c>
    </row>
    <row r="108" spans="1:10" x14ac:dyDescent="0.2">
      <c r="A108" s="41">
        <v>44440</v>
      </c>
      <c r="B108" s="10">
        <f t="shared" si="37"/>
        <v>2998266.8576687747</v>
      </c>
      <c r="C108" s="10">
        <f t="shared" si="35"/>
        <v>7450.2452074445664</v>
      </c>
      <c r="D108" s="10">
        <f t="shared" si="38"/>
        <v>8595.0316586504869</v>
      </c>
      <c r="E108" s="10">
        <f t="shared" si="39"/>
        <v>16045.276866095053</v>
      </c>
      <c r="F108" s="10">
        <f t="shared" si="36"/>
        <v>2990816.6124613299</v>
      </c>
      <c r="G108">
        <v>93</v>
      </c>
    </row>
    <row r="109" spans="1:10" x14ac:dyDescent="0.2">
      <c r="A109" s="41">
        <v>44470</v>
      </c>
      <c r="B109" s="10">
        <f t="shared" si="37"/>
        <v>2990816.6124613299</v>
      </c>
      <c r="C109" s="10">
        <f t="shared" si="35"/>
        <v>7471.6025770392407</v>
      </c>
      <c r="D109" s="10">
        <f t="shared" si="38"/>
        <v>8573.6742890558126</v>
      </c>
      <c r="E109" s="10">
        <f t="shared" si="39"/>
        <v>16045.276866095053</v>
      </c>
      <c r="F109" s="10">
        <f t="shared" si="36"/>
        <v>2983345.0098842909</v>
      </c>
      <c r="G109">
        <v>94</v>
      </c>
    </row>
    <row r="110" spans="1:10" x14ac:dyDescent="0.2">
      <c r="A110" s="41">
        <v>44501</v>
      </c>
      <c r="B110" s="10">
        <f t="shared" si="37"/>
        <v>2983345.0098842909</v>
      </c>
      <c r="C110" s="10">
        <f t="shared" si="35"/>
        <v>7493.02117109342</v>
      </c>
      <c r="D110" s="10">
        <f t="shared" si="38"/>
        <v>8552.2556950016333</v>
      </c>
      <c r="E110" s="10">
        <f t="shared" si="39"/>
        <v>16045.276866095053</v>
      </c>
      <c r="F110" s="10">
        <f t="shared" si="36"/>
        <v>2975851.9887131974</v>
      </c>
      <c r="G110">
        <v>95</v>
      </c>
      <c r="I110" t="s">
        <v>29</v>
      </c>
      <c r="J110" t="s">
        <v>87</v>
      </c>
    </row>
    <row r="111" spans="1:10" ht="15" x14ac:dyDescent="0.25">
      <c r="A111" s="41">
        <v>44531</v>
      </c>
      <c r="B111" s="10">
        <f t="shared" si="37"/>
        <v>2975851.9887131974</v>
      </c>
      <c r="C111" s="10">
        <f t="shared" si="35"/>
        <v>7514.5011651172208</v>
      </c>
      <c r="D111" s="10">
        <f t="shared" si="38"/>
        <v>8530.7757009778325</v>
      </c>
      <c r="E111" s="10">
        <f t="shared" si="39"/>
        <v>16045.276866095053</v>
      </c>
      <c r="F111" s="11">
        <f t="shared" si="36"/>
        <v>2968337.4875480803</v>
      </c>
      <c r="G111">
        <v>96</v>
      </c>
      <c r="I111" s="18">
        <f>$B$2+CUMPRINC($K$2,$K$3,$B$2,G86,G111,0)</f>
        <v>3425458.0206874902</v>
      </c>
      <c r="J111" s="19">
        <f>-CUMIPMT($K$2,$K$3,$B$2,G100,G111,0)</f>
        <v>103773.56650547887</v>
      </c>
    </row>
    <row r="112" spans="1:10" x14ac:dyDescent="0.2">
      <c r="A112" s="12" t="s">
        <v>45</v>
      </c>
      <c r="B112" s="12"/>
      <c r="C112" s="11">
        <f>SUM(C100:C111)</f>
        <v>88769.755887661857</v>
      </c>
      <c r="D112" s="11">
        <f>SUM(D100:D111)</f>
        <v>103773.56650547877</v>
      </c>
      <c r="E112" s="10"/>
      <c r="F112" s="10"/>
    </row>
    <row r="114" spans="1:10" x14ac:dyDescent="0.2">
      <c r="A114" s="41">
        <v>44562</v>
      </c>
      <c r="B114" s="10">
        <f>+F111</f>
        <v>2968337.4875480803</v>
      </c>
      <c r="C114" s="10">
        <f t="shared" ref="C114:C125" si="40">+E114-D114</f>
        <v>7536.0427351238905</v>
      </c>
      <c r="D114" s="10">
        <f>+B114*$K$2</f>
        <v>8509.2341309711628</v>
      </c>
      <c r="E114" s="10">
        <f>-$K$5</f>
        <v>16045.276866095053</v>
      </c>
      <c r="F114" s="10">
        <f t="shared" ref="F114:F125" si="41">+B114-C114</f>
        <v>2960801.4448129563</v>
      </c>
      <c r="G114">
        <v>97</v>
      </c>
    </row>
    <row r="115" spans="1:10" x14ac:dyDescent="0.2">
      <c r="A115" s="41">
        <v>44593</v>
      </c>
      <c r="B115" s="10">
        <f t="shared" ref="B115:B125" si="42">+F114</f>
        <v>2960801.4448129563</v>
      </c>
      <c r="C115" s="10">
        <f t="shared" si="40"/>
        <v>7557.6460576312456</v>
      </c>
      <c r="D115" s="10">
        <f t="shared" ref="D115:D125" si="43">+B115*$K$2</f>
        <v>8487.6308084638076</v>
      </c>
      <c r="E115" s="10">
        <f t="shared" ref="E115:E125" si="44">-$K$5</f>
        <v>16045.276866095053</v>
      </c>
      <c r="F115" s="10">
        <f t="shared" si="41"/>
        <v>2953243.7987553249</v>
      </c>
      <c r="G115">
        <v>98</v>
      </c>
    </row>
    <row r="116" spans="1:10" x14ac:dyDescent="0.2">
      <c r="A116" s="41">
        <v>44621</v>
      </c>
      <c r="B116" s="10">
        <f t="shared" si="42"/>
        <v>2953243.7987553249</v>
      </c>
      <c r="C116" s="10">
        <f t="shared" si="40"/>
        <v>7579.3113096631223</v>
      </c>
      <c r="D116" s="10">
        <f t="shared" si="43"/>
        <v>8465.965556431931</v>
      </c>
      <c r="E116" s="10">
        <f t="shared" si="44"/>
        <v>16045.276866095053</v>
      </c>
      <c r="F116" s="10">
        <f t="shared" si="41"/>
        <v>2945664.4874456618</v>
      </c>
      <c r="G116">
        <v>99</v>
      </c>
    </row>
    <row r="117" spans="1:10" x14ac:dyDescent="0.2">
      <c r="A117" s="41">
        <v>44652</v>
      </c>
      <c r="B117" s="10">
        <f t="shared" si="42"/>
        <v>2945664.4874456618</v>
      </c>
      <c r="C117" s="10">
        <f t="shared" si="40"/>
        <v>7601.0386687508235</v>
      </c>
      <c r="D117" s="10">
        <f t="shared" si="43"/>
        <v>8444.2381973442298</v>
      </c>
      <c r="E117" s="10">
        <f t="shared" si="44"/>
        <v>16045.276866095053</v>
      </c>
      <c r="F117" s="10">
        <f t="shared" si="41"/>
        <v>2938063.448776911</v>
      </c>
      <c r="G117">
        <v>100</v>
      </c>
    </row>
    <row r="118" spans="1:10" x14ac:dyDescent="0.2">
      <c r="A118" s="41">
        <v>44682</v>
      </c>
      <c r="B118" s="10">
        <f t="shared" si="42"/>
        <v>2938063.448776911</v>
      </c>
      <c r="C118" s="10">
        <f t="shared" si="40"/>
        <v>7622.8283129345746</v>
      </c>
      <c r="D118" s="10">
        <f t="shared" si="43"/>
        <v>8422.4485531604787</v>
      </c>
      <c r="E118" s="10">
        <f t="shared" si="44"/>
        <v>16045.276866095053</v>
      </c>
      <c r="F118" s="10">
        <f t="shared" si="41"/>
        <v>2930440.6204639766</v>
      </c>
      <c r="G118">
        <v>101</v>
      </c>
    </row>
    <row r="119" spans="1:10" x14ac:dyDescent="0.2">
      <c r="A119" s="41">
        <v>44713</v>
      </c>
      <c r="B119" s="10">
        <f t="shared" si="42"/>
        <v>2930440.6204639766</v>
      </c>
      <c r="C119" s="10">
        <f t="shared" si="40"/>
        <v>7644.6804207649875</v>
      </c>
      <c r="D119" s="10">
        <f t="shared" si="43"/>
        <v>8400.5964453300658</v>
      </c>
      <c r="E119" s="10">
        <f t="shared" si="44"/>
        <v>16045.276866095053</v>
      </c>
      <c r="F119" s="10">
        <f t="shared" si="41"/>
        <v>2922795.9400432114</v>
      </c>
      <c r="G119">
        <v>102</v>
      </c>
    </row>
    <row r="120" spans="1:10" x14ac:dyDescent="0.2">
      <c r="A120" s="41">
        <v>44743</v>
      </c>
      <c r="B120" s="10">
        <f t="shared" si="42"/>
        <v>2922795.9400432114</v>
      </c>
      <c r="C120" s="10">
        <f t="shared" si="40"/>
        <v>7666.5951713045142</v>
      </c>
      <c r="D120" s="10">
        <f t="shared" si="43"/>
        <v>8378.681694790539</v>
      </c>
      <c r="E120" s="10">
        <f t="shared" si="44"/>
        <v>16045.276866095053</v>
      </c>
      <c r="F120" s="10">
        <f t="shared" si="41"/>
        <v>2915129.344871907</v>
      </c>
      <c r="G120">
        <v>103</v>
      </c>
    </row>
    <row r="121" spans="1:10" x14ac:dyDescent="0.2">
      <c r="A121" s="41">
        <v>44774</v>
      </c>
      <c r="B121" s="10">
        <f t="shared" si="42"/>
        <v>2915129.344871907</v>
      </c>
      <c r="C121" s="10">
        <f t="shared" si="40"/>
        <v>7688.57274412892</v>
      </c>
      <c r="D121" s="10">
        <f t="shared" si="43"/>
        <v>8356.7041219661332</v>
      </c>
      <c r="E121" s="10">
        <f t="shared" si="44"/>
        <v>16045.276866095053</v>
      </c>
      <c r="F121" s="10">
        <f t="shared" si="41"/>
        <v>2907440.7721277783</v>
      </c>
      <c r="G121">
        <v>104</v>
      </c>
    </row>
    <row r="122" spans="1:10" x14ac:dyDescent="0.2">
      <c r="A122" s="41">
        <v>44805</v>
      </c>
      <c r="B122" s="10">
        <f t="shared" si="42"/>
        <v>2907440.7721277783</v>
      </c>
      <c r="C122" s="10">
        <f t="shared" si="40"/>
        <v>7710.6133193287551</v>
      </c>
      <c r="D122" s="10">
        <f t="shared" si="43"/>
        <v>8334.6635467662982</v>
      </c>
      <c r="E122" s="10">
        <f t="shared" si="44"/>
        <v>16045.276866095053</v>
      </c>
      <c r="F122" s="10">
        <f t="shared" si="41"/>
        <v>2899730.1588084493</v>
      </c>
      <c r="G122">
        <v>105</v>
      </c>
    </row>
    <row r="123" spans="1:10" x14ac:dyDescent="0.2">
      <c r="A123" s="41">
        <v>44835</v>
      </c>
      <c r="B123" s="10">
        <f t="shared" si="42"/>
        <v>2899730.1588084493</v>
      </c>
      <c r="C123" s="10">
        <f t="shared" si="40"/>
        <v>7732.7170775108316</v>
      </c>
      <c r="D123" s="10">
        <f t="shared" si="43"/>
        <v>8312.5597885842217</v>
      </c>
      <c r="E123" s="10">
        <f t="shared" si="44"/>
        <v>16045.276866095053</v>
      </c>
      <c r="F123" s="10">
        <f t="shared" si="41"/>
        <v>2891997.4417309384</v>
      </c>
      <c r="G123">
        <v>106</v>
      </c>
    </row>
    <row r="124" spans="1:10" x14ac:dyDescent="0.2">
      <c r="A124" s="41">
        <v>44866</v>
      </c>
      <c r="B124" s="10">
        <f t="shared" si="42"/>
        <v>2891997.4417309384</v>
      </c>
      <c r="C124" s="10">
        <f t="shared" si="40"/>
        <v>7754.8841997996969</v>
      </c>
      <c r="D124" s="10">
        <f t="shared" si="43"/>
        <v>8290.3926662953563</v>
      </c>
      <c r="E124" s="10">
        <f t="shared" si="44"/>
        <v>16045.276866095053</v>
      </c>
      <c r="F124" s="10">
        <f t="shared" si="41"/>
        <v>2884242.5575311389</v>
      </c>
      <c r="G124">
        <v>107</v>
      </c>
      <c r="I124" t="s">
        <v>29</v>
      </c>
      <c r="J124" t="s">
        <v>87</v>
      </c>
    </row>
    <row r="125" spans="1:10" ht="15" x14ac:dyDescent="0.25">
      <c r="A125" s="41">
        <v>44896</v>
      </c>
      <c r="B125" s="10">
        <f t="shared" si="42"/>
        <v>2884242.5575311389</v>
      </c>
      <c r="C125" s="10">
        <f t="shared" si="40"/>
        <v>7777.1148678391219</v>
      </c>
      <c r="D125" s="10">
        <f t="shared" si="43"/>
        <v>8268.1619982559314</v>
      </c>
      <c r="E125" s="10">
        <f t="shared" si="44"/>
        <v>16045.276866095053</v>
      </c>
      <c r="F125" s="11">
        <f t="shared" si="41"/>
        <v>2876465.4426632999</v>
      </c>
      <c r="G125">
        <v>108</v>
      </c>
      <c r="I125" s="18">
        <f>$B$2+CUMPRINC($K$2,$K$3,$B$2,G100,G125,0)</f>
        <v>3419358.199227558</v>
      </c>
      <c r="J125" s="19">
        <f>-CUMIPMT($K$2,$K$3,$B$2,G114,G125,0)</f>
        <v>100671.27750836026</v>
      </c>
    </row>
    <row r="126" spans="1:10" x14ac:dyDescent="0.2">
      <c r="A126" s="12" t="s">
        <v>45</v>
      </c>
      <c r="B126" s="12"/>
      <c r="C126" s="11">
        <f>SUM(C114:C125)</f>
        <v>91872.044884780466</v>
      </c>
      <c r="D126" s="11">
        <f>SUM(D114:D125)</f>
        <v>100671.27750836017</v>
      </c>
      <c r="E126" s="10"/>
      <c r="F126" s="10"/>
    </row>
    <row r="128" spans="1:10" x14ac:dyDescent="0.2">
      <c r="A128" s="41">
        <v>44927</v>
      </c>
      <c r="B128" s="10">
        <f>+F125</f>
        <v>2876465.4426632999</v>
      </c>
      <c r="C128" s="10">
        <f t="shared" ref="C128:C139" si="45">+E128-D128</f>
        <v>7799.4092637935937</v>
      </c>
      <c r="D128" s="10">
        <f>+B128*$K$2</f>
        <v>8245.8676023014596</v>
      </c>
      <c r="E128" s="10">
        <f>-$K$5</f>
        <v>16045.276866095053</v>
      </c>
      <c r="F128" s="10">
        <f t="shared" ref="F128:F139" si="46">+B128-C128</f>
        <v>2868666.0333995065</v>
      </c>
      <c r="G128">
        <v>109</v>
      </c>
    </row>
    <row r="129" spans="1:10" x14ac:dyDescent="0.2">
      <c r="A129" s="41">
        <v>44958</v>
      </c>
      <c r="B129" s="10">
        <f t="shared" ref="B129:B139" si="47">+F128</f>
        <v>2868666.0333995065</v>
      </c>
      <c r="C129" s="10">
        <f t="shared" si="45"/>
        <v>7821.7675703498007</v>
      </c>
      <c r="D129" s="10">
        <f t="shared" ref="D129:D139" si="48">+B129*$K$2</f>
        <v>8223.5092957452525</v>
      </c>
      <c r="E129" s="10">
        <f t="shared" ref="E129:E139" si="49">-$K$5</f>
        <v>16045.276866095053</v>
      </c>
      <c r="F129" s="10">
        <f t="shared" si="46"/>
        <v>2860844.2658291566</v>
      </c>
      <c r="G129">
        <v>110</v>
      </c>
    </row>
    <row r="130" spans="1:10" x14ac:dyDescent="0.2">
      <c r="A130" s="41">
        <v>44986</v>
      </c>
      <c r="B130" s="10">
        <f t="shared" si="47"/>
        <v>2860844.2658291566</v>
      </c>
      <c r="C130" s="10">
        <f t="shared" si="45"/>
        <v>7844.1899707181383</v>
      </c>
      <c r="D130" s="10">
        <f t="shared" si="48"/>
        <v>8201.086895376915</v>
      </c>
      <c r="E130" s="10">
        <f t="shared" si="49"/>
        <v>16045.276866095053</v>
      </c>
      <c r="F130" s="10">
        <f t="shared" si="46"/>
        <v>2853000.0758584384</v>
      </c>
      <c r="G130">
        <v>111</v>
      </c>
    </row>
    <row r="131" spans="1:10" x14ac:dyDescent="0.2">
      <c r="A131" s="41">
        <v>45017</v>
      </c>
      <c r="B131" s="10">
        <f t="shared" si="47"/>
        <v>2853000.0758584384</v>
      </c>
      <c r="C131" s="10">
        <f t="shared" si="45"/>
        <v>7866.6766486341967</v>
      </c>
      <c r="D131" s="10">
        <f t="shared" si="48"/>
        <v>8178.6002174608566</v>
      </c>
      <c r="E131" s="10">
        <f t="shared" si="49"/>
        <v>16045.276866095053</v>
      </c>
      <c r="F131" s="10">
        <f t="shared" si="46"/>
        <v>2845133.3992098044</v>
      </c>
      <c r="G131">
        <v>112</v>
      </c>
    </row>
    <row r="132" spans="1:10" x14ac:dyDescent="0.2">
      <c r="A132" s="41">
        <v>45047</v>
      </c>
      <c r="B132" s="10">
        <f t="shared" si="47"/>
        <v>2845133.3992098044</v>
      </c>
      <c r="C132" s="10">
        <f t="shared" si="45"/>
        <v>7889.227788360281</v>
      </c>
      <c r="D132" s="10">
        <f t="shared" si="48"/>
        <v>8156.0490777347723</v>
      </c>
      <c r="E132" s="10">
        <f t="shared" si="49"/>
        <v>16045.276866095053</v>
      </c>
      <c r="F132" s="10">
        <f t="shared" si="46"/>
        <v>2837244.171421444</v>
      </c>
      <c r="G132">
        <v>113</v>
      </c>
    </row>
    <row r="133" spans="1:10" x14ac:dyDescent="0.2">
      <c r="A133" s="41">
        <v>45078</v>
      </c>
      <c r="B133" s="10">
        <f t="shared" si="47"/>
        <v>2837244.171421444</v>
      </c>
      <c r="C133" s="10">
        <f t="shared" si="45"/>
        <v>7911.8435746869136</v>
      </c>
      <c r="D133" s="10">
        <f t="shared" si="48"/>
        <v>8133.4332914081397</v>
      </c>
      <c r="E133" s="10">
        <f t="shared" si="49"/>
        <v>16045.276866095053</v>
      </c>
      <c r="F133" s="10">
        <f t="shared" si="46"/>
        <v>2829332.3278467571</v>
      </c>
      <c r="G133">
        <v>114</v>
      </c>
    </row>
    <row r="134" spans="1:10" x14ac:dyDescent="0.2">
      <c r="A134" s="41">
        <v>45108</v>
      </c>
      <c r="B134" s="10">
        <f t="shared" si="47"/>
        <v>2829332.3278467571</v>
      </c>
      <c r="C134" s="10">
        <f t="shared" si="45"/>
        <v>7934.5241929343492</v>
      </c>
      <c r="D134" s="10">
        <f t="shared" si="48"/>
        <v>8110.752673160704</v>
      </c>
      <c r="E134" s="10">
        <f t="shared" si="49"/>
        <v>16045.276866095053</v>
      </c>
      <c r="F134" s="10">
        <f t="shared" si="46"/>
        <v>2821397.8036538227</v>
      </c>
      <c r="G134">
        <v>115</v>
      </c>
    </row>
    <row r="135" spans="1:10" x14ac:dyDescent="0.2">
      <c r="A135" s="41">
        <v>45139</v>
      </c>
      <c r="B135" s="10">
        <f t="shared" si="47"/>
        <v>2821397.8036538227</v>
      </c>
      <c r="C135" s="10">
        <f t="shared" si="45"/>
        <v>7957.2698289540949</v>
      </c>
      <c r="D135" s="10">
        <f t="shared" si="48"/>
        <v>8088.0070371409583</v>
      </c>
      <c r="E135" s="10">
        <f t="shared" si="49"/>
        <v>16045.276866095053</v>
      </c>
      <c r="F135" s="10">
        <f t="shared" si="46"/>
        <v>2813440.5338248685</v>
      </c>
      <c r="G135">
        <v>116</v>
      </c>
    </row>
    <row r="136" spans="1:10" x14ac:dyDescent="0.2">
      <c r="A136" s="41">
        <v>45170</v>
      </c>
      <c r="B136" s="10">
        <f t="shared" si="47"/>
        <v>2813440.5338248685</v>
      </c>
      <c r="C136" s="10">
        <f t="shared" si="45"/>
        <v>7980.0806691304306</v>
      </c>
      <c r="D136" s="10">
        <f t="shared" si="48"/>
        <v>8065.1961969646227</v>
      </c>
      <c r="E136" s="10">
        <f t="shared" si="49"/>
        <v>16045.276866095053</v>
      </c>
      <c r="F136" s="10">
        <f t="shared" si="46"/>
        <v>2805460.4531557383</v>
      </c>
      <c r="G136">
        <v>117</v>
      </c>
    </row>
    <row r="137" spans="1:10" x14ac:dyDescent="0.2">
      <c r="A137" s="41">
        <v>45200</v>
      </c>
      <c r="B137" s="10">
        <f t="shared" si="47"/>
        <v>2805460.4531557383</v>
      </c>
      <c r="C137" s="10">
        <f t="shared" si="45"/>
        <v>8002.956900381937</v>
      </c>
      <c r="D137" s="10">
        <f t="shared" si="48"/>
        <v>8042.3199657131163</v>
      </c>
      <c r="E137" s="10">
        <f t="shared" si="49"/>
        <v>16045.276866095053</v>
      </c>
      <c r="F137" s="10">
        <f t="shared" si="46"/>
        <v>2797457.4962553564</v>
      </c>
      <c r="G137">
        <v>118</v>
      </c>
    </row>
    <row r="138" spans="1:10" x14ac:dyDescent="0.2">
      <c r="A138" s="41">
        <v>45231</v>
      </c>
      <c r="B138" s="10">
        <f t="shared" si="47"/>
        <v>2797457.4962553564</v>
      </c>
      <c r="C138" s="10">
        <f t="shared" si="45"/>
        <v>8025.8987101630319</v>
      </c>
      <c r="D138" s="10">
        <f t="shared" si="48"/>
        <v>8019.3781559320214</v>
      </c>
      <c r="E138" s="10">
        <f t="shared" si="49"/>
        <v>16045.276866095053</v>
      </c>
      <c r="F138" s="10">
        <f t="shared" si="46"/>
        <v>2789431.5975451935</v>
      </c>
      <c r="G138">
        <v>119</v>
      </c>
      <c r="I138" t="s">
        <v>29</v>
      </c>
      <c r="J138" t="s">
        <v>87</v>
      </c>
    </row>
    <row r="139" spans="1:10" ht="15" x14ac:dyDescent="0.25">
      <c r="A139" s="41">
        <v>45261</v>
      </c>
      <c r="B139" s="10">
        <f t="shared" si="47"/>
        <v>2789431.5975451935</v>
      </c>
      <c r="C139" s="10">
        <f t="shared" si="45"/>
        <v>8048.9062864654989</v>
      </c>
      <c r="D139" s="10">
        <f t="shared" si="48"/>
        <v>7996.3705796295544</v>
      </c>
      <c r="E139" s="10">
        <f t="shared" si="49"/>
        <v>16045.276866095053</v>
      </c>
      <c r="F139" s="11">
        <f t="shared" si="46"/>
        <v>2781382.691258728</v>
      </c>
      <c r="G139">
        <v>120</v>
      </c>
      <c r="I139" s="18">
        <f>$B$2+CUMPRINC($K$2,$K$3,$B$2,G114,G139,0)</f>
        <v>3413045.2037106473</v>
      </c>
      <c r="J139" s="19">
        <f>-CUMIPMT($K$2,$K$3,$B$2,G128,G139,0)</f>
        <v>97460.570988568492</v>
      </c>
    </row>
    <row r="140" spans="1:10" x14ac:dyDescent="0.2">
      <c r="A140" s="12" t="s">
        <v>45</v>
      </c>
      <c r="B140" s="12"/>
      <c r="C140" s="11">
        <f>SUM(C128:C139)</f>
        <v>95082.751404572264</v>
      </c>
      <c r="D140" s="11">
        <f>SUM(D128:D139)</f>
        <v>97460.57098856839</v>
      </c>
      <c r="E140" s="10"/>
      <c r="F140" s="10"/>
    </row>
    <row r="142" spans="1:10" x14ac:dyDescent="0.2">
      <c r="A142" s="41">
        <v>45292</v>
      </c>
      <c r="B142" s="10">
        <f>+F139</f>
        <v>2781382.691258728</v>
      </c>
      <c r="C142" s="10">
        <f t="shared" ref="C142:C153" si="50">+E142-D142</f>
        <v>8071.9798178200326</v>
      </c>
      <c r="D142" s="10">
        <f>+B142*$K$2</f>
        <v>7973.2970482750206</v>
      </c>
      <c r="E142" s="10">
        <f>-$K$5</f>
        <v>16045.276866095053</v>
      </c>
      <c r="F142" s="10">
        <f t="shared" ref="F142:F153" si="51">+B142-C142</f>
        <v>2773310.7114409078</v>
      </c>
      <c r="G142">
        <v>109</v>
      </c>
    </row>
    <row r="143" spans="1:10" x14ac:dyDescent="0.2">
      <c r="A143" s="41">
        <v>45323</v>
      </c>
      <c r="B143" s="10">
        <f t="shared" ref="B143:B153" si="52">+F142</f>
        <v>2773310.7114409078</v>
      </c>
      <c r="C143" s="10">
        <f t="shared" si="50"/>
        <v>8095.1194932977842</v>
      </c>
      <c r="D143" s="10">
        <f t="shared" ref="D143:D153" si="53">+B143*$K$2</f>
        <v>7950.1573727972691</v>
      </c>
      <c r="E143" s="10">
        <f t="shared" ref="E143:E153" si="54">-$K$5</f>
        <v>16045.276866095053</v>
      </c>
      <c r="F143" s="10">
        <f t="shared" si="51"/>
        <v>2765215.59194761</v>
      </c>
      <c r="G143">
        <v>110</v>
      </c>
    </row>
    <row r="144" spans="1:10" x14ac:dyDescent="0.2">
      <c r="A144" s="41">
        <v>45352</v>
      </c>
      <c r="B144" s="10">
        <f t="shared" si="52"/>
        <v>2765215.59194761</v>
      </c>
      <c r="C144" s="10">
        <f t="shared" si="50"/>
        <v>8118.3255025119042</v>
      </c>
      <c r="D144" s="10">
        <f t="shared" si="53"/>
        <v>7926.951363583149</v>
      </c>
      <c r="E144" s="10">
        <f t="shared" si="54"/>
        <v>16045.276866095053</v>
      </c>
      <c r="F144" s="10">
        <f t="shared" si="51"/>
        <v>2757097.266445098</v>
      </c>
      <c r="G144">
        <v>111</v>
      </c>
    </row>
    <row r="145" spans="1:10" x14ac:dyDescent="0.2">
      <c r="A145" s="41">
        <v>45383</v>
      </c>
      <c r="B145" s="10">
        <f t="shared" si="52"/>
        <v>2757097.266445098</v>
      </c>
      <c r="C145" s="10">
        <f t="shared" si="50"/>
        <v>8141.5980356191058</v>
      </c>
      <c r="D145" s="10">
        <f t="shared" si="53"/>
        <v>7903.6788304759475</v>
      </c>
      <c r="E145" s="10">
        <f t="shared" si="54"/>
        <v>16045.276866095053</v>
      </c>
      <c r="F145" s="10">
        <f t="shared" si="51"/>
        <v>2748955.6684094789</v>
      </c>
      <c r="G145">
        <v>112</v>
      </c>
    </row>
    <row r="146" spans="1:10" x14ac:dyDescent="0.2">
      <c r="A146" s="41">
        <v>45413</v>
      </c>
      <c r="B146" s="10">
        <f t="shared" si="52"/>
        <v>2748955.6684094789</v>
      </c>
      <c r="C146" s="10">
        <f t="shared" si="50"/>
        <v>8164.9372833212137</v>
      </c>
      <c r="D146" s="10">
        <f t="shared" si="53"/>
        <v>7880.3395827738395</v>
      </c>
      <c r="E146" s="10">
        <f t="shared" si="54"/>
        <v>16045.276866095053</v>
      </c>
      <c r="F146" s="10">
        <f t="shared" si="51"/>
        <v>2740790.7311261576</v>
      </c>
      <c r="G146">
        <v>113</v>
      </c>
    </row>
    <row r="147" spans="1:10" x14ac:dyDescent="0.2">
      <c r="A147" s="41">
        <v>45444</v>
      </c>
      <c r="B147" s="10">
        <f t="shared" si="52"/>
        <v>2740790.7311261576</v>
      </c>
      <c r="C147" s="10">
        <f t="shared" si="50"/>
        <v>8188.3434368667349</v>
      </c>
      <c r="D147" s="10">
        <f t="shared" si="53"/>
        <v>7856.9334292283183</v>
      </c>
      <c r="E147" s="10">
        <f t="shared" si="54"/>
        <v>16045.276866095053</v>
      </c>
      <c r="F147" s="10">
        <f t="shared" si="51"/>
        <v>2732602.387689291</v>
      </c>
      <c r="G147">
        <v>114</v>
      </c>
    </row>
    <row r="148" spans="1:10" x14ac:dyDescent="0.2">
      <c r="A148" s="41">
        <v>45474</v>
      </c>
      <c r="B148" s="10">
        <f t="shared" si="52"/>
        <v>2732602.387689291</v>
      </c>
      <c r="C148" s="10">
        <f t="shared" si="50"/>
        <v>8211.8166880524186</v>
      </c>
      <c r="D148" s="10">
        <f t="shared" si="53"/>
        <v>7833.4601780426347</v>
      </c>
      <c r="E148" s="10">
        <f t="shared" si="54"/>
        <v>16045.276866095053</v>
      </c>
      <c r="F148" s="10">
        <f t="shared" si="51"/>
        <v>2724390.5710012387</v>
      </c>
      <c r="G148">
        <v>115</v>
      </c>
    </row>
    <row r="149" spans="1:10" x14ac:dyDescent="0.2">
      <c r="A149" s="41">
        <v>45505</v>
      </c>
      <c r="B149" s="10">
        <f t="shared" si="52"/>
        <v>2724390.5710012387</v>
      </c>
      <c r="C149" s="10">
        <f t="shared" si="50"/>
        <v>8235.3572292248355</v>
      </c>
      <c r="D149" s="10">
        <f t="shared" si="53"/>
        <v>7809.9196368702178</v>
      </c>
      <c r="E149" s="10">
        <f t="shared" si="54"/>
        <v>16045.276866095053</v>
      </c>
      <c r="F149" s="10">
        <f t="shared" si="51"/>
        <v>2716155.2137720138</v>
      </c>
      <c r="G149">
        <v>116</v>
      </c>
    </row>
    <row r="150" spans="1:10" x14ac:dyDescent="0.2">
      <c r="A150" s="41">
        <v>45536</v>
      </c>
      <c r="B150" s="10">
        <f t="shared" si="52"/>
        <v>2716155.2137720138</v>
      </c>
      <c r="C150" s="10">
        <f t="shared" si="50"/>
        <v>8258.9652532819473</v>
      </c>
      <c r="D150" s="10">
        <f t="shared" si="53"/>
        <v>7786.311612813106</v>
      </c>
      <c r="E150" s="10">
        <f t="shared" si="54"/>
        <v>16045.276866095053</v>
      </c>
      <c r="F150" s="10">
        <f t="shared" si="51"/>
        <v>2707896.2485187319</v>
      </c>
      <c r="G150">
        <v>117</v>
      </c>
    </row>
    <row r="151" spans="1:10" x14ac:dyDescent="0.2">
      <c r="A151" s="41">
        <v>45566</v>
      </c>
      <c r="B151" s="10">
        <f t="shared" si="52"/>
        <v>2707896.2485187319</v>
      </c>
      <c r="C151" s="10">
        <f t="shared" si="50"/>
        <v>8282.6409536746887</v>
      </c>
      <c r="D151" s="10">
        <f t="shared" si="53"/>
        <v>7762.6359124203645</v>
      </c>
      <c r="E151" s="10">
        <f t="shared" si="54"/>
        <v>16045.276866095053</v>
      </c>
      <c r="F151" s="10">
        <f t="shared" si="51"/>
        <v>2699613.607565057</v>
      </c>
      <c r="G151">
        <v>118</v>
      </c>
    </row>
    <row r="152" spans="1:10" x14ac:dyDescent="0.2">
      <c r="A152" s="41">
        <v>45597</v>
      </c>
      <c r="B152" s="10">
        <f t="shared" si="52"/>
        <v>2699613.607565057</v>
      </c>
      <c r="C152" s="10">
        <f t="shared" si="50"/>
        <v>8306.3845244085569</v>
      </c>
      <c r="D152" s="10">
        <f t="shared" si="53"/>
        <v>7738.8923416864964</v>
      </c>
      <c r="E152" s="10">
        <f t="shared" si="54"/>
        <v>16045.276866095053</v>
      </c>
      <c r="F152" s="10">
        <f t="shared" si="51"/>
        <v>2691307.2230406483</v>
      </c>
      <c r="G152">
        <v>119</v>
      </c>
      <c r="I152" t="s">
        <v>29</v>
      </c>
      <c r="J152" t="s">
        <v>87</v>
      </c>
    </row>
    <row r="153" spans="1:10" ht="15" x14ac:dyDescent="0.25">
      <c r="A153" s="41">
        <v>45627</v>
      </c>
      <c r="B153" s="10">
        <f t="shared" si="52"/>
        <v>2691307.2230406483</v>
      </c>
      <c r="C153" s="10">
        <f t="shared" si="50"/>
        <v>8330.1961600451941</v>
      </c>
      <c r="D153" s="10">
        <f t="shared" si="53"/>
        <v>7715.0807060498582</v>
      </c>
      <c r="E153" s="10">
        <f t="shared" si="54"/>
        <v>16045.276866095053</v>
      </c>
      <c r="F153" s="11">
        <f t="shared" si="51"/>
        <v>2682977.0268806033</v>
      </c>
      <c r="G153">
        <v>120</v>
      </c>
      <c r="I153" s="18">
        <f>$B$2+CUMPRINC($K$2,$K$3,$B$2,G128,G153,0)</f>
        <v>3504917.2485954277</v>
      </c>
      <c r="J153" s="19">
        <f>-CUMIPMT($K$2,$K$3,$B$2,G142,G153,0)</f>
        <v>97460.570988568492</v>
      </c>
    </row>
    <row r="154" spans="1:10" x14ac:dyDescent="0.2">
      <c r="A154" s="12" t="s">
        <v>45</v>
      </c>
      <c r="B154" s="12"/>
      <c r="C154" s="11">
        <f>SUM(C142:C153)</f>
        <v>98405.66437812442</v>
      </c>
      <c r="D154" s="11">
        <f>SUM(D142:D153)</f>
        <v>94137.658015016219</v>
      </c>
      <c r="E154" s="10"/>
      <c r="F154" s="10"/>
    </row>
    <row r="156" spans="1:10" x14ac:dyDescent="0.2">
      <c r="A156" s="41">
        <v>45658</v>
      </c>
      <c r="B156" s="10">
        <f>+F153</f>
        <v>2682977.0268806033</v>
      </c>
      <c r="C156" s="10">
        <f t="shared" ref="C156:C167" si="55">+E156-D156</f>
        <v>8354.0760557039903</v>
      </c>
      <c r="D156" s="10">
        <f>+B156*$K$2</f>
        <v>7691.200810391063</v>
      </c>
      <c r="E156" s="10">
        <f>-$K$5</f>
        <v>16045.276866095053</v>
      </c>
      <c r="F156" s="10">
        <f t="shared" ref="F156:F167" si="56">+B156-C156</f>
        <v>2674622.9508248991</v>
      </c>
      <c r="G156">
        <v>109</v>
      </c>
    </row>
    <row r="157" spans="1:10" x14ac:dyDescent="0.2">
      <c r="A157" s="41">
        <v>45689</v>
      </c>
      <c r="B157" s="10">
        <f t="shared" ref="B157:B167" si="57">+F156</f>
        <v>2674622.9508248991</v>
      </c>
      <c r="C157" s="10">
        <f t="shared" si="55"/>
        <v>8378.0244070636763</v>
      </c>
      <c r="D157" s="10">
        <f t="shared" ref="D157:D167" si="58">+B157*$K$2</f>
        <v>7667.2524590313778</v>
      </c>
      <c r="E157" s="10">
        <f t="shared" ref="E157:E167" si="59">-$K$5</f>
        <v>16045.276866095053</v>
      </c>
      <c r="F157" s="10">
        <f t="shared" si="56"/>
        <v>2666244.9264178355</v>
      </c>
      <c r="G157">
        <v>110</v>
      </c>
    </row>
    <row r="158" spans="1:10" x14ac:dyDescent="0.2">
      <c r="A158" s="41">
        <v>45717</v>
      </c>
      <c r="B158" s="10">
        <f t="shared" si="57"/>
        <v>2666244.9264178355</v>
      </c>
      <c r="C158" s="10">
        <f t="shared" si="55"/>
        <v>8402.041410363925</v>
      </c>
      <c r="D158" s="10">
        <f t="shared" si="58"/>
        <v>7643.2354557311282</v>
      </c>
      <c r="E158" s="10">
        <f t="shared" si="59"/>
        <v>16045.276866095053</v>
      </c>
      <c r="F158" s="10">
        <f t="shared" si="56"/>
        <v>2657842.8850074718</v>
      </c>
      <c r="G158">
        <v>111</v>
      </c>
    </row>
    <row r="159" spans="1:10" x14ac:dyDescent="0.2">
      <c r="A159" s="41">
        <v>45748</v>
      </c>
      <c r="B159" s="10">
        <f t="shared" si="57"/>
        <v>2657842.8850074718</v>
      </c>
      <c r="C159" s="10">
        <f t="shared" si="55"/>
        <v>8426.1272624069679</v>
      </c>
      <c r="D159" s="10">
        <f t="shared" si="58"/>
        <v>7619.1496036880853</v>
      </c>
      <c r="E159" s="10">
        <f t="shared" si="59"/>
        <v>16045.276866095053</v>
      </c>
      <c r="F159" s="10">
        <f t="shared" si="56"/>
        <v>2649416.7577450648</v>
      </c>
      <c r="G159">
        <v>112</v>
      </c>
    </row>
    <row r="160" spans="1:10" x14ac:dyDescent="0.2">
      <c r="A160" s="41">
        <v>45778</v>
      </c>
      <c r="B160" s="10">
        <f t="shared" si="57"/>
        <v>2649416.7577450648</v>
      </c>
      <c r="C160" s="10">
        <f t="shared" si="55"/>
        <v>8450.2821605591998</v>
      </c>
      <c r="D160" s="10">
        <f t="shared" si="58"/>
        <v>7594.9947055358525</v>
      </c>
      <c r="E160" s="10">
        <f t="shared" si="59"/>
        <v>16045.276866095053</v>
      </c>
      <c r="F160" s="10">
        <f t="shared" si="56"/>
        <v>2640966.4755845056</v>
      </c>
      <c r="G160">
        <v>113</v>
      </c>
    </row>
    <row r="161" spans="1:10" x14ac:dyDescent="0.2">
      <c r="A161" s="41">
        <v>45809</v>
      </c>
      <c r="B161" s="10">
        <f t="shared" si="57"/>
        <v>2640966.4755845056</v>
      </c>
      <c r="C161" s="10">
        <f t="shared" si="55"/>
        <v>8474.5063027528049</v>
      </c>
      <c r="D161" s="10">
        <f t="shared" si="58"/>
        <v>7570.7705633422493</v>
      </c>
      <c r="E161" s="10">
        <f t="shared" si="59"/>
        <v>16045.276866095053</v>
      </c>
      <c r="F161" s="10">
        <f t="shared" si="56"/>
        <v>2632491.9692817526</v>
      </c>
      <c r="G161">
        <v>114</v>
      </c>
    </row>
    <row r="162" spans="1:10" x14ac:dyDescent="0.2">
      <c r="A162" s="41">
        <v>45839</v>
      </c>
      <c r="B162" s="10">
        <f t="shared" si="57"/>
        <v>2632491.9692817526</v>
      </c>
      <c r="C162" s="10">
        <f t="shared" si="55"/>
        <v>8498.7998874873629</v>
      </c>
      <c r="D162" s="10">
        <f t="shared" si="58"/>
        <v>7546.4769786076904</v>
      </c>
      <c r="E162" s="10">
        <f t="shared" si="59"/>
        <v>16045.276866095053</v>
      </c>
      <c r="F162" s="10">
        <f t="shared" si="56"/>
        <v>2623993.1693942654</v>
      </c>
      <c r="G162">
        <v>115</v>
      </c>
    </row>
    <row r="163" spans="1:10" x14ac:dyDescent="0.2">
      <c r="A163" s="41">
        <v>45870</v>
      </c>
      <c r="B163" s="10">
        <f t="shared" si="57"/>
        <v>2623993.1693942654</v>
      </c>
      <c r="C163" s="10">
        <f t="shared" si="55"/>
        <v>8523.1631138314915</v>
      </c>
      <c r="D163" s="10">
        <f t="shared" si="58"/>
        <v>7522.1137522635609</v>
      </c>
      <c r="E163" s="10">
        <f t="shared" si="59"/>
        <v>16045.276866095053</v>
      </c>
      <c r="F163" s="10">
        <f t="shared" si="56"/>
        <v>2615470.0062804339</v>
      </c>
      <c r="G163">
        <v>116</v>
      </c>
    </row>
    <row r="164" spans="1:10" x14ac:dyDescent="0.2">
      <c r="A164" s="41">
        <v>45901</v>
      </c>
      <c r="B164" s="10">
        <f t="shared" si="57"/>
        <v>2615470.0062804339</v>
      </c>
      <c r="C164" s="10">
        <f t="shared" si="55"/>
        <v>8547.5961814244765</v>
      </c>
      <c r="D164" s="10">
        <f t="shared" si="58"/>
        <v>7497.6806846705767</v>
      </c>
      <c r="E164" s="10">
        <f t="shared" si="59"/>
        <v>16045.276866095053</v>
      </c>
      <c r="F164" s="10">
        <f t="shared" si="56"/>
        <v>2606922.4100990095</v>
      </c>
      <c r="G164">
        <v>117</v>
      </c>
    </row>
    <row r="165" spans="1:10" x14ac:dyDescent="0.2">
      <c r="A165" s="41">
        <v>45931</v>
      </c>
      <c r="B165" s="10">
        <f t="shared" si="57"/>
        <v>2606922.4100990095</v>
      </c>
      <c r="C165" s="10">
        <f t="shared" si="55"/>
        <v>8572.0992904778923</v>
      </c>
      <c r="D165" s="10">
        <f t="shared" si="58"/>
        <v>7473.177575617161</v>
      </c>
      <c r="E165" s="10">
        <f t="shared" si="59"/>
        <v>16045.276866095053</v>
      </c>
      <c r="F165" s="10">
        <f t="shared" si="56"/>
        <v>2598350.3108085315</v>
      </c>
      <c r="G165">
        <v>118</v>
      </c>
    </row>
    <row r="166" spans="1:10" x14ac:dyDescent="0.2">
      <c r="A166" s="41">
        <v>45962</v>
      </c>
      <c r="B166" s="10">
        <f t="shared" si="57"/>
        <v>2598350.3108085315</v>
      </c>
      <c r="C166" s="10">
        <f t="shared" si="55"/>
        <v>8596.6726417772625</v>
      </c>
      <c r="D166" s="10">
        <f t="shared" si="58"/>
        <v>7448.6042243177899</v>
      </c>
      <c r="E166" s="10">
        <f t="shared" si="59"/>
        <v>16045.276866095053</v>
      </c>
      <c r="F166" s="10">
        <f t="shared" si="56"/>
        <v>2589753.638166754</v>
      </c>
      <c r="G166">
        <v>119</v>
      </c>
      <c r="I166" t="s">
        <v>29</v>
      </c>
      <c r="J166" t="s">
        <v>87</v>
      </c>
    </row>
    <row r="167" spans="1:10" ht="15" x14ac:dyDescent="0.25">
      <c r="A167" s="41">
        <v>45992</v>
      </c>
      <c r="B167" s="10">
        <f t="shared" si="57"/>
        <v>2589753.638166754</v>
      </c>
      <c r="C167" s="10">
        <f t="shared" si="55"/>
        <v>8621.3164366836918</v>
      </c>
      <c r="D167" s="10">
        <f t="shared" si="58"/>
        <v>7423.9604294113615</v>
      </c>
      <c r="E167" s="10">
        <f t="shared" si="59"/>
        <v>16045.276866095053</v>
      </c>
      <c r="F167" s="11">
        <f t="shared" si="56"/>
        <v>2581132.3217300703</v>
      </c>
      <c r="G167">
        <v>120</v>
      </c>
      <c r="I167" s="18">
        <f>$B$2+CUMPRINC($K$2,$K$3,$B$2,G142,G167,0)</f>
        <v>3504917.2485954277</v>
      </c>
      <c r="J167" s="19">
        <f>-CUMIPMT($K$2,$K$3,$B$2,G156,G167,0)</f>
        <v>97460.570988568492</v>
      </c>
    </row>
    <row r="168" spans="1:10" x14ac:dyDescent="0.2">
      <c r="A168" s="12" t="s">
        <v>45</v>
      </c>
      <c r="B168" s="12"/>
      <c r="C168" s="11">
        <f>SUM(C156:C167)</f>
        <v>101844.70515053275</v>
      </c>
      <c r="D168" s="11">
        <f>SUM(D156:D167)</f>
        <v>90698.617242607899</v>
      </c>
      <c r="E168" s="10"/>
      <c r="F168" s="10"/>
    </row>
    <row r="170" spans="1:10" x14ac:dyDescent="0.2">
      <c r="A170" s="41">
        <v>46023</v>
      </c>
      <c r="B170" s="10">
        <f>+F167</f>
        <v>2581132.3217300703</v>
      </c>
      <c r="C170" s="10">
        <f t="shared" ref="C170:C181" si="60">+E170-D170</f>
        <v>8646.0308771355194</v>
      </c>
      <c r="D170" s="10">
        <f>+B170*$K$2</f>
        <v>7399.2459889595348</v>
      </c>
      <c r="E170" s="10">
        <f>-$K$5</f>
        <v>16045.276866095053</v>
      </c>
      <c r="F170" s="10">
        <f t="shared" ref="F170:F181" si="61">+B170-C170</f>
        <v>2572486.2908529346</v>
      </c>
      <c r="G170">
        <v>109</v>
      </c>
    </row>
    <row r="171" spans="1:10" x14ac:dyDescent="0.2">
      <c r="A171" s="41">
        <v>46054</v>
      </c>
      <c r="B171" s="10">
        <f t="shared" ref="B171:B181" si="62">+F170</f>
        <v>2572486.2908529346</v>
      </c>
      <c r="C171" s="10">
        <f t="shared" si="60"/>
        <v>8670.8161656499742</v>
      </c>
      <c r="D171" s="10">
        <f t="shared" ref="D171:D181" si="63">+B171*$K$2</f>
        <v>7374.4607004450791</v>
      </c>
      <c r="E171" s="10">
        <f t="shared" ref="E171:E181" si="64">-$K$5</f>
        <v>16045.276866095053</v>
      </c>
      <c r="F171" s="10">
        <f t="shared" si="61"/>
        <v>2563815.4746872848</v>
      </c>
      <c r="G171">
        <v>110</v>
      </c>
    </row>
    <row r="172" spans="1:10" x14ac:dyDescent="0.2">
      <c r="A172" s="41">
        <v>46082</v>
      </c>
      <c r="B172" s="10">
        <f t="shared" si="62"/>
        <v>2563815.4746872848</v>
      </c>
      <c r="C172" s="10">
        <f t="shared" si="60"/>
        <v>8695.6725053248374</v>
      </c>
      <c r="D172" s="10">
        <f t="shared" si="63"/>
        <v>7349.6043607702168</v>
      </c>
      <c r="E172" s="10">
        <f t="shared" si="64"/>
        <v>16045.276866095053</v>
      </c>
      <c r="F172" s="10">
        <f t="shared" si="61"/>
        <v>2555119.8021819601</v>
      </c>
      <c r="G172">
        <v>111</v>
      </c>
    </row>
    <row r="173" spans="1:10" x14ac:dyDescent="0.2">
      <c r="A173" s="41">
        <v>46113</v>
      </c>
      <c r="B173" s="10">
        <f t="shared" si="62"/>
        <v>2555119.8021819601</v>
      </c>
      <c r="C173" s="10">
        <f t="shared" si="60"/>
        <v>8720.6000998401014</v>
      </c>
      <c r="D173" s="10">
        <f t="shared" si="63"/>
        <v>7324.6767662549519</v>
      </c>
      <c r="E173" s="10">
        <f t="shared" si="64"/>
        <v>16045.276866095053</v>
      </c>
      <c r="F173" s="10">
        <f t="shared" si="61"/>
        <v>2546399.2020821199</v>
      </c>
      <c r="G173">
        <v>112</v>
      </c>
    </row>
    <row r="174" spans="1:10" x14ac:dyDescent="0.2">
      <c r="A174" s="41">
        <v>46143</v>
      </c>
      <c r="B174" s="10">
        <f t="shared" si="62"/>
        <v>2546399.2020821199</v>
      </c>
      <c r="C174" s="10">
        <f t="shared" si="60"/>
        <v>8745.5991534596433</v>
      </c>
      <c r="D174" s="10">
        <f t="shared" si="63"/>
        <v>7299.67771263541</v>
      </c>
      <c r="E174" s="10">
        <f t="shared" si="64"/>
        <v>16045.276866095053</v>
      </c>
      <c r="F174" s="10">
        <f t="shared" si="61"/>
        <v>2537653.6029286603</v>
      </c>
      <c r="G174">
        <v>113</v>
      </c>
    </row>
    <row r="175" spans="1:10" x14ac:dyDescent="0.2">
      <c r="A175" s="41">
        <v>46174</v>
      </c>
      <c r="B175" s="10">
        <f t="shared" si="62"/>
        <v>2537653.6029286603</v>
      </c>
      <c r="C175" s="10">
        <f t="shared" si="60"/>
        <v>8770.6698710328928</v>
      </c>
      <c r="D175" s="10">
        <f t="shared" si="63"/>
        <v>7274.6069950621595</v>
      </c>
      <c r="E175" s="10">
        <f t="shared" si="64"/>
        <v>16045.276866095053</v>
      </c>
      <c r="F175" s="10">
        <f t="shared" si="61"/>
        <v>2528882.9330576276</v>
      </c>
      <c r="G175">
        <v>114</v>
      </c>
    </row>
    <row r="176" spans="1:10" x14ac:dyDescent="0.2">
      <c r="A176" s="41">
        <v>46204</v>
      </c>
      <c r="B176" s="10">
        <f t="shared" si="62"/>
        <v>2528882.9330576276</v>
      </c>
      <c r="C176" s="10">
        <f t="shared" si="60"/>
        <v>8795.8124579965206</v>
      </c>
      <c r="D176" s="10">
        <f t="shared" si="63"/>
        <v>7249.4644080985327</v>
      </c>
      <c r="E176" s="10">
        <f t="shared" si="64"/>
        <v>16045.276866095053</v>
      </c>
      <c r="F176" s="10">
        <f t="shared" si="61"/>
        <v>2520087.1205996312</v>
      </c>
      <c r="G176">
        <v>115</v>
      </c>
    </row>
    <row r="177" spans="1:10" x14ac:dyDescent="0.2">
      <c r="A177" s="41">
        <v>46235</v>
      </c>
      <c r="B177" s="10">
        <f t="shared" si="62"/>
        <v>2520087.1205996312</v>
      </c>
      <c r="C177" s="10">
        <f t="shared" si="60"/>
        <v>8821.0271203761113</v>
      </c>
      <c r="D177" s="10">
        <f t="shared" si="63"/>
        <v>7224.2497457189429</v>
      </c>
      <c r="E177" s="10">
        <f t="shared" si="64"/>
        <v>16045.276866095053</v>
      </c>
      <c r="F177" s="10">
        <f t="shared" si="61"/>
        <v>2511266.0934792552</v>
      </c>
      <c r="G177">
        <v>116</v>
      </c>
    </row>
    <row r="178" spans="1:10" x14ac:dyDescent="0.2">
      <c r="A178" s="41">
        <v>46266</v>
      </c>
      <c r="B178" s="10">
        <f t="shared" si="62"/>
        <v>2511266.0934792552</v>
      </c>
      <c r="C178" s="10">
        <f t="shared" si="60"/>
        <v>8846.3140647878554</v>
      </c>
      <c r="D178" s="10">
        <f t="shared" si="63"/>
        <v>7198.9628013071979</v>
      </c>
      <c r="E178" s="10">
        <f t="shared" si="64"/>
        <v>16045.276866095053</v>
      </c>
      <c r="F178" s="10">
        <f t="shared" si="61"/>
        <v>2502419.7794144675</v>
      </c>
      <c r="G178">
        <v>117</v>
      </c>
    </row>
    <row r="179" spans="1:10" x14ac:dyDescent="0.2">
      <c r="A179" s="41">
        <v>46296</v>
      </c>
      <c r="B179" s="10">
        <f t="shared" si="62"/>
        <v>2502419.7794144675</v>
      </c>
      <c r="C179" s="10">
        <f t="shared" si="60"/>
        <v>8871.6734984402465</v>
      </c>
      <c r="D179" s="10">
        <f t="shared" si="63"/>
        <v>7173.6033676548068</v>
      </c>
      <c r="E179" s="10">
        <f t="shared" si="64"/>
        <v>16045.276866095053</v>
      </c>
      <c r="F179" s="10">
        <f t="shared" si="61"/>
        <v>2493548.1059160274</v>
      </c>
      <c r="G179">
        <v>118</v>
      </c>
    </row>
    <row r="180" spans="1:10" x14ac:dyDescent="0.2">
      <c r="A180" s="41">
        <v>46327</v>
      </c>
      <c r="B180" s="10">
        <f t="shared" si="62"/>
        <v>2493548.1059160274</v>
      </c>
      <c r="C180" s="10">
        <f t="shared" si="60"/>
        <v>8897.1056291357745</v>
      </c>
      <c r="D180" s="10">
        <f t="shared" si="63"/>
        <v>7148.1712369592788</v>
      </c>
      <c r="E180" s="10">
        <f t="shared" si="64"/>
        <v>16045.276866095053</v>
      </c>
      <c r="F180" s="10">
        <f t="shared" si="61"/>
        <v>2484651.0002868916</v>
      </c>
      <c r="G180">
        <v>119</v>
      </c>
      <c r="I180" t="s">
        <v>29</v>
      </c>
      <c r="J180" t="s">
        <v>87</v>
      </c>
    </row>
    <row r="181" spans="1:10" ht="15" x14ac:dyDescent="0.25">
      <c r="A181" s="41">
        <v>46357</v>
      </c>
      <c r="B181" s="10">
        <f t="shared" si="62"/>
        <v>2484651.0002868916</v>
      </c>
      <c r="C181" s="10">
        <f t="shared" si="60"/>
        <v>8922.6106652726303</v>
      </c>
      <c r="D181" s="10">
        <f t="shared" si="63"/>
        <v>7122.666200822423</v>
      </c>
      <c r="E181" s="10">
        <f t="shared" si="64"/>
        <v>16045.276866095053</v>
      </c>
      <c r="F181" s="11">
        <f t="shared" si="61"/>
        <v>2475728.3896216191</v>
      </c>
      <c r="G181">
        <v>120</v>
      </c>
      <c r="I181" s="18">
        <f>$B$2+CUMPRINC($K$2,$K$3,$B$2,G156,G181,0)</f>
        <v>3504917.2485954277</v>
      </c>
      <c r="J181" s="19">
        <f>-CUMIPMT($K$2,$K$3,$B$2,G170,G181,0)</f>
        <v>97460.570988568492</v>
      </c>
    </row>
    <row r="182" spans="1:10" x14ac:dyDescent="0.2">
      <c r="A182" s="12" t="s">
        <v>45</v>
      </c>
      <c r="B182" s="12"/>
      <c r="C182" s="11">
        <f>SUM(C170:C181)</f>
        <v>105403.93210845211</v>
      </c>
      <c r="D182" s="11">
        <f>SUM(D170:D181)</f>
        <v>87139.390284688532</v>
      </c>
      <c r="E182" s="10"/>
      <c r="F182" s="10"/>
    </row>
    <row r="184" spans="1:10" x14ac:dyDescent="0.2">
      <c r="A184" s="41">
        <v>46388</v>
      </c>
      <c r="B184" s="10">
        <f>+F181</f>
        <v>2475728.3896216191</v>
      </c>
      <c r="C184" s="10">
        <f t="shared" ref="C184:C195" si="65">+E184-D184</f>
        <v>8948.1888158464117</v>
      </c>
      <c r="D184" s="10">
        <f>+B184*$K$2</f>
        <v>7097.0880502486416</v>
      </c>
      <c r="E184" s="10">
        <f>-$K$5</f>
        <v>16045.276866095053</v>
      </c>
      <c r="F184" s="10">
        <f t="shared" ref="F184:F195" si="66">+B184-C184</f>
        <v>2466780.2008057726</v>
      </c>
      <c r="G184">
        <v>109</v>
      </c>
    </row>
    <row r="185" spans="1:10" x14ac:dyDescent="0.2">
      <c r="A185" s="41">
        <v>46419</v>
      </c>
      <c r="B185" s="10">
        <f t="shared" ref="B185:B195" si="67">+F184</f>
        <v>2466780.2008057726</v>
      </c>
      <c r="C185" s="10">
        <f t="shared" si="65"/>
        <v>8973.8402904518389</v>
      </c>
      <c r="D185" s="10">
        <f t="shared" ref="D185:D195" si="68">+B185*$K$2</f>
        <v>7071.4365756432144</v>
      </c>
      <c r="E185" s="10">
        <f t="shared" ref="E185:E195" si="69">-$K$5</f>
        <v>16045.276866095053</v>
      </c>
      <c r="F185" s="10">
        <f t="shared" si="66"/>
        <v>2457806.3605153207</v>
      </c>
      <c r="G185">
        <v>110</v>
      </c>
    </row>
    <row r="186" spans="1:10" x14ac:dyDescent="0.2">
      <c r="A186" s="41">
        <v>46447</v>
      </c>
      <c r="B186" s="10">
        <f t="shared" si="67"/>
        <v>2457806.3605153207</v>
      </c>
      <c r="C186" s="10">
        <f t="shared" si="65"/>
        <v>8999.5652992844662</v>
      </c>
      <c r="D186" s="10">
        <f t="shared" si="68"/>
        <v>7045.7115668105862</v>
      </c>
      <c r="E186" s="10">
        <f t="shared" si="69"/>
        <v>16045.276866095053</v>
      </c>
      <c r="F186" s="10">
        <f t="shared" si="66"/>
        <v>2448806.795216036</v>
      </c>
      <c r="G186">
        <v>111</v>
      </c>
    </row>
    <row r="187" spans="1:10" x14ac:dyDescent="0.2">
      <c r="A187" s="41">
        <v>46478</v>
      </c>
      <c r="B187" s="10">
        <f t="shared" si="67"/>
        <v>2448806.795216036</v>
      </c>
      <c r="C187" s="10">
        <f t="shared" si="65"/>
        <v>9025.3640531424171</v>
      </c>
      <c r="D187" s="10">
        <f t="shared" si="68"/>
        <v>7019.9128129526371</v>
      </c>
      <c r="E187" s="10">
        <f t="shared" si="69"/>
        <v>16045.276866095053</v>
      </c>
      <c r="F187" s="10">
        <f t="shared" si="66"/>
        <v>2439781.4311628938</v>
      </c>
      <c r="G187">
        <v>112</v>
      </c>
    </row>
    <row r="188" spans="1:10" x14ac:dyDescent="0.2">
      <c r="A188" s="41">
        <v>46508</v>
      </c>
      <c r="B188" s="10">
        <f t="shared" si="67"/>
        <v>2439781.4311628938</v>
      </c>
      <c r="C188" s="10">
        <f t="shared" si="65"/>
        <v>9051.2367634280909</v>
      </c>
      <c r="D188" s="10">
        <f t="shared" si="68"/>
        <v>6994.0401026669624</v>
      </c>
      <c r="E188" s="10">
        <f t="shared" si="69"/>
        <v>16045.276866095053</v>
      </c>
      <c r="F188" s="10">
        <f t="shared" si="66"/>
        <v>2430730.1943994658</v>
      </c>
      <c r="G188">
        <v>113</v>
      </c>
    </row>
    <row r="189" spans="1:10" x14ac:dyDescent="0.2">
      <c r="A189" s="41">
        <v>46539</v>
      </c>
      <c r="B189" s="10">
        <f t="shared" si="67"/>
        <v>2430730.1943994658</v>
      </c>
      <c r="C189" s="10">
        <f t="shared" si="65"/>
        <v>9077.1836421499174</v>
      </c>
      <c r="D189" s="10">
        <f t="shared" si="68"/>
        <v>6968.0932239451349</v>
      </c>
      <c r="E189" s="10">
        <f t="shared" si="69"/>
        <v>16045.276866095053</v>
      </c>
      <c r="F189" s="10">
        <f t="shared" si="66"/>
        <v>2421653.0107573159</v>
      </c>
      <c r="G189">
        <v>114</v>
      </c>
    </row>
    <row r="190" spans="1:10" x14ac:dyDescent="0.2">
      <c r="A190" s="41">
        <v>46569</v>
      </c>
      <c r="B190" s="10">
        <f t="shared" si="67"/>
        <v>2421653.0107573159</v>
      </c>
      <c r="C190" s="10">
        <f t="shared" si="65"/>
        <v>9103.2049019240803</v>
      </c>
      <c r="D190" s="10">
        <f t="shared" si="68"/>
        <v>6942.071964170972</v>
      </c>
      <c r="E190" s="10">
        <f t="shared" si="69"/>
        <v>16045.276866095053</v>
      </c>
      <c r="F190" s="10">
        <f t="shared" si="66"/>
        <v>2412549.805855392</v>
      </c>
      <c r="G190">
        <v>115</v>
      </c>
    </row>
    <row r="191" spans="1:10" x14ac:dyDescent="0.2">
      <c r="A191" s="41">
        <v>46600</v>
      </c>
      <c r="B191" s="10">
        <f t="shared" si="67"/>
        <v>2412549.805855392</v>
      </c>
      <c r="C191" s="10">
        <f t="shared" si="65"/>
        <v>9129.3007559762627</v>
      </c>
      <c r="D191" s="10">
        <f t="shared" si="68"/>
        <v>6915.9761101187905</v>
      </c>
      <c r="E191" s="10">
        <f t="shared" si="69"/>
        <v>16045.276866095053</v>
      </c>
      <c r="F191" s="10">
        <f t="shared" si="66"/>
        <v>2403420.5050994158</v>
      </c>
      <c r="G191">
        <v>116</v>
      </c>
    </row>
    <row r="192" spans="1:10" x14ac:dyDescent="0.2">
      <c r="A192" s="41">
        <v>46631</v>
      </c>
      <c r="B192" s="10">
        <f t="shared" si="67"/>
        <v>2403420.5050994158</v>
      </c>
      <c r="C192" s="10">
        <f t="shared" si="65"/>
        <v>9155.4714181433956</v>
      </c>
      <c r="D192" s="10">
        <f t="shared" si="68"/>
        <v>6889.8054479516586</v>
      </c>
      <c r="E192" s="10">
        <f t="shared" si="69"/>
        <v>16045.276866095053</v>
      </c>
      <c r="F192" s="10">
        <f t="shared" si="66"/>
        <v>2394265.0336812725</v>
      </c>
      <c r="G192">
        <v>117</v>
      </c>
    </row>
    <row r="193" spans="1:10" x14ac:dyDescent="0.2">
      <c r="A193" s="41">
        <v>46661</v>
      </c>
      <c r="B193" s="10">
        <f t="shared" si="67"/>
        <v>2394265.0336812725</v>
      </c>
      <c r="C193" s="10">
        <f t="shared" si="65"/>
        <v>9181.7171028754055</v>
      </c>
      <c r="D193" s="10">
        <f t="shared" si="68"/>
        <v>6863.5597632196477</v>
      </c>
      <c r="E193" s="10">
        <f t="shared" si="69"/>
        <v>16045.276866095053</v>
      </c>
      <c r="F193" s="10">
        <f t="shared" si="66"/>
        <v>2385083.3165783971</v>
      </c>
      <c r="G193">
        <v>118</v>
      </c>
    </row>
    <row r="194" spans="1:10" x14ac:dyDescent="0.2">
      <c r="A194" s="41">
        <v>46692</v>
      </c>
      <c r="B194" s="10">
        <f t="shared" si="67"/>
        <v>2385083.3165783971</v>
      </c>
      <c r="C194" s="10">
        <f t="shared" si="65"/>
        <v>9208.0380252369814</v>
      </c>
      <c r="D194" s="10">
        <f t="shared" si="68"/>
        <v>6837.2388408580719</v>
      </c>
      <c r="E194" s="10">
        <f t="shared" si="69"/>
        <v>16045.276866095053</v>
      </c>
      <c r="F194" s="10">
        <f t="shared" si="66"/>
        <v>2375875.2785531599</v>
      </c>
      <c r="G194">
        <v>119</v>
      </c>
      <c r="I194" t="s">
        <v>29</v>
      </c>
      <c r="J194" t="s">
        <v>87</v>
      </c>
    </row>
    <row r="195" spans="1:10" ht="15" x14ac:dyDescent="0.25">
      <c r="A195" s="41">
        <v>46722</v>
      </c>
      <c r="B195" s="10">
        <f t="shared" si="67"/>
        <v>2375875.2785531599</v>
      </c>
      <c r="C195" s="10">
        <f t="shared" si="65"/>
        <v>9234.4344009093293</v>
      </c>
      <c r="D195" s="10">
        <f t="shared" si="68"/>
        <v>6810.8424651857249</v>
      </c>
      <c r="E195" s="10">
        <f t="shared" si="69"/>
        <v>16045.276866095053</v>
      </c>
      <c r="F195" s="11">
        <f t="shared" si="66"/>
        <v>2366640.8441522508</v>
      </c>
      <c r="G195">
        <v>120</v>
      </c>
      <c r="I195" s="18">
        <f>$B$2+CUMPRINC($K$2,$K$3,$B$2,G170,G195,0)</f>
        <v>3504917.2485954277</v>
      </c>
      <c r="J195" s="19">
        <f>-CUMIPMT($K$2,$K$3,$B$2,G184,G195,0)</f>
        <v>97460.570988568492</v>
      </c>
    </row>
    <row r="196" spans="1:10" x14ac:dyDescent="0.2">
      <c r="A196" s="12" t="s">
        <v>45</v>
      </c>
      <c r="B196" s="12"/>
      <c r="C196" s="11">
        <f>SUM(C184:C195)</f>
        <v>109087.54546936859</v>
      </c>
      <c r="D196" s="11">
        <f>SUM(D184:D195)</f>
        <v>83455.776923772035</v>
      </c>
      <c r="E196" s="10"/>
      <c r="F196" s="1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workbookViewId="0">
      <selection activeCell="A156" sqref="A156:A167"/>
    </sheetView>
  </sheetViews>
  <sheetFormatPr defaultRowHeight="12.75" x14ac:dyDescent="0.2"/>
  <cols>
    <col min="2" max="2" width="15" customWidth="1"/>
    <col min="3" max="3" width="11.28515625" customWidth="1"/>
    <col min="4" max="4" width="15.140625" customWidth="1"/>
    <col min="5" max="5" width="13.7109375" customWidth="1"/>
    <col min="6" max="6" width="12.42578125" customWidth="1"/>
    <col min="9" max="9" width="22.28515625" customWidth="1"/>
    <col min="10" max="10" width="14" customWidth="1"/>
    <col min="11" max="11" width="12.42578125" customWidth="1"/>
  </cols>
  <sheetData>
    <row r="1" spans="1:11" x14ac:dyDescent="0.2">
      <c r="B1" s="13" t="s">
        <v>28</v>
      </c>
      <c r="C1" s="13" t="s">
        <v>29</v>
      </c>
      <c r="D1" s="13" t="s">
        <v>30</v>
      </c>
      <c r="E1" s="13" t="s">
        <v>31</v>
      </c>
      <c r="F1" s="13" t="s">
        <v>32</v>
      </c>
      <c r="I1" t="s">
        <v>29</v>
      </c>
      <c r="J1" s="15">
        <f>B2</f>
        <v>6500000</v>
      </c>
      <c r="K1" t="s">
        <v>86</v>
      </c>
    </row>
    <row r="2" spans="1:11" ht="15" x14ac:dyDescent="0.25">
      <c r="A2" s="41">
        <v>42370</v>
      </c>
      <c r="B2" s="10">
        <v>6500000</v>
      </c>
      <c r="C2" s="10">
        <f>+E2-D2</f>
        <v>10337.305452671622</v>
      </c>
      <c r="D2" s="10">
        <f t="shared" ref="D2:D13" si="0">+B2*$K$2</f>
        <v>18633.333333333332</v>
      </c>
      <c r="E2" s="10">
        <f t="shared" ref="E2:E13" si="1">-$K$5</f>
        <v>28970.638786004954</v>
      </c>
      <c r="F2" s="10">
        <f t="shared" ref="F2:F13" si="2">+B2-C2</f>
        <v>6489662.6945473282</v>
      </c>
      <c r="G2">
        <v>1</v>
      </c>
      <c r="I2" t="s">
        <v>103</v>
      </c>
      <c r="J2" s="4">
        <v>3.44E-2</v>
      </c>
      <c r="K2" s="4">
        <f>J2/12</f>
        <v>2.8666666666666667E-3</v>
      </c>
    </row>
    <row r="3" spans="1:11" x14ac:dyDescent="0.2">
      <c r="A3" s="41">
        <v>42401</v>
      </c>
      <c r="B3" s="10">
        <f t="shared" ref="B3:B13" si="3">+F2</f>
        <v>6489662.6945473282</v>
      </c>
      <c r="C3" s="10">
        <f t="shared" ref="C3:C13" si="4">+E3-D3</f>
        <v>10366.939061635949</v>
      </c>
      <c r="D3" s="10">
        <f t="shared" si="0"/>
        <v>18603.699724369006</v>
      </c>
      <c r="E3" s="10">
        <f t="shared" si="1"/>
        <v>28970.638786004954</v>
      </c>
      <c r="F3" s="10">
        <f t="shared" si="2"/>
        <v>6479295.7554856921</v>
      </c>
      <c r="G3">
        <v>2</v>
      </c>
      <c r="I3" t="s">
        <v>85</v>
      </c>
      <c r="J3">
        <v>30</v>
      </c>
      <c r="K3">
        <f>J3*12</f>
        <v>360</v>
      </c>
    </row>
    <row r="4" spans="1:11" x14ac:dyDescent="0.2">
      <c r="A4" s="41">
        <v>42430</v>
      </c>
      <c r="B4" s="10">
        <f t="shared" si="3"/>
        <v>6479295.7554856921</v>
      </c>
      <c r="C4" s="10">
        <f t="shared" si="4"/>
        <v>10396.657620279304</v>
      </c>
      <c r="D4" s="10">
        <f t="shared" si="0"/>
        <v>18573.98116572565</v>
      </c>
      <c r="E4" s="10">
        <f t="shared" si="1"/>
        <v>28970.638786004954</v>
      </c>
      <c r="F4" s="10">
        <f t="shared" si="2"/>
        <v>6468899.0978654129</v>
      </c>
      <c r="G4">
        <v>3</v>
      </c>
    </row>
    <row r="5" spans="1:11" x14ac:dyDescent="0.2">
      <c r="A5" s="41">
        <v>42461</v>
      </c>
      <c r="B5" s="10">
        <f t="shared" si="3"/>
        <v>6468899.0978654129</v>
      </c>
      <c r="C5" s="10">
        <f t="shared" si="4"/>
        <v>10426.461372124104</v>
      </c>
      <c r="D5" s="10">
        <f t="shared" si="0"/>
        <v>18544.177413880851</v>
      </c>
      <c r="E5" s="10">
        <f t="shared" si="1"/>
        <v>28970.638786004954</v>
      </c>
      <c r="F5" s="10">
        <f t="shared" si="2"/>
        <v>6458472.6364932889</v>
      </c>
      <c r="G5">
        <v>4</v>
      </c>
      <c r="I5" t="s">
        <v>31</v>
      </c>
      <c r="K5" s="16">
        <f>PMT(K2,K3,J1,,0)</f>
        <v>-28970.638786004954</v>
      </c>
    </row>
    <row r="6" spans="1:11" x14ac:dyDescent="0.2">
      <c r="A6" s="41">
        <v>42491</v>
      </c>
      <c r="B6" s="10">
        <f t="shared" si="3"/>
        <v>6458472.6364932889</v>
      </c>
      <c r="C6" s="10">
        <f t="shared" si="4"/>
        <v>10456.35056139086</v>
      </c>
      <c r="D6" s="10">
        <f t="shared" si="0"/>
        <v>18514.288224614094</v>
      </c>
      <c r="E6" s="10">
        <f t="shared" si="1"/>
        <v>28970.638786004954</v>
      </c>
      <c r="F6" s="10">
        <f t="shared" si="2"/>
        <v>6448016.2859318983</v>
      </c>
      <c r="G6">
        <v>5</v>
      </c>
    </row>
    <row r="7" spans="1:11" x14ac:dyDescent="0.2">
      <c r="A7" s="41">
        <v>42522</v>
      </c>
      <c r="B7" s="10">
        <f t="shared" si="3"/>
        <v>6448016.2859318983</v>
      </c>
      <c r="C7" s="10">
        <f t="shared" si="4"/>
        <v>10486.32543300018</v>
      </c>
      <c r="D7" s="10">
        <f t="shared" si="0"/>
        <v>18484.313353004774</v>
      </c>
      <c r="E7" s="10">
        <f t="shared" si="1"/>
        <v>28970.638786004954</v>
      </c>
      <c r="F7" s="10">
        <f t="shared" si="2"/>
        <v>6437529.9604988983</v>
      </c>
      <c r="G7">
        <v>6</v>
      </c>
    </row>
    <row r="8" spans="1:11" x14ac:dyDescent="0.2">
      <c r="A8" s="41">
        <v>42552</v>
      </c>
      <c r="B8" s="10">
        <f t="shared" si="3"/>
        <v>6437529.9604988983</v>
      </c>
      <c r="C8" s="10">
        <f t="shared" si="4"/>
        <v>10516.38623257478</v>
      </c>
      <c r="D8" s="10">
        <f t="shared" si="0"/>
        <v>18454.252553430175</v>
      </c>
      <c r="E8" s="10">
        <f t="shared" si="1"/>
        <v>28970.638786004954</v>
      </c>
      <c r="F8" s="10">
        <f t="shared" si="2"/>
        <v>6427013.5742663238</v>
      </c>
      <c r="G8">
        <v>7</v>
      </c>
    </row>
    <row r="9" spans="1:11" x14ac:dyDescent="0.2">
      <c r="A9" s="41">
        <v>42583</v>
      </c>
      <c r="B9" s="10">
        <f t="shared" si="3"/>
        <v>6427013.5742663238</v>
      </c>
      <c r="C9" s="10">
        <f t="shared" si="4"/>
        <v>10546.533206441494</v>
      </c>
      <c r="D9" s="10">
        <f t="shared" si="0"/>
        <v>18424.10557956346</v>
      </c>
      <c r="E9" s="10">
        <f t="shared" si="1"/>
        <v>28970.638786004954</v>
      </c>
      <c r="F9" s="10">
        <f t="shared" si="2"/>
        <v>6416467.0410598824</v>
      </c>
      <c r="G9">
        <v>8</v>
      </c>
    </row>
    <row r="10" spans="1:11" x14ac:dyDescent="0.2">
      <c r="A10" s="41">
        <v>42614</v>
      </c>
      <c r="B10" s="10">
        <f t="shared" si="3"/>
        <v>6416467.0410598824</v>
      </c>
      <c r="C10" s="10">
        <f t="shared" si="4"/>
        <v>10576.766601633291</v>
      </c>
      <c r="D10" s="10">
        <f t="shared" si="0"/>
        <v>18393.872184371663</v>
      </c>
      <c r="E10" s="10">
        <f t="shared" si="1"/>
        <v>28970.638786004954</v>
      </c>
      <c r="F10" s="10">
        <f t="shared" si="2"/>
        <v>6405890.2744582491</v>
      </c>
      <c r="G10">
        <v>9</v>
      </c>
      <c r="I10" s="13" t="s">
        <v>88</v>
      </c>
    </row>
    <row r="11" spans="1:11" x14ac:dyDescent="0.2">
      <c r="A11" s="41">
        <v>42644</v>
      </c>
      <c r="B11" s="10">
        <f t="shared" si="3"/>
        <v>6405890.2744582491</v>
      </c>
      <c r="C11" s="10">
        <f t="shared" si="4"/>
        <v>10607.086665891307</v>
      </c>
      <c r="D11" s="10">
        <f t="shared" si="0"/>
        <v>18363.552120113647</v>
      </c>
      <c r="E11" s="10">
        <f t="shared" si="1"/>
        <v>28970.638786004954</v>
      </c>
      <c r="F11" s="10">
        <f t="shared" si="2"/>
        <v>6395283.187792358</v>
      </c>
      <c r="G11">
        <v>10</v>
      </c>
    </row>
    <row r="12" spans="1:11" x14ac:dyDescent="0.2">
      <c r="A12" s="41">
        <v>42675</v>
      </c>
      <c r="B12" s="10">
        <f t="shared" si="3"/>
        <v>6395283.187792358</v>
      </c>
      <c r="C12" s="10">
        <f t="shared" si="4"/>
        <v>10637.493647666863</v>
      </c>
      <c r="D12" s="10">
        <f t="shared" si="0"/>
        <v>18333.145138338092</v>
      </c>
      <c r="E12" s="10">
        <f t="shared" si="1"/>
        <v>28970.638786004954</v>
      </c>
      <c r="F12" s="10">
        <f t="shared" si="2"/>
        <v>6384645.6941446913</v>
      </c>
      <c r="G12">
        <v>11</v>
      </c>
      <c r="I12" t="s">
        <v>29</v>
      </c>
      <c r="J12" t="s">
        <v>87</v>
      </c>
    </row>
    <row r="13" spans="1:11" ht="15" x14ac:dyDescent="0.25">
      <c r="A13" s="41">
        <v>42705</v>
      </c>
      <c r="B13" s="10">
        <f t="shared" si="3"/>
        <v>6384645.6941446913</v>
      </c>
      <c r="C13" s="10">
        <f t="shared" si="4"/>
        <v>10667.987796123507</v>
      </c>
      <c r="D13" s="10">
        <f t="shared" si="0"/>
        <v>18302.650989881447</v>
      </c>
      <c r="E13" s="10">
        <f t="shared" si="1"/>
        <v>28970.638786004954</v>
      </c>
      <c r="F13" s="17">
        <f t="shared" si="2"/>
        <v>6373977.7063485682</v>
      </c>
      <c r="G13">
        <v>12</v>
      </c>
      <c r="I13" s="18">
        <f>$B$2+CUMPRINC($K$2,$K$3,$B$2,G2,G13,0)</f>
        <v>6373977.7063485663</v>
      </c>
      <c r="J13" s="19">
        <f>-CUMIPMT($K$2,$K$3,$B$2,G2,G13,0)</f>
        <v>221625.37178062621</v>
      </c>
    </row>
    <row r="14" spans="1:11" x14ac:dyDescent="0.2">
      <c r="A14" s="12" t="s">
        <v>45</v>
      </c>
      <c r="B14" s="12"/>
      <c r="C14" s="11">
        <f>SUM(C2:C13)</f>
        <v>126022.29365143325</v>
      </c>
      <c r="D14" s="17">
        <f>SUM(D2:D13)</f>
        <v>221625.37178062621</v>
      </c>
      <c r="E14" s="10"/>
      <c r="F14" s="10"/>
    </row>
    <row r="16" spans="1:11" x14ac:dyDescent="0.2">
      <c r="A16" s="41">
        <v>42736</v>
      </c>
      <c r="B16" s="10">
        <f>+F13</f>
        <v>6373977.7063485682</v>
      </c>
      <c r="C16" s="10">
        <f t="shared" ref="C16:C27" si="5">+E16-D16</f>
        <v>10698.56936113906</v>
      </c>
      <c r="D16" s="10">
        <f>+B16*$K$2</f>
        <v>18272.069424865895</v>
      </c>
      <c r="E16" s="10">
        <f>-$K$5</f>
        <v>28970.638786004954</v>
      </c>
      <c r="F16" s="10">
        <f t="shared" ref="F16:F27" si="6">+B16-C16</f>
        <v>6363279.1369874291</v>
      </c>
      <c r="G16">
        <v>13</v>
      </c>
    </row>
    <row r="17" spans="1:10" x14ac:dyDescent="0.2">
      <c r="A17" s="41">
        <v>42767</v>
      </c>
      <c r="B17" s="10">
        <f t="shared" ref="B17:B27" si="7">+F16</f>
        <v>6363279.1369874291</v>
      </c>
      <c r="C17" s="10">
        <f t="shared" si="5"/>
        <v>10729.238593307658</v>
      </c>
      <c r="D17" s="10">
        <f t="shared" ref="D17:D27" si="8">+B17*$K$2</f>
        <v>18241.400192697296</v>
      </c>
      <c r="E17" s="10">
        <f t="shared" ref="E17:E27" si="9">-$K$5</f>
        <v>28970.638786004954</v>
      </c>
      <c r="F17" s="10">
        <f t="shared" si="6"/>
        <v>6352549.8983941218</v>
      </c>
      <c r="G17">
        <v>14</v>
      </c>
    </row>
    <row r="18" spans="1:10" x14ac:dyDescent="0.2">
      <c r="A18" s="41">
        <v>42795</v>
      </c>
      <c r="B18" s="10">
        <f t="shared" si="7"/>
        <v>6352549.8983941218</v>
      </c>
      <c r="C18" s="10">
        <f t="shared" si="5"/>
        <v>10759.995743941807</v>
      </c>
      <c r="D18" s="10">
        <f t="shared" si="8"/>
        <v>18210.643042063148</v>
      </c>
      <c r="E18" s="10">
        <f t="shared" si="9"/>
        <v>28970.638786004954</v>
      </c>
      <c r="F18" s="10">
        <f t="shared" si="6"/>
        <v>6341789.9026501803</v>
      </c>
      <c r="G18">
        <v>15</v>
      </c>
    </row>
    <row r="19" spans="1:10" x14ac:dyDescent="0.2">
      <c r="A19" s="41">
        <v>42826</v>
      </c>
      <c r="B19" s="10">
        <f t="shared" si="7"/>
        <v>6341789.9026501803</v>
      </c>
      <c r="C19" s="10">
        <f t="shared" si="5"/>
        <v>10790.841065074437</v>
      </c>
      <c r="D19" s="10">
        <f t="shared" si="8"/>
        <v>18179.797720930517</v>
      </c>
      <c r="E19" s="10">
        <f t="shared" si="9"/>
        <v>28970.638786004954</v>
      </c>
      <c r="F19" s="10">
        <f t="shared" si="6"/>
        <v>6330999.061585106</v>
      </c>
      <c r="G19">
        <v>16</v>
      </c>
    </row>
    <row r="20" spans="1:10" x14ac:dyDescent="0.2">
      <c r="A20" s="41">
        <v>42856</v>
      </c>
      <c r="B20" s="10">
        <f t="shared" si="7"/>
        <v>6330999.061585106</v>
      </c>
      <c r="C20" s="10">
        <f t="shared" si="5"/>
        <v>10821.774809460985</v>
      </c>
      <c r="D20" s="10">
        <f t="shared" si="8"/>
        <v>18148.863976543969</v>
      </c>
      <c r="E20" s="10">
        <f t="shared" si="9"/>
        <v>28970.638786004954</v>
      </c>
      <c r="F20" s="10">
        <f t="shared" si="6"/>
        <v>6320177.2867756449</v>
      </c>
      <c r="G20">
        <v>17</v>
      </c>
    </row>
    <row r="21" spans="1:10" x14ac:dyDescent="0.2">
      <c r="A21" s="41">
        <v>42887</v>
      </c>
      <c r="B21" s="10">
        <f t="shared" si="7"/>
        <v>6320177.2867756449</v>
      </c>
      <c r="C21" s="10">
        <f t="shared" si="5"/>
        <v>10852.79723058144</v>
      </c>
      <c r="D21" s="10">
        <f t="shared" si="8"/>
        <v>18117.841555423514</v>
      </c>
      <c r="E21" s="10">
        <f t="shared" si="9"/>
        <v>28970.638786004954</v>
      </c>
      <c r="F21" s="10">
        <f t="shared" si="6"/>
        <v>6309324.4895450631</v>
      </c>
      <c r="G21">
        <v>18</v>
      </c>
    </row>
    <row r="22" spans="1:10" x14ac:dyDescent="0.2">
      <c r="A22" s="41">
        <v>42917</v>
      </c>
      <c r="B22" s="10">
        <f t="shared" si="7"/>
        <v>6309324.4895450631</v>
      </c>
      <c r="C22" s="10">
        <f t="shared" si="5"/>
        <v>10883.908582642442</v>
      </c>
      <c r="D22" s="10">
        <f t="shared" si="8"/>
        <v>18086.730203362513</v>
      </c>
      <c r="E22" s="10">
        <f t="shared" si="9"/>
        <v>28970.638786004954</v>
      </c>
      <c r="F22" s="10">
        <f t="shared" si="6"/>
        <v>6298440.5809624204</v>
      </c>
      <c r="G22">
        <v>19</v>
      </c>
    </row>
    <row r="23" spans="1:10" x14ac:dyDescent="0.2">
      <c r="A23" s="41">
        <v>42948</v>
      </c>
      <c r="B23" s="10">
        <f t="shared" si="7"/>
        <v>6298440.5809624204</v>
      </c>
      <c r="C23" s="10">
        <f t="shared" si="5"/>
        <v>10915.109120579349</v>
      </c>
      <c r="D23" s="10">
        <f t="shared" si="8"/>
        <v>18055.529665425605</v>
      </c>
      <c r="E23" s="10">
        <f t="shared" si="9"/>
        <v>28970.638786004954</v>
      </c>
      <c r="F23" s="10">
        <f t="shared" si="6"/>
        <v>6287525.471841841</v>
      </c>
      <c r="G23">
        <v>20</v>
      </c>
    </row>
    <row r="24" spans="1:10" x14ac:dyDescent="0.2">
      <c r="A24" s="41">
        <v>42979</v>
      </c>
      <c r="B24" s="10">
        <f t="shared" si="7"/>
        <v>6287525.471841841</v>
      </c>
      <c r="C24" s="10">
        <f t="shared" si="5"/>
        <v>10946.399100058345</v>
      </c>
      <c r="D24" s="10">
        <f t="shared" si="8"/>
        <v>18024.23968594661</v>
      </c>
      <c r="E24" s="10">
        <f t="shared" si="9"/>
        <v>28970.638786004954</v>
      </c>
      <c r="F24" s="10">
        <f t="shared" si="6"/>
        <v>6276579.0727417823</v>
      </c>
      <c r="G24">
        <v>21</v>
      </c>
    </row>
    <row r="25" spans="1:10" x14ac:dyDescent="0.2">
      <c r="A25" s="41">
        <v>43009</v>
      </c>
      <c r="B25" s="10">
        <f t="shared" si="7"/>
        <v>6276579.0727417823</v>
      </c>
      <c r="C25" s="10">
        <f t="shared" si="5"/>
        <v>10977.77877747851</v>
      </c>
      <c r="D25" s="10">
        <f t="shared" si="8"/>
        <v>17992.860008526444</v>
      </c>
      <c r="E25" s="10">
        <f t="shared" si="9"/>
        <v>28970.638786004954</v>
      </c>
      <c r="F25" s="10">
        <f t="shared" si="6"/>
        <v>6265601.293964304</v>
      </c>
      <c r="G25">
        <v>22</v>
      </c>
    </row>
    <row r="26" spans="1:10" x14ac:dyDescent="0.2">
      <c r="A26" s="41">
        <v>43040</v>
      </c>
      <c r="B26" s="10">
        <f t="shared" si="7"/>
        <v>6265601.293964304</v>
      </c>
      <c r="C26" s="10">
        <f t="shared" si="5"/>
        <v>11009.248409973949</v>
      </c>
      <c r="D26" s="10">
        <f t="shared" si="8"/>
        <v>17961.390376031006</v>
      </c>
      <c r="E26" s="10">
        <f t="shared" si="9"/>
        <v>28970.638786004954</v>
      </c>
      <c r="F26" s="10">
        <f t="shared" si="6"/>
        <v>6254592.0455543296</v>
      </c>
      <c r="G26">
        <v>23</v>
      </c>
      <c r="I26" t="s">
        <v>29</v>
      </c>
      <c r="J26" t="s">
        <v>87</v>
      </c>
    </row>
    <row r="27" spans="1:10" ht="15" x14ac:dyDescent="0.25">
      <c r="A27" s="41">
        <v>43070</v>
      </c>
      <c r="B27" s="10">
        <f t="shared" si="7"/>
        <v>6254592.0455543296</v>
      </c>
      <c r="C27" s="10">
        <f t="shared" si="5"/>
        <v>11040.808255415875</v>
      </c>
      <c r="D27" s="10">
        <f t="shared" si="8"/>
        <v>17929.830530589079</v>
      </c>
      <c r="E27" s="10">
        <f t="shared" si="9"/>
        <v>28970.638786004954</v>
      </c>
      <c r="F27" s="11">
        <f t="shared" si="6"/>
        <v>6243551.2372989133</v>
      </c>
      <c r="G27">
        <v>24</v>
      </c>
      <c r="I27" s="18">
        <f>$B$2+CUMPRINC($K$2,$K$3,$B$2,G2,G27,0)</f>
        <v>6243551.2372989133</v>
      </c>
      <c r="J27" s="19">
        <f>-CUMIPMT($K$2,$K$3,$B$2,G16,G27,0)</f>
        <v>217221.19638240556</v>
      </c>
    </row>
    <row r="28" spans="1:10" x14ac:dyDescent="0.2">
      <c r="A28" s="12" t="s">
        <v>45</v>
      </c>
      <c r="B28" s="12"/>
      <c r="C28" s="11">
        <f>SUM(C16:C27)</f>
        <v>130426.46904965385</v>
      </c>
      <c r="D28" s="11">
        <f>SUM(D16:D27)</f>
        <v>217221.19638240561</v>
      </c>
      <c r="E28" s="10"/>
      <c r="F28" s="10"/>
    </row>
    <row r="30" spans="1:10" x14ac:dyDescent="0.2">
      <c r="A30" s="41">
        <v>43101</v>
      </c>
      <c r="B30" s="10">
        <f>+F27</f>
        <v>6243551.2372989133</v>
      </c>
      <c r="C30" s="10">
        <f t="shared" ref="C30:C41" si="10">+E30-D30</f>
        <v>11072.458572414736</v>
      </c>
      <c r="D30" s="10">
        <f>+B30*$K$2</f>
        <v>17898.180213590218</v>
      </c>
      <c r="E30" s="10">
        <f>-$K$5</f>
        <v>28970.638786004954</v>
      </c>
      <c r="F30" s="10">
        <f t="shared" ref="F30:F41" si="11">+B30-C30</f>
        <v>6232478.7787264986</v>
      </c>
      <c r="G30">
        <v>25</v>
      </c>
    </row>
    <row r="31" spans="1:10" x14ac:dyDescent="0.2">
      <c r="A31" s="41">
        <v>43132</v>
      </c>
      <c r="B31" s="10">
        <f t="shared" ref="B31:B41" si="12">+F30</f>
        <v>6232478.7787264986</v>
      </c>
      <c r="C31" s="10">
        <f t="shared" si="10"/>
        <v>11104.199620322324</v>
      </c>
      <c r="D31" s="10">
        <f t="shared" ref="D31:D41" si="13">+B31*$K$2</f>
        <v>17866.43916568263</v>
      </c>
      <c r="E31" s="10">
        <f t="shared" ref="E31:E41" si="14">-$K$5</f>
        <v>28970.638786004954</v>
      </c>
      <c r="F31" s="10">
        <f t="shared" si="11"/>
        <v>6221374.5791061763</v>
      </c>
      <c r="G31">
        <v>26</v>
      </c>
    </row>
    <row r="32" spans="1:10" x14ac:dyDescent="0.2">
      <c r="A32" s="41">
        <v>43160</v>
      </c>
      <c r="B32" s="10">
        <f t="shared" si="12"/>
        <v>6221374.5791061763</v>
      </c>
      <c r="C32" s="10">
        <f t="shared" si="10"/>
        <v>11136.031659233915</v>
      </c>
      <c r="D32" s="10">
        <f t="shared" si="13"/>
        <v>17834.607126771039</v>
      </c>
      <c r="E32" s="10">
        <f t="shared" si="14"/>
        <v>28970.638786004954</v>
      </c>
      <c r="F32" s="10">
        <f t="shared" si="11"/>
        <v>6210238.547446942</v>
      </c>
      <c r="G32">
        <v>27</v>
      </c>
    </row>
    <row r="33" spans="1:10" x14ac:dyDescent="0.2">
      <c r="A33" s="41">
        <v>43191</v>
      </c>
      <c r="B33" s="10">
        <f t="shared" si="12"/>
        <v>6210238.547446942</v>
      </c>
      <c r="C33" s="10">
        <f t="shared" si="10"/>
        <v>11167.954949990388</v>
      </c>
      <c r="D33" s="10">
        <f t="shared" si="13"/>
        <v>17802.683836014567</v>
      </c>
      <c r="E33" s="10">
        <f t="shared" si="14"/>
        <v>28970.638786004954</v>
      </c>
      <c r="F33" s="10">
        <f t="shared" si="11"/>
        <v>6199070.5924969511</v>
      </c>
      <c r="G33">
        <v>28</v>
      </c>
    </row>
    <row r="34" spans="1:10" x14ac:dyDescent="0.2">
      <c r="A34" s="41">
        <v>43221</v>
      </c>
      <c r="B34" s="10">
        <f t="shared" si="12"/>
        <v>6199070.5924969511</v>
      </c>
      <c r="C34" s="10">
        <f t="shared" si="10"/>
        <v>11199.969754180362</v>
      </c>
      <c r="D34" s="10">
        <f t="shared" si="13"/>
        <v>17770.669031824593</v>
      </c>
      <c r="E34" s="10">
        <f t="shared" si="14"/>
        <v>28970.638786004954</v>
      </c>
      <c r="F34" s="10">
        <f t="shared" si="11"/>
        <v>6187870.6227427712</v>
      </c>
      <c r="G34">
        <v>29</v>
      </c>
    </row>
    <row r="35" spans="1:10" x14ac:dyDescent="0.2">
      <c r="A35" s="41">
        <v>43252</v>
      </c>
      <c r="B35" s="10">
        <f t="shared" si="12"/>
        <v>6187870.6227427712</v>
      </c>
      <c r="C35" s="10">
        <f t="shared" si="10"/>
        <v>11232.076334142344</v>
      </c>
      <c r="D35" s="10">
        <f t="shared" si="13"/>
        <v>17738.56245186261</v>
      </c>
      <c r="E35" s="10">
        <f t="shared" si="14"/>
        <v>28970.638786004954</v>
      </c>
      <c r="F35" s="10">
        <f t="shared" si="11"/>
        <v>6176638.546408629</v>
      </c>
      <c r="G35">
        <v>30</v>
      </c>
    </row>
    <row r="36" spans="1:10" x14ac:dyDescent="0.2">
      <c r="A36" s="41">
        <v>43282</v>
      </c>
      <c r="B36" s="10">
        <f t="shared" si="12"/>
        <v>6176638.546408629</v>
      </c>
      <c r="C36" s="10">
        <f t="shared" si="10"/>
        <v>11264.274952966884</v>
      </c>
      <c r="D36" s="10">
        <f t="shared" si="13"/>
        <v>17706.363833038071</v>
      </c>
      <c r="E36" s="10">
        <f t="shared" si="14"/>
        <v>28970.638786004954</v>
      </c>
      <c r="F36" s="10">
        <f t="shared" si="11"/>
        <v>6165374.2714556623</v>
      </c>
      <c r="G36">
        <v>31</v>
      </c>
    </row>
    <row r="37" spans="1:10" x14ac:dyDescent="0.2">
      <c r="A37" s="41">
        <v>43313</v>
      </c>
      <c r="B37" s="10">
        <f t="shared" si="12"/>
        <v>6165374.2714556623</v>
      </c>
      <c r="C37" s="10">
        <f t="shared" si="10"/>
        <v>11296.565874498723</v>
      </c>
      <c r="D37" s="10">
        <f t="shared" si="13"/>
        <v>17674.072911506231</v>
      </c>
      <c r="E37" s="10">
        <f t="shared" si="14"/>
        <v>28970.638786004954</v>
      </c>
      <c r="F37" s="10">
        <f t="shared" si="11"/>
        <v>6154077.705581164</v>
      </c>
      <c r="G37">
        <v>32</v>
      </c>
    </row>
    <row r="38" spans="1:10" x14ac:dyDescent="0.2">
      <c r="A38" s="41">
        <v>43344</v>
      </c>
      <c r="B38" s="10">
        <f t="shared" si="12"/>
        <v>6154077.705581164</v>
      </c>
      <c r="C38" s="10">
        <f t="shared" si="10"/>
        <v>11328.94936333895</v>
      </c>
      <c r="D38" s="10">
        <f t="shared" si="13"/>
        <v>17641.689422666004</v>
      </c>
      <c r="E38" s="10">
        <f t="shared" si="14"/>
        <v>28970.638786004954</v>
      </c>
      <c r="F38" s="10">
        <f t="shared" si="11"/>
        <v>6142748.7562178252</v>
      </c>
      <c r="G38">
        <v>33</v>
      </c>
    </row>
    <row r="39" spans="1:10" x14ac:dyDescent="0.2">
      <c r="A39" s="41">
        <v>43374</v>
      </c>
      <c r="B39" s="10">
        <f t="shared" si="12"/>
        <v>6142748.7562178252</v>
      </c>
      <c r="C39" s="10">
        <f t="shared" si="10"/>
        <v>11361.425684847189</v>
      </c>
      <c r="D39" s="10">
        <f t="shared" si="13"/>
        <v>17609.213101157766</v>
      </c>
      <c r="E39" s="10">
        <f t="shared" si="14"/>
        <v>28970.638786004954</v>
      </c>
      <c r="F39" s="10">
        <f t="shared" si="11"/>
        <v>6131387.3305329783</v>
      </c>
      <c r="G39">
        <v>34</v>
      </c>
    </row>
    <row r="40" spans="1:10" x14ac:dyDescent="0.2">
      <c r="A40" s="41">
        <v>43405</v>
      </c>
      <c r="B40" s="10">
        <f t="shared" si="12"/>
        <v>6131387.3305329783</v>
      </c>
      <c r="C40" s="10">
        <f t="shared" si="10"/>
        <v>11393.995105143749</v>
      </c>
      <c r="D40" s="10">
        <f t="shared" si="13"/>
        <v>17576.643680861205</v>
      </c>
      <c r="E40" s="10">
        <f t="shared" si="14"/>
        <v>28970.638786004954</v>
      </c>
      <c r="F40" s="10">
        <f t="shared" si="11"/>
        <v>6119993.3354278347</v>
      </c>
      <c r="G40">
        <v>35</v>
      </c>
      <c r="I40" t="s">
        <v>29</v>
      </c>
      <c r="J40" t="s">
        <v>87</v>
      </c>
    </row>
    <row r="41" spans="1:10" ht="15" x14ac:dyDescent="0.25">
      <c r="A41" s="41">
        <v>43435</v>
      </c>
      <c r="B41" s="10">
        <f t="shared" si="12"/>
        <v>6119993.3354278347</v>
      </c>
      <c r="C41" s="10">
        <f t="shared" si="10"/>
        <v>11426.657891111827</v>
      </c>
      <c r="D41" s="10">
        <f t="shared" si="13"/>
        <v>17543.980894893128</v>
      </c>
      <c r="E41" s="10">
        <f t="shared" si="14"/>
        <v>28970.638786004954</v>
      </c>
      <c r="F41" s="11">
        <f t="shared" si="11"/>
        <v>6108566.6775367232</v>
      </c>
      <c r="G41">
        <v>36</v>
      </c>
      <c r="I41" s="18">
        <f>$B$2+CUMPRINC($K$2,$K$3,$B$2,G16,G41,0)</f>
        <v>6234588.971188155</v>
      </c>
      <c r="J41" s="19">
        <f>-CUMIPMT($K$2,$K$3,$B$2,G30,G41,0)</f>
        <v>212663.10566986806</v>
      </c>
    </row>
    <row r="42" spans="1:10" x14ac:dyDescent="0.2">
      <c r="A42" s="12" t="s">
        <v>45</v>
      </c>
      <c r="B42" s="12"/>
      <c r="C42" s="11">
        <f>SUM(C30:C41)</f>
        <v>134984.55976219141</v>
      </c>
      <c r="D42" s="11">
        <f>SUM(D30:D41)</f>
        <v>212663.10566986806</v>
      </c>
      <c r="E42" s="10"/>
      <c r="F42" s="10"/>
    </row>
    <row r="44" spans="1:10" x14ac:dyDescent="0.2">
      <c r="A44" s="41">
        <v>43466</v>
      </c>
      <c r="B44" s="10">
        <f>+F41</f>
        <v>6108566.6775367232</v>
      </c>
      <c r="C44" s="10">
        <f t="shared" ref="C44:C55" si="15">+E44-D44</f>
        <v>11459.414310399683</v>
      </c>
      <c r="D44" s="10">
        <f>+B44*$K$2</f>
        <v>17511.224475605271</v>
      </c>
      <c r="E44" s="10">
        <f>-$K$5</f>
        <v>28970.638786004954</v>
      </c>
      <c r="F44" s="10">
        <f t="shared" ref="F44:F55" si="16">+B44-C44</f>
        <v>6097107.2632263238</v>
      </c>
      <c r="G44">
        <v>37</v>
      </c>
    </row>
    <row r="45" spans="1:10" x14ac:dyDescent="0.2">
      <c r="A45" s="41">
        <v>43497</v>
      </c>
      <c r="B45" s="10">
        <f t="shared" ref="B45:B55" si="17">+F44</f>
        <v>6097107.2632263238</v>
      </c>
      <c r="C45" s="10">
        <f t="shared" si="15"/>
        <v>11492.264631422826</v>
      </c>
      <c r="D45" s="10">
        <f t="shared" ref="D45:D55" si="18">+B45*$K$2</f>
        <v>17478.374154582129</v>
      </c>
      <c r="E45" s="10">
        <f t="shared" ref="E45:E55" si="19">-$K$5</f>
        <v>28970.638786004954</v>
      </c>
      <c r="F45" s="10">
        <f t="shared" si="16"/>
        <v>6085614.9985949006</v>
      </c>
      <c r="G45">
        <v>38</v>
      </c>
    </row>
    <row r="46" spans="1:10" x14ac:dyDescent="0.2">
      <c r="A46" s="41">
        <v>43525</v>
      </c>
      <c r="B46" s="10">
        <f t="shared" si="17"/>
        <v>6085614.9985949006</v>
      </c>
      <c r="C46" s="10">
        <f t="shared" si="15"/>
        <v>11525.20912336624</v>
      </c>
      <c r="D46" s="10">
        <f t="shared" si="18"/>
        <v>17445.429662638715</v>
      </c>
      <c r="E46" s="10">
        <f t="shared" si="19"/>
        <v>28970.638786004954</v>
      </c>
      <c r="F46" s="10">
        <f t="shared" si="16"/>
        <v>6074089.7894715341</v>
      </c>
      <c r="G46">
        <v>39</v>
      </c>
    </row>
    <row r="47" spans="1:10" x14ac:dyDescent="0.2">
      <c r="A47" s="41">
        <v>43556</v>
      </c>
      <c r="B47" s="10">
        <f t="shared" si="17"/>
        <v>6074089.7894715341</v>
      </c>
      <c r="C47" s="10">
        <f t="shared" si="15"/>
        <v>11558.248056186556</v>
      </c>
      <c r="D47" s="10">
        <f t="shared" si="18"/>
        <v>17412.390729818399</v>
      </c>
      <c r="E47" s="10">
        <f t="shared" si="19"/>
        <v>28970.638786004954</v>
      </c>
      <c r="F47" s="10">
        <f t="shared" si="16"/>
        <v>6062531.5414153477</v>
      </c>
      <c r="G47">
        <v>40</v>
      </c>
    </row>
    <row r="48" spans="1:10" x14ac:dyDescent="0.2">
      <c r="A48" s="41">
        <v>43586</v>
      </c>
      <c r="B48" s="10">
        <f t="shared" si="17"/>
        <v>6062531.5414153477</v>
      </c>
      <c r="C48" s="10">
        <f t="shared" si="15"/>
        <v>11591.381700614293</v>
      </c>
      <c r="D48" s="10">
        <f t="shared" si="18"/>
        <v>17379.257085390662</v>
      </c>
      <c r="E48" s="10">
        <f t="shared" si="19"/>
        <v>28970.638786004954</v>
      </c>
      <c r="F48" s="10">
        <f t="shared" si="16"/>
        <v>6050940.1597147333</v>
      </c>
      <c r="G48">
        <v>41</v>
      </c>
    </row>
    <row r="49" spans="1:10" x14ac:dyDescent="0.2">
      <c r="A49" s="41">
        <v>43617</v>
      </c>
      <c r="B49" s="10">
        <f t="shared" si="17"/>
        <v>6050940.1597147333</v>
      </c>
      <c r="C49" s="10">
        <f t="shared" si="15"/>
        <v>11624.610328156054</v>
      </c>
      <c r="D49" s="10">
        <f t="shared" si="18"/>
        <v>17346.028457848901</v>
      </c>
      <c r="E49" s="10">
        <f t="shared" si="19"/>
        <v>28970.638786004954</v>
      </c>
      <c r="F49" s="10">
        <f t="shared" si="16"/>
        <v>6039315.5493865767</v>
      </c>
      <c r="G49">
        <v>42</v>
      </c>
    </row>
    <row r="50" spans="1:10" x14ac:dyDescent="0.2">
      <c r="A50" s="41">
        <v>43647</v>
      </c>
      <c r="B50" s="10">
        <f t="shared" si="17"/>
        <v>6039315.5493865767</v>
      </c>
      <c r="C50" s="10">
        <f t="shared" si="15"/>
        <v>11657.934211096766</v>
      </c>
      <c r="D50" s="10">
        <f t="shared" si="18"/>
        <v>17312.704574908188</v>
      </c>
      <c r="E50" s="10">
        <f t="shared" si="19"/>
        <v>28970.638786004954</v>
      </c>
      <c r="F50" s="10">
        <f t="shared" si="16"/>
        <v>6027657.61517548</v>
      </c>
      <c r="G50">
        <v>43</v>
      </c>
    </row>
    <row r="51" spans="1:10" x14ac:dyDescent="0.2">
      <c r="A51" s="41">
        <v>43678</v>
      </c>
      <c r="B51" s="10">
        <f t="shared" si="17"/>
        <v>6027657.61517548</v>
      </c>
      <c r="C51" s="10">
        <f t="shared" si="15"/>
        <v>11691.353622501912</v>
      </c>
      <c r="D51" s="10">
        <f t="shared" si="18"/>
        <v>17279.285163503042</v>
      </c>
      <c r="E51" s="10">
        <f t="shared" si="19"/>
        <v>28970.638786004954</v>
      </c>
      <c r="F51" s="10">
        <f t="shared" si="16"/>
        <v>6015966.2615529783</v>
      </c>
      <c r="G51">
        <v>44</v>
      </c>
    </row>
    <row r="52" spans="1:10" x14ac:dyDescent="0.2">
      <c r="A52" s="41">
        <v>43709</v>
      </c>
      <c r="B52" s="10">
        <f t="shared" si="17"/>
        <v>6015966.2615529783</v>
      </c>
      <c r="C52" s="10">
        <f t="shared" si="15"/>
        <v>11724.86883621975</v>
      </c>
      <c r="D52" s="10">
        <f t="shared" si="18"/>
        <v>17245.769949785205</v>
      </c>
      <c r="E52" s="10">
        <f t="shared" si="19"/>
        <v>28970.638786004954</v>
      </c>
      <c r="F52" s="10">
        <f t="shared" si="16"/>
        <v>6004241.3927167589</v>
      </c>
      <c r="G52">
        <v>45</v>
      </c>
    </row>
    <row r="53" spans="1:10" x14ac:dyDescent="0.2">
      <c r="A53" s="41">
        <v>43739</v>
      </c>
      <c r="B53" s="10">
        <f t="shared" si="17"/>
        <v>6004241.3927167589</v>
      </c>
      <c r="C53" s="10">
        <f t="shared" si="15"/>
        <v>11758.48012688358</v>
      </c>
      <c r="D53" s="10">
        <f t="shared" si="18"/>
        <v>17212.158659121375</v>
      </c>
      <c r="E53" s="10">
        <f t="shared" si="19"/>
        <v>28970.638786004954</v>
      </c>
      <c r="F53" s="10">
        <f t="shared" si="16"/>
        <v>5992482.912589875</v>
      </c>
      <c r="G53">
        <v>46</v>
      </c>
    </row>
    <row r="54" spans="1:10" x14ac:dyDescent="0.2">
      <c r="A54" s="41">
        <v>43770</v>
      </c>
      <c r="B54" s="10">
        <f t="shared" si="17"/>
        <v>5992482.912589875</v>
      </c>
      <c r="C54" s="10">
        <f t="shared" si="15"/>
        <v>11792.18776991398</v>
      </c>
      <c r="D54" s="10">
        <f t="shared" si="18"/>
        <v>17178.451016090974</v>
      </c>
      <c r="E54" s="10">
        <f t="shared" si="19"/>
        <v>28970.638786004954</v>
      </c>
      <c r="F54" s="10">
        <f t="shared" si="16"/>
        <v>5980690.724819961</v>
      </c>
      <c r="G54">
        <v>47</v>
      </c>
      <c r="I54" t="s">
        <v>29</v>
      </c>
      <c r="J54" t="s">
        <v>87</v>
      </c>
    </row>
    <row r="55" spans="1:10" ht="15" x14ac:dyDescent="0.25">
      <c r="A55" s="41">
        <v>43800</v>
      </c>
      <c r="B55" s="10">
        <f t="shared" si="17"/>
        <v>5980690.724819961</v>
      </c>
      <c r="C55" s="10">
        <f t="shared" si="15"/>
        <v>11825.992041521065</v>
      </c>
      <c r="D55" s="10">
        <f t="shared" si="18"/>
        <v>17144.646744483889</v>
      </c>
      <c r="E55" s="10">
        <f t="shared" si="19"/>
        <v>28970.638786004954</v>
      </c>
      <c r="F55" s="11">
        <f t="shared" si="16"/>
        <v>5968864.7327784402</v>
      </c>
      <c r="G55">
        <v>48</v>
      </c>
      <c r="I55" s="18">
        <f>$B$2+CUMPRINC($K$2,$K$3,$B$2,G30,G55,0)</f>
        <v>6225313.495479526</v>
      </c>
      <c r="J55" s="19">
        <f>-CUMIPMT($K$2,$K$3,$B$2,G44,G55,0)</f>
        <v>207945.7206737767</v>
      </c>
    </row>
    <row r="56" spans="1:10" x14ac:dyDescent="0.2">
      <c r="A56" s="12" t="s">
        <v>45</v>
      </c>
      <c r="B56" s="12"/>
      <c r="C56" s="11">
        <f>SUM(C44:C55)</f>
        <v>139701.94475828268</v>
      </c>
      <c r="D56" s="11">
        <f>SUM(D44:D55)</f>
        <v>207945.72067377676</v>
      </c>
      <c r="E56" s="10"/>
      <c r="F56" s="10"/>
    </row>
    <row r="58" spans="1:10" x14ac:dyDescent="0.2">
      <c r="A58" s="41">
        <v>43831</v>
      </c>
      <c r="B58" s="10">
        <f>+F55</f>
        <v>5968864.7327784402</v>
      </c>
      <c r="C58" s="10">
        <f t="shared" ref="C58:C69" si="20">+E58-D58</f>
        <v>11859.893218706758</v>
      </c>
      <c r="D58" s="10">
        <f>+B58*$K$2</f>
        <v>17110.745567298196</v>
      </c>
      <c r="E58" s="10">
        <f>-$K$5</f>
        <v>28970.638786004954</v>
      </c>
      <c r="F58" s="10">
        <f t="shared" ref="F58:F69" si="21">+B58-C58</f>
        <v>5957004.8395597339</v>
      </c>
      <c r="G58">
        <v>49</v>
      </c>
    </row>
    <row r="59" spans="1:10" x14ac:dyDescent="0.2">
      <c r="A59" s="41">
        <v>43862</v>
      </c>
      <c r="B59" s="10">
        <f t="shared" ref="B59:B69" si="22">+F58</f>
        <v>5957004.8395597339</v>
      </c>
      <c r="C59" s="10">
        <f t="shared" si="20"/>
        <v>11893.891579267052</v>
      </c>
      <c r="D59" s="10">
        <f t="shared" ref="D59:D69" si="23">+B59*$K$2</f>
        <v>17076.747206737902</v>
      </c>
      <c r="E59" s="10">
        <f t="shared" ref="E59:E69" si="24">-$K$5</f>
        <v>28970.638786004954</v>
      </c>
      <c r="F59" s="10">
        <f t="shared" si="21"/>
        <v>5945110.9479804672</v>
      </c>
      <c r="G59">
        <v>50</v>
      </c>
    </row>
    <row r="60" spans="1:10" x14ac:dyDescent="0.2">
      <c r="A60" s="41">
        <v>43891</v>
      </c>
      <c r="B60" s="10">
        <f t="shared" si="22"/>
        <v>5945110.9479804672</v>
      </c>
      <c r="C60" s="10">
        <f t="shared" si="20"/>
        <v>11927.987401794282</v>
      </c>
      <c r="D60" s="10">
        <f t="shared" si="23"/>
        <v>17042.651384210672</v>
      </c>
      <c r="E60" s="10">
        <f t="shared" si="24"/>
        <v>28970.638786004954</v>
      </c>
      <c r="F60" s="10">
        <f t="shared" si="21"/>
        <v>5933182.9605786726</v>
      </c>
      <c r="G60">
        <v>51</v>
      </c>
    </row>
    <row r="61" spans="1:10" x14ac:dyDescent="0.2">
      <c r="A61" s="41">
        <v>43922</v>
      </c>
      <c r="B61" s="10">
        <f t="shared" si="22"/>
        <v>5933182.9605786726</v>
      </c>
      <c r="C61" s="10">
        <f t="shared" si="20"/>
        <v>11962.180965679425</v>
      </c>
      <c r="D61" s="10">
        <f t="shared" si="23"/>
        <v>17008.45782032553</v>
      </c>
      <c r="E61" s="10">
        <f t="shared" si="24"/>
        <v>28970.638786004954</v>
      </c>
      <c r="F61" s="10">
        <f t="shared" si="21"/>
        <v>5921220.7796129929</v>
      </c>
      <c r="G61">
        <v>52</v>
      </c>
    </row>
    <row r="62" spans="1:10" x14ac:dyDescent="0.2">
      <c r="A62" s="41">
        <v>43952</v>
      </c>
      <c r="B62" s="10">
        <f t="shared" si="22"/>
        <v>5921220.7796129929</v>
      </c>
      <c r="C62" s="10">
        <f t="shared" si="20"/>
        <v>11996.472551114373</v>
      </c>
      <c r="D62" s="10">
        <f t="shared" si="23"/>
        <v>16974.166234890581</v>
      </c>
      <c r="E62" s="10">
        <f t="shared" si="24"/>
        <v>28970.638786004954</v>
      </c>
      <c r="F62" s="10">
        <f t="shared" si="21"/>
        <v>5909224.307061879</v>
      </c>
      <c r="G62">
        <v>53</v>
      </c>
    </row>
    <row r="63" spans="1:10" x14ac:dyDescent="0.2">
      <c r="A63" s="41">
        <v>43983</v>
      </c>
      <c r="B63" s="10">
        <f t="shared" si="22"/>
        <v>5909224.307061879</v>
      </c>
      <c r="C63" s="10">
        <f t="shared" si="20"/>
        <v>12030.862439094235</v>
      </c>
      <c r="D63" s="10">
        <f t="shared" si="23"/>
        <v>16939.776346910719</v>
      </c>
      <c r="E63" s="10">
        <f t="shared" si="24"/>
        <v>28970.638786004954</v>
      </c>
      <c r="F63" s="10">
        <f t="shared" si="21"/>
        <v>5897193.4446227849</v>
      </c>
      <c r="G63">
        <v>54</v>
      </c>
    </row>
    <row r="64" spans="1:10" x14ac:dyDescent="0.2">
      <c r="A64" s="41">
        <v>44013</v>
      </c>
      <c r="B64" s="10">
        <f t="shared" si="22"/>
        <v>5897193.4446227849</v>
      </c>
      <c r="C64" s="10">
        <f t="shared" si="20"/>
        <v>12065.350911419639</v>
      </c>
      <c r="D64" s="10">
        <f t="shared" si="23"/>
        <v>16905.287874585316</v>
      </c>
      <c r="E64" s="10">
        <f t="shared" si="24"/>
        <v>28970.638786004954</v>
      </c>
      <c r="F64" s="10">
        <f t="shared" si="21"/>
        <v>5885128.093711365</v>
      </c>
      <c r="G64">
        <v>55</v>
      </c>
    </row>
    <row r="65" spans="1:10" x14ac:dyDescent="0.2">
      <c r="A65" s="41">
        <v>44044</v>
      </c>
      <c r="B65" s="10">
        <f t="shared" si="22"/>
        <v>5885128.093711365</v>
      </c>
      <c r="C65" s="10">
        <f t="shared" si="20"/>
        <v>12099.938250699041</v>
      </c>
      <c r="D65" s="10">
        <f t="shared" si="23"/>
        <v>16870.700535305914</v>
      </c>
      <c r="E65" s="10">
        <f t="shared" si="24"/>
        <v>28970.638786004954</v>
      </c>
      <c r="F65" s="10">
        <f t="shared" si="21"/>
        <v>5873028.1554606659</v>
      </c>
      <c r="G65">
        <v>56</v>
      </c>
    </row>
    <row r="66" spans="1:10" x14ac:dyDescent="0.2">
      <c r="A66" s="41">
        <v>44075</v>
      </c>
      <c r="B66" s="10">
        <f t="shared" si="22"/>
        <v>5873028.1554606659</v>
      </c>
      <c r="C66" s="10">
        <f t="shared" si="20"/>
        <v>12134.624740351046</v>
      </c>
      <c r="D66" s="10">
        <f t="shared" si="23"/>
        <v>16836.014045653908</v>
      </c>
      <c r="E66" s="10">
        <f t="shared" si="24"/>
        <v>28970.638786004954</v>
      </c>
      <c r="F66" s="10">
        <f t="shared" si="21"/>
        <v>5860893.5307203149</v>
      </c>
      <c r="G66">
        <v>57</v>
      </c>
    </row>
    <row r="67" spans="1:10" x14ac:dyDescent="0.2">
      <c r="A67" s="41">
        <v>44105</v>
      </c>
      <c r="B67" s="10">
        <f t="shared" si="22"/>
        <v>5860893.5307203149</v>
      </c>
      <c r="C67" s="10">
        <f t="shared" si="20"/>
        <v>12169.410664606719</v>
      </c>
      <c r="D67" s="10">
        <f t="shared" si="23"/>
        <v>16801.228121398235</v>
      </c>
      <c r="E67" s="10">
        <f t="shared" si="24"/>
        <v>28970.638786004954</v>
      </c>
      <c r="F67" s="10">
        <f t="shared" si="21"/>
        <v>5848724.1200557081</v>
      </c>
      <c r="G67">
        <v>58</v>
      </c>
    </row>
    <row r="68" spans="1:10" x14ac:dyDescent="0.2">
      <c r="A68" s="41">
        <v>44136</v>
      </c>
      <c r="B68" s="10">
        <f t="shared" si="22"/>
        <v>5848724.1200557081</v>
      </c>
      <c r="C68" s="10">
        <f t="shared" si="20"/>
        <v>12204.296308511926</v>
      </c>
      <c r="D68" s="10">
        <f t="shared" si="23"/>
        <v>16766.342477493028</v>
      </c>
      <c r="E68" s="10">
        <f t="shared" si="24"/>
        <v>28970.638786004954</v>
      </c>
      <c r="F68" s="10">
        <f t="shared" si="21"/>
        <v>5836519.8237471962</v>
      </c>
      <c r="G68">
        <v>59</v>
      </c>
      <c r="I68" t="s">
        <v>29</v>
      </c>
      <c r="J68" t="s">
        <v>87</v>
      </c>
    </row>
    <row r="69" spans="1:10" ht="15" x14ac:dyDescent="0.25">
      <c r="A69" s="41">
        <v>44166</v>
      </c>
      <c r="B69" s="10">
        <f t="shared" si="22"/>
        <v>5836519.8237471962</v>
      </c>
      <c r="C69" s="10">
        <f t="shared" si="20"/>
        <v>12239.281957929659</v>
      </c>
      <c r="D69" s="10">
        <f t="shared" si="23"/>
        <v>16731.356828075295</v>
      </c>
      <c r="E69" s="10">
        <f t="shared" si="24"/>
        <v>28970.638786004954</v>
      </c>
      <c r="F69" s="11">
        <f t="shared" si="21"/>
        <v>5824280.5417892663</v>
      </c>
      <c r="G69">
        <v>60</v>
      </c>
      <c r="I69" s="18">
        <f>$B$2+CUMPRINC($K$2,$K$3,$B$2,G44,G69,0)</f>
        <v>6215713.8642525431</v>
      </c>
      <c r="J69" s="19">
        <f>-CUMIPMT($K$2,$K$3,$B$2,G58,G69,0)</f>
        <v>203063.47444288523</v>
      </c>
    </row>
    <row r="70" spans="1:10" x14ac:dyDescent="0.2">
      <c r="A70" s="12" t="s">
        <v>45</v>
      </c>
      <c r="B70" s="12"/>
      <c r="C70" s="11">
        <f>SUM(C58:C69)</f>
        <v>144584.19098917418</v>
      </c>
      <c r="D70" s="11">
        <f>SUM(D58:D69)</f>
        <v>203063.47444288532</v>
      </c>
      <c r="E70" s="10"/>
      <c r="F70" s="10"/>
    </row>
    <row r="72" spans="1:10" x14ac:dyDescent="0.2">
      <c r="A72" s="41">
        <v>44197</v>
      </c>
      <c r="B72" s="10">
        <f>+F69</f>
        <v>5824280.5417892663</v>
      </c>
      <c r="C72" s="10">
        <f t="shared" ref="C72:C83" si="25">+E72-D72</f>
        <v>12274.367899542391</v>
      </c>
      <c r="D72" s="10">
        <f>+B72*$K$2</f>
        <v>16696.270886462564</v>
      </c>
      <c r="E72" s="10">
        <f>-$K$5</f>
        <v>28970.638786004954</v>
      </c>
      <c r="F72" s="10">
        <f t="shared" ref="F72:F83" si="26">+B72-C72</f>
        <v>5812006.1738897236</v>
      </c>
      <c r="G72">
        <v>61</v>
      </c>
    </row>
    <row r="73" spans="1:10" x14ac:dyDescent="0.2">
      <c r="A73" s="41">
        <v>44228</v>
      </c>
      <c r="B73" s="10">
        <f t="shared" ref="B73:B83" si="27">+F72</f>
        <v>5812006.1738897236</v>
      </c>
      <c r="C73" s="10">
        <f t="shared" si="25"/>
        <v>12309.554420854412</v>
      </c>
      <c r="D73" s="10">
        <f t="shared" ref="D73:D83" si="28">+B73*$K$2</f>
        <v>16661.084365150542</v>
      </c>
      <c r="E73" s="10">
        <f t="shared" ref="E73:E83" si="29">-$K$5</f>
        <v>28970.638786004954</v>
      </c>
      <c r="F73" s="10">
        <f t="shared" si="26"/>
        <v>5799696.6194688696</v>
      </c>
      <c r="G73">
        <v>62</v>
      </c>
    </row>
    <row r="74" spans="1:10" x14ac:dyDescent="0.2">
      <c r="A74" s="41">
        <v>44256</v>
      </c>
      <c r="B74" s="10">
        <f t="shared" si="27"/>
        <v>5799696.6194688696</v>
      </c>
      <c r="C74" s="10">
        <f t="shared" si="25"/>
        <v>12344.841810194193</v>
      </c>
      <c r="D74" s="10">
        <f t="shared" si="28"/>
        <v>16625.796975810761</v>
      </c>
      <c r="E74" s="10">
        <f t="shared" si="29"/>
        <v>28970.638786004954</v>
      </c>
      <c r="F74" s="10">
        <f t="shared" si="26"/>
        <v>5787351.7776586758</v>
      </c>
      <c r="G74">
        <v>63</v>
      </c>
    </row>
    <row r="75" spans="1:10" x14ac:dyDescent="0.2">
      <c r="A75" s="41">
        <v>44287</v>
      </c>
      <c r="B75" s="10">
        <f t="shared" si="27"/>
        <v>5787351.7776586758</v>
      </c>
      <c r="C75" s="10">
        <f t="shared" si="25"/>
        <v>12380.230356716751</v>
      </c>
      <c r="D75" s="10">
        <f t="shared" si="28"/>
        <v>16590.408429288203</v>
      </c>
      <c r="E75" s="10">
        <f t="shared" si="29"/>
        <v>28970.638786004954</v>
      </c>
      <c r="F75" s="10">
        <f t="shared" si="26"/>
        <v>5774971.5473019592</v>
      </c>
      <c r="G75">
        <v>64</v>
      </c>
    </row>
    <row r="76" spans="1:10" x14ac:dyDescent="0.2">
      <c r="A76" s="41">
        <v>44317</v>
      </c>
      <c r="B76" s="10">
        <f t="shared" si="27"/>
        <v>5774971.5473019592</v>
      </c>
      <c r="C76" s="10">
        <f t="shared" si="25"/>
        <v>12415.720350406005</v>
      </c>
      <c r="D76" s="10">
        <f t="shared" si="28"/>
        <v>16554.918435598949</v>
      </c>
      <c r="E76" s="10">
        <f t="shared" si="29"/>
        <v>28970.638786004954</v>
      </c>
      <c r="F76" s="10">
        <f t="shared" si="26"/>
        <v>5762555.8269515531</v>
      </c>
      <c r="G76">
        <v>65</v>
      </c>
    </row>
    <row r="77" spans="1:10" x14ac:dyDescent="0.2">
      <c r="A77" s="41">
        <v>44348</v>
      </c>
      <c r="B77" s="10">
        <f t="shared" si="27"/>
        <v>5762555.8269515531</v>
      </c>
      <c r="C77" s="10">
        <f t="shared" si="25"/>
        <v>12451.312082077169</v>
      </c>
      <c r="D77" s="10">
        <f t="shared" si="28"/>
        <v>16519.326703927785</v>
      </c>
      <c r="E77" s="10">
        <f t="shared" si="29"/>
        <v>28970.638786004954</v>
      </c>
      <c r="F77" s="10">
        <f t="shared" si="26"/>
        <v>5750104.5148694757</v>
      </c>
      <c r="G77">
        <v>66</v>
      </c>
    </row>
    <row r="78" spans="1:10" x14ac:dyDescent="0.2">
      <c r="A78" s="41">
        <v>44378</v>
      </c>
      <c r="B78" s="10">
        <f t="shared" si="27"/>
        <v>5750104.5148694757</v>
      </c>
      <c r="C78" s="10">
        <f t="shared" si="25"/>
        <v>12487.005843379124</v>
      </c>
      <c r="D78" s="10">
        <f t="shared" si="28"/>
        <v>16483.632942625831</v>
      </c>
      <c r="E78" s="10">
        <f t="shared" si="29"/>
        <v>28970.638786004954</v>
      </c>
      <c r="F78" s="10">
        <f t="shared" si="26"/>
        <v>5737617.5090260962</v>
      </c>
      <c r="G78">
        <v>67</v>
      </c>
    </row>
    <row r="79" spans="1:10" x14ac:dyDescent="0.2">
      <c r="A79" s="41">
        <v>44409</v>
      </c>
      <c r="B79" s="10">
        <f t="shared" si="27"/>
        <v>5737617.5090260962</v>
      </c>
      <c r="C79" s="10">
        <f t="shared" si="25"/>
        <v>12522.801926796812</v>
      </c>
      <c r="D79" s="10">
        <f t="shared" si="28"/>
        <v>16447.836859208142</v>
      </c>
      <c r="E79" s="10">
        <f t="shared" si="29"/>
        <v>28970.638786004954</v>
      </c>
      <c r="F79" s="10">
        <f t="shared" si="26"/>
        <v>5725094.7070992989</v>
      </c>
      <c r="G79">
        <v>68</v>
      </c>
    </row>
    <row r="80" spans="1:10" x14ac:dyDescent="0.2">
      <c r="A80" s="41">
        <v>44440</v>
      </c>
      <c r="B80" s="10">
        <f t="shared" si="27"/>
        <v>5725094.7070992989</v>
      </c>
      <c r="C80" s="10">
        <f t="shared" si="25"/>
        <v>12558.70062565363</v>
      </c>
      <c r="D80" s="10">
        <f t="shared" si="28"/>
        <v>16411.938160351325</v>
      </c>
      <c r="E80" s="10">
        <f t="shared" si="29"/>
        <v>28970.638786004954</v>
      </c>
      <c r="F80" s="10">
        <f t="shared" si="26"/>
        <v>5712536.0064736456</v>
      </c>
      <c r="G80">
        <v>69</v>
      </c>
    </row>
    <row r="81" spans="1:10" x14ac:dyDescent="0.2">
      <c r="A81" s="41">
        <v>44470</v>
      </c>
      <c r="B81" s="10">
        <f t="shared" si="27"/>
        <v>5712536.0064736456</v>
      </c>
      <c r="C81" s="10">
        <f t="shared" si="25"/>
        <v>12594.702234113836</v>
      </c>
      <c r="D81" s="10">
        <f t="shared" si="28"/>
        <v>16375.936551891118</v>
      </c>
      <c r="E81" s="10">
        <f t="shared" si="29"/>
        <v>28970.638786004954</v>
      </c>
      <c r="F81" s="10">
        <f t="shared" si="26"/>
        <v>5699941.304239532</v>
      </c>
      <c r="G81">
        <v>70</v>
      </c>
    </row>
    <row r="82" spans="1:10" x14ac:dyDescent="0.2">
      <c r="A82" s="41">
        <v>44501</v>
      </c>
      <c r="B82" s="10">
        <f t="shared" si="27"/>
        <v>5699941.304239532</v>
      </c>
      <c r="C82" s="10">
        <f t="shared" si="25"/>
        <v>12630.807047184962</v>
      </c>
      <c r="D82" s="10">
        <f t="shared" si="28"/>
        <v>16339.831738819992</v>
      </c>
      <c r="E82" s="10">
        <f t="shared" si="29"/>
        <v>28970.638786004954</v>
      </c>
      <c r="F82" s="10">
        <f t="shared" si="26"/>
        <v>5687310.4971923474</v>
      </c>
      <c r="G82">
        <v>71</v>
      </c>
      <c r="I82" t="s">
        <v>29</v>
      </c>
      <c r="J82" t="s">
        <v>87</v>
      </c>
    </row>
    <row r="83" spans="1:10" ht="15" x14ac:dyDescent="0.25">
      <c r="A83" s="41">
        <v>44531</v>
      </c>
      <c r="B83" s="10">
        <f t="shared" si="27"/>
        <v>5687310.4971923474</v>
      </c>
      <c r="C83" s="10">
        <f t="shared" si="25"/>
        <v>12667.015360720225</v>
      </c>
      <c r="D83" s="10">
        <f t="shared" si="28"/>
        <v>16303.62342528473</v>
      </c>
      <c r="E83" s="10">
        <f t="shared" si="29"/>
        <v>28970.638786004954</v>
      </c>
      <c r="F83" s="11">
        <f t="shared" si="26"/>
        <v>5674643.481831627</v>
      </c>
      <c r="G83">
        <v>72</v>
      </c>
      <c r="I83" s="18">
        <f>$B$2+CUMPRINC($K$2,$K$3,$B$2,G58,G83,0)</f>
        <v>6205778.7490531858</v>
      </c>
      <c r="J83" s="19">
        <f>-CUMIPMT($K$2,$K$3,$B$2,G72,G83,0)</f>
        <v>198010.60547441986</v>
      </c>
    </row>
    <row r="84" spans="1:10" x14ac:dyDescent="0.2">
      <c r="A84" s="12" t="s">
        <v>45</v>
      </c>
      <c r="B84" s="12"/>
      <c r="C84" s="11">
        <f>SUM(C72:C83)</f>
        <v>149637.05995763952</v>
      </c>
      <c r="D84" s="11">
        <f>SUM(D72:D83)</f>
        <v>198010.60547441995</v>
      </c>
      <c r="E84" s="10"/>
      <c r="F84" s="10"/>
    </row>
    <row r="86" spans="1:10" x14ac:dyDescent="0.2">
      <c r="A86" s="41">
        <v>44562</v>
      </c>
      <c r="B86" s="10">
        <f>+F83</f>
        <v>5674643.481831627</v>
      </c>
      <c r="C86" s="10">
        <f t="shared" ref="C86:C97" si="30">+E86-D86</f>
        <v>12703.327471420956</v>
      </c>
      <c r="D86" s="10">
        <f>+B86*$K$2</f>
        <v>16267.311314583998</v>
      </c>
      <c r="E86" s="10">
        <f>-$K$5</f>
        <v>28970.638786004954</v>
      </c>
      <c r="F86" s="10">
        <f t="shared" ref="F86:F97" si="31">+B86-C86</f>
        <v>5661940.1543602059</v>
      </c>
      <c r="G86">
        <v>73</v>
      </c>
    </row>
    <row r="87" spans="1:10" x14ac:dyDescent="0.2">
      <c r="A87" s="41">
        <v>44593</v>
      </c>
      <c r="B87" s="10">
        <f t="shared" ref="B87:B97" si="32">+F86</f>
        <v>5661940.1543602059</v>
      </c>
      <c r="C87" s="10">
        <f t="shared" si="30"/>
        <v>12739.743676839031</v>
      </c>
      <c r="D87" s="10">
        <f t="shared" ref="D87:D97" si="33">+B87*$K$2</f>
        <v>16230.895109165924</v>
      </c>
      <c r="E87" s="10">
        <f t="shared" ref="E87:E97" si="34">-$K$5</f>
        <v>28970.638786004954</v>
      </c>
      <c r="F87" s="10">
        <f t="shared" si="31"/>
        <v>5649200.4106833665</v>
      </c>
      <c r="G87">
        <v>74</v>
      </c>
    </row>
    <row r="88" spans="1:10" x14ac:dyDescent="0.2">
      <c r="A88" s="41">
        <v>44621</v>
      </c>
      <c r="B88" s="10">
        <f t="shared" si="32"/>
        <v>5649200.4106833665</v>
      </c>
      <c r="C88" s="10">
        <f t="shared" si="30"/>
        <v>12776.264275379304</v>
      </c>
      <c r="D88" s="10">
        <f t="shared" si="33"/>
        <v>16194.37451062565</v>
      </c>
      <c r="E88" s="10">
        <f t="shared" si="34"/>
        <v>28970.638786004954</v>
      </c>
      <c r="F88" s="10">
        <f t="shared" si="31"/>
        <v>5636424.146407987</v>
      </c>
      <c r="G88">
        <v>75</v>
      </c>
    </row>
    <row r="89" spans="1:10" x14ac:dyDescent="0.2">
      <c r="A89" s="41">
        <v>44652</v>
      </c>
      <c r="B89" s="10">
        <f t="shared" si="32"/>
        <v>5636424.146407987</v>
      </c>
      <c r="C89" s="10">
        <f t="shared" si="30"/>
        <v>12812.889566302058</v>
      </c>
      <c r="D89" s="10">
        <f t="shared" si="33"/>
        <v>16157.749219702897</v>
      </c>
      <c r="E89" s="10">
        <f t="shared" si="34"/>
        <v>28970.638786004954</v>
      </c>
      <c r="F89" s="10">
        <f t="shared" si="31"/>
        <v>5623611.2568416847</v>
      </c>
      <c r="G89">
        <v>76</v>
      </c>
    </row>
    <row r="90" spans="1:10" x14ac:dyDescent="0.2">
      <c r="A90" s="41">
        <v>44682</v>
      </c>
      <c r="B90" s="10">
        <f t="shared" si="32"/>
        <v>5623611.2568416847</v>
      </c>
      <c r="C90" s="10">
        <f t="shared" si="30"/>
        <v>12849.619849725459</v>
      </c>
      <c r="D90" s="10">
        <f t="shared" si="33"/>
        <v>16121.018936279495</v>
      </c>
      <c r="E90" s="10">
        <f t="shared" si="34"/>
        <v>28970.638786004954</v>
      </c>
      <c r="F90" s="10">
        <f t="shared" si="31"/>
        <v>5610761.6369919591</v>
      </c>
      <c r="G90">
        <v>77</v>
      </c>
    </row>
    <row r="91" spans="1:10" x14ac:dyDescent="0.2">
      <c r="A91" s="41">
        <v>44713</v>
      </c>
      <c r="B91" s="10">
        <f t="shared" si="32"/>
        <v>5610761.6369919591</v>
      </c>
      <c r="C91" s="10">
        <f t="shared" si="30"/>
        <v>12886.455426628005</v>
      </c>
      <c r="D91" s="10">
        <f t="shared" si="33"/>
        <v>16084.18335937695</v>
      </c>
      <c r="E91" s="10">
        <f t="shared" si="34"/>
        <v>28970.638786004954</v>
      </c>
      <c r="F91" s="10">
        <f t="shared" si="31"/>
        <v>5597875.1815653313</v>
      </c>
      <c r="G91">
        <v>78</v>
      </c>
    </row>
    <row r="92" spans="1:10" x14ac:dyDescent="0.2">
      <c r="A92" s="41">
        <v>44743</v>
      </c>
      <c r="B92" s="10">
        <f t="shared" si="32"/>
        <v>5597875.1815653313</v>
      </c>
      <c r="C92" s="10">
        <f t="shared" si="30"/>
        <v>12923.396598851004</v>
      </c>
      <c r="D92" s="10">
        <f t="shared" si="33"/>
        <v>16047.24218715395</v>
      </c>
      <c r="E92" s="10">
        <f t="shared" si="34"/>
        <v>28970.638786004954</v>
      </c>
      <c r="F92" s="10">
        <f t="shared" si="31"/>
        <v>5584951.78496648</v>
      </c>
      <c r="G92">
        <v>79</v>
      </c>
    </row>
    <row r="93" spans="1:10" x14ac:dyDescent="0.2">
      <c r="A93" s="41">
        <v>44774</v>
      </c>
      <c r="B93" s="10">
        <f t="shared" si="32"/>
        <v>5584951.78496648</v>
      </c>
      <c r="C93" s="10">
        <f t="shared" si="30"/>
        <v>12960.443669101045</v>
      </c>
      <c r="D93" s="10">
        <f t="shared" si="33"/>
        <v>16010.195116903909</v>
      </c>
      <c r="E93" s="10">
        <f t="shared" si="34"/>
        <v>28970.638786004954</v>
      </c>
      <c r="F93" s="10">
        <f t="shared" si="31"/>
        <v>5571991.3412973788</v>
      </c>
      <c r="G93">
        <v>80</v>
      </c>
    </row>
    <row r="94" spans="1:10" x14ac:dyDescent="0.2">
      <c r="A94" s="41">
        <v>44805</v>
      </c>
      <c r="B94" s="10">
        <f t="shared" si="32"/>
        <v>5571991.3412973788</v>
      </c>
      <c r="C94" s="10">
        <f t="shared" si="30"/>
        <v>12997.596940952468</v>
      </c>
      <c r="D94" s="10">
        <f t="shared" si="33"/>
        <v>15973.041845052487</v>
      </c>
      <c r="E94" s="10">
        <f t="shared" si="34"/>
        <v>28970.638786004954</v>
      </c>
      <c r="F94" s="10">
        <f t="shared" si="31"/>
        <v>5558993.7443564264</v>
      </c>
      <c r="G94">
        <v>81</v>
      </c>
    </row>
    <row r="95" spans="1:10" x14ac:dyDescent="0.2">
      <c r="A95" s="41">
        <v>44835</v>
      </c>
      <c r="B95" s="10">
        <f t="shared" si="32"/>
        <v>5558993.7443564264</v>
      </c>
      <c r="C95" s="10">
        <f t="shared" si="30"/>
        <v>13034.856718849866</v>
      </c>
      <c r="D95" s="10">
        <f t="shared" si="33"/>
        <v>15935.782067155089</v>
      </c>
      <c r="E95" s="10">
        <f t="shared" si="34"/>
        <v>28970.638786004954</v>
      </c>
      <c r="F95" s="10">
        <f t="shared" si="31"/>
        <v>5545958.8876375761</v>
      </c>
      <c r="G95">
        <v>82</v>
      </c>
    </row>
    <row r="96" spans="1:10" x14ac:dyDescent="0.2">
      <c r="A96" s="41">
        <v>44866</v>
      </c>
      <c r="B96" s="10">
        <f t="shared" si="32"/>
        <v>5545958.8876375761</v>
      </c>
      <c r="C96" s="10">
        <f t="shared" si="30"/>
        <v>13072.22330811057</v>
      </c>
      <c r="D96" s="10">
        <f t="shared" si="33"/>
        <v>15898.415477894385</v>
      </c>
      <c r="E96" s="10">
        <f t="shared" si="34"/>
        <v>28970.638786004954</v>
      </c>
      <c r="F96" s="10">
        <f t="shared" si="31"/>
        <v>5532886.6643294655</v>
      </c>
      <c r="G96">
        <v>83</v>
      </c>
      <c r="I96" t="s">
        <v>29</v>
      </c>
      <c r="J96" t="s">
        <v>87</v>
      </c>
    </row>
    <row r="97" spans="1:10" ht="15" x14ac:dyDescent="0.25">
      <c r="A97" s="41">
        <v>44896</v>
      </c>
      <c r="B97" s="10">
        <f t="shared" si="32"/>
        <v>5532886.6643294655</v>
      </c>
      <c r="C97" s="10">
        <f t="shared" si="30"/>
        <v>13109.697014927153</v>
      </c>
      <c r="D97" s="10">
        <f t="shared" si="33"/>
        <v>15860.941771077802</v>
      </c>
      <c r="E97" s="10">
        <f t="shared" si="34"/>
        <v>28970.638786004954</v>
      </c>
      <c r="F97" s="11">
        <f t="shared" si="31"/>
        <v>5519776.9673145385</v>
      </c>
      <c r="G97">
        <v>84</v>
      </c>
      <c r="I97" s="18">
        <f>$B$2+CUMPRINC($K$2,$K$3,$B$2,G72,G97,0)</f>
        <v>6195496.4255252732</v>
      </c>
      <c r="J97" s="19">
        <f>-CUMIPMT($K$2,$K$3,$B$2,G86,G97,0)</f>
        <v>192781.1509149725</v>
      </c>
    </row>
    <row r="98" spans="1:10" x14ac:dyDescent="0.2">
      <c r="A98" s="12" t="s">
        <v>45</v>
      </c>
      <c r="B98" s="12"/>
      <c r="C98" s="11">
        <f>SUM(C86:C97)</f>
        <v>154866.51451708694</v>
      </c>
      <c r="D98" s="11">
        <f>SUM(D86:D97)</f>
        <v>192781.15091497256</v>
      </c>
      <c r="E98" s="10"/>
      <c r="F98" s="10"/>
    </row>
    <row r="100" spans="1:10" x14ac:dyDescent="0.2">
      <c r="A100" s="41">
        <v>44927</v>
      </c>
      <c r="B100" s="10">
        <f>+F97</f>
        <v>5519776.9673145385</v>
      </c>
      <c r="C100" s="10">
        <f t="shared" ref="C100:C111" si="35">+E100-D100</f>
        <v>13147.278146369945</v>
      </c>
      <c r="D100" s="10">
        <f>+B100*$K$2</f>
        <v>15823.36063963501</v>
      </c>
      <c r="E100" s="10">
        <f>-$K$5</f>
        <v>28970.638786004954</v>
      </c>
      <c r="F100" s="10">
        <f t="shared" ref="F100:F111" si="36">+B100-C100</f>
        <v>5506629.6891681682</v>
      </c>
      <c r="G100">
        <v>85</v>
      </c>
    </row>
    <row r="101" spans="1:10" x14ac:dyDescent="0.2">
      <c r="A101" s="41">
        <v>44958</v>
      </c>
      <c r="B101" s="10">
        <f t="shared" ref="B101:B111" si="37">+F100</f>
        <v>5506629.6891681682</v>
      </c>
      <c r="C101" s="10">
        <f t="shared" si="35"/>
        <v>13184.967010389539</v>
      </c>
      <c r="D101" s="10">
        <f t="shared" ref="D101:D111" si="38">+B101*$K$2</f>
        <v>15785.671775615416</v>
      </c>
      <c r="E101" s="10">
        <f t="shared" ref="E101:E111" si="39">-$K$5</f>
        <v>28970.638786004954</v>
      </c>
      <c r="F101" s="10">
        <f t="shared" si="36"/>
        <v>5493444.7221577791</v>
      </c>
      <c r="G101">
        <v>86</v>
      </c>
    </row>
    <row r="102" spans="1:10" x14ac:dyDescent="0.2">
      <c r="A102" s="41">
        <v>44986</v>
      </c>
      <c r="B102" s="10">
        <f t="shared" si="37"/>
        <v>5493444.7221577791</v>
      </c>
      <c r="C102" s="10">
        <f t="shared" si="35"/>
        <v>13222.763915819321</v>
      </c>
      <c r="D102" s="10">
        <f t="shared" si="38"/>
        <v>15747.874870185633</v>
      </c>
      <c r="E102" s="10">
        <f t="shared" si="39"/>
        <v>28970.638786004954</v>
      </c>
      <c r="F102" s="10">
        <f t="shared" si="36"/>
        <v>5480221.95824196</v>
      </c>
      <c r="G102">
        <v>87</v>
      </c>
    </row>
    <row r="103" spans="1:10" x14ac:dyDescent="0.2">
      <c r="A103" s="41">
        <v>45017</v>
      </c>
      <c r="B103" s="10">
        <f t="shared" si="37"/>
        <v>5480221.95824196</v>
      </c>
      <c r="C103" s="10">
        <f t="shared" si="35"/>
        <v>13260.669172378002</v>
      </c>
      <c r="D103" s="10">
        <f t="shared" si="38"/>
        <v>15709.969613626952</v>
      </c>
      <c r="E103" s="10">
        <f t="shared" si="39"/>
        <v>28970.638786004954</v>
      </c>
      <c r="F103" s="10">
        <f t="shared" si="36"/>
        <v>5466961.2890695818</v>
      </c>
      <c r="G103">
        <v>88</v>
      </c>
    </row>
    <row r="104" spans="1:10" x14ac:dyDescent="0.2">
      <c r="A104" s="41">
        <v>45047</v>
      </c>
      <c r="B104" s="10">
        <f t="shared" si="37"/>
        <v>5466961.2890695818</v>
      </c>
      <c r="C104" s="10">
        <f t="shared" si="35"/>
        <v>13298.683090672153</v>
      </c>
      <c r="D104" s="10">
        <f t="shared" si="38"/>
        <v>15671.955695332801</v>
      </c>
      <c r="E104" s="10">
        <f t="shared" si="39"/>
        <v>28970.638786004954</v>
      </c>
      <c r="F104" s="10">
        <f t="shared" si="36"/>
        <v>5453662.6059789099</v>
      </c>
      <c r="G104">
        <v>89</v>
      </c>
    </row>
    <row r="105" spans="1:10" x14ac:dyDescent="0.2">
      <c r="A105" s="41">
        <v>45078</v>
      </c>
      <c r="B105" s="10">
        <f t="shared" si="37"/>
        <v>5453662.6059789099</v>
      </c>
      <c r="C105" s="10">
        <f t="shared" si="35"/>
        <v>13336.805982198746</v>
      </c>
      <c r="D105" s="10">
        <f t="shared" si="38"/>
        <v>15633.832803806208</v>
      </c>
      <c r="E105" s="10">
        <f t="shared" si="39"/>
        <v>28970.638786004954</v>
      </c>
      <c r="F105" s="10">
        <f t="shared" si="36"/>
        <v>5440325.7999967113</v>
      </c>
      <c r="G105">
        <v>90</v>
      </c>
    </row>
    <row r="106" spans="1:10" x14ac:dyDescent="0.2">
      <c r="A106" s="41">
        <v>45108</v>
      </c>
      <c r="B106" s="10">
        <f t="shared" si="37"/>
        <v>5440325.7999967113</v>
      </c>
      <c r="C106" s="10">
        <f t="shared" si="35"/>
        <v>13375.038159347716</v>
      </c>
      <c r="D106" s="10">
        <f t="shared" si="38"/>
        <v>15595.600626657239</v>
      </c>
      <c r="E106" s="10">
        <f t="shared" si="39"/>
        <v>28970.638786004954</v>
      </c>
      <c r="F106" s="10">
        <f t="shared" si="36"/>
        <v>5426950.7618373632</v>
      </c>
      <c r="G106">
        <v>91</v>
      </c>
    </row>
    <row r="107" spans="1:10" x14ac:dyDescent="0.2">
      <c r="A107" s="41">
        <v>45139</v>
      </c>
      <c r="B107" s="10">
        <f t="shared" si="37"/>
        <v>5426950.7618373632</v>
      </c>
      <c r="C107" s="10">
        <f t="shared" si="35"/>
        <v>13413.379935404513</v>
      </c>
      <c r="D107" s="10">
        <f t="shared" si="38"/>
        <v>15557.258850600441</v>
      </c>
      <c r="E107" s="10">
        <f t="shared" si="39"/>
        <v>28970.638786004954</v>
      </c>
      <c r="F107" s="10">
        <f t="shared" si="36"/>
        <v>5413537.381901959</v>
      </c>
      <c r="G107">
        <v>92</v>
      </c>
    </row>
    <row r="108" spans="1:10" x14ac:dyDescent="0.2">
      <c r="A108" s="41">
        <v>45170</v>
      </c>
      <c r="B108" s="10">
        <f t="shared" si="37"/>
        <v>5413537.381901959</v>
      </c>
      <c r="C108" s="10">
        <f t="shared" si="35"/>
        <v>13451.831624552671</v>
      </c>
      <c r="D108" s="10">
        <f t="shared" si="38"/>
        <v>15518.807161452283</v>
      </c>
      <c r="E108" s="10">
        <f t="shared" si="39"/>
        <v>28970.638786004954</v>
      </c>
      <c r="F108" s="10">
        <f t="shared" si="36"/>
        <v>5400085.5502774063</v>
      </c>
      <c r="G108">
        <v>93</v>
      </c>
    </row>
    <row r="109" spans="1:10" x14ac:dyDescent="0.2">
      <c r="A109" s="41">
        <v>45200</v>
      </c>
      <c r="B109" s="10">
        <f t="shared" si="37"/>
        <v>5400085.5502774063</v>
      </c>
      <c r="C109" s="10">
        <f t="shared" si="35"/>
        <v>13490.39354187639</v>
      </c>
      <c r="D109" s="10">
        <f t="shared" si="38"/>
        <v>15480.245244128564</v>
      </c>
      <c r="E109" s="10">
        <f t="shared" si="39"/>
        <v>28970.638786004954</v>
      </c>
      <c r="F109" s="10">
        <f t="shared" si="36"/>
        <v>5386595.1567355301</v>
      </c>
      <c r="G109">
        <v>94</v>
      </c>
    </row>
    <row r="110" spans="1:10" x14ac:dyDescent="0.2">
      <c r="A110" s="41">
        <v>45231</v>
      </c>
      <c r="B110" s="10">
        <f t="shared" si="37"/>
        <v>5386595.1567355301</v>
      </c>
      <c r="C110" s="10">
        <f t="shared" si="35"/>
        <v>13529.066003363101</v>
      </c>
      <c r="D110" s="10">
        <f t="shared" si="38"/>
        <v>15441.572782641853</v>
      </c>
      <c r="E110" s="10">
        <f t="shared" si="39"/>
        <v>28970.638786004954</v>
      </c>
      <c r="F110" s="10">
        <f t="shared" si="36"/>
        <v>5373066.0907321675</v>
      </c>
      <c r="G110">
        <v>95</v>
      </c>
      <c r="I110" t="s">
        <v>29</v>
      </c>
      <c r="J110" t="s">
        <v>87</v>
      </c>
    </row>
    <row r="111" spans="1:10" ht="15" x14ac:dyDescent="0.25">
      <c r="A111" s="41">
        <v>45261</v>
      </c>
      <c r="B111" s="10">
        <f t="shared" si="37"/>
        <v>5373066.0907321675</v>
      </c>
      <c r="C111" s="10">
        <f t="shared" si="35"/>
        <v>13567.849325906074</v>
      </c>
      <c r="D111" s="10">
        <f t="shared" si="38"/>
        <v>15402.78946009888</v>
      </c>
      <c r="E111" s="10">
        <f t="shared" si="39"/>
        <v>28970.638786004954</v>
      </c>
      <c r="F111" s="11">
        <f t="shared" si="36"/>
        <v>5359498.241406261</v>
      </c>
      <c r="G111">
        <v>96</v>
      </c>
      <c r="I111" s="18">
        <f>$B$2+CUMPRINC($K$2,$K$3,$B$2,G86,G111,0)</f>
        <v>6184854.759574635</v>
      </c>
      <c r="J111" s="19">
        <f>-CUMIPMT($K$2,$K$3,$B$2,G100,G111,0)</f>
        <v>187368.93952378124</v>
      </c>
    </row>
    <row r="112" spans="1:10" x14ac:dyDescent="0.2">
      <c r="A112" s="12" t="s">
        <v>45</v>
      </c>
      <c r="B112" s="12"/>
      <c r="C112" s="11">
        <f>SUM(C100:C111)</f>
        <v>160278.7259082782</v>
      </c>
      <c r="D112" s="11">
        <f>SUM(D100:D111)</f>
        <v>187368.9395237813</v>
      </c>
      <c r="E112" s="10"/>
      <c r="F112" s="10"/>
    </row>
    <row r="114" spans="1:10" x14ac:dyDescent="0.2">
      <c r="A114" s="41">
        <v>45292</v>
      </c>
      <c r="B114" s="10">
        <f>+F111</f>
        <v>5359498.241406261</v>
      </c>
      <c r="C114" s="10">
        <f t="shared" ref="C114:C125" si="40">+E114-D114</f>
        <v>13606.743827307006</v>
      </c>
      <c r="D114" s="10">
        <f>+B114*$K$2</f>
        <v>15363.894958697949</v>
      </c>
      <c r="E114" s="10">
        <f>-$K$5</f>
        <v>28970.638786004954</v>
      </c>
      <c r="F114" s="10">
        <f t="shared" ref="F114:F125" si="41">+B114-C114</f>
        <v>5345891.4975789543</v>
      </c>
      <c r="G114">
        <v>85</v>
      </c>
    </row>
    <row r="115" spans="1:10" x14ac:dyDescent="0.2">
      <c r="A115" s="41">
        <v>45323</v>
      </c>
      <c r="B115" s="10">
        <f t="shared" ref="B115:B125" si="42">+F114</f>
        <v>5345891.4975789543</v>
      </c>
      <c r="C115" s="10">
        <f t="shared" si="40"/>
        <v>13645.749826278619</v>
      </c>
      <c r="D115" s="10">
        <f t="shared" ref="D115:D125" si="43">+B115*$K$2</f>
        <v>15324.888959726335</v>
      </c>
      <c r="E115" s="10">
        <f t="shared" ref="E115:E125" si="44">-$K$5</f>
        <v>28970.638786004954</v>
      </c>
      <c r="F115" s="10">
        <f t="shared" si="41"/>
        <v>5332245.7477526758</v>
      </c>
      <c r="G115">
        <v>86</v>
      </c>
    </row>
    <row r="116" spans="1:10" x14ac:dyDescent="0.2">
      <c r="A116" s="41">
        <v>45352</v>
      </c>
      <c r="B116" s="10">
        <f t="shared" si="42"/>
        <v>5332245.7477526758</v>
      </c>
      <c r="C116" s="10">
        <f t="shared" si="40"/>
        <v>13684.867642447283</v>
      </c>
      <c r="D116" s="10">
        <f t="shared" si="43"/>
        <v>15285.771143557671</v>
      </c>
      <c r="E116" s="10">
        <f t="shared" si="44"/>
        <v>28970.638786004954</v>
      </c>
      <c r="F116" s="10">
        <f t="shared" si="41"/>
        <v>5318560.8801102284</v>
      </c>
      <c r="G116">
        <v>87</v>
      </c>
    </row>
    <row r="117" spans="1:10" x14ac:dyDescent="0.2">
      <c r="A117" s="41">
        <v>45383</v>
      </c>
      <c r="B117" s="10">
        <f t="shared" si="42"/>
        <v>5318560.8801102284</v>
      </c>
      <c r="C117" s="10">
        <f t="shared" si="40"/>
        <v>13724.097596355632</v>
      </c>
      <c r="D117" s="10">
        <f t="shared" si="43"/>
        <v>15246.541189649322</v>
      </c>
      <c r="E117" s="10">
        <f t="shared" si="44"/>
        <v>28970.638786004954</v>
      </c>
      <c r="F117" s="10">
        <f t="shared" si="41"/>
        <v>5304836.7825138727</v>
      </c>
      <c r="G117">
        <v>88</v>
      </c>
    </row>
    <row r="118" spans="1:10" x14ac:dyDescent="0.2">
      <c r="A118" s="41">
        <v>45413</v>
      </c>
      <c r="B118" s="10">
        <f t="shared" si="42"/>
        <v>5304836.7825138727</v>
      </c>
      <c r="C118" s="10">
        <f t="shared" si="40"/>
        <v>13763.440009465186</v>
      </c>
      <c r="D118" s="10">
        <f t="shared" si="43"/>
        <v>15207.198776539768</v>
      </c>
      <c r="E118" s="10">
        <f t="shared" si="44"/>
        <v>28970.638786004954</v>
      </c>
      <c r="F118" s="10">
        <f t="shared" si="41"/>
        <v>5291073.3425044073</v>
      </c>
      <c r="G118">
        <v>89</v>
      </c>
    </row>
    <row r="119" spans="1:10" x14ac:dyDescent="0.2">
      <c r="A119" s="41">
        <v>45444</v>
      </c>
      <c r="B119" s="10">
        <f t="shared" si="42"/>
        <v>5291073.3425044073</v>
      </c>
      <c r="C119" s="10">
        <f t="shared" si="40"/>
        <v>13802.895204158987</v>
      </c>
      <c r="D119" s="10">
        <f t="shared" si="43"/>
        <v>15167.743581845967</v>
      </c>
      <c r="E119" s="10">
        <f t="shared" si="44"/>
        <v>28970.638786004954</v>
      </c>
      <c r="F119" s="10">
        <f t="shared" si="41"/>
        <v>5277270.4473002478</v>
      </c>
      <c r="G119">
        <v>90</v>
      </c>
    </row>
    <row r="120" spans="1:10" x14ac:dyDescent="0.2">
      <c r="A120" s="41">
        <v>45474</v>
      </c>
      <c r="B120" s="10">
        <f t="shared" si="42"/>
        <v>5277270.4473002478</v>
      </c>
      <c r="C120" s="10">
        <f t="shared" si="40"/>
        <v>13842.463503744244</v>
      </c>
      <c r="D120" s="10">
        <f t="shared" si="43"/>
        <v>15128.17528226071</v>
      </c>
      <c r="E120" s="10">
        <f t="shared" si="44"/>
        <v>28970.638786004954</v>
      </c>
      <c r="F120" s="10">
        <f t="shared" si="41"/>
        <v>5263427.9837965034</v>
      </c>
      <c r="G120">
        <v>91</v>
      </c>
    </row>
    <row r="121" spans="1:10" x14ac:dyDescent="0.2">
      <c r="A121" s="41">
        <v>45505</v>
      </c>
      <c r="B121" s="10">
        <f t="shared" si="42"/>
        <v>5263427.9837965034</v>
      </c>
      <c r="C121" s="10">
        <f t="shared" si="40"/>
        <v>13882.145232454977</v>
      </c>
      <c r="D121" s="10">
        <f t="shared" si="43"/>
        <v>15088.493553549977</v>
      </c>
      <c r="E121" s="10">
        <f t="shared" si="44"/>
        <v>28970.638786004954</v>
      </c>
      <c r="F121" s="10">
        <f t="shared" si="41"/>
        <v>5249545.8385640485</v>
      </c>
      <c r="G121">
        <v>92</v>
      </c>
    </row>
    <row r="122" spans="1:10" x14ac:dyDescent="0.2">
      <c r="A122" s="41">
        <v>45536</v>
      </c>
      <c r="B122" s="10">
        <f t="shared" si="42"/>
        <v>5249545.8385640485</v>
      </c>
      <c r="C122" s="10">
        <f t="shared" si="40"/>
        <v>13921.940715454683</v>
      </c>
      <c r="D122" s="10">
        <f t="shared" si="43"/>
        <v>15048.698070550272</v>
      </c>
      <c r="E122" s="10">
        <f t="shared" si="44"/>
        <v>28970.638786004954</v>
      </c>
      <c r="F122" s="10">
        <f t="shared" si="41"/>
        <v>5235623.897848594</v>
      </c>
      <c r="G122">
        <v>93</v>
      </c>
    </row>
    <row r="123" spans="1:10" x14ac:dyDescent="0.2">
      <c r="A123" s="41">
        <v>45566</v>
      </c>
      <c r="B123" s="10">
        <f t="shared" si="42"/>
        <v>5235623.897848594</v>
      </c>
      <c r="C123" s="10">
        <f t="shared" si="40"/>
        <v>13961.850278838985</v>
      </c>
      <c r="D123" s="10">
        <f t="shared" si="43"/>
        <v>15008.788507165969</v>
      </c>
      <c r="E123" s="10">
        <f t="shared" si="44"/>
        <v>28970.638786004954</v>
      </c>
      <c r="F123" s="10">
        <f t="shared" si="41"/>
        <v>5221662.0475697555</v>
      </c>
      <c r="G123">
        <v>94</v>
      </c>
    </row>
    <row r="124" spans="1:10" x14ac:dyDescent="0.2">
      <c r="A124" s="41">
        <v>45597</v>
      </c>
      <c r="B124" s="10">
        <f t="shared" si="42"/>
        <v>5221662.0475697555</v>
      </c>
      <c r="C124" s="10">
        <f t="shared" si="40"/>
        <v>14001.874249638322</v>
      </c>
      <c r="D124" s="10">
        <f t="shared" si="43"/>
        <v>14968.764536366632</v>
      </c>
      <c r="E124" s="10">
        <f t="shared" si="44"/>
        <v>28970.638786004954</v>
      </c>
      <c r="F124" s="10">
        <f t="shared" si="41"/>
        <v>5207660.1733201174</v>
      </c>
      <c r="G124">
        <v>95</v>
      </c>
      <c r="I124" t="s">
        <v>29</v>
      </c>
      <c r="J124" t="s">
        <v>87</v>
      </c>
    </row>
    <row r="125" spans="1:10" ht="15" x14ac:dyDescent="0.25">
      <c r="A125" s="41">
        <v>45627</v>
      </c>
      <c r="B125" s="10">
        <f t="shared" si="42"/>
        <v>5207660.1733201174</v>
      </c>
      <c r="C125" s="10">
        <f t="shared" si="40"/>
        <v>14042.012955820617</v>
      </c>
      <c r="D125" s="10">
        <f t="shared" si="43"/>
        <v>14928.625830184337</v>
      </c>
      <c r="E125" s="10">
        <f t="shared" si="44"/>
        <v>28970.638786004954</v>
      </c>
      <c r="F125" s="11">
        <f t="shared" si="41"/>
        <v>5193618.1603642972</v>
      </c>
      <c r="G125">
        <v>96</v>
      </c>
      <c r="I125" s="18">
        <f>$B$2+CUMPRINC($K$2,$K$3,$B$2,G100,G125,0)</f>
        <v>6339721.2740917215</v>
      </c>
      <c r="J125" s="19">
        <f>-CUMIPMT($K$2,$K$3,$B$2,G114,G125,0)</f>
        <v>187368.93952378124</v>
      </c>
    </row>
    <row r="126" spans="1:10" x14ac:dyDescent="0.2">
      <c r="A126" s="12" t="s">
        <v>45</v>
      </c>
      <c r="B126" s="12"/>
      <c r="C126" s="11">
        <f>SUM(C114:C125)</f>
        <v>165880.08104196453</v>
      </c>
      <c r="D126" s="11">
        <f>SUM(D114:D125)</f>
        <v>181767.58439009491</v>
      </c>
      <c r="E126" s="10"/>
      <c r="F126" s="10"/>
    </row>
    <row r="128" spans="1:10" x14ac:dyDescent="0.2">
      <c r="A128" s="41">
        <v>45658</v>
      </c>
      <c r="B128" s="10">
        <f>+F125</f>
        <v>5193618.1603642972</v>
      </c>
      <c r="C128" s="10">
        <f t="shared" ref="C128:C139" si="45">+E128-D128</f>
        <v>14082.266726293969</v>
      </c>
      <c r="D128" s="10">
        <f>+B128*$K$2</f>
        <v>14888.372059710986</v>
      </c>
      <c r="E128" s="10">
        <f>-$K$5</f>
        <v>28970.638786004954</v>
      </c>
      <c r="F128" s="10">
        <f t="shared" ref="F128:F139" si="46">+B128-C128</f>
        <v>5179535.8936380036</v>
      </c>
      <c r="G128">
        <v>85</v>
      </c>
    </row>
    <row r="129" spans="1:10" x14ac:dyDescent="0.2">
      <c r="A129" s="41">
        <v>45689</v>
      </c>
      <c r="B129" s="10">
        <f t="shared" ref="B129:B139" si="47">+F128</f>
        <v>5179535.8936380036</v>
      </c>
      <c r="C129" s="10">
        <f t="shared" si="45"/>
        <v>14122.635890909343</v>
      </c>
      <c r="D129" s="10">
        <f t="shared" ref="D129:D139" si="48">+B129*$K$2</f>
        <v>14848.002895095611</v>
      </c>
      <c r="E129" s="10">
        <f t="shared" ref="E129:E139" si="49">-$K$5</f>
        <v>28970.638786004954</v>
      </c>
      <c r="F129" s="10">
        <f t="shared" si="46"/>
        <v>5165413.2577470941</v>
      </c>
      <c r="G129">
        <v>86</v>
      </c>
    </row>
    <row r="130" spans="1:10" x14ac:dyDescent="0.2">
      <c r="A130" s="41">
        <v>45717</v>
      </c>
      <c r="B130" s="10">
        <f t="shared" si="47"/>
        <v>5165413.2577470941</v>
      </c>
      <c r="C130" s="10">
        <f t="shared" si="45"/>
        <v>14163.120780463285</v>
      </c>
      <c r="D130" s="10">
        <f t="shared" si="48"/>
        <v>14807.518005541669</v>
      </c>
      <c r="E130" s="10">
        <f t="shared" si="49"/>
        <v>28970.638786004954</v>
      </c>
      <c r="F130" s="10">
        <f t="shared" si="46"/>
        <v>5151250.1369666308</v>
      </c>
      <c r="G130">
        <v>87</v>
      </c>
    </row>
    <row r="131" spans="1:10" x14ac:dyDescent="0.2">
      <c r="A131" s="41">
        <v>45748</v>
      </c>
      <c r="B131" s="10">
        <f t="shared" si="47"/>
        <v>5151250.1369666308</v>
      </c>
      <c r="C131" s="10">
        <f t="shared" si="45"/>
        <v>14203.721726700613</v>
      </c>
      <c r="D131" s="10">
        <f t="shared" si="48"/>
        <v>14766.917059304342</v>
      </c>
      <c r="E131" s="10">
        <f t="shared" si="49"/>
        <v>28970.638786004954</v>
      </c>
      <c r="F131" s="10">
        <f t="shared" si="46"/>
        <v>5137046.4152399302</v>
      </c>
      <c r="G131">
        <v>88</v>
      </c>
    </row>
    <row r="132" spans="1:10" x14ac:dyDescent="0.2">
      <c r="A132" s="41">
        <v>45778</v>
      </c>
      <c r="B132" s="10">
        <f t="shared" si="47"/>
        <v>5137046.4152399302</v>
      </c>
      <c r="C132" s="10">
        <f t="shared" si="45"/>
        <v>14244.439062317155</v>
      </c>
      <c r="D132" s="10">
        <f t="shared" si="48"/>
        <v>14726.1997236878</v>
      </c>
      <c r="E132" s="10">
        <f t="shared" si="49"/>
        <v>28970.638786004954</v>
      </c>
      <c r="F132" s="10">
        <f t="shared" si="46"/>
        <v>5122801.9761776133</v>
      </c>
      <c r="G132">
        <v>89</v>
      </c>
    </row>
    <row r="133" spans="1:10" x14ac:dyDescent="0.2">
      <c r="A133" s="41">
        <v>45809</v>
      </c>
      <c r="B133" s="10">
        <f t="shared" si="47"/>
        <v>5122801.9761776133</v>
      </c>
      <c r="C133" s="10">
        <f t="shared" si="45"/>
        <v>14285.273120962464</v>
      </c>
      <c r="D133" s="10">
        <f t="shared" si="48"/>
        <v>14685.365665042491</v>
      </c>
      <c r="E133" s="10">
        <f t="shared" si="49"/>
        <v>28970.638786004954</v>
      </c>
      <c r="F133" s="10">
        <f t="shared" si="46"/>
        <v>5108516.7030566512</v>
      </c>
      <c r="G133">
        <v>90</v>
      </c>
    </row>
    <row r="134" spans="1:10" x14ac:dyDescent="0.2">
      <c r="A134" s="41">
        <v>45839</v>
      </c>
      <c r="B134" s="10">
        <f t="shared" si="47"/>
        <v>5108516.7030566512</v>
      </c>
      <c r="C134" s="10">
        <f t="shared" si="45"/>
        <v>14326.224237242555</v>
      </c>
      <c r="D134" s="10">
        <f t="shared" si="48"/>
        <v>14644.414548762399</v>
      </c>
      <c r="E134" s="10">
        <f t="shared" si="49"/>
        <v>28970.638786004954</v>
      </c>
      <c r="F134" s="10">
        <f t="shared" si="46"/>
        <v>5094190.4788194085</v>
      </c>
      <c r="G134">
        <v>91</v>
      </c>
    </row>
    <row r="135" spans="1:10" x14ac:dyDescent="0.2">
      <c r="A135" s="41">
        <v>45870</v>
      </c>
      <c r="B135" s="10">
        <f t="shared" si="47"/>
        <v>5094190.4788194085</v>
      </c>
      <c r="C135" s="10">
        <f t="shared" si="45"/>
        <v>14367.292746722651</v>
      </c>
      <c r="D135" s="10">
        <f t="shared" si="48"/>
        <v>14603.346039282304</v>
      </c>
      <c r="E135" s="10">
        <f t="shared" si="49"/>
        <v>28970.638786004954</v>
      </c>
      <c r="F135" s="10">
        <f t="shared" si="46"/>
        <v>5079823.1860726858</v>
      </c>
      <c r="G135">
        <v>92</v>
      </c>
    </row>
    <row r="136" spans="1:10" x14ac:dyDescent="0.2">
      <c r="A136" s="41">
        <v>45901</v>
      </c>
      <c r="B136" s="10">
        <f t="shared" si="47"/>
        <v>5079823.1860726858</v>
      </c>
      <c r="C136" s="10">
        <f t="shared" si="45"/>
        <v>14408.478985929922</v>
      </c>
      <c r="D136" s="10">
        <f t="shared" si="48"/>
        <v>14562.159800075033</v>
      </c>
      <c r="E136" s="10">
        <f t="shared" si="49"/>
        <v>28970.638786004954</v>
      </c>
      <c r="F136" s="10">
        <f t="shared" si="46"/>
        <v>5065414.7070867559</v>
      </c>
      <c r="G136">
        <v>93</v>
      </c>
    </row>
    <row r="137" spans="1:10" x14ac:dyDescent="0.2">
      <c r="A137" s="41">
        <v>45931</v>
      </c>
      <c r="B137" s="10">
        <f t="shared" si="47"/>
        <v>5065414.7070867559</v>
      </c>
      <c r="C137" s="10">
        <f t="shared" si="45"/>
        <v>14449.783292356255</v>
      </c>
      <c r="D137" s="10">
        <f t="shared" si="48"/>
        <v>14520.8554936487</v>
      </c>
      <c r="E137" s="10">
        <f t="shared" si="49"/>
        <v>28970.638786004954</v>
      </c>
      <c r="F137" s="10">
        <f t="shared" si="46"/>
        <v>5050964.9237943999</v>
      </c>
      <c r="G137">
        <v>94</v>
      </c>
    </row>
    <row r="138" spans="1:10" x14ac:dyDescent="0.2">
      <c r="A138" s="41">
        <v>45962</v>
      </c>
      <c r="B138" s="10">
        <f t="shared" si="47"/>
        <v>5050964.9237943999</v>
      </c>
      <c r="C138" s="10">
        <f t="shared" si="45"/>
        <v>14491.206004461008</v>
      </c>
      <c r="D138" s="10">
        <f t="shared" si="48"/>
        <v>14479.432781543946</v>
      </c>
      <c r="E138" s="10">
        <f t="shared" si="49"/>
        <v>28970.638786004954</v>
      </c>
      <c r="F138" s="10">
        <f t="shared" si="46"/>
        <v>5036473.7177899387</v>
      </c>
      <c r="G138">
        <v>95</v>
      </c>
      <c r="I138" t="s">
        <v>29</v>
      </c>
      <c r="J138" t="s">
        <v>87</v>
      </c>
    </row>
    <row r="139" spans="1:10" ht="15" x14ac:dyDescent="0.25">
      <c r="A139" s="41">
        <v>45992</v>
      </c>
      <c r="B139" s="10">
        <f t="shared" si="47"/>
        <v>5036473.7177899387</v>
      </c>
      <c r="C139" s="10">
        <f t="shared" si="45"/>
        <v>14532.747461673796</v>
      </c>
      <c r="D139" s="10">
        <f t="shared" si="48"/>
        <v>14437.891324331158</v>
      </c>
      <c r="E139" s="10">
        <f t="shared" si="49"/>
        <v>28970.638786004954</v>
      </c>
      <c r="F139" s="11">
        <f t="shared" si="46"/>
        <v>5021940.9703282649</v>
      </c>
      <c r="G139">
        <v>96</v>
      </c>
      <c r="I139" s="18">
        <f>$B$2+CUMPRINC($K$2,$K$3,$B$2,G114,G139,0)</f>
        <v>6339721.2740917215</v>
      </c>
      <c r="J139" s="19">
        <f>-CUMIPMT($K$2,$K$3,$B$2,G128,G139,0)</f>
        <v>187368.93952378124</v>
      </c>
    </row>
    <row r="140" spans="1:10" x14ac:dyDescent="0.2">
      <c r="A140" s="12" t="s">
        <v>45</v>
      </c>
      <c r="B140" s="12"/>
      <c r="C140" s="11">
        <f>SUM(C128:C139)</f>
        <v>171677.19003603302</v>
      </c>
      <c r="D140" s="11">
        <f>SUM(D128:D139)</f>
        <v>175970.47539602645</v>
      </c>
      <c r="E140" s="10"/>
      <c r="F140" s="10"/>
    </row>
    <row r="142" spans="1:10" x14ac:dyDescent="0.2">
      <c r="A142" s="41">
        <v>46023</v>
      </c>
      <c r="B142" s="10">
        <f>+F139</f>
        <v>5021940.9703282649</v>
      </c>
      <c r="C142" s="10">
        <f t="shared" ref="C142:C153" si="50">+E142-D142</f>
        <v>14574.408004397263</v>
      </c>
      <c r="D142" s="10">
        <f>+B142*$K$2</f>
        <v>14396.230781607692</v>
      </c>
      <c r="E142" s="10">
        <f>-$K$5</f>
        <v>28970.638786004954</v>
      </c>
      <c r="F142" s="10">
        <f t="shared" ref="F142:F153" si="51">+B142-C142</f>
        <v>5007366.5623238673</v>
      </c>
      <c r="G142">
        <v>85</v>
      </c>
    </row>
    <row r="143" spans="1:10" x14ac:dyDescent="0.2">
      <c r="A143" s="41">
        <v>46054</v>
      </c>
      <c r="B143" s="10">
        <f t="shared" ref="B143:B153" si="52">+F142</f>
        <v>5007366.5623238673</v>
      </c>
      <c r="C143" s="10">
        <f t="shared" si="50"/>
        <v>14616.187974009868</v>
      </c>
      <c r="D143" s="10">
        <f t="shared" ref="D143:D153" si="53">+B143*$K$2</f>
        <v>14354.450811995086</v>
      </c>
      <c r="E143" s="10">
        <f t="shared" ref="E143:E153" si="54">-$K$5</f>
        <v>28970.638786004954</v>
      </c>
      <c r="F143" s="10">
        <f t="shared" si="51"/>
        <v>4992750.3743498577</v>
      </c>
      <c r="G143">
        <v>86</v>
      </c>
    </row>
    <row r="144" spans="1:10" x14ac:dyDescent="0.2">
      <c r="A144" s="41">
        <v>46082</v>
      </c>
      <c r="B144" s="10">
        <f t="shared" si="52"/>
        <v>4992750.3743498577</v>
      </c>
      <c r="C144" s="10">
        <f t="shared" si="50"/>
        <v>14658.087712868695</v>
      </c>
      <c r="D144" s="10">
        <f t="shared" si="53"/>
        <v>14312.551073136259</v>
      </c>
      <c r="E144" s="10">
        <f t="shared" si="54"/>
        <v>28970.638786004954</v>
      </c>
      <c r="F144" s="10">
        <f t="shared" si="51"/>
        <v>4978092.2866369886</v>
      </c>
      <c r="G144">
        <v>87</v>
      </c>
    </row>
    <row r="145" spans="1:10" x14ac:dyDescent="0.2">
      <c r="A145" s="41">
        <v>46113</v>
      </c>
      <c r="B145" s="10">
        <f t="shared" si="52"/>
        <v>4978092.2866369886</v>
      </c>
      <c r="C145" s="10">
        <f t="shared" si="50"/>
        <v>14700.107564312253</v>
      </c>
      <c r="D145" s="10">
        <f t="shared" si="53"/>
        <v>14270.531221692701</v>
      </c>
      <c r="E145" s="10">
        <f t="shared" si="54"/>
        <v>28970.638786004954</v>
      </c>
      <c r="F145" s="10">
        <f t="shared" si="51"/>
        <v>4963392.1790726762</v>
      </c>
      <c r="G145">
        <v>88</v>
      </c>
    </row>
    <row r="146" spans="1:10" x14ac:dyDescent="0.2">
      <c r="A146" s="41">
        <v>46143</v>
      </c>
      <c r="B146" s="10">
        <f t="shared" si="52"/>
        <v>4963392.1790726762</v>
      </c>
      <c r="C146" s="10">
        <f t="shared" si="50"/>
        <v>14742.247872663283</v>
      </c>
      <c r="D146" s="10">
        <f t="shared" si="53"/>
        <v>14228.390913341671</v>
      </c>
      <c r="E146" s="10">
        <f t="shared" si="54"/>
        <v>28970.638786004954</v>
      </c>
      <c r="F146" s="10">
        <f t="shared" si="51"/>
        <v>4948649.9312000126</v>
      </c>
      <c r="G146">
        <v>89</v>
      </c>
    </row>
    <row r="147" spans="1:10" x14ac:dyDescent="0.2">
      <c r="A147" s="41">
        <v>46174</v>
      </c>
      <c r="B147" s="10">
        <f t="shared" si="52"/>
        <v>4948649.9312000126</v>
      </c>
      <c r="C147" s="10">
        <f t="shared" si="50"/>
        <v>14784.508983231584</v>
      </c>
      <c r="D147" s="10">
        <f t="shared" si="53"/>
        <v>14186.12980277337</v>
      </c>
      <c r="E147" s="10">
        <f t="shared" si="54"/>
        <v>28970.638786004954</v>
      </c>
      <c r="F147" s="10">
        <f t="shared" si="51"/>
        <v>4933865.4222167814</v>
      </c>
      <c r="G147">
        <v>90</v>
      </c>
    </row>
    <row r="148" spans="1:10" x14ac:dyDescent="0.2">
      <c r="A148" s="41">
        <v>46204</v>
      </c>
      <c r="B148" s="10">
        <f t="shared" si="52"/>
        <v>4933865.4222167814</v>
      </c>
      <c r="C148" s="10">
        <f t="shared" si="50"/>
        <v>14826.891242316848</v>
      </c>
      <c r="D148" s="10">
        <f t="shared" si="53"/>
        <v>14143.747543688107</v>
      </c>
      <c r="E148" s="10">
        <f t="shared" si="54"/>
        <v>28970.638786004954</v>
      </c>
      <c r="F148" s="10">
        <f t="shared" si="51"/>
        <v>4919038.5309744645</v>
      </c>
      <c r="G148">
        <v>91</v>
      </c>
    </row>
    <row r="149" spans="1:10" x14ac:dyDescent="0.2">
      <c r="A149" s="41">
        <v>46235</v>
      </c>
      <c r="B149" s="10">
        <f t="shared" si="52"/>
        <v>4919038.5309744645</v>
      </c>
      <c r="C149" s="10">
        <f t="shared" si="50"/>
        <v>14869.39499721149</v>
      </c>
      <c r="D149" s="10">
        <f t="shared" si="53"/>
        <v>14101.243788793465</v>
      </c>
      <c r="E149" s="10">
        <f t="shared" si="54"/>
        <v>28970.638786004954</v>
      </c>
      <c r="F149" s="10">
        <f t="shared" si="51"/>
        <v>4904169.1359772533</v>
      </c>
      <c r="G149">
        <v>92</v>
      </c>
    </row>
    <row r="150" spans="1:10" x14ac:dyDescent="0.2">
      <c r="A150" s="41">
        <v>46266</v>
      </c>
      <c r="B150" s="10">
        <f t="shared" si="52"/>
        <v>4904169.1359772533</v>
      </c>
      <c r="C150" s="10">
        <f t="shared" si="50"/>
        <v>14912.020596203494</v>
      </c>
      <c r="D150" s="10">
        <f t="shared" si="53"/>
        <v>14058.61818980146</v>
      </c>
      <c r="E150" s="10">
        <f t="shared" si="54"/>
        <v>28970.638786004954</v>
      </c>
      <c r="F150" s="10">
        <f t="shared" si="51"/>
        <v>4889257.1153810499</v>
      </c>
      <c r="G150">
        <v>93</v>
      </c>
    </row>
    <row r="151" spans="1:10" x14ac:dyDescent="0.2">
      <c r="A151" s="41">
        <v>46296</v>
      </c>
      <c r="B151" s="10">
        <f t="shared" si="52"/>
        <v>4889257.1153810499</v>
      </c>
      <c r="C151" s="10">
        <f t="shared" si="50"/>
        <v>14954.768388579278</v>
      </c>
      <c r="D151" s="10">
        <f t="shared" si="53"/>
        <v>14015.870397425677</v>
      </c>
      <c r="E151" s="10">
        <f t="shared" si="54"/>
        <v>28970.638786004954</v>
      </c>
      <c r="F151" s="10">
        <f t="shared" si="51"/>
        <v>4874302.3469924703</v>
      </c>
      <c r="G151">
        <v>94</v>
      </c>
    </row>
    <row r="152" spans="1:10" x14ac:dyDescent="0.2">
      <c r="A152" s="41">
        <v>46327</v>
      </c>
      <c r="B152" s="10">
        <f t="shared" si="52"/>
        <v>4874302.3469924703</v>
      </c>
      <c r="C152" s="10">
        <f t="shared" si="50"/>
        <v>14997.63872462654</v>
      </c>
      <c r="D152" s="10">
        <f t="shared" si="53"/>
        <v>13973.000061378414</v>
      </c>
      <c r="E152" s="10">
        <f t="shared" si="54"/>
        <v>28970.638786004954</v>
      </c>
      <c r="F152" s="10">
        <f t="shared" si="51"/>
        <v>4859304.7082678434</v>
      </c>
      <c r="G152">
        <v>95</v>
      </c>
      <c r="I152" t="s">
        <v>29</v>
      </c>
      <c r="J152" t="s">
        <v>87</v>
      </c>
    </row>
    <row r="153" spans="1:10" ht="15" x14ac:dyDescent="0.25">
      <c r="A153" s="41">
        <v>46357</v>
      </c>
      <c r="B153" s="10">
        <f t="shared" si="52"/>
        <v>4859304.7082678434</v>
      </c>
      <c r="C153" s="10">
        <f t="shared" si="50"/>
        <v>15040.631955637136</v>
      </c>
      <c r="D153" s="10">
        <f t="shared" si="53"/>
        <v>13930.006830367818</v>
      </c>
      <c r="E153" s="10">
        <f t="shared" si="54"/>
        <v>28970.638786004954</v>
      </c>
      <c r="F153" s="11">
        <f t="shared" si="51"/>
        <v>4844264.0763122058</v>
      </c>
      <c r="G153">
        <v>96</v>
      </c>
      <c r="I153" s="18">
        <f>$B$2+CUMPRINC($K$2,$K$3,$B$2,G128,G153,0)</f>
        <v>6339721.2740917215</v>
      </c>
      <c r="J153" s="19">
        <f>-CUMIPMT($K$2,$K$3,$B$2,G142,G153,0)</f>
        <v>187368.93952378124</v>
      </c>
    </row>
    <row r="154" spans="1:10" x14ac:dyDescent="0.2">
      <c r="A154" s="12" t="s">
        <v>45</v>
      </c>
      <c r="B154" s="12"/>
      <c r="C154" s="11">
        <f>SUM(C142:C153)</f>
        <v>177676.89401605775</v>
      </c>
      <c r="D154" s="11">
        <f>SUM(D142:D153)</f>
        <v>169970.77141600172</v>
      </c>
      <c r="E154" s="10"/>
      <c r="F154" s="10"/>
    </row>
    <row r="156" spans="1:10" x14ac:dyDescent="0.2">
      <c r="A156" s="41">
        <v>46388</v>
      </c>
      <c r="B156" s="10">
        <f>+F153</f>
        <v>4844264.0763122058</v>
      </c>
      <c r="C156" s="10">
        <f t="shared" ref="C156:C167" si="55">+E156-D156</f>
        <v>15083.748433909965</v>
      </c>
      <c r="D156" s="10">
        <f>+B156*$K$2</f>
        <v>13886.89035209499</v>
      </c>
      <c r="E156" s="10">
        <f>-$K$5</f>
        <v>28970.638786004954</v>
      </c>
      <c r="F156" s="10">
        <f t="shared" ref="F156:F167" si="56">+B156-C156</f>
        <v>4829180.3278782954</v>
      </c>
      <c r="G156">
        <v>85</v>
      </c>
    </row>
    <row r="157" spans="1:10" x14ac:dyDescent="0.2">
      <c r="A157" s="41">
        <v>46419</v>
      </c>
      <c r="B157" s="10">
        <f t="shared" ref="B157:B167" si="57">+F156</f>
        <v>4829180.3278782954</v>
      </c>
      <c r="C157" s="10">
        <f t="shared" si="55"/>
        <v>15126.98851275384</v>
      </c>
      <c r="D157" s="10">
        <f t="shared" ref="D157:D167" si="58">+B157*$K$2</f>
        <v>13843.650273251114</v>
      </c>
      <c r="E157" s="10">
        <f t="shared" ref="E157:E167" si="59">-$K$5</f>
        <v>28970.638786004954</v>
      </c>
      <c r="F157" s="10">
        <f t="shared" si="56"/>
        <v>4814053.3393655419</v>
      </c>
      <c r="G157">
        <v>86</v>
      </c>
    </row>
    <row r="158" spans="1:10" x14ac:dyDescent="0.2">
      <c r="A158" s="41">
        <v>46447</v>
      </c>
      <c r="B158" s="10">
        <f t="shared" si="57"/>
        <v>4814053.3393655419</v>
      </c>
      <c r="C158" s="10">
        <f t="shared" si="55"/>
        <v>15170.352546490401</v>
      </c>
      <c r="D158" s="10">
        <f t="shared" si="58"/>
        <v>13800.286239514553</v>
      </c>
      <c r="E158" s="10">
        <f t="shared" si="59"/>
        <v>28970.638786004954</v>
      </c>
      <c r="F158" s="10">
        <f t="shared" si="56"/>
        <v>4798882.9868190512</v>
      </c>
      <c r="G158">
        <v>87</v>
      </c>
    </row>
    <row r="159" spans="1:10" x14ac:dyDescent="0.2">
      <c r="A159" s="41">
        <v>46478</v>
      </c>
      <c r="B159" s="10">
        <f t="shared" si="57"/>
        <v>4798882.9868190512</v>
      </c>
      <c r="C159" s="10">
        <f t="shared" si="55"/>
        <v>15213.840890457008</v>
      </c>
      <c r="D159" s="10">
        <f t="shared" si="58"/>
        <v>13756.797895547947</v>
      </c>
      <c r="E159" s="10">
        <f t="shared" si="59"/>
        <v>28970.638786004954</v>
      </c>
      <c r="F159" s="10">
        <f t="shared" si="56"/>
        <v>4783669.1459285943</v>
      </c>
      <c r="G159">
        <v>88</v>
      </c>
    </row>
    <row r="160" spans="1:10" x14ac:dyDescent="0.2">
      <c r="A160" s="41">
        <v>46508</v>
      </c>
      <c r="B160" s="10">
        <f t="shared" si="57"/>
        <v>4783669.1459285943</v>
      </c>
      <c r="C160" s="10">
        <f t="shared" si="55"/>
        <v>15257.453901009651</v>
      </c>
      <c r="D160" s="10">
        <f t="shared" si="58"/>
        <v>13713.184884995304</v>
      </c>
      <c r="E160" s="10">
        <f t="shared" si="59"/>
        <v>28970.638786004954</v>
      </c>
      <c r="F160" s="10">
        <f t="shared" si="56"/>
        <v>4768411.6920275846</v>
      </c>
      <c r="G160">
        <v>89</v>
      </c>
    </row>
    <row r="161" spans="1:10" x14ac:dyDescent="0.2">
      <c r="A161" s="41">
        <v>46539</v>
      </c>
      <c r="B161" s="10">
        <f t="shared" si="57"/>
        <v>4768411.6920275846</v>
      </c>
      <c r="C161" s="10">
        <f t="shared" si="55"/>
        <v>15301.191935525878</v>
      </c>
      <c r="D161" s="10">
        <f t="shared" si="58"/>
        <v>13669.446850479077</v>
      </c>
      <c r="E161" s="10">
        <f t="shared" si="59"/>
        <v>28970.638786004954</v>
      </c>
      <c r="F161" s="10">
        <f t="shared" si="56"/>
        <v>4753110.5000920584</v>
      </c>
      <c r="G161">
        <v>90</v>
      </c>
    </row>
    <row r="162" spans="1:10" x14ac:dyDescent="0.2">
      <c r="A162" s="41">
        <v>46569</v>
      </c>
      <c r="B162" s="10">
        <f t="shared" si="57"/>
        <v>4753110.5000920584</v>
      </c>
      <c r="C162" s="10">
        <f t="shared" si="55"/>
        <v>15345.05535240772</v>
      </c>
      <c r="D162" s="10">
        <f t="shared" si="58"/>
        <v>13625.583433597234</v>
      </c>
      <c r="E162" s="10">
        <f t="shared" si="59"/>
        <v>28970.638786004954</v>
      </c>
      <c r="F162" s="10">
        <f t="shared" si="56"/>
        <v>4737765.4447396509</v>
      </c>
      <c r="G162">
        <v>91</v>
      </c>
    </row>
    <row r="163" spans="1:10" x14ac:dyDescent="0.2">
      <c r="A163" s="41">
        <v>46600</v>
      </c>
      <c r="B163" s="10">
        <f t="shared" si="57"/>
        <v>4737765.4447396509</v>
      </c>
      <c r="C163" s="10">
        <f t="shared" si="55"/>
        <v>15389.044511084621</v>
      </c>
      <c r="D163" s="10">
        <f t="shared" si="58"/>
        <v>13581.594274920333</v>
      </c>
      <c r="E163" s="10">
        <f t="shared" si="59"/>
        <v>28970.638786004954</v>
      </c>
      <c r="F163" s="10">
        <f t="shared" si="56"/>
        <v>4722376.4002285665</v>
      </c>
      <c r="G163">
        <v>92</v>
      </c>
    </row>
    <row r="164" spans="1:10" x14ac:dyDescent="0.2">
      <c r="A164" s="41">
        <v>46631</v>
      </c>
      <c r="B164" s="10">
        <f t="shared" si="57"/>
        <v>4722376.4002285665</v>
      </c>
      <c r="C164" s="10">
        <f t="shared" si="55"/>
        <v>15433.159772016397</v>
      </c>
      <c r="D164" s="10">
        <f t="shared" si="58"/>
        <v>13537.479013988557</v>
      </c>
      <c r="E164" s="10">
        <f t="shared" si="59"/>
        <v>28970.638786004954</v>
      </c>
      <c r="F164" s="10">
        <f t="shared" si="56"/>
        <v>4706943.2404565504</v>
      </c>
      <c r="G164">
        <v>93</v>
      </c>
    </row>
    <row r="165" spans="1:10" x14ac:dyDescent="0.2">
      <c r="A165" s="41">
        <v>46661</v>
      </c>
      <c r="B165" s="10">
        <f t="shared" si="57"/>
        <v>4706943.2404565504</v>
      </c>
      <c r="C165" s="10">
        <f t="shared" si="55"/>
        <v>15477.401496696177</v>
      </c>
      <c r="D165" s="10">
        <f t="shared" si="58"/>
        <v>13493.237289308778</v>
      </c>
      <c r="E165" s="10">
        <f t="shared" si="59"/>
        <v>28970.638786004954</v>
      </c>
      <c r="F165" s="10">
        <f t="shared" si="56"/>
        <v>4691465.8389598541</v>
      </c>
      <c r="G165">
        <v>94</v>
      </c>
    </row>
    <row r="166" spans="1:10" x14ac:dyDescent="0.2">
      <c r="A166" s="41">
        <v>46692</v>
      </c>
      <c r="B166" s="10">
        <f t="shared" si="57"/>
        <v>4691465.8389598541</v>
      </c>
      <c r="C166" s="10">
        <f t="shared" si="55"/>
        <v>15521.770047653372</v>
      </c>
      <c r="D166" s="10">
        <f t="shared" si="58"/>
        <v>13448.868738351583</v>
      </c>
      <c r="E166" s="10">
        <f t="shared" si="59"/>
        <v>28970.638786004954</v>
      </c>
      <c r="F166" s="10">
        <f t="shared" si="56"/>
        <v>4675944.0689122006</v>
      </c>
      <c r="G166">
        <v>95</v>
      </c>
      <c r="I166" t="s">
        <v>29</v>
      </c>
      <c r="J166" t="s">
        <v>87</v>
      </c>
    </row>
    <row r="167" spans="1:10" ht="15" x14ac:dyDescent="0.25">
      <c r="A167" s="41">
        <v>46722</v>
      </c>
      <c r="B167" s="10">
        <f t="shared" si="57"/>
        <v>4675944.0689122006</v>
      </c>
      <c r="C167" s="10">
        <f t="shared" si="55"/>
        <v>15566.265788456645</v>
      </c>
      <c r="D167" s="10">
        <f t="shared" si="58"/>
        <v>13404.372997548309</v>
      </c>
      <c r="E167" s="10">
        <f t="shared" si="59"/>
        <v>28970.638786004954</v>
      </c>
      <c r="F167" s="11">
        <f t="shared" si="56"/>
        <v>4660377.8031237442</v>
      </c>
      <c r="G167">
        <v>96</v>
      </c>
      <c r="I167" s="18">
        <f>$B$2+CUMPRINC($K$2,$K$3,$B$2,G142,G167,0)</f>
        <v>6339721.2740917215</v>
      </c>
      <c r="J167" s="19">
        <f>-CUMIPMT($K$2,$K$3,$B$2,G156,G167,0)</f>
        <v>187368.93952378124</v>
      </c>
    </row>
    <row r="168" spans="1:10" x14ac:dyDescent="0.2">
      <c r="A168" s="12" t="s">
        <v>45</v>
      </c>
      <c r="B168" s="12"/>
      <c r="C168" s="11">
        <f>SUM(C156:C167)</f>
        <v>183886.2731884617</v>
      </c>
      <c r="D168" s="11">
        <f>SUM(D156:D167)</f>
        <v>163761.3922435978</v>
      </c>
      <c r="E168" s="10"/>
      <c r="F168" s="10"/>
    </row>
  </sheetData>
  <pageMargins left="0.7" right="0.7" top="0.75" bottom="0.75" header="0.3" footer="0.3"/>
  <pageSetup orientation="portrait" horizontalDpi="75" verticalDpi="7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workbookViewId="0">
      <selection activeCell="A128" sqref="A128:A139"/>
    </sheetView>
  </sheetViews>
  <sheetFormatPr defaultRowHeight="12.75" x14ac:dyDescent="0.2"/>
  <cols>
    <col min="2" max="2" width="13" customWidth="1"/>
    <col min="3" max="3" width="11.42578125" customWidth="1"/>
    <col min="4" max="4" width="11.7109375" customWidth="1"/>
    <col min="5" max="5" width="10.85546875" customWidth="1"/>
    <col min="6" max="6" width="12.7109375" customWidth="1"/>
    <col min="9" max="9" width="15" customWidth="1"/>
    <col min="10" max="10" width="16.140625" customWidth="1"/>
    <col min="11" max="11" width="13.28515625" customWidth="1"/>
  </cols>
  <sheetData>
    <row r="1" spans="1:11" x14ac:dyDescent="0.2">
      <c r="B1" s="13" t="s">
        <v>28</v>
      </c>
      <c r="C1" s="13" t="s">
        <v>29</v>
      </c>
      <c r="D1" s="13" t="s">
        <v>30</v>
      </c>
      <c r="E1" s="13" t="s">
        <v>31</v>
      </c>
      <c r="F1" s="13" t="s">
        <v>32</v>
      </c>
      <c r="I1" t="s">
        <v>29</v>
      </c>
      <c r="J1" s="15">
        <f>B2</f>
        <v>4800000</v>
      </c>
      <c r="K1" t="s">
        <v>86</v>
      </c>
    </row>
    <row r="2" spans="1:11" ht="15" x14ac:dyDescent="0.25">
      <c r="A2" s="41">
        <v>43101</v>
      </c>
      <c r="B2" s="10">
        <v>4800000</v>
      </c>
      <c r="C2" s="10">
        <f>+E2-D2</f>
        <v>7633.7024881267353</v>
      </c>
      <c r="D2" s="10">
        <f t="shared" ref="D2:D13" si="0">+B2*$K$2</f>
        <v>13760</v>
      </c>
      <c r="E2" s="10">
        <f t="shared" ref="E2:E13" si="1">-$K$5</f>
        <v>21393.702488126735</v>
      </c>
      <c r="F2" s="10">
        <f t="shared" ref="F2:F13" si="2">+B2-C2</f>
        <v>4792366.2975118728</v>
      </c>
      <c r="G2">
        <v>1</v>
      </c>
      <c r="I2" t="s">
        <v>103</v>
      </c>
      <c r="J2" s="4">
        <v>3.44E-2</v>
      </c>
      <c r="K2" s="4">
        <f>J2/12</f>
        <v>2.8666666666666667E-3</v>
      </c>
    </row>
    <row r="3" spans="1:11" x14ac:dyDescent="0.2">
      <c r="A3" s="41">
        <v>43132</v>
      </c>
      <c r="B3" s="10">
        <f t="shared" ref="B3:B13" si="3">+F2</f>
        <v>4792366.2975118728</v>
      </c>
      <c r="C3" s="10">
        <f t="shared" ref="C3:C13" si="4">+E3-D3</f>
        <v>7655.5857685927003</v>
      </c>
      <c r="D3" s="10">
        <f t="shared" si="0"/>
        <v>13738.116719534035</v>
      </c>
      <c r="E3" s="10">
        <f t="shared" si="1"/>
        <v>21393.702488126735</v>
      </c>
      <c r="F3" s="10">
        <f t="shared" si="2"/>
        <v>4784710.7117432803</v>
      </c>
      <c r="G3">
        <v>2</v>
      </c>
      <c r="I3" t="s">
        <v>85</v>
      </c>
      <c r="J3">
        <v>30</v>
      </c>
      <c r="K3">
        <f>J3*12</f>
        <v>360</v>
      </c>
    </row>
    <row r="4" spans="1:11" x14ac:dyDescent="0.2">
      <c r="A4" s="41">
        <v>43160</v>
      </c>
      <c r="B4" s="10">
        <f t="shared" si="3"/>
        <v>4784710.7117432803</v>
      </c>
      <c r="C4" s="10">
        <f t="shared" si="4"/>
        <v>7677.5317811293316</v>
      </c>
      <c r="D4" s="10">
        <f t="shared" si="0"/>
        <v>13716.170706997404</v>
      </c>
      <c r="E4" s="10">
        <f t="shared" si="1"/>
        <v>21393.702488126735</v>
      </c>
      <c r="F4" s="10">
        <f t="shared" si="2"/>
        <v>4777033.1799621508</v>
      </c>
      <c r="G4">
        <v>3</v>
      </c>
    </row>
    <row r="5" spans="1:11" x14ac:dyDescent="0.2">
      <c r="A5" s="41">
        <v>43191</v>
      </c>
      <c r="B5" s="10">
        <f t="shared" si="3"/>
        <v>4777033.1799621508</v>
      </c>
      <c r="C5" s="10">
        <f t="shared" si="4"/>
        <v>7699.54070556857</v>
      </c>
      <c r="D5" s="10">
        <f t="shared" si="0"/>
        <v>13694.161782558165</v>
      </c>
      <c r="E5" s="10">
        <f t="shared" si="1"/>
        <v>21393.702488126735</v>
      </c>
      <c r="F5" s="10">
        <f t="shared" si="2"/>
        <v>4769333.6392565826</v>
      </c>
      <c r="G5">
        <v>4</v>
      </c>
      <c r="I5" t="s">
        <v>31</v>
      </c>
      <c r="K5" s="16">
        <f>PMT(K2,K3,J1,,0)</f>
        <v>-21393.702488126735</v>
      </c>
    </row>
    <row r="6" spans="1:11" x14ac:dyDescent="0.2">
      <c r="A6" s="41">
        <v>43221</v>
      </c>
      <c r="B6" s="10">
        <f t="shared" si="3"/>
        <v>4769333.6392565826</v>
      </c>
      <c r="C6" s="10">
        <f t="shared" si="4"/>
        <v>7721.6127222578652</v>
      </c>
      <c r="D6" s="10">
        <f t="shared" si="0"/>
        <v>13672.08976586887</v>
      </c>
      <c r="E6" s="10">
        <f t="shared" si="1"/>
        <v>21393.702488126735</v>
      </c>
      <c r="F6" s="10">
        <f t="shared" si="2"/>
        <v>4761612.0265343245</v>
      </c>
      <c r="G6">
        <v>5</v>
      </c>
    </row>
    <row r="7" spans="1:11" x14ac:dyDescent="0.2">
      <c r="A7" s="41">
        <v>43252</v>
      </c>
      <c r="B7" s="10">
        <f t="shared" si="3"/>
        <v>4761612.0265343245</v>
      </c>
      <c r="C7" s="10">
        <f t="shared" si="4"/>
        <v>7743.748012061671</v>
      </c>
      <c r="D7" s="10">
        <f t="shared" si="0"/>
        <v>13649.954476065064</v>
      </c>
      <c r="E7" s="10">
        <f t="shared" si="1"/>
        <v>21393.702488126735</v>
      </c>
      <c r="F7" s="10">
        <f t="shared" si="2"/>
        <v>4753868.2785222633</v>
      </c>
      <c r="G7">
        <v>6</v>
      </c>
    </row>
    <row r="8" spans="1:11" x14ac:dyDescent="0.2">
      <c r="A8" s="41">
        <v>43282</v>
      </c>
      <c r="B8" s="10">
        <f t="shared" si="3"/>
        <v>4753868.2785222633</v>
      </c>
      <c r="C8" s="10">
        <f t="shared" si="4"/>
        <v>7765.9467563629132</v>
      </c>
      <c r="D8" s="10">
        <f t="shared" si="0"/>
        <v>13627.755731763822</v>
      </c>
      <c r="E8" s="10">
        <f t="shared" si="1"/>
        <v>21393.702488126735</v>
      </c>
      <c r="F8" s="10">
        <f t="shared" si="2"/>
        <v>4746102.3317659004</v>
      </c>
      <c r="G8">
        <v>7</v>
      </c>
    </row>
    <row r="9" spans="1:11" x14ac:dyDescent="0.2">
      <c r="A9" s="41">
        <v>43313</v>
      </c>
      <c r="B9" s="10">
        <f t="shared" si="3"/>
        <v>4746102.3317659004</v>
      </c>
      <c r="C9" s="10">
        <f t="shared" si="4"/>
        <v>7788.2091370644866</v>
      </c>
      <c r="D9" s="10">
        <f t="shared" si="0"/>
        <v>13605.493351062249</v>
      </c>
      <c r="E9" s="10">
        <f t="shared" si="1"/>
        <v>21393.702488126735</v>
      </c>
      <c r="F9" s="10">
        <f t="shared" si="2"/>
        <v>4738314.122628836</v>
      </c>
      <c r="G9">
        <v>8</v>
      </c>
    </row>
    <row r="10" spans="1:11" x14ac:dyDescent="0.2">
      <c r="A10" s="41">
        <v>43344</v>
      </c>
      <c r="B10" s="10">
        <f t="shared" si="3"/>
        <v>4738314.122628836</v>
      </c>
      <c r="C10" s="10">
        <f t="shared" si="4"/>
        <v>7810.5353365907395</v>
      </c>
      <c r="D10" s="10">
        <f t="shared" si="0"/>
        <v>13583.167151535996</v>
      </c>
      <c r="E10" s="10">
        <f t="shared" si="1"/>
        <v>21393.702488126735</v>
      </c>
      <c r="F10" s="10">
        <f t="shared" si="2"/>
        <v>4730503.5872922456</v>
      </c>
      <c r="G10">
        <v>9</v>
      </c>
      <c r="I10" s="13" t="s">
        <v>88</v>
      </c>
    </row>
    <row r="11" spans="1:11" x14ac:dyDescent="0.2">
      <c r="A11" s="41">
        <v>43374</v>
      </c>
      <c r="B11" s="10">
        <f t="shared" si="3"/>
        <v>4730503.5872922456</v>
      </c>
      <c r="C11" s="10">
        <f t="shared" si="4"/>
        <v>7832.9255378889648</v>
      </c>
      <c r="D11" s="10">
        <f t="shared" si="0"/>
        <v>13560.776950237771</v>
      </c>
      <c r="E11" s="10">
        <f t="shared" si="1"/>
        <v>21393.702488126735</v>
      </c>
      <c r="F11" s="10">
        <f t="shared" si="2"/>
        <v>4722670.6617543567</v>
      </c>
      <c r="G11">
        <v>10</v>
      </c>
    </row>
    <row r="12" spans="1:11" x14ac:dyDescent="0.2">
      <c r="A12" s="41">
        <v>43405</v>
      </c>
      <c r="B12" s="10">
        <f t="shared" si="3"/>
        <v>4722670.6617543567</v>
      </c>
      <c r="C12" s="10">
        <f t="shared" si="4"/>
        <v>7855.3799244309121</v>
      </c>
      <c r="D12" s="10">
        <f t="shared" si="0"/>
        <v>13538.322563695823</v>
      </c>
      <c r="E12" s="10">
        <f t="shared" si="1"/>
        <v>21393.702488126735</v>
      </c>
      <c r="F12" s="10">
        <f t="shared" si="2"/>
        <v>4714815.2818299262</v>
      </c>
      <c r="G12">
        <v>11</v>
      </c>
      <c r="I12" t="s">
        <v>29</v>
      </c>
      <c r="J12" t="s">
        <v>87</v>
      </c>
    </row>
    <row r="13" spans="1:11" ht="15" x14ac:dyDescent="0.25">
      <c r="A13" s="41">
        <v>43435</v>
      </c>
      <c r="B13" s="10">
        <f t="shared" si="3"/>
        <v>4714815.2818299262</v>
      </c>
      <c r="C13" s="10">
        <f t="shared" si="4"/>
        <v>7877.8986802142808</v>
      </c>
      <c r="D13" s="10">
        <f t="shared" si="0"/>
        <v>13515.803807912454</v>
      </c>
      <c r="E13" s="10">
        <f t="shared" si="1"/>
        <v>21393.702488126735</v>
      </c>
      <c r="F13" s="17">
        <f t="shared" si="2"/>
        <v>4706937.3831497123</v>
      </c>
      <c r="G13">
        <v>12</v>
      </c>
      <c r="I13" s="18">
        <f>$B$2+CUMPRINC($K$2,$K$3,$B$2,G2,G13,0)</f>
        <v>4706937.3831497105</v>
      </c>
      <c r="J13" s="19">
        <f>-CUMIPMT($K$2,$K$3,$B$2,G2,G13,0)</f>
        <v>163661.81300723169</v>
      </c>
    </row>
    <row r="14" spans="1:11" x14ac:dyDescent="0.2">
      <c r="A14" s="12" t="s">
        <v>45</v>
      </c>
      <c r="B14" s="12"/>
      <c r="C14" s="11">
        <f>SUM(C2:C13)</f>
        <v>93062.616850289167</v>
      </c>
      <c r="D14" s="17">
        <f>SUM(D2:D13)</f>
        <v>163661.81300723163</v>
      </c>
      <c r="E14" s="10"/>
      <c r="F14" s="10"/>
    </row>
    <row r="16" spans="1:11" x14ac:dyDescent="0.2">
      <c r="A16" s="41">
        <v>43466</v>
      </c>
      <c r="B16" s="10">
        <f>+F13</f>
        <v>4706937.3831497123</v>
      </c>
      <c r="C16" s="10">
        <f t="shared" ref="C16:C27" si="5">+E16-D16</f>
        <v>7900.4819897642265</v>
      </c>
      <c r="D16" s="10">
        <f>+B16*$K$2</f>
        <v>13493.220498362509</v>
      </c>
      <c r="E16" s="10">
        <f>-$K$5</f>
        <v>21393.702488126735</v>
      </c>
      <c r="F16" s="10">
        <f t="shared" ref="F16:F27" si="6">+B16-C16</f>
        <v>4699036.9011599477</v>
      </c>
      <c r="G16">
        <v>13</v>
      </c>
    </row>
    <row r="17" spans="1:10" x14ac:dyDescent="0.2">
      <c r="A17" s="41">
        <v>43497</v>
      </c>
      <c r="B17" s="10">
        <f t="shared" ref="B17:B27" si="7">+F16</f>
        <v>4699036.9011599477</v>
      </c>
      <c r="C17" s="10">
        <f t="shared" si="5"/>
        <v>7923.1300381348847</v>
      </c>
      <c r="D17" s="10">
        <f t="shared" ref="D17:D27" si="8">+B17*$K$2</f>
        <v>13470.572449991851</v>
      </c>
      <c r="E17" s="10">
        <f t="shared" ref="E17:E27" si="9">-$K$5</f>
        <v>21393.702488126735</v>
      </c>
      <c r="F17" s="10">
        <f t="shared" si="6"/>
        <v>4691113.771121813</v>
      </c>
      <c r="G17">
        <v>14</v>
      </c>
    </row>
    <row r="18" spans="1:10" x14ac:dyDescent="0.2">
      <c r="A18" s="41">
        <v>43525</v>
      </c>
      <c r="B18" s="10">
        <f t="shared" si="7"/>
        <v>4691113.771121813</v>
      </c>
      <c r="C18" s="10">
        <f t="shared" si="5"/>
        <v>7945.8430109108722</v>
      </c>
      <c r="D18" s="10">
        <f t="shared" si="8"/>
        <v>13447.859477215863</v>
      </c>
      <c r="E18" s="10">
        <f t="shared" si="9"/>
        <v>21393.702488126735</v>
      </c>
      <c r="F18" s="10">
        <f t="shared" si="6"/>
        <v>4683167.9281109022</v>
      </c>
      <c r="G18">
        <v>15</v>
      </c>
    </row>
    <row r="19" spans="1:10" x14ac:dyDescent="0.2">
      <c r="A19" s="41">
        <v>43556</v>
      </c>
      <c r="B19" s="10">
        <f t="shared" si="7"/>
        <v>4683167.9281109022</v>
      </c>
      <c r="C19" s="10">
        <f t="shared" si="5"/>
        <v>7968.6210942088164</v>
      </c>
      <c r="D19" s="10">
        <f t="shared" si="8"/>
        <v>13425.081393917919</v>
      </c>
      <c r="E19" s="10">
        <f t="shared" si="9"/>
        <v>21393.702488126735</v>
      </c>
      <c r="F19" s="10">
        <f t="shared" si="6"/>
        <v>4675199.3070166931</v>
      </c>
      <c r="G19">
        <v>16</v>
      </c>
    </row>
    <row r="20" spans="1:10" x14ac:dyDescent="0.2">
      <c r="A20" s="41">
        <v>43586</v>
      </c>
      <c r="B20" s="10">
        <f t="shared" si="7"/>
        <v>4675199.3070166931</v>
      </c>
      <c r="C20" s="10">
        <f t="shared" si="5"/>
        <v>7991.4644746788817</v>
      </c>
      <c r="D20" s="10">
        <f t="shared" si="8"/>
        <v>13402.238013447854</v>
      </c>
      <c r="E20" s="10">
        <f t="shared" si="9"/>
        <v>21393.702488126735</v>
      </c>
      <c r="F20" s="10">
        <f t="shared" si="6"/>
        <v>4667207.8425420141</v>
      </c>
      <c r="G20">
        <v>17</v>
      </c>
    </row>
    <row r="21" spans="1:10" x14ac:dyDescent="0.2">
      <c r="A21" s="41">
        <v>43617</v>
      </c>
      <c r="B21" s="10">
        <f t="shared" si="7"/>
        <v>4667207.8425420141</v>
      </c>
      <c r="C21" s="10">
        <f t="shared" si="5"/>
        <v>8014.3733395062955</v>
      </c>
      <c r="D21" s="10">
        <f t="shared" si="8"/>
        <v>13379.32914862044</v>
      </c>
      <c r="E21" s="10">
        <f t="shared" si="9"/>
        <v>21393.702488126735</v>
      </c>
      <c r="F21" s="10">
        <f t="shared" si="6"/>
        <v>4659193.4692025082</v>
      </c>
      <c r="G21">
        <v>18</v>
      </c>
    </row>
    <row r="22" spans="1:10" x14ac:dyDescent="0.2">
      <c r="A22" s="41">
        <v>43647</v>
      </c>
      <c r="B22" s="10">
        <f t="shared" si="7"/>
        <v>4659193.4692025082</v>
      </c>
      <c r="C22" s="10">
        <f t="shared" si="5"/>
        <v>8037.3478764128777</v>
      </c>
      <c r="D22" s="10">
        <f t="shared" si="8"/>
        <v>13356.354611713858</v>
      </c>
      <c r="E22" s="10">
        <f t="shared" si="9"/>
        <v>21393.702488126735</v>
      </c>
      <c r="F22" s="10">
        <f t="shared" si="6"/>
        <v>4651156.1213260954</v>
      </c>
      <c r="G22">
        <v>19</v>
      </c>
    </row>
    <row r="23" spans="1:10" x14ac:dyDescent="0.2">
      <c r="A23" s="41">
        <v>43678</v>
      </c>
      <c r="B23" s="10">
        <f t="shared" si="7"/>
        <v>4651156.1213260954</v>
      </c>
      <c r="C23" s="10">
        <f t="shared" si="5"/>
        <v>8060.3882736585947</v>
      </c>
      <c r="D23" s="10">
        <f t="shared" si="8"/>
        <v>13333.314214468141</v>
      </c>
      <c r="E23" s="10">
        <f t="shared" si="9"/>
        <v>21393.702488126735</v>
      </c>
      <c r="F23" s="10">
        <f t="shared" si="6"/>
        <v>4643095.7330524372</v>
      </c>
      <c r="G23">
        <v>20</v>
      </c>
    </row>
    <row r="24" spans="1:10" x14ac:dyDescent="0.2">
      <c r="A24" s="41">
        <v>43709</v>
      </c>
      <c r="B24" s="10">
        <f t="shared" si="7"/>
        <v>4643095.7330524372</v>
      </c>
      <c r="C24" s="10">
        <f t="shared" si="5"/>
        <v>8083.4947200430815</v>
      </c>
      <c r="D24" s="10">
        <f t="shared" si="8"/>
        <v>13310.207768083654</v>
      </c>
      <c r="E24" s="10">
        <f t="shared" si="9"/>
        <v>21393.702488126735</v>
      </c>
      <c r="F24" s="10">
        <f t="shared" si="6"/>
        <v>4635012.2383323945</v>
      </c>
      <c r="G24">
        <v>21</v>
      </c>
    </row>
    <row r="25" spans="1:10" x14ac:dyDescent="0.2">
      <c r="A25" s="41">
        <v>43739</v>
      </c>
      <c r="B25" s="10">
        <f t="shared" si="7"/>
        <v>4635012.2383323945</v>
      </c>
      <c r="C25" s="10">
        <f t="shared" si="5"/>
        <v>8106.6674049072044</v>
      </c>
      <c r="D25" s="10">
        <f t="shared" si="8"/>
        <v>13287.035083219531</v>
      </c>
      <c r="E25" s="10">
        <f t="shared" si="9"/>
        <v>21393.702488126735</v>
      </c>
      <c r="F25" s="10">
        <f t="shared" si="6"/>
        <v>4626905.5709274877</v>
      </c>
      <c r="G25">
        <v>22</v>
      </c>
    </row>
    <row r="26" spans="1:10" x14ac:dyDescent="0.2">
      <c r="A26" s="41">
        <v>43770</v>
      </c>
      <c r="B26" s="10">
        <f t="shared" si="7"/>
        <v>4626905.5709274877</v>
      </c>
      <c r="C26" s="10">
        <f t="shared" si="5"/>
        <v>8129.9065181346032</v>
      </c>
      <c r="D26" s="10">
        <f t="shared" si="8"/>
        <v>13263.795969992132</v>
      </c>
      <c r="E26" s="10">
        <f t="shared" si="9"/>
        <v>21393.702488126735</v>
      </c>
      <c r="F26" s="10">
        <f t="shared" si="6"/>
        <v>4618775.6644093534</v>
      </c>
      <c r="G26">
        <v>23</v>
      </c>
      <c r="I26" t="s">
        <v>29</v>
      </c>
      <c r="J26" t="s">
        <v>87</v>
      </c>
    </row>
    <row r="27" spans="1:10" ht="15" x14ac:dyDescent="0.25">
      <c r="A27" s="41">
        <v>43800</v>
      </c>
      <c r="B27" s="10">
        <f t="shared" si="7"/>
        <v>4618775.6644093534</v>
      </c>
      <c r="C27" s="10">
        <f t="shared" si="5"/>
        <v>8153.2122501532558</v>
      </c>
      <c r="D27" s="10">
        <f t="shared" si="8"/>
        <v>13240.490237973479</v>
      </c>
      <c r="E27" s="10">
        <f t="shared" si="9"/>
        <v>21393.702488126735</v>
      </c>
      <c r="F27" s="11">
        <f t="shared" si="6"/>
        <v>4610622.4521591999</v>
      </c>
      <c r="G27">
        <v>24</v>
      </c>
      <c r="I27" s="18">
        <f>$B$2+CUMPRINC($K$2,$K$3,$B$2,G2,G27,0)</f>
        <v>4610622.4521591971</v>
      </c>
      <c r="J27" s="19">
        <f>-CUMIPMT($K$2,$K$3,$B$2,G16,G27,0)</f>
        <v>160409.49886700721</v>
      </c>
    </row>
    <row r="28" spans="1:10" x14ac:dyDescent="0.2">
      <c r="A28" s="12" t="s">
        <v>45</v>
      </c>
      <c r="B28" s="12"/>
      <c r="C28" s="11">
        <f>SUM(C16:C27)</f>
        <v>96314.930990513589</v>
      </c>
      <c r="D28" s="11">
        <f>SUM(D16:D27)</f>
        <v>160409.49886700723</v>
      </c>
      <c r="E28" s="10"/>
      <c r="F28" s="10"/>
    </row>
    <row r="30" spans="1:10" x14ac:dyDescent="0.2">
      <c r="A30" s="41">
        <v>43831</v>
      </c>
      <c r="B30" s="10">
        <f>+F27</f>
        <v>4610622.4521591999</v>
      </c>
      <c r="C30" s="10">
        <f t="shared" ref="C30:C41" si="10">+E30-D30</f>
        <v>8176.5847919370299</v>
      </c>
      <c r="D30" s="10">
        <f>+B30*$K$2</f>
        <v>13217.117696189705</v>
      </c>
      <c r="E30" s="10">
        <f>-$K$5</f>
        <v>21393.702488126735</v>
      </c>
      <c r="F30" s="10">
        <f t="shared" ref="F30:F41" si="11">+B30-C30</f>
        <v>4602445.867367263</v>
      </c>
      <c r="G30">
        <v>25</v>
      </c>
    </row>
    <row r="31" spans="1:10" x14ac:dyDescent="0.2">
      <c r="A31" s="41">
        <v>43862</v>
      </c>
      <c r="B31" s="10">
        <f t="shared" ref="B31:B41" si="12">+F30</f>
        <v>4602445.867367263</v>
      </c>
      <c r="C31" s="10">
        <f t="shared" si="10"/>
        <v>8200.0243350072487</v>
      </c>
      <c r="D31" s="10">
        <f t="shared" ref="D31:D41" si="13">+B31*$K$2</f>
        <v>13193.678153119487</v>
      </c>
      <c r="E31" s="10">
        <f t="shared" ref="E31:E41" si="14">-$K$5</f>
        <v>21393.702488126735</v>
      </c>
      <c r="F31" s="10">
        <f t="shared" si="11"/>
        <v>4594245.8430322558</v>
      </c>
      <c r="G31">
        <v>26</v>
      </c>
    </row>
    <row r="32" spans="1:10" x14ac:dyDescent="0.2">
      <c r="A32" s="41">
        <v>43891</v>
      </c>
      <c r="B32" s="10">
        <f t="shared" si="12"/>
        <v>4594245.8430322558</v>
      </c>
      <c r="C32" s="10">
        <f t="shared" si="10"/>
        <v>8223.5310714342686</v>
      </c>
      <c r="D32" s="10">
        <f t="shared" si="13"/>
        <v>13170.171416692467</v>
      </c>
      <c r="E32" s="10">
        <f t="shared" si="14"/>
        <v>21393.702488126735</v>
      </c>
      <c r="F32" s="10">
        <f t="shared" si="11"/>
        <v>4586022.311960821</v>
      </c>
      <c r="G32">
        <v>27</v>
      </c>
    </row>
    <row r="33" spans="1:10" x14ac:dyDescent="0.2">
      <c r="A33" s="41">
        <v>43922</v>
      </c>
      <c r="B33" s="10">
        <f t="shared" si="12"/>
        <v>4586022.311960821</v>
      </c>
      <c r="C33" s="10">
        <f t="shared" si="10"/>
        <v>8247.1051938390483</v>
      </c>
      <c r="D33" s="10">
        <f t="shared" si="13"/>
        <v>13146.597294287687</v>
      </c>
      <c r="E33" s="10">
        <f t="shared" si="14"/>
        <v>21393.702488126735</v>
      </c>
      <c r="F33" s="10">
        <f t="shared" si="11"/>
        <v>4577775.2067669816</v>
      </c>
      <c r="G33">
        <v>28</v>
      </c>
    </row>
    <row r="34" spans="1:10" x14ac:dyDescent="0.2">
      <c r="A34" s="41">
        <v>43952</v>
      </c>
      <c r="B34" s="10">
        <f t="shared" si="12"/>
        <v>4577775.2067669816</v>
      </c>
      <c r="C34" s="10">
        <f t="shared" si="10"/>
        <v>8270.7468953947209</v>
      </c>
      <c r="D34" s="10">
        <f t="shared" si="13"/>
        <v>13122.955592732014</v>
      </c>
      <c r="E34" s="10">
        <f t="shared" si="14"/>
        <v>21393.702488126735</v>
      </c>
      <c r="F34" s="10">
        <f t="shared" si="11"/>
        <v>4569504.4598715873</v>
      </c>
      <c r="G34">
        <v>29</v>
      </c>
    </row>
    <row r="35" spans="1:10" x14ac:dyDescent="0.2">
      <c r="A35" s="41">
        <v>43983</v>
      </c>
      <c r="B35" s="10">
        <f t="shared" si="12"/>
        <v>4569504.4598715873</v>
      </c>
      <c r="C35" s="10">
        <f t="shared" si="10"/>
        <v>8294.4563698281854</v>
      </c>
      <c r="D35" s="10">
        <f t="shared" si="13"/>
        <v>13099.24611829855</v>
      </c>
      <c r="E35" s="10">
        <f t="shared" si="14"/>
        <v>21393.702488126735</v>
      </c>
      <c r="F35" s="10">
        <f t="shared" si="11"/>
        <v>4561210.0035017589</v>
      </c>
      <c r="G35">
        <v>30</v>
      </c>
    </row>
    <row r="36" spans="1:10" x14ac:dyDescent="0.2">
      <c r="A36" s="41">
        <v>44013</v>
      </c>
      <c r="B36" s="10">
        <f t="shared" si="12"/>
        <v>4561210.0035017589</v>
      </c>
      <c r="C36" s="10">
        <f t="shared" si="10"/>
        <v>8318.2338114216927</v>
      </c>
      <c r="D36" s="10">
        <f t="shared" si="13"/>
        <v>13075.468676705043</v>
      </c>
      <c r="E36" s="10">
        <f t="shared" si="14"/>
        <v>21393.702488126735</v>
      </c>
      <c r="F36" s="10">
        <f t="shared" si="11"/>
        <v>4552891.7696903376</v>
      </c>
      <c r="G36">
        <v>31</v>
      </c>
    </row>
    <row r="37" spans="1:10" x14ac:dyDescent="0.2">
      <c r="A37" s="41">
        <v>44044</v>
      </c>
      <c r="B37" s="10">
        <f t="shared" si="12"/>
        <v>4552891.7696903376</v>
      </c>
      <c r="C37" s="10">
        <f t="shared" si="10"/>
        <v>8342.0794150144338</v>
      </c>
      <c r="D37" s="10">
        <f t="shared" si="13"/>
        <v>13051.623073112301</v>
      </c>
      <c r="E37" s="10">
        <f t="shared" si="14"/>
        <v>21393.702488126735</v>
      </c>
      <c r="F37" s="10">
        <f t="shared" si="11"/>
        <v>4544549.6902753236</v>
      </c>
      <c r="G37">
        <v>32</v>
      </c>
    </row>
    <row r="38" spans="1:10" x14ac:dyDescent="0.2">
      <c r="A38" s="41">
        <v>44075</v>
      </c>
      <c r="B38" s="10">
        <f t="shared" si="12"/>
        <v>4544549.6902753236</v>
      </c>
      <c r="C38" s="10">
        <f t="shared" si="10"/>
        <v>8365.9933760041404</v>
      </c>
      <c r="D38" s="10">
        <f t="shared" si="13"/>
        <v>13027.709112122595</v>
      </c>
      <c r="E38" s="10">
        <f t="shared" si="14"/>
        <v>21393.702488126735</v>
      </c>
      <c r="F38" s="10">
        <f t="shared" si="11"/>
        <v>4536183.6968993191</v>
      </c>
      <c r="G38">
        <v>33</v>
      </c>
    </row>
    <row r="39" spans="1:10" x14ac:dyDescent="0.2">
      <c r="A39" s="41">
        <v>44105</v>
      </c>
      <c r="B39" s="10">
        <f t="shared" si="12"/>
        <v>4536183.6968993191</v>
      </c>
      <c r="C39" s="10">
        <f t="shared" si="10"/>
        <v>8389.9758903486872</v>
      </c>
      <c r="D39" s="10">
        <f t="shared" si="13"/>
        <v>13003.726597778048</v>
      </c>
      <c r="E39" s="10">
        <f t="shared" si="14"/>
        <v>21393.702488126735</v>
      </c>
      <c r="F39" s="10">
        <f t="shared" si="11"/>
        <v>4527793.7210089704</v>
      </c>
      <c r="G39">
        <v>34</v>
      </c>
    </row>
    <row r="40" spans="1:10" x14ac:dyDescent="0.2">
      <c r="A40" s="41">
        <v>44136</v>
      </c>
      <c r="B40" s="10">
        <f t="shared" si="12"/>
        <v>4527793.7210089704</v>
      </c>
      <c r="C40" s="10">
        <f t="shared" si="10"/>
        <v>8414.027154567686</v>
      </c>
      <c r="D40" s="10">
        <f t="shared" si="13"/>
        <v>12979.675333559049</v>
      </c>
      <c r="E40" s="10">
        <f t="shared" si="14"/>
        <v>21393.702488126735</v>
      </c>
      <c r="F40" s="10">
        <f t="shared" si="11"/>
        <v>4519379.6938544028</v>
      </c>
      <c r="G40">
        <v>35</v>
      </c>
      <c r="I40" t="s">
        <v>29</v>
      </c>
      <c r="J40" t="s">
        <v>87</v>
      </c>
    </row>
    <row r="41" spans="1:10" ht="15" x14ac:dyDescent="0.25">
      <c r="A41" s="41">
        <v>44166</v>
      </c>
      <c r="B41" s="10">
        <f t="shared" si="12"/>
        <v>4519379.6938544028</v>
      </c>
      <c r="C41" s="10">
        <f t="shared" si="10"/>
        <v>8438.1473657441147</v>
      </c>
      <c r="D41" s="10">
        <f t="shared" si="13"/>
        <v>12955.555122382621</v>
      </c>
      <c r="E41" s="10">
        <f t="shared" si="14"/>
        <v>21393.702488126735</v>
      </c>
      <c r="F41" s="11">
        <f t="shared" si="11"/>
        <v>4510941.5464886585</v>
      </c>
      <c r="G41">
        <v>36</v>
      </c>
      <c r="I41" s="18">
        <f>$B$2+CUMPRINC($K$2,$K$3,$B$2,G16,G41,0)</f>
        <v>4604004.1633389452</v>
      </c>
      <c r="J41" s="19">
        <f>-CUMIPMT($K$2,$K$3,$B$2,G30,G41,0)</f>
        <v>157043.52418697951</v>
      </c>
    </row>
    <row r="42" spans="1:10" x14ac:dyDescent="0.2">
      <c r="A42" s="12" t="s">
        <v>45</v>
      </c>
      <c r="B42" s="12"/>
      <c r="C42" s="11">
        <f>SUM(C30:C41)</f>
        <v>99680.905670541251</v>
      </c>
      <c r="D42" s="11">
        <f>SUM(D30:D41)</f>
        <v>157043.52418697957</v>
      </c>
      <c r="E42" s="10"/>
      <c r="F42" s="10"/>
    </row>
    <row r="44" spans="1:10" x14ac:dyDescent="0.2">
      <c r="A44" s="41">
        <v>44197</v>
      </c>
      <c r="B44" s="10">
        <f>+F41</f>
        <v>4510941.5464886585</v>
      </c>
      <c r="C44" s="10">
        <f t="shared" ref="C44:C55" si="15">+E44-D44</f>
        <v>8462.336721525915</v>
      </c>
      <c r="D44" s="10">
        <f>+B44*$K$2</f>
        <v>12931.36576660082</v>
      </c>
      <c r="E44" s="10">
        <f>-$K$5</f>
        <v>21393.702488126735</v>
      </c>
      <c r="F44" s="10">
        <f t="shared" ref="F44:F55" si="16">+B44-C44</f>
        <v>4502479.209767133</v>
      </c>
      <c r="G44">
        <v>37</v>
      </c>
    </row>
    <row r="45" spans="1:10" x14ac:dyDescent="0.2">
      <c r="A45" s="41">
        <v>44228</v>
      </c>
      <c r="B45" s="10">
        <f t="shared" ref="B45:B55" si="17">+F44</f>
        <v>4502479.209767133</v>
      </c>
      <c r="C45" s="10">
        <f t="shared" si="15"/>
        <v>8486.5954201276199</v>
      </c>
      <c r="D45" s="10">
        <f t="shared" ref="D45:D55" si="18">+B45*$K$2</f>
        <v>12907.107067999115</v>
      </c>
      <c r="E45" s="10">
        <f t="shared" ref="E45:E55" si="19">-$K$5</f>
        <v>21393.702488126735</v>
      </c>
      <c r="F45" s="10">
        <f t="shared" si="16"/>
        <v>4493992.6143470053</v>
      </c>
      <c r="G45">
        <v>38</v>
      </c>
    </row>
    <row r="46" spans="1:10" x14ac:dyDescent="0.2">
      <c r="A46" s="41">
        <v>44256</v>
      </c>
      <c r="B46" s="10">
        <f t="shared" si="17"/>
        <v>4493992.6143470053</v>
      </c>
      <c r="C46" s="10">
        <f t="shared" si="15"/>
        <v>8510.923660331986</v>
      </c>
      <c r="D46" s="10">
        <f t="shared" si="18"/>
        <v>12882.778827794749</v>
      </c>
      <c r="E46" s="10">
        <f t="shared" si="19"/>
        <v>21393.702488126735</v>
      </c>
      <c r="F46" s="10">
        <f t="shared" si="16"/>
        <v>4485481.6906866729</v>
      </c>
      <c r="G46">
        <v>39</v>
      </c>
    </row>
    <row r="47" spans="1:10" x14ac:dyDescent="0.2">
      <c r="A47" s="41">
        <v>44287</v>
      </c>
      <c r="B47" s="10">
        <f t="shared" si="17"/>
        <v>4485481.6906866729</v>
      </c>
      <c r="C47" s="10">
        <f t="shared" si="15"/>
        <v>8535.321641491606</v>
      </c>
      <c r="D47" s="10">
        <f t="shared" si="18"/>
        <v>12858.380846635129</v>
      </c>
      <c r="E47" s="10">
        <f t="shared" si="19"/>
        <v>21393.702488126735</v>
      </c>
      <c r="F47" s="10">
        <f t="shared" si="16"/>
        <v>4476946.3690451812</v>
      </c>
      <c r="G47">
        <v>40</v>
      </c>
    </row>
    <row r="48" spans="1:10" x14ac:dyDescent="0.2">
      <c r="A48" s="41">
        <v>44317</v>
      </c>
      <c r="B48" s="10">
        <f t="shared" si="17"/>
        <v>4476946.3690451812</v>
      </c>
      <c r="C48" s="10">
        <f t="shared" si="15"/>
        <v>8559.7895635305485</v>
      </c>
      <c r="D48" s="10">
        <f t="shared" si="18"/>
        <v>12833.912924596187</v>
      </c>
      <c r="E48" s="10">
        <f t="shared" si="19"/>
        <v>21393.702488126735</v>
      </c>
      <c r="F48" s="10">
        <f t="shared" si="16"/>
        <v>4468386.5794816511</v>
      </c>
      <c r="G48">
        <v>41</v>
      </c>
    </row>
    <row r="49" spans="1:10" x14ac:dyDescent="0.2">
      <c r="A49" s="41">
        <v>44348</v>
      </c>
      <c r="B49" s="10">
        <f t="shared" si="17"/>
        <v>4468386.5794816511</v>
      </c>
      <c r="C49" s="10">
        <f t="shared" si="15"/>
        <v>8584.3276269460021</v>
      </c>
      <c r="D49" s="10">
        <f t="shared" si="18"/>
        <v>12809.374861180733</v>
      </c>
      <c r="E49" s="10">
        <f t="shared" si="19"/>
        <v>21393.702488126735</v>
      </c>
      <c r="F49" s="10">
        <f t="shared" si="16"/>
        <v>4459802.2518547047</v>
      </c>
      <c r="G49">
        <v>42</v>
      </c>
    </row>
    <row r="50" spans="1:10" x14ac:dyDescent="0.2">
      <c r="A50" s="41">
        <v>44378</v>
      </c>
      <c r="B50" s="10">
        <f t="shared" si="17"/>
        <v>4459802.2518547047</v>
      </c>
      <c r="C50" s="10">
        <f t="shared" si="15"/>
        <v>8608.9360328099156</v>
      </c>
      <c r="D50" s="10">
        <f t="shared" si="18"/>
        <v>12784.76645531682</v>
      </c>
      <c r="E50" s="10">
        <f t="shared" si="19"/>
        <v>21393.702488126735</v>
      </c>
      <c r="F50" s="10">
        <f t="shared" si="16"/>
        <v>4451193.3158218944</v>
      </c>
      <c r="G50">
        <v>43</v>
      </c>
    </row>
    <row r="51" spans="1:10" x14ac:dyDescent="0.2">
      <c r="A51" s="41">
        <v>44409</v>
      </c>
      <c r="B51" s="10">
        <f t="shared" si="17"/>
        <v>4451193.3158218944</v>
      </c>
      <c r="C51" s="10">
        <f t="shared" si="15"/>
        <v>8633.6149827706377</v>
      </c>
      <c r="D51" s="10">
        <f t="shared" si="18"/>
        <v>12760.087505356098</v>
      </c>
      <c r="E51" s="10">
        <f t="shared" si="19"/>
        <v>21393.702488126735</v>
      </c>
      <c r="F51" s="10">
        <f t="shared" si="16"/>
        <v>4442559.7008391237</v>
      </c>
      <c r="G51">
        <v>44</v>
      </c>
    </row>
    <row r="52" spans="1:10" x14ac:dyDescent="0.2">
      <c r="A52" s="41">
        <v>44440</v>
      </c>
      <c r="B52" s="10">
        <f t="shared" si="17"/>
        <v>4442559.7008391237</v>
      </c>
      <c r="C52" s="10">
        <f t="shared" si="15"/>
        <v>8658.3646790545808</v>
      </c>
      <c r="D52" s="10">
        <f t="shared" si="18"/>
        <v>12735.337809072154</v>
      </c>
      <c r="E52" s="10">
        <f t="shared" si="19"/>
        <v>21393.702488126735</v>
      </c>
      <c r="F52" s="10">
        <f t="shared" si="16"/>
        <v>4433901.3361600693</v>
      </c>
      <c r="G52">
        <v>45</v>
      </c>
    </row>
    <row r="53" spans="1:10" x14ac:dyDescent="0.2">
      <c r="A53" s="41">
        <v>44470</v>
      </c>
      <c r="B53" s="10">
        <f t="shared" si="17"/>
        <v>4433901.3361600693</v>
      </c>
      <c r="C53" s="10">
        <f t="shared" si="15"/>
        <v>8683.1853244678696</v>
      </c>
      <c r="D53" s="10">
        <f t="shared" si="18"/>
        <v>12710.517163658866</v>
      </c>
      <c r="E53" s="10">
        <f t="shared" si="19"/>
        <v>21393.702488126735</v>
      </c>
      <c r="F53" s="10">
        <f t="shared" si="16"/>
        <v>4425218.1508356016</v>
      </c>
      <c r="G53">
        <v>46</v>
      </c>
    </row>
    <row r="54" spans="1:10" x14ac:dyDescent="0.2">
      <c r="A54" s="41">
        <v>44501</v>
      </c>
      <c r="B54" s="10">
        <f t="shared" si="17"/>
        <v>4425218.1508356016</v>
      </c>
      <c r="C54" s="10">
        <f t="shared" si="15"/>
        <v>8708.07712239801</v>
      </c>
      <c r="D54" s="10">
        <f t="shared" si="18"/>
        <v>12685.625365728725</v>
      </c>
      <c r="E54" s="10">
        <f t="shared" si="19"/>
        <v>21393.702488126735</v>
      </c>
      <c r="F54" s="10">
        <f t="shared" si="16"/>
        <v>4416510.0737132039</v>
      </c>
      <c r="G54">
        <v>47</v>
      </c>
      <c r="I54" t="s">
        <v>29</v>
      </c>
      <c r="J54" t="s">
        <v>87</v>
      </c>
    </row>
    <row r="55" spans="1:10" ht="15" x14ac:dyDescent="0.25">
      <c r="A55" s="41">
        <v>44531</v>
      </c>
      <c r="B55" s="10">
        <f t="shared" si="17"/>
        <v>4416510.0737132039</v>
      </c>
      <c r="C55" s="10">
        <f t="shared" si="15"/>
        <v>8733.0402768155509</v>
      </c>
      <c r="D55" s="10">
        <f t="shared" si="18"/>
        <v>12660.662211311184</v>
      </c>
      <c r="E55" s="10">
        <f t="shared" si="19"/>
        <v>21393.702488126735</v>
      </c>
      <c r="F55" s="11">
        <f t="shared" si="16"/>
        <v>4407777.0334363887</v>
      </c>
      <c r="G55">
        <v>48</v>
      </c>
      <c r="I55" s="18">
        <f>$B$2+CUMPRINC($K$2,$K$3,$B$2,G30,G55,0)</f>
        <v>4597154.5812771879</v>
      </c>
      <c r="J55" s="19">
        <f>-CUMIPMT($K$2,$K$3,$B$2,G44,G55,0)</f>
        <v>153559.91680525051</v>
      </c>
    </row>
    <row r="56" spans="1:10" x14ac:dyDescent="0.2">
      <c r="A56" s="12" t="s">
        <v>45</v>
      </c>
      <c r="B56" s="12"/>
      <c r="C56" s="11">
        <f>SUM(C44:C55)</f>
        <v>103164.51305227022</v>
      </c>
      <c r="D56" s="11">
        <f>SUM(D44:D55)</f>
        <v>153559.9168052506</v>
      </c>
      <c r="E56" s="10"/>
      <c r="F56" s="10"/>
    </row>
    <row r="58" spans="1:10" x14ac:dyDescent="0.2">
      <c r="A58" s="41">
        <v>44562</v>
      </c>
      <c r="B58" s="10">
        <f>+F55</f>
        <v>4407777.0334363887</v>
      </c>
      <c r="C58" s="10">
        <f t="shared" ref="C58:C69" si="20">+E58-D58</f>
        <v>8758.074992275755</v>
      </c>
      <c r="D58" s="10">
        <f>+B58*$K$2</f>
        <v>12635.62749585098</v>
      </c>
      <c r="E58" s="10">
        <f>-$K$5</f>
        <v>21393.702488126735</v>
      </c>
      <c r="F58" s="10">
        <f t="shared" ref="F58:F69" si="21">+B58-C58</f>
        <v>4399018.9584441129</v>
      </c>
      <c r="G58">
        <v>49</v>
      </c>
    </row>
    <row r="59" spans="1:10" x14ac:dyDescent="0.2">
      <c r="A59" s="41">
        <v>44593</v>
      </c>
      <c r="B59" s="10">
        <f t="shared" ref="B59:B69" si="22">+F58</f>
        <v>4399018.9584441129</v>
      </c>
      <c r="C59" s="10">
        <f t="shared" si="20"/>
        <v>8783.1814739202782</v>
      </c>
      <c r="D59" s="10">
        <f t="shared" ref="D59:D69" si="23">+B59*$K$2</f>
        <v>12610.521014206457</v>
      </c>
      <c r="E59" s="10">
        <f t="shared" ref="E59:E69" si="24">-$K$5</f>
        <v>21393.702488126735</v>
      </c>
      <c r="F59" s="10">
        <f t="shared" si="21"/>
        <v>4390235.7769701928</v>
      </c>
      <c r="G59">
        <v>50</v>
      </c>
    </row>
    <row r="60" spans="1:10" x14ac:dyDescent="0.2">
      <c r="A60" s="41">
        <v>44621</v>
      </c>
      <c r="B60" s="10">
        <f t="shared" si="22"/>
        <v>4390235.7769701928</v>
      </c>
      <c r="C60" s="10">
        <f t="shared" si="20"/>
        <v>8808.3599274788485</v>
      </c>
      <c r="D60" s="10">
        <f t="shared" si="23"/>
        <v>12585.342560647887</v>
      </c>
      <c r="E60" s="10">
        <f t="shared" si="24"/>
        <v>21393.702488126735</v>
      </c>
      <c r="F60" s="10">
        <f t="shared" si="21"/>
        <v>4381427.4170427136</v>
      </c>
      <c r="G60">
        <v>51</v>
      </c>
    </row>
    <row r="61" spans="1:10" x14ac:dyDescent="0.2">
      <c r="A61" s="41">
        <v>44652</v>
      </c>
      <c r="B61" s="10">
        <f t="shared" si="22"/>
        <v>4381427.4170427136</v>
      </c>
      <c r="C61" s="10">
        <f t="shared" si="20"/>
        <v>8833.6105592709555</v>
      </c>
      <c r="D61" s="10">
        <f t="shared" si="23"/>
        <v>12560.09192885578</v>
      </c>
      <c r="E61" s="10">
        <f t="shared" si="24"/>
        <v>21393.702488126735</v>
      </c>
      <c r="F61" s="10">
        <f t="shared" si="21"/>
        <v>4372593.8064834429</v>
      </c>
      <c r="G61">
        <v>52</v>
      </c>
    </row>
    <row r="62" spans="1:10" x14ac:dyDescent="0.2">
      <c r="A62" s="41">
        <v>44682</v>
      </c>
      <c r="B62" s="10">
        <f t="shared" si="22"/>
        <v>4372593.8064834429</v>
      </c>
      <c r="C62" s="10">
        <f t="shared" si="20"/>
        <v>8858.9335762075316</v>
      </c>
      <c r="D62" s="10">
        <f t="shared" si="23"/>
        <v>12534.768911919204</v>
      </c>
      <c r="E62" s="10">
        <f t="shared" si="24"/>
        <v>21393.702488126735</v>
      </c>
      <c r="F62" s="10">
        <f t="shared" si="21"/>
        <v>4363734.8729072353</v>
      </c>
      <c r="G62">
        <v>53</v>
      </c>
    </row>
    <row r="63" spans="1:10" x14ac:dyDescent="0.2">
      <c r="A63" s="41">
        <v>44713</v>
      </c>
      <c r="B63" s="10">
        <f t="shared" si="22"/>
        <v>4363734.8729072353</v>
      </c>
      <c r="C63" s="10">
        <f t="shared" si="20"/>
        <v>8884.3291857926615</v>
      </c>
      <c r="D63" s="10">
        <f t="shared" si="23"/>
        <v>12509.373302334074</v>
      </c>
      <c r="E63" s="10">
        <f t="shared" si="24"/>
        <v>21393.702488126735</v>
      </c>
      <c r="F63" s="10">
        <f t="shared" si="21"/>
        <v>4354850.543721443</v>
      </c>
      <c r="G63">
        <v>54</v>
      </c>
    </row>
    <row r="64" spans="1:10" x14ac:dyDescent="0.2">
      <c r="A64" s="41">
        <v>44743</v>
      </c>
      <c r="B64" s="10">
        <f t="shared" si="22"/>
        <v>4354850.543721443</v>
      </c>
      <c r="C64" s="10">
        <f t="shared" si="20"/>
        <v>8909.797596125265</v>
      </c>
      <c r="D64" s="10">
        <f t="shared" si="23"/>
        <v>12483.90489200147</v>
      </c>
      <c r="E64" s="10">
        <f t="shared" si="24"/>
        <v>21393.702488126735</v>
      </c>
      <c r="F64" s="10">
        <f t="shared" si="21"/>
        <v>4345940.7461253181</v>
      </c>
      <c r="G64">
        <v>55</v>
      </c>
    </row>
    <row r="65" spans="1:10" x14ac:dyDescent="0.2">
      <c r="A65" s="41">
        <v>44774</v>
      </c>
      <c r="B65" s="10">
        <f t="shared" si="22"/>
        <v>4345940.7461253181</v>
      </c>
      <c r="C65" s="10">
        <f t="shared" si="20"/>
        <v>8935.3390159008231</v>
      </c>
      <c r="D65" s="10">
        <f t="shared" si="23"/>
        <v>12458.363472225912</v>
      </c>
      <c r="E65" s="10">
        <f t="shared" si="24"/>
        <v>21393.702488126735</v>
      </c>
      <c r="F65" s="10">
        <f t="shared" si="21"/>
        <v>4337005.407109417</v>
      </c>
      <c r="G65">
        <v>56</v>
      </c>
    </row>
    <row r="66" spans="1:10" x14ac:dyDescent="0.2">
      <c r="A66" s="41">
        <v>44805</v>
      </c>
      <c r="B66" s="10">
        <f t="shared" si="22"/>
        <v>4337005.407109417</v>
      </c>
      <c r="C66" s="10">
        <f t="shared" si="20"/>
        <v>8960.9536544130733</v>
      </c>
      <c r="D66" s="10">
        <f t="shared" si="23"/>
        <v>12432.748833713662</v>
      </c>
      <c r="E66" s="10">
        <f t="shared" si="24"/>
        <v>21393.702488126735</v>
      </c>
      <c r="F66" s="10">
        <f t="shared" si="21"/>
        <v>4328044.4534550039</v>
      </c>
      <c r="G66">
        <v>57</v>
      </c>
    </row>
    <row r="67" spans="1:10" x14ac:dyDescent="0.2">
      <c r="A67" s="41">
        <v>44835</v>
      </c>
      <c r="B67" s="10">
        <f t="shared" si="22"/>
        <v>4328044.4534550039</v>
      </c>
      <c r="C67" s="10">
        <f t="shared" si="20"/>
        <v>8986.6417215557249</v>
      </c>
      <c r="D67" s="10">
        <f t="shared" si="23"/>
        <v>12407.06076657101</v>
      </c>
      <c r="E67" s="10">
        <f t="shared" si="24"/>
        <v>21393.702488126735</v>
      </c>
      <c r="F67" s="10">
        <f t="shared" si="21"/>
        <v>4319057.8117334479</v>
      </c>
      <c r="G67">
        <v>58</v>
      </c>
    </row>
    <row r="68" spans="1:10" x14ac:dyDescent="0.2">
      <c r="A68" s="41">
        <v>44866</v>
      </c>
      <c r="B68" s="10">
        <f t="shared" si="22"/>
        <v>4319057.8117334479</v>
      </c>
      <c r="C68" s="10">
        <f t="shared" si="20"/>
        <v>9012.4034278241852</v>
      </c>
      <c r="D68" s="10">
        <f t="shared" si="23"/>
        <v>12381.29906030255</v>
      </c>
      <c r="E68" s="10">
        <f t="shared" si="24"/>
        <v>21393.702488126735</v>
      </c>
      <c r="F68" s="10">
        <f t="shared" si="21"/>
        <v>4310045.4083056236</v>
      </c>
      <c r="G68">
        <v>59</v>
      </c>
      <c r="I68" t="s">
        <v>29</v>
      </c>
      <c r="J68" t="s">
        <v>87</v>
      </c>
    </row>
    <row r="69" spans="1:10" ht="15" x14ac:dyDescent="0.25">
      <c r="A69" s="41">
        <v>44896</v>
      </c>
      <c r="B69" s="10">
        <f t="shared" si="22"/>
        <v>4310045.4083056236</v>
      </c>
      <c r="C69" s="10">
        <f t="shared" si="20"/>
        <v>9038.2389843172805</v>
      </c>
      <c r="D69" s="10">
        <f t="shared" si="23"/>
        <v>12355.463503809455</v>
      </c>
      <c r="E69" s="10">
        <f t="shared" si="24"/>
        <v>21393.702488126735</v>
      </c>
      <c r="F69" s="11">
        <f t="shared" si="21"/>
        <v>4301007.169321306</v>
      </c>
      <c r="G69">
        <v>60</v>
      </c>
      <c r="I69" s="18">
        <f>$B$2+CUMPRINC($K$2,$K$3,$B$2,G44,G69,0)</f>
        <v>4590065.6228326475</v>
      </c>
      <c r="J69" s="19">
        <f>-CUMIPMT($K$2,$K$3,$B$2,G58,G69,0)</f>
        <v>149954.56574243831</v>
      </c>
    </row>
    <row r="70" spans="1:10" x14ac:dyDescent="0.2">
      <c r="A70" s="12" t="s">
        <v>45</v>
      </c>
      <c r="B70" s="12"/>
      <c r="C70" s="11">
        <f>SUM(C58:C69)</f>
        <v>106769.8641150824</v>
      </c>
      <c r="D70" s="11">
        <f>SUM(D58:D69)</f>
        <v>149954.56574243843</v>
      </c>
      <c r="E70" s="10"/>
      <c r="F70" s="10"/>
    </row>
    <row r="72" spans="1:10" x14ac:dyDescent="0.2">
      <c r="A72" s="41">
        <v>44927</v>
      </c>
      <c r="B72" s="10">
        <f>+F69</f>
        <v>4301007.169321306</v>
      </c>
      <c r="C72" s="10">
        <f t="shared" ref="C72:C83" si="25">+E72-D72</f>
        <v>9064.148602738991</v>
      </c>
      <c r="D72" s="10">
        <f>+B72*$K$2</f>
        <v>12329.553885387744</v>
      </c>
      <c r="E72" s="10">
        <f>-$K$5</f>
        <v>21393.702488126735</v>
      </c>
      <c r="F72" s="10">
        <f t="shared" ref="F72:F83" si="26">+B72-C72</f>
        <v>4291943.0207185671</v>
      </c>
      <c r="G72">
        <v>61</v>
      </c>
    </row>
    <row r="73" spans="1:10" x14ac:dyDescent="0.2">
      <c r="A73" s="41">
        <v>44958</v>
      </c>
      <c r="B73" s="10">
        <f t="shared" ref="B73:B83" si="27">+F72</f>
        <v>4291943.0207185671</v>
      </c>
      <c r="C73" s="10">
        <f t="shared" si="25"/>
        <v>9090.1324954001757</v>
      </c>
      <c r="D73" s="10">
        <f t="shared" ref="D73:D83" si="28">+B73*$K$2</f>
        <v>12303.56999272656</v>
      </c>
      <c r="E73" s="10">
        <f t="shared" ref="E73:E83" si="29">-$K$5</f>
        <v>21393.702488126735</v>
      </c>
      <c r="F73" s="10">
        <f t="shared" si="26"/>
        <v>4282852.8882231666</v>
      </c>
      <c r="G73">
        <v>62</v>
      </c>
    </row>
    <row r="74" spans="1:10" x14ac:dyDescent="0.2">
      <c r="A74" s="41">
        <v>44986</v>
      </c>
      <c r="B74" s="10">
        <f t="shared" si="27"/>
        <v>4282852.8882231666</v>
      </c>
      <c r="C74" s="10">
        <f t="shared" si="25"/>
        <v>9116.1908752203235</v>
      </c>
      <c r="D74" s="10">
        <f t="shared" si="28"/>
        <v>12277.511612906412</v>
      </c>
      <c r="E74" s="10">
        <f t="shared" si="29"/>
        <v>21393.702488126735</v>
      </c>
      <c r="F74" s="10">
        <f t="shared" si="26"/>
        <v>4273736.6973479465</v>
      </c>
      <c r="G74">
        <v>63</v>
      </c>
    </row>
    <row r="75" spans="1:10" x14ac:dyDescent="0.2">
      <c r="A75" s="41">
        <v>45017</v>
      </c>
      <c r="B75" s="10">
        <f t="shared" si="27"/>
        <v>4273736.6973479465</v>
      </c>
      <c r="C75" s="10">
        <f t="shared" si="25"/>
        <v>9142.3239557292891</v>
      </c>
      <c r="D75" s="10">
        <f t="shared" si="28"/>
        <v>12251.378532397446</v>
      </c>
      <c r="E75" s="10">
        <f t="shared" si="29"/>
        <v>21393.702488126735</v>
      </c>
      <c r="F75" s="10">
        <f t="shared" si="26"/>
        <v>4264594.3733922169</v>
      </c>
      <c r="G75">
        <v>64</v>
      </c>
    </row>
    <row r="76" spans="1:10" x14ac:dyDescent="0.2">
      <c r="A76" s="41">
        <v>45047</v>
      </c>
      <c r="B76" s="10">
        <f t="shared" si="27"/>
        <v>4264594.3733922169</v>
      </c>
      <c r="C76" s="10">
        <f t="shared" si="25"/>
        <v>9168.531951069046</v>
      </c>
      <c r="D76" s="10">
        <f t="shared" si="28"/>
        <v>12225.170537057689</v>
      </c>
      <c r="E76" s="10">
        <f t="shared" si="29"/>
        <v>21393.702488126735</v>
      </c>
      <c r="F76" s="10">
        <f t="shared" si="26"/>
        <v>4255425.841441148</v>
      </c>
      <c r="G76">
        <v>65</v>
      </c>
    </row>
    <row r="77" spans="1:10" x14ac:dyDescent="0.2">
      <c r="A77" s="41">
        <v>45078</v>
      </c>
      <c r="B77" s="10">
        <f t="shared" si="27"/>
        <v>4255425.841441148</v>
      </c>
      <c r="C77" s="10">
        <f t="shared" si="25"/>
        <v>9194.8150759954442</v>
      </c>
      <c r="D77" s="10">
        <f t="shared" si="28"/>
        <v>12198.887412131291</v>
      </c>
      <c r="E77" s="10">
        <f t="shared" si="29"/>
        <v>21393.702488126735</v>
      </c>
      <c r="F77" s="10">
        <f t="shared" si="26"/>
        <v>4246231.0263651526</v>
      </c>
      <c r="G77">
        <v>66</v>
      </c>
    </row>
    <row r="78" spans="1:10" x14ac:dyDescent="0.2">
      <c r="A78" s="41">
        <v>45108</v>
      </c>
      <c r="B78" s="10">
        <f t="shared" si="27"/>
        <v>4246231.0263651526</v>
      </c>
      <c r="C78" s="10">
        <f t="shared" si="25"/>
        <v>9221.1735458799649</v>
      </c>
      <c r="D78" s="10">
        <f t="shared" si="28"/>
        <v>12172.52894224677</v>
      </c>
      <c r="E78" s="10">
        <f t="shared" si="29"/>
        <v>21393.702488126735</v>
      </c>
      <c r="F78" s="10">
        <f t="shared" si="26"/>
        <v>4237009.8528192723</v>
      </c>
      <c r="G78">
        <v>67</v>
      </c>
    </row>
    <row r="79" spans="1:10" x14ac:dyDescent="0.2">
      <c r="A79" s="41">
        <v>45139</v>
      </c>
      <c r="B79" s="10">
        <f t="shared" si="27"/>
        <v>4237009.8528192723</v>
      </c>
      <c r="C79" s="10">
        <f t="shared" si="25"/>
        <v>9247.6075767114871</v>
      </c>
      <c r="D79" s="10">
        <f t="shared" si="28"/>
        <v>12146.094911415248</v>
      </c>
      <c r="E79" s="10">
        <f t="shared" si="29"/>
        <v>21393.702488126735</v>
      </c>
      <c r="F79" s="10">
        <f t="shared" si="26"/>
        <v>4227762.2452425612</v>
      </c>
      <c r="G79">
        <v>68</v>
      </c>
    </row>
    <row r="80" spans="1:10" x14ac:dyDescent="0.2">
      <c r="A80" s="41">
        <v>45170</v>
      </c>
      <c r="B80" s="10">
        <f t="shared" si="27"/>
        <v>4227762.2452425612</v>
      </c>
      <c r="C80" s="10">
        <f t="shared" si="25"/>
        <v>9274.1173850980595</v>
      </c>
      <c r="D80" s="10">
        <f t="shared" si="28"/>
        <v>12119.585103028676</v>
      </c>
      <c r="E80" s="10">
        <f t="shared" si="29"/>
        <v>21393.702488126735</v>
      </c>
      <c r="F80" s="10">
        <f t="shared" si="26"/>
        <v>4218488.1278574634</v>
      </c>
      <c r="G80">
        <v>69</v>
      </c>
    </row>
    <row r="81" spans="1:10" x14ac:dyDescent="0.2">
      <c r="A81" s="41">
        <v>45200</v>
      </c>
      <c r="B81" s="10">
        <f t="shared" si="27"/>
        <v>4218488.1278574634</v>
      </c>
      <c r="C81" s="10">
        <f t="shared" si="25"/>
        <v>9300.7031882686733</v>
      </c>
      <c r="D81" s="10">
        <f t="shared" si="28"/>
        <v>12092.999299858062</v>
      </c>
      <c r="E81" s="10">
        <f t="shared" si="29"/>
        <v>21393.702488126735</v>
      </c>
      <c r="F81" s="10">
        <f t="shared" si="26"/>
        <v>4209187.424669195</v>
      </c>
      <c r="G81">
        <v>70</v>
      </c>
    </row>
    <row r="82" spans="1:10" x14ac:dyDescent="0.2">
      <c r="A82" s="41">
        <v>45231</v>
      </c>
      <c r="B82" s="10">
        <f t="shared" si="27"/>
        <v>4209187.424669195</v>
      </c>
      <c r="C82" s="10">
        <f t="shared" si="25"/>
        <v>9327.3652040750421</v>
      </c>
      <c r="D82" s="10">
        <f t="shared" si="28"/>
        <v>12066.337284051693</v>
      </c>
      <c r="E82" s="10">
        <f t="shared" si="29"/>
        <v>21393.702488126735</v>
      </c>
      <c r="F82" s="10">
        <f t="shared" si="26"/>
        <v>4199860.0594651196</v>
      </c>
      <c r="G82">
        <v>71</v>
      </c>
      <c r="I82" t="s">
        <v>29</v>
      </c>
      <c r="J82" t="s">
        <v>87</v>
      </c>
    </row>
    <row r="83" spans="1:10" ht="15" x14ac:dyDescent="0.25">
      <c r="A83" s="41">
        <v>45261</v>
      </c>
      <c r="B83" s="10">
        <f t="shared" si="27"/>
        <v>4199860.0594651196</v>
      </c>
      <c r="C83" s="10">
        <f t="shared" si="25"/>
        <v>9354.1036509933929</v>
      </c>
      <c r="D83" s="10">
        <f t="shared" si="28"/>
        <v>12039.598837133342</v>
      </c>
      <c r="E83" s="10">
        <f t="shared" si="29"/>
        <v>21393.702488126735</v>
      </c>
      <c r="F83" s="11">
        <f t="shared" si="26"/>
        <v>4190505.9558141264</v>
      </c>
      <c r="G83">
        <v>72</v>
      </c>
      <c r="I83" s="18">
        <f>$B$2+CUMPRINC($K$2,$K$3,$B$2,G58,G83,0)</f>
        <v>4582728.9223777372</v>
      </c>
      <c r="J83" s="19">
        <f>-CUMIPMT($K$2,$K$3,$B$2,G72,G83,0)</f>
        <v>146223.21635034084</v>
      </c>
    </row>
    <row r="84" spans="1:10" x14ac:dyDescent="0.2">
      <c r="A84" s="12" t="s">
        <v>45</v>
      </c>
      <c r="B84" s="12"/>
      <c r="C84" s="11">
        <f>SUM(C72:C83)</f>
        <v>110501.21350717988</v>
      </c>
      <c r="D84" s="11">
        <f>SUM(D72:D83)</f>
        <v>146223.21635034092</v>
      </c>
      <c r="E84" s="10"/>
      <c r="F84" s="10"/>
    </row>
    <row r="86" spans="1:10" x14ac:dyDescent="0.2">
      <c r="A86" s="41">
        <v>45292</v>
      </c>
      <c r="B86" s="10">
        <f>+F83</f>
        <v>4190505.9558141264</v>
      </c>
      <c r="C86" s="10">
        <f t="shared" ref="C86:C97" si="30">+E86-D86</f>
        <v>9380.9187481262397</v>
      </c>
      <c r="D86" s="10">
        <f>+B86*$K$2</f>
        <v>12012.783740000496</v>
      </c>
      <c r="E86" s="10">
        <f>-$K$5</f>
        <v>21393.702488126735</v>
      </c>
      <c r="F86" s="10">
        <f t="shared" ref="F86:F97" si="31">+B86-C86</f>
        <v>4181125.037066</v>
      </c>
      <c r="G86">
        <v>61</v>
      </c>
    </row>
    <row r="87" spans="1:10" x14ac:dyDescent="0.2">
      <c r="A87" s="41">
        <v>45323</v>
      </c>
      <c r="B87" s="10">
        <f t="shared" ref="B87:B97" si="32">+F86</f>
        <v>4181125.037066</v>
      </c>
      <c r="C87" s="10">
        <f t="shared" si="30"/>
        <v>9407.8107152042012</v>
      </c>
      <c r="D87" s="10">
        <f t="shared" ref="D87:D97" si="33">+B87*$K$2</f>
        <v>11985.891772922534</v>
      </c>
      <c r="E87" s="10">
        <f t="shared" ref="E87:E97" si="34">-$K$5</f>
        <v>21393.702488126735</v>
      </c>
      <c r="F87" s="10">
        <f t="shared" si="31"/>
        <v>4171717.2263507959</v>
      </c>
      <c r="G87">
        <v>62</v>
      </c>
    </row>
    <row r="88" spans="1:10" x14ac:dyDescent="0.2">
      <c r="A88" s="41">
        <v>45352</v>
      </c>
      <c r="B88" s="10">
        <f t="shared" si="32"/>
        <v>4171717.2263507959</v>
      </c>
      <c r="C88" s="10">
        <f t="shared" si="30"/>
        <v>9434.7797725877863</v>
      </c>
      <c r="D88" s="10">
        <f t="shared" si="33"/>
        <v>11958.922715538949</v>
      </c>
      <c r="E88" s="10">
        <f t="shared" si="34"/>
        <v>21393.702488126735</v>
      </c>
      <c r="F88" s="10">
        <f t="shared" si="31"/>
        <v>4162282.4465782084</v>
      </c>
      <c r="G88">
        <v>63</v>
      </c>
    </row>
    <row r="89" spans="1:10" x14ac:dyDescent="0.2">
      <c r="A89" s="41">
        <v>45383</v>
      </c>
      <c r="B89" s="10">
        <f t="shared" si="32"/>
        <v>4162282.4465782084</v>
      </c>
      <c r="C89" s="10">
        <f t="shared" si="30"/>
        <v>9461.8261412692045</v>
      </c>
      <c r="D89" s="10">
        <f t="shared" si="33"/>
        <v>11931.876346857531</v>
      </c>
      <c r="E89" s="10">
        <f t="shared" si="34"/>
        <v>21393.702488126735</v>
      </c>
      <c r="F89" s="10">
        <f t="shared" si="31"/>
        <v>4152820.6204369389</v>
      </c>
      <c r="G89">
        <v>64</v>
      </c>
    </row>
    <row r="90" spans="1:10" x14ac:dyDescent="0.2">
      <c r="A90" s="41">
        <v>45413</v>
      </c>
      <c r="B90" s="10">
        <f t="shared" si="32"/>
        <v>4152820.6204369389</v>
      </c>
      <c r="C90" s="10">
        <f t="shared" si="30"/>
        <v>9488.9500428741776</v>
      </c>
      <c r="D90" s="10">
        <f t="shared" si="33"/>
        <v>11904.752445252558</v>
      </c>
      <c r="E90" s="10">
        <f t="shared" si="34"/>
        <v>21393.702488126735</v>
      </c>
      <c r="F90" s="10">
        <f t="shared" si="31"/>
        <v>4143331.6703940649</v>
      </c>
      <c r="G90">
        <v>65</v>
      </c>
    </row>
    <row r="91" spans="1:10" x14ac:dyDescent="0.2">
      <c r="A91" s="41">
        <v>45444</v>
      </c>
      <c r="B91" s="10">
        <f t="shared" si="32"/>
        <v>4143331.6703940649</v>
      </c>
      <c r="C91" s="10">
        <f t="shared" si="30"/>
        <v>9516.1516996637492</v>
      </c>
      <c r="D91" s="10">
        <f t="shared" si="33"/>
        <v>11877.550788462986</v>
      </c>
      <c r="E91" s="10">
        <f t="shared" si="34"/>
        <v>21393.702488126735</v>
      </c>
      <c r="F91" s="10">
        <f t="shared" si="31"/>
        <v>4133815.5186944013</v>
      </c>
      <c r="G91">
        <v>66</v>
      </c>
    </row>
    <row r="92" spans="1:10" x14ac:dyDescent="0.2">
      <c r="A92" s="41">
        <v>45474</v>
      </c>
      <c r="B92" s="10">
        <f t="shared" si="32"/>
        <v>4133815.5186944013</v>
      </c>
      <c r="C92" s="10">
        <f t="shared" si="30"/>
        <v>9543.4313345361188</v>
      </c>
      <c r="D92" s="10">
        <f t="shared" si="33"/>
        <v>11850.271153590616</v>
      </c>
      <c r="E92" s="10">
        <f t="shared" si="34"/>
        <v>21393.702488126735</v>
      </c>
      <c r="F92" s="10">
        <f t="shared" si="31"/>
        <v>4124272.0873598652</v>
      </c>
      <c r="G92">
        <v>67</v>
      </c>
    </row>
    <row r="93" spans="1:10" x14ac:dyDescent="0.2">
      <c r="A93" s="41">
        <v>45505</v>
      </c>
      <c r="B93" s="10">
        <f t="shared" si="32"/>
        <v>4124272.0873598652</v>
      </c>
      <c r="C93" s="10">
        <f t="shared" si="30"/>
        <v>9570.7891710284548</v>
      </c>
      <c r="D93" s="10">
        <f t="shared" si="33"/>
        <v>11822.91331709828</v>
      </c>
      <c r="E93" s="10">
        <f t="shared" si="34"/>
        <v>21393.702488126735</v>
      </c>
      <c r="F93" s="10">
        <f t="shared" si="31"/>
        <v>4114701.2981888368</v>
      </c>
      <c r="G93">
        <v>68</v>
      </c>
    </row>
    <row r="94" spans="1:10" x14ac:dyDescent="0.2">
      <c r="A94" s="41">
        <v>45536</v>
      </c>
      <c r="B94" s="10">
        <f t="shared" si="32"/>
        <v>4114701.2981888368</v>
      </c>
      <c r="C94" s="10">
        <f t="shared" si="30"/>
        <v>9598.2254333187357</v>
      </c>
      <c r="D94" s="10">
        <f t="shared" si="33"/>
        <v>11795.477054808</v>
      </c>
      <c r="E94" s="10">
        <f t="shared" si="34"/>
        <v>21393.702488126735</v>
      </c>
      <c r="F94" s="10">
        <f t="shared" si="31"/>
        <v>4105103.0727555179</v>
      </c>
      <c r="G94">
        <v>69</v>
      </c>
    </row>
    <row r="95" spans="1:10" x14ac:dyDescent="0.2">
      <c r="A95" s="41">
        <v>45566</v>
      </c>
      <c r="B95" s="10">
        <f t="shared" si="32"/>
        <v>4105103.0727555179</v>
      </c>
      <c r="C95" s="10">
        <f t="shared" si="30"/>
        <v>9625.7403462275834</v>
      </c>
      <c r="D95" s="10">
        <f t="shared" si="33"/>
        <v>11767.962141899152</v>
      </c>
      <c r="E95" s="10">
        <f t="shared" si="34"/>
        <v>21393.702488126735</v>
      </c>
      <c r="F95" s="10">
        <f t="shared" si="31"/>
        <v>4095477.3324092901</v>
      </c>
      <c r="G95">
        <v>70</v>
      </c>
    </row>
    <row r="96" spans="1:10" x14ac:dyDescent="0.2">
      <c r="A96" s="41">
        <v>45597</v>
      </c>
      <c r="B96" s="10">
        <f t="shared" si="32"/>
        <v>4095477.3324092901</v>
      </c>
      <c r="C96" s="10">
        <f t="shared" si="30"/>
        <v>9653.3341352201041</v>
      </c>
      <c r="D96" s="10">
        <f t="shared" si="33"/>
        <v>11740.368352906631</v>
      </c>
      <c r="E96" s="10">
        <f t="shared" si="34"/>
        <v>21393.702488126735</v>
      </c>
      <c r="F96" s="10">
        <f t="shared" si="31"/>
        <v>4085823.9982740702</v>
      </c>
      <c r="G96">
        <v>71</v>
      </c>
      <c r="I96" t="s">
        <v>29</v>
      </c>
      <c r="J96" t="s">
        <v>87</v>
      </c>
    </row>
    <row r="97" spans="1:10" ht="15" x14ac:dyDescent="0.25">
      <c r="A97" s="41">
        <v>45627</v>
      </c>
      <c r="B97" s="10">
        <f t="shared" si="32"/>
        <v>4085823.9982740702</v>
      </c>
      <c r="C97" s="10">
        <f t="shared" si="30"/>
        <v>9681.0070264077349</v>
      </c>
      <c r="D97" s="10">
        <f t="shared" si="33"/>
        <v>11712.695461719</v>
      </c>
      <c r="E97" s="10">
        <f t="shared" si="34"/>
        <v>21393.702488126735</v>
      </c>
      <c r="F97" s="11">
        <f t="shared" si="31"/>
        <v>4076142.9912476623</v>
      </c>
      <c r="G97">
        <v>72</v>
      </c>
      <c r="I97" s="18">
        <f>$B$2+CUMPRINC($K$2,$K$3,$B$2,G72,G97,0)</f>
        <v>4689498.7864928199</v>
      </c>
      <c r="J97" s="19">
        <f>-CUMIPMT($K$2,$K$3,$B$2,G86,G97,0)</f>
        <v>146223.21635034084</v>
      </c>
    </row>
    <row r="98" spans="1:10" x14ac:dyDescent="0.2">
      <c r="A98" s="12" t="s">
        <v>45</v>
      </c>
      <c r="B98" s="12"/>
      <c r="C98" s="11">
        <f>SUM(C86:C97)</f>
        <v>114362.9645664641</v>
      </c>
      <c r="D98" s="11">
        <f>SUM(D86:D97)</f>
        <v>142361.46529105675</v>
      </c>
      <c r="E98" s="10"/>
      <c r="F98" s="10"/>
    </row>
    <row r="100" spans="1:10" x14ac:dyDescent="0.2">
      <c r="A100" s="41">
        <v>45658</v>
      </c>
      <c r="B100" s="10">
        <f>+F97</f>
        <v>4076142.9912476623</v>
      </c>
      <c r="C100" s="10">
        <f t="shared" ref="C100:C111" si="35">+E100-D100</f>
        <v>9708.7592465501039</v>
      </c>
      <c r="D100" s="10">
        <f>+B100*$K$2</f>
        <v>11684.943241576631</v>
      </c>
      <c r="E100" s="10">
        <f>-$K$5</f>
        <v>21393.702488126735</v>
      </c>
      <c r="F100" s="10">
        <f t="shared" ref="F100:F111" si="36">+B100-C100</f>
        <v>4066434.2320011123</v>
      </c>
      <c r="G100">
        <v>61</v>
      </c>
    </row>
    <row r="101" spans="1:10" x14ac:dyDescent="0.2">
      <c r="A101" s="41">
        <v>45689</v>
      </c>
      <c r="B101" s="10">
        <f t="shared" ref="B101:B111" si="37">+F100</f>
        <v>4066434.2320011123</v>
      </c>
      <c r="C101" s="10">
        <f t="shared" si="35"/>
        <v>9736.5910230568807</v>
      </c>
      <c r="D101" s="10">
        <f t="shared" ref="D101:D111" si="38">+B101*$K$2</f>
        <v>11657.111465069855</v>
      </c>
      <c r="E101" s="10">
        <f t="shared" ref="E101:E111" si="39">-$K$5</f>
        <v>21393.702488126735</v>
      </c>
      <c r="F101" s="10">
        <f t="shared" si="36"/>
        <v>4056697.6409780555</v>
      </c>
      <c r="G101">
        <v>62</v>
      </c>
    </row>
    <row r="102" spans="1:10" x14ac:dyDescent="0.2">
      <c r="A102" s="41">
        <v>45717</v>
      </c>
      <c r="B102" s="10">
        <f t="shared" si="37"/>
        <v>4056697.6409780555</v>
      </c>
      <c r="C102" s="10">
        <f t="shared" si="35"/>
        <v>9764.5025839896425</v>
      </c>
      <c r="D102" s="10">
        <f t="shared" si="38"/>
        <v>11629.199904137093</v>
      </c>
      <c r="E102" s="10">
        <f t="shared" si="39"/>
        <v>21393.702488126735</v>
      </c>
      <c r="F102" s="10">
        <f t="shared" si="36"/>
        <v>4046933.1383940657</v>
      </c>
      <c r="G102">
        <v>63</v>
      </c>
    </row>
    <row r="103" spans="1:10" x14ac:dyDescent="0.2">
      <c r="A103" s="41">
        <v>45748</v>
      </c>
      <c r="B103" s="10">
        <f t="shared" si="37"/>
        <v>4046933.1383940657</v>
      </c>
      <c r="C103" s="10">
        <f t="shared" si="35"/>
        <v>9792.4941580637478</v>
      </c>
      <c r="D103" s="10">
        <f t="shared" si="38"/>
        <v>11601.208330062987</v>
      </c>
      <c r="E103" s="10">
        <f t="shared" si="39"/>
        <v>21393.702488126735</v>
      </c>
      <c r="F103" s="10">
        <f t="shared" si="36"/>
        <v>4037140.6442360021</v>
      </c>
      <c r="G103">
        <v>64</v>
      </c>
    </row>
    <row r="104" spans="1:10" x14ac:dyDescent="0.2">
      <c r="A104" s="41">
        <v>45778</v>
      </c>
      <c r="B104" s="10">
        <f t="shared" si="37"/>
        <v>4037140.6442360021</v>
      </c>
      <c r="C104" s="10">
        <f t="shared" si="35"/>
        <v>9820.5659746501951</v>
      </c>
      <c r="D104" s="10">
        <f t="shared" si="38"/>
        <v>11573.13651347654</v>
      </c>
      <c r="E104" s="10">
        <f t="shared" si="39"/>
        <v>21393.702488126735</v>
      </c>
      <c r="F104" s="10">
        <f t="shared" si="36"/>
        <v>4027320.0782613521</v>
      </c>
      <c r="G104">
        <v>65</v>
      </c>
    </row>
    <row r="105" spans="1:10" x14ac:dyDescent="0.2">
      <c r="A105" s="41">
        <v>45809</v>
      </c>
      <c r="B105" s="10">
        <f t="shared" si="37"/>
        <v>4027320.0782613521</v>
      </c>
      <c r="C105" s="10">
        <f t="shared" si="35"/>
        <v>9848.7182637775259</v>
      </c>
      <c r="D105" s="10">
        <f t="shared" si="38"/>
        <v>11544.984224349209</v>
      </c>
      <c r="E105" s="10">
        <f t="shared" si="39"/>
        <v>21393.702488126735</v>
      </c>
      <c r="F105" s="10">
        <f t="shared" si="36"/>
        <v>4017471.3599975747</v>
      </c>
      <c r="G105">
        <v>66</v>
      </c>
    </row>
    <row r="106" spans="1:10" x14ac:dyDescent="0.2">
      <c r="A106" s="41">
        <v>45839</v>
      </c>
      <c r="B106" s="10">
        <f t="shared" si="37"/>
        <v>4017471.3599975747</v>
      </c>
      <c r="C106" s="10">
        <f t="shared" si="35"/>
        <v>9876.9512561336869</v>
      </c>
      <c r="D106" s="10">
        <f t="shared" si="38"/>
        <v>11516.751231993048</v>
      </c>
      <c r="E106" s="10">
        <f t="shared" si="39"/>
        <v>21393.702488126735</v>
      </c>
      <c r="F106" s="10">
        <f t="shared" si="36"/>
        <v>4007594.4087414411</v>
      </c>
      <c r="G106">
        <v>67</v>
      </c>
    </row>
    <row r="107" spans="1:10" x14ac:dyDescent="0.2">
      <c r="A107" s="41">
        <v>45870</v>
      </c>
      <c r="B107" s="10">
        <f t="shared" si="37"/>
        <v>4007594.4087414411</v>
      </c>
      <c r="C107" s="10">
        <f t="shared" si="35"/>
        <v>9905.265183067937</v>
      </c>
      <c r="D107" s="10">
        <f t="shared" si="38"/>
        <v>11488.437305058798</v>
      </c>
      <c r="E107" s="10">
        <f t="shared" si="39"/>
        <v>21393.702488126735</v>
      </c>
      <c r="F107" s="10">
        <f t="shared" si="36"/>
        <v>3997689.1435583732</v>
      </c>
      <c r="G107">
        <v>68</v>
      </c>
    </row>
    <row r="108" spans="1:10" x14ac:dyDescent="0.2">
      <c r="A108" s="41">
        <v>45901</v>
      </c>
      <c r="B108" s="10">
        <f t="shared" si="37"/>
        <v>3997689.1435583732</v>
      </c>
      <c r="C108" s="10">
        <f t="shared" si="35"/>
        <v>9933.6602765927328</v>
      </c>
      <c r="D108" s="10">
        <f t="shared" si="38"/>
        <v>11460.042211534002</v>
      </c>
      <c r="E108" s="10">
        <f t="shared" si="39"/>
        <v>21393.702488126735</v>
      </c>
      <c r="F108" s="10">
        <f t="shared" si="36"/>
        <v>3987755.4832817805</v>
      </c>
      <c r="G108">
        <v>69</v>
      </c>
    </row>
    <row r="109" spans="1:10" x14ac:dyDescent="0.2">
      <c r="A109" s="41">
        <v>45931</v>
      </c>
      <c r="B109" s="10">
        <f t="shared" si="37"/>
        <v>3987755.4832817805</v>
      </c>
      <c r="C109" s="10">
        <f t="shared" si="35"/>
        <v>9962.1367693856319</v>
      </c>
      <c r="D109" s="10">
        <f t="shared" si="38"/>
        <v>11431.565718741103</v>
      </c>
      <c r="E109" s="10">
        <f t="shared" si="39"/>
        <v>21393.702488126735</v>
      </c>
      <c r="F109" s="10">
        <f t="shared" si="36"/>
        <v>3977793.346512395</v>
      </c>
      <c r="G109">
        <v>70</v>
      </c>
    </row>
    <row r="110" spans="1:10" x14ac:dyDescent="0.2">
      <c r="A110" s="41">
        <v>45962</v>
      </c>
      <c r="B110" s="10">
        <f t="shared" si="37"/>
        <v>3977793.346512395</v>
      </c>
      <c r="C110" s="10">
        <f t="shared" si="35"/>
        <v>9990.6948947912024</v>
      </c>
      <c r="D110" s="10">
        <f t="shared" si="38"/>
        <v>11403.007593335533</v>
      </c>
      <c r="E110" s="10">
        <f t="shared" si="39"/>
        <v>21393.702488126735</v>
      </c>
      <c r="F110" s="10">
        <f t="shared" si="36"/>
        <v>3967802.6516176038</v>
      </c>
      <c r="G110">
        <v>71</v>
      </c>
      <c r="I110" t="s">
        <v>29</v>
      </c>
      <c r="J110" t="s">
        <v>87</v>
      </c>
    </row>
    <row r="111" spans="1:10" ht="15" x14ac:dyDescent="0.25">
      <c r="A111" s="41">
        <v>45992</v>
      </c>
      <c r="B111" s="10">
        <f t="shared" si="37"/>
        <v>3967802.6516176038</v>
      </c>
      <c r="C111" s="10">
        <f t="shared" si="35"/>
        <v>10019.334886822937</v>
      </c>
      <c r="D111" s="10">
        <f t="shared" si="38"/>
        <v>11374.367601303798</v>
      </c>
      <c r="E111" s="10">
        <f t="shared" si="39"/>
        <v>21393.702488126735</v>
      </c>
      <c r="F111" s="11">
        <f t="shared" si="36"/>
        <v>3957783.316730781</v>
      </c>
      <c r="G111">
        <v>72</v>
      </c>
      <c r="I111" s="18">
        <f>$B$2+CUMPRINC($K$2,$K$3,$B$2,G86,G111,0)</f>
        <v>4689498.7864928199</v>
      </c>
      <c r="J111" s="19">
        <f>-CUMIPMT($K$2,$K$3,$B$2,G100,G111,0)</f>
        <v>146223.21635034084</v>
      </c>
    </row>
    <row r="112" spans="1:10" x14ac:dyDescent="0.2">
      <c r="A112" s="12" t="s">
        <v>45</v>
      </c>
      <c r="B112" s="12"/>
      <c r="C112" s="11">
        <f>SUM(C100:C111)</f>
        <v>118359.67451688222</v>
      </c>
      <c r="D112" s="11">
        <f>SUM(D100:D111)</f>
        <v>138364.7553406386</v>
      </c>
      <c r="E112" s="10"/>
      <c r="F112" s="10"/>
    </row>
    <row r="114" spans="1:10" x14ac:dyDescent="0.2">
      <c r="A114" s="41">
        <v>46023</v>
      </c>
      <c r="B114" s="10">
        <f>+F111</f>
        <v>3957783.316730781</v>
      </c>
      <c r="C114" s="10">
        <f t="shared" ref="C114:C125" si="40">+E114-D114</f>
        <v>10048.056980165164</v>
      </c>
      <c r="D114" s="10">
        <f>+B114*$K$2</f>
        <v>11345.645507961572</v>
      </c>
      <c r="E114" s="10">
        <f>-$K$5</f>
        <v>21393.702488126735</v>
      </c>
      <c r="F114" s="10">
        <f t="shared" ref="F114:F125" si="41">+B114-C114</f>
        <v>3947735.2597506158</v>
      </c>
      <c r="G114">
        <v>61</v>
      </c>
    </row>
    <row r="115" spans="1:10" x14ac:dyDescent="0.2">
      <c r="A115" s="41">
        <v>46054</v>
      </c>
      <c r="B115" s="10">
        <f t="shared" ref="B115:B125" si="42">+F114</f>
        <v>3947735.2597506158</v>
      </c>
      <c r="C115" s="10">
        <f t="shared" si="40"/>
        <v>10076.86141017497</v>
      </c>
      <c r="D115" s="10">
        <f t="shared" ref="D115:D125" si="43">+B115*$K$2</f>
        <v>11316.841077951765</v>
      </c>
      <c r="E115" s="10">
        <f t="shared" ref="E115:E125" si="44">-$K$5</f>
        <v>21393.702488126735</v>
      </c>
      <c r="F115" s="10">
        <f t="shared" si="41"/>
        <v>3937658.3983404408</v>
      </c>
      <c r="G115">
        <v>62</v>
      </c>
    </row>
    <row r="116" spans="1:10" x14ac:dyDescent="0.2">
      <c r="A116" s="41">
        <v>46082</v>
      </c>
      <c r="B116" s="10">
        <f t="shared" si="42"/>
        <v>3937658.3983404408</v>
      </c>
      <c r="C116" s="10">
        <f t="shared" si="40"/>
        <v>10105.748412884139</v>
      </c>
      <c r="D116" s="10">
        <f t="shared" si="43"/>
        <v>11287.954075242596</v>
      </c>
      <c r="E116" s="10">
        <f t="shared" si="44"/>
        <v>21393.702488126735</v>
      </c>
      <c r="F116" s="10">
        <f t="shared" si="41"/>
        <v>3927552.6499275565</v>
      </c>
      <c r="G116">
        <v>63</v>
      </c>
    </row>
    <row r="117" spans="1:10" x14ac:dyDescent="0.2">
      <c r="A117" s="41">
        <v>46113</v>
      </c>
      <c r="B117" s="10">
        <f t="shared" si="42"/>
        <v>3927552.6499275565</v>
      </c>
      <c r="C117" s="10">
        <f t="shared" si="40"/>
        <v>10134.718225001074</v>
      </c>
      <c r="D117" s="10">
        <f t="shared" si="43"/>
        <v>11258.984263125662</v>
      </c>
      <c r="E117" s="10">
        <f t="shared" si="44"/>
        <v>21393.702488126735</v>
      </c>
      <c r="F117" s="10">
        <f t="shared" si="41"/>
        <v>3917417.9317025556</v>
      </c>
      <c r="G117">
        <v>64</v>
      </c>
    </row>
    <row r="118" spans="1:10" x14ac:dyDescent="0.2">
      <c r="A118" s="41">
        <v>46143</v>
      </c>
      <c r="B118" s="10">
        <f t="shared" si="42"/>
        <v>3917417.9317025556</v>
      </c>
      <c r="C118" s="10">
        <f t="shared" si="40"/>
        <v>10163.771083912743</v>
      </c>
      <c r="D118" s="10">
        <f t="shared" si="43"/>
        <v>11229.931404213992</v>
      </c>
      <c r="E118" s="10">
        <f t="shared" si="44"/>
        <v>21393.702488126735</v>
      </c>
      <c r="F118" s="10">
        <f t="shared" si="41"/>
        <v>3907254.1606186428</v>
      </c>
      <c r="G118">
        <v>65</v>
      </c>
    </row>
    <row r="119" spans="1:10" x14ac:dyDescent="0.2">
      <c r="A119" s="41">
        <v>46174</v>
      </c>
      <c r="B119" s="10">
        <f t="shared" si="42"/>
        <v>3907254.1606186428</v>
      </c>
      <c r="C119" s="10">
        <f t="shared" si="40"/>
        <v>10192.907227686626</v>
      </c>
      <c r="D119" s="10">
        <f t="shared" si="43"/>
        <v>11200.795260440109</v>
      </c>
      <c r="E119" s="10">
        <f t="shared" si="44"/>
        <v>21393.702488126735</v>
      </c>
      <c r="F119" s="10">
        <f t="shared" si="41"/>
        <v>3897061.2533909562</v>
      </c>
      <c r="G119">
        <v>66</v>
      </c>
    </row>
    <row r="120" spans="1:10" x14ac:dyDescent="0.2">
      <c r="A120" s="41">
        <v>46204</v>
      </c>
      <c r="B120" s="10">
        <f t="shared" si="42"/>
        <v>3897061.2533909562</v>
      </c>
      <c r="C120" s="10">
        <f t="shared" si="40"/>
        <v>10222.126895072661</v>
      </c>
      <c r="D120" s="10">
        <f t="shared" si="43"/>
        <v>11171.575593054074</v>
      </c>
      <c r="E120" s="10">
        <f t="shared" si="44"/>
        <v>21393.702488126735</v>
      </c>
      <c r="F120" s="10">
        <f t="shared" si="41"/>
        <v>3886839.1264958833</v>
      </c>
      <c r="G120">
        <v>67</v>
      </c>
    </row>
    <row r="121" spans="1:10" x14ac:dyDescent="0.2">
      <c r="A121" s="41">
        <v>46235</v>
      </c>
      <c r="B121" s="10">
        <f t="shared" si="42"/>
        <v>3886839.1264958833</v>
      </c>
      <c r="C121" s="10">
        <f t="shared" si="40"/>
        <v>10251.430325505204</v>
      </c>
      <c r="D121" s="10">
        <f t="shared" si="43"/>
        <v>11142.272162621532</v>
      </c>
      <c r="E121" s="10">
        <f t="shared" si="44"/>
        <v>21393.702488126735</v>
      </c>
      <c r="F121" s="10">
        <f t="shared" si="41"/>
        <v>3876587.696170378</v>
      </c>
      <c r="G121">
        <v>68</v>
      </c>
    </row>
    <row r="122" spans="1:10" x14ac:dyDescent="0.2">
      <c r="A122" s="41">
        <v>46266</v>
      </c>
      <c r="B122" s="10">
        <f t="shared" si="42"/>
        <v>3876587.696170378</v>
      </c>
      <c r="C122" s="10">
        <f t="shared" si="40"/>
        <v>10280.817759104984</v>
      </c>
      <c r="D122" s="10">
        <f t="shared" si="43"/>
        <v>11112.884729021751</v>
      </c>
      <c r="E122" s="10">
        <f t="shared" si="44"/>
        <v>21393.702488126735</v>
      </c>
      <c r="F122" s="10">
        <f t="shared" si="41"/>
        <v>3866306.878411273</v>
      </c>
      <c r="G122">
        <v>69</v>
      </c>
    </row>
    <row r="123" spans="1:10" x14ac:dyDescent="0.2">
      <c r="A123" s="41">
        <v>46296</v>
      </c>
      <c r="B123" s="10">
        <f t="shared" si="42"/>
        <v>3866306.878411273</v>
      </c>
      <c r="C123" s="10">
        <f t="shared" si="40"/>
        <v>10310.289436681085</v>
      </c>
      <c r="D123" s="10">
        <f t="shared" si="43"/>
        <v>11083.41305144565</v>
      </c>
      <c r="E123" s="10">
        <f t="shared" si="44"/>
        <v>21393.702488126735</v>
      </c>
      <c r="F123" s="10">
        <f t="shared" si="41"/>
        <v>3855996.5889745918</v>
      </c>
      <c r="G123">
        <v>70</v>
      </c>
    </row>
    <row r="124" spans="1:10" x14ac:dyDescent="0.2">
      <c r="A124" s="41">
        <v>46327</v>
      </c>
      <c r="B124" s="10">
        <f t="shared" si="42"/>
        <v>3855996.5889745918</v>
      </c>
      <c r="C124" s="10">
        <f t="shared" si="40"/>
        <v>10339.845599732906</v>
      </c>
      <c r="D124" s="10">
        <f t="shared" si="43"/>
        <v>11053.85688839383</v>
      </c>
      <c r="E124" s="10">
        <f t="shared" si="44"/>
        <v>21393.702488126735</v>
      </c>
      <c r="F124" s="10">
        <f t="shared" si="41"/>
        <v>3845656.743374859</v>
      </c>
      <c r="G124">
        <v>71</v>
      </c>
      <c r="I124" t="s">
        <v>29</v>
      </c>
      <c r="J124" t="s">
        <v>87</v>
      </c>
    </row>
    <row r="125" spans="1:10" ht="15" x14ac:dyDescent="0.25">
      <c r="A125" s="41">
        <v>46357</v>
      </c>
      <c r="B125" s="10">
        <f t="shared" si="42"/>
        <v>3845656.743374859</v>
      </c>
      <c r="C125" s="10">
        <f t="shared" si="40"/>
        <v>10369.48649045214</v>
      </c>
      <c r="D125" s="10">
        <f t="shared" si="43"/>
        <v>11024.215997674595</v>
      </c>
      <c r="E125" s="10">
        <f t="shared" si="44"/>
        <v>21393.702488126735</v>
      </c>
      <c r="F125" s="11">
        <f t="shared" si="41"/>
        <v>3835287.2568844068</v>
      </c>
      <c r="G125">
        <v>72</v>
      </c>
      <c r="I125" s="18">
        <f>$B$2+CUMPRINC($K$2,$K$3,$B$2,G100,G125,0)</f>
        <v>4689498.7864928199</v>
      </c>
      <c r="J125" s="19">
        <f>-CUMIPMT($K$2,$K$3,$B$2,G114,G125,0)</f>
        <v>146223.21635034084</v>
      </c>
    </row>
    <row r="126" spans="1:10" x14ac:dyDescent="0.2">
      <c r="A126" s="12" t="s">
        <v>45</v>
      </c>
      <c r="B126" s="12"/>
      <c r="C126" s="11">
        <f>SUM(C114:C125)</f>
        <v>122496.0598463737</v>
      </c>
      <c r="D126" s="11">
        <f>SUM(D114:D125)</f>
        <v>134228.37001114714</v>
      </c>
      <c r="E126" s="10"/>
      <c r="F126" s="10"/>
    </row>
    <row r="128" spans="1:10" x14ac:dyDescent="0.2">
      <c r="A128" s="41">
        <v>46388</v>
      </c>
      <c r="B128" s="10">
        <f>+F125</f>
        <v>3835287.2568844068</v>
      </c>
      <c r="C128" s="10">
        <f t="shared" ref="C128:C139" si="45">+E128-D128</f>
        <v>10399.212351724769</v>
      </c>
      <c r="D128" s="10">
        <f>+B128*$K$2</f>
        <v>10994.490136401966</v>
      </c>
      <c r="E128" s="10">
        <f>-$K$5</f>
        <v>21393.702488126735</v>
      </c>
      <c r="F128" s="10">
        <f t="shared" ref="F128:F139" si="46">+B128-C128</f>
        <v>3824888.0445326818</v>
      </c>
      <c r="G128">
        <v>61</v>
      </c>
    </row>
    <row r="129" spans="1:10" x14ac:dyDescent="0.2">
      <c r="A129" s="41">
        <v>46419</v>
      </c>
      <c r="B129" s="10">
        <f t="shared" ref="B129:B139" si="47">+F128</f>
        <v>3824888.0445326818</v>
      </c>
      <c r="C129" s="10">
        <f t="shared" si="45"/>
        <v>10429.023427133048</v>
      </c>
      <c r="D129" s="10">
        <f t="shared" ref="D129:D139" si="48">+B129*$K$2</f>
        <v>10964.679060993687</v>
      </c>
      <c r="E129" s="10">
        <f t="shared" ref="E129:E139" si="49">-$K$5</f>
        <v>21393.702488126735</v>
      </c>
      <c r="F129" s="10">
        <f t="shared" si="46"/>
        <v>3814459.0211055488</v>
      </c>
      <c r="G129">
        <v>62</v>
      </c>
    </row>
    <row r="130" spans="1:10" x14ac:dyDescent="0.2">
      <c r="A130" s="41">
        <v>46447</v>
      </c>
      <c r="B130" s="10">
        <f t="shared" si="47"/>
        <v>3814459.0211055488</v>
      </c>
      <c r="C130" s="10">
        <f t="shared" si="45"/>
        <v>10458.919960957495</v>
      </c>
      <c r="D130" s="10">
        <f t="shared" si="48"/>
        <v>10934.78252716924</v>
      </c>
      <c r="E130" s="10">
        <f t="shared" si="49"/>
        <v>21393.702488126735</v>
      </c>
      <c r="F130" s="10">
        <f t="shared" si="46"/>
        <v>3804000.1011445913</v>
      </c>
      <c r="G130">
        <v>63</v>
      </c>
    </row>
    <row r="131" spans="1:10" x14ac:dyDescent="0.2">
      <c r="A131" s="41">
        <v>46478</v>
      </c>
      <c r="B131" s="10">
        <f t="shared" si="47"/>
        <v>3804000.1011445913</v>
      </c>
      <c r="C131" s="10">
        <f t="shared" si="45"/>
        <v>10488.902198178906</v>
      </c>
      <c r="D131" s="10">
        <f t="shared" si="48"/>
        <v>10904.800289947829</v>
      </c>
      <c r="E131" s="10">
        <f t="shared" si="49"/>
        <v>21393.702488126735</v>
      </c>
      <c r="F131" s="10">
        <f t="shared" si="46"/>
        <v>3793511.1989464127</v>
      </c>
      <c r="G131">
        <v>64</v>
      </c>
    </row>
    <row r="132" spans="1:10" x14ac:dyDescent="0.2">
      <c r="A132" s="41">
        <v>46508</v>
      </c>
      <c r="B132" s="10">
        <f t="shared" si="47"/>
        <v>3793511.1989464127</v>
      </c>
      <c r="C132" s="10">
        <f t="shared" si="45"/>
        <v>10518.970384480352</v>
      </c>
      <c r="D132" s="10">
        <f t="shared" si="48"/>
        <v>10874.732103646384</v>
      </c>
      <c r="E132" s="10">
        <f t="shared" si="49"/>
        <v>21393.702488126735</v>
      </c>
      <c r="F132" s="10">
        <f t="shared" si="46"/>
        <v>3782992.2285619322</v>
      </c>
      <c r="G132">
        <v>65</v>
      </c>
    </row>
    <row r="133" spans="1:10" x14ac:dyDescent="0.2">
      <c r="A133" s="41">
        <v>46539</v>
      </c>
      <c r="B133" s="10">
        <f t="shared" si="47"/>
        <v>3782992.2285619322</v>
      </c>
      <c r="C133" s="10">
        <f t="shared" si="45"/>
        <v>10549.124766249197</v>
      </c>
      <c r="D133" s="10">
        <f t="shared" si="48"/>
        <v>10844.577721877538</v>
      </c>
      <c r="E133" s="10">
        <f t="shared" si="49"/>
        <v>21393.702488126735</v>
      </c>
      <c r="F133" s="10">
        <f t="shared" si="46"/>
        <v>3772443.103795683</v>
      </c>
      <c r="G133">
        <v>66</v>
      </c>
    </row>
    <row r="134" spans="1:10" x14ac:dyDescent="0.2">
      <c r="A134" s="41">
        <v>46569</v>
      </c>
      <c r="B134" s="10">
        <f t="shared" si="47"/>
        <v>3772443.103795683</v>
      </c>
      <c r="C134" s="10">
        <f t="shared" si="45"/>
        <v>10579.365590579111</v>
      </c>
      <c r="D134" s="10">
        <f t="shared" si="48"/>
        <v>10814.336897547624</v>
      </c>
      <c r="E134" s="10">
        <f t="shared" si="49"/>
        <v>21393.702488126735</v>
      </c>
      <c r="F134" s="10">
        <f t="shared" si="46"/>
        <v>3761863.7382051037</v>
      </c>
      <c r="G134">
        <v>67</v>
      </c>
    </row>
    <row r="135" spans="1:10" x14ac:dyDescent="0.2">
      <c r="A135" s="41">
        <v>46600</v>
      </c>
      <c r="B135" s="10">
        <f t="shared" si="47"/>
        <v>3761863.7382051037</v>
      </c>
      <c r="C135" s="10">
        <f t="shared" si="45"/>
        <v>10609.693105272105</v>
      </c>
      <c r="D135" s="10">
        <f t="shared" si="48"/>
        <v>10784.009382854631</v>
      </c>
      <c r="E135" s="10">
        <f t="shared" si="49"/>
        <v>21393.702488126735</v>
      </c>
      <c r="F135" s="10">
        <f t="shared" si="46"/>
        <v>3751254.0450998317</v>
      </c>
      <c r="G135">
        <v>68</v>
      </c>
    </row>
    <row r="136" spans="1:10" x14ac:dyDescent="0.2">
      <c r="A136" s="41">
        <v>46631</v>
      </c>
      <c r="B136" s="10">
        <f t="shared" si="47"/>
        <v>3751254.0450998317</v>
      </c>
      <c r="C136" s="10">
        <f t="shared" si="45"/>
        <v>10640.107558840551</v>
      </c>
      <c r="D136" s="10">
        <f t="shared" si="48"/>
        <v>10753.594929286184</v>
      </c>
      <c r="E136" s="10">
        <f t="shared" si="49"/>
        <v>21393.702488126735</v>
      </c>
      <c r="F136" s="10">
        <f t="shared" si="46"/>
        <v>3740613.9375409912</v>
      </c>
      <c r="G136">
        <v>69</v>
      </c>
    </row>
    <row r="137" spans="1:10" x14ac:dyDescent="0.2">
      <c r="A137" s="41">
        <v>46661</v>
      </c>
      <c r="B137" s="10">
        <f t="shared" si="47"/>
        <v>3740613.9375409912</v>
      </c>
      <c r="C137" s="10">
        <f t="shared" si="45"/>
        <v>10670.609200509227</v>
      </c>
      <c r="D137" s="10">
        <f t="shared" si="48"/>
        <v>10723.093287617508</v>
      </c>
      <c r="E137" s="10">
        <f t="shared" si="49"/>
        <v>21393.702488126735</v>
      </c>
      <c r="F137" s="10">
        <f t="shared" si="46"/>
        <v>3729943.328340482</v>
      </c>
      <c r="G137">
        <v>70</v>
      </c>
    </row>
    <row r="138" spans="1:10" x14ac:dyDescent="0.2">
      <c r="A138" s="41">
        <v>46692</v>
      </c>
      <c r="B138" s="10">
        <f t="shared" si="47"/>
        <v>3729943.328340482</v>
      </c>
      <c r="C138" s="10">
        <f t="shared" si="45"/>
        <v>10701.198280217353</v>
      </c>
      <c r="D138" s="10">
        <f t="shared" si="48"/>
        <v>10692.504207909382</v>
      </c>
      <c r="E138" s="10">
        <f t="shared" si="49"/>
        <v>21393.702488126735</v>
      </c>
      <c r="F138" s="10">
        <f t="shared" si="46"/>
        <v>3719242.1300602648</v>
      </c>
      <c r="G138">
        <v>71</v>
      </c>
      <c r="I138" t="s">
        <v>29</v>
      </c>
      <c r="J138" t="s">
        <v>87</v>
      </c>
    </row>
    <row r="139" spans="1:10" ht="15" x14ac:dyDescent="0.25">
      <c r="A139" s="41">
        <v>46722</v>
      </c>
      <c r="B139" s="10">
        <f t="shared" si="47"/>
        <v>3719242.1300602648</v>
      </c>
      <c r="C139" s="10">
        <f t="shared" si="45"/>
        <v>10731.875048620643</v>
      </c>
      <c r="D139" s="10">
        <f t="shared" si="48"/>
        <v>10661.827439506093</v>
      </c>
      <c r="E139" s="10">
        <f t="shared" si="49"/>
        <v>21393.702488126735</v>
      </c>
      <c r="F139" s="11">
        <f t="shared" si="46"/>
        <v>3708510.2550116442</v>
      </c>
      <c r="G139">
        <v>72</v>
      </c>
      <c r="I139" s="18">
        <f>$B$2+CUMPRINC($K$2,$K$3,$B$2,G114,G139,0)</f>
        <v>4689498.7864928199</v>
      </c>
      <c r="J139" s="19">
        <f>-CUMIPMT($K$2,$K$3,$B$2,G128,G139,0)</f>
        <v>146223.21635034084</v>
      </c>
    </row>
    <row r="140" spans="1:10" x14ac:dyDescent="0.2">
      <c r="A140" s="12" t="s">
        <v>45</v>
      </c>
      <c r="B140" s="12"/>
      <c r="C140" s="11">
        <f>SUM(C128:C139)</f>
        <v>126777.00187276275</v>
      </c>
      <c r="D140" s="11">
        <f>SUM(D128:D139)</f>
        <v>129947.42798475806</v>
      </c>
      <c r="E140" s="10"/>
      <c r="F140" s="1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zoomScale="110" zoomScaleNormal="110" workbookViewId="0">
      <selection activeCell="C22" sqref="C22"/>
    </sheetView>
  </sheetViews>
  <sheetFormatPr defaultRowHeight="12.75" x14ac:dyDescent="0.2"/>
  <cols>
    <col min="2" max="2" width="15.5703125" bestFit="1" customWidth="1"/>
    <col min="3" max="3" width="13.28515625" bestFit="1" customWidth="1"/>
    <col min="4" max="4" width="17.85546875" bestFit="1" customWidth="1"/>
    <col min="5" max="5" width="13.28515625" bestFit="1" customWidth="1"/>
    <col min="6" max="6" width="11.42578125" bestFit="1" customWidth="1"/>
    <col min="7" max="7" width="13.28515625" bestFit="1" customWidth="1"/>
    <col min="8" max="8" width="18.42578125" bestFit="1" customWidth="1"/>
    <col min="9" max="9" width="17" customWidth="1"/>
    <col min="10" max="10" width="21" bestFit="1" customWidth="1"/>
  </cols>
  <sheetData>
    <row r="2" spans="2:9" ht="13.5" thickBot="1" x14ac:dyDescent="0.25"/>
    <row r="3" spans="2:9" ht="13.5" thickBot="1" x14ac:dyDescent="0.25">
      <c r="B3" s="101" t="s">
        <v>104</v>
      </c>
      <c r="C3" s="102"/>
      <c r="D3" s="102"/>
      <c r="E3" s="102"/>
      <c r="F3" s="102"/>
      <c r="G3" s="102"/>
      <c r="H3" s="102"/>
      <c r="I3" s="103"/>
    </row>
    <row r="4" spans="2:9" ht="15" x14ac:dyDescent="0.25">
      <c r="B4" s="24" t="s">
        <v>93</v>
      </c>
      <c r="C4" s="27">
        <f>Forecast!D58</f>
        <v>6720846.666666667</v>
      </c>
      <c r="D4" s="24" t="s">
        <v>97</v>
      </c>
      <c r="E4" s="27">
        <f>SUM(Forecast!D61:D65)</f>
        <v>4904400.3482781574</v>
      </c>
      <c r="F4" s="26" t="s">
        <v>99</v>
      </c>
      <c r="G4" s="25">
        <f>Forecast!D39</f>
        <v>-383553.68161149032</v>
      </c>
      <c r="H4" s="24" t="s">
        <v>100</v>
      </c>
      <c r="I4" s="27">
        <f>Forecast!D39</f>
        <v>-383553.68161149032</v>
      </c>
    </row>
    <row r="5" spans="2:9" ht="15.75" thickBot="1" x14ac:dyDescent="0.3">
      <c r="B5" s="28" t="s">
        <v>94</v>
      </c>
      <c r="C5" s="31">
        <f>SUM(Forecast!D61:D65)</f>
        <v>4904400.3482781574</v>
      </c>
      <c r="D5" s="28" t="s">
        <v>96</v>
      </c>
      <c r="E5" s="31">
        <f>SUM(Forecast!D67:D68)</f>
        <v>1816446.3183885096</v>
      </c>
      <c r="F5" s="30" t="s">
        <v>22</v>
      </c>
      <c r="G5" s="29">
        <f>Forecast!D58</f>
        <v>6720846.666666667</v>
      </c>
      <c r="H5" s="28" t="s">
        <v>101</v>
      </c>
      <c r="I5" s="31">
        <f>SUM(Forecast!D67:D68)</f>
        <v>1816446.3183885096</v>
      </c>
    </row>
    <row r="6" spans="2:9" ht="15.75" thickBot="1" x14ac:dyDescent="0.3">
      <c r="B6" s="32" t="s">
        <v>92</v>
      </c>
      <c r="C6" s="38">
        <f>C4/C5</f>
        <v>1.3703707261635421</v>
      </c>
      <c r="D6" s="32" t="s">
        <v>95</v>
      </c>
      <c r="E6" s="38">
        <f>E4/E5</f>
        <v>2.6999974062702705</v>
      </c>
      <c r="F6" s="33" t="s">
        <v>98</v>
      </c>
      <c r="G6" s="34">
        <f>G4/G5</f>
        <v>-5.7069250443370273E-2</v>
      </c>
      <c r="H6" s="32" t="s">
        <v>102</v>
      </c>
      <c r="I6" s="35">
        <f>I4/I5</f>
        <v>-0.2111560786182585</v>
      </c>
    </row>
    <row r="8" spans="2:9" ht="13.5" thickBot="1" x14ac:dyDescent="0.25"/>
    <row r="9" spans="2:9" ht="13.5" thickBot="1" x14ac:dyDescent="0.25">
      <c r="B9" s="101" t="s">
        <v>105</v>
      </c>
      <c r="C9" s="102"/>
      <c r="D9" s="102"/>
      <c r="E9" s="102"/>
      <c r="F9" s="102"/>
      <c r="G9" s="102"/>
      <c r="H9" s="102"/>
      <c r="I9" s="103"/>
    </row>
    <row r="10" spans="2:9" ht="15" x14ac:dyDescent="0.25">
      <c r="B10" s="24" t="s">
        <v>93</v>
      </c>
      <c r="C10" s="27">
        <f>Forecast!E58</f>
        <v>6525307.1138333334</v>
      </c>
      <c r="D10" s="24" t="s">
        <v>97</v>
      </c>
      <c r="E10" s="27">
        <f>SUM(Forecast!E61:E65)</f>
        <v>4870840.0858720224</v>
      </c>
      <c r="F10" s="26" t="s">
        <v>99</v>
      </c>
      <c r="G10" s="25">
        <f>Forecast!E39</f>
        <v>-161979.2904271991</v>
      </c>
      <c r="H10" s="24" t="s">
        <v>100</v>
      </c>
      <c r="I10" s="27">
        <f>Forecast!E39</f>
        <v>-161979.2904271991</v>
      </c>
    </row>
    <row r="11" spans="2:9" ht="15.75" thickBot="1" x14ac:dyDescent="0.3">
      <c r="B11" s="28" t="s">
        <v>94</v>
      </c>
      <c r="C11" s="31">
        <f>SUM(Forecast!E61:E65)</f>
        <v>4870840.0858720224</v>
      </c>
      <c r="D11" s="28" t="s">
        <v>96</v>
      </c>
      <c r="E11" s="31">
        <f>SUM(Forecast!E67:E68)</f>
        <v>1654467.0279613105</v>
      </c>
      <c r="F11" s="30" t="s">
        <v>22</v>
      </c>
      <c r="G11" s="29">
        <f>Forecast!E58</f>
        <v>6525307.1138333334</v>
      </c>
      <c r="H11" s="28" t="s">
        <v>101</v>
      </c>
      <c r="I11" s="31">
        <f>SUM(Forecast!E67:E68)</f>
        <v>1654467.0279613105</v>
      </c>
    </row>
    <row r="12" spans="2:9" ht="15.75" thickBot="1" x14ac:dyDescent="0.3">
      <c r="B12" s="32" t="s">
        <v>92</v>
      </c>
      <c r="C12" s="38">
        <f>C10/C11</f>
        <v>1.3396676956733047</v>
      </c>
      <c r="D12" s="32" t="s">
        <v>95</v>
      </c>
      <c r="E12" s="38">
        <f>E10/E11</f>
        <v>2.9440538877792171</v>
      </c>
      <c r="F12" s="33" t="s">
        <v>98</v>
      </c>
      <c r="G12" s="34">
        <f>G10/G11</f>
        <v>-2.4823243964075023E-2</v>
      </c>
      <c r="H12" s="32" t="s">
        <v>102</v>
      </c>
      <c r="I12" s="35">
        <f>I10/I11</f>
        <v>-9.7904211863802076E-2</v>
      </c>
    </row>
    <row r="14" spans="2:9" ht="13.5" thickBot="1" x14ac:dyDescent="0.25"/>
    <row r="15" spans="2:9" ht="13.5" thickBot="1" x14ac:dyDescent="0.25">
      <c r="B15" s="101" t="s">
        <v>106</v>
      </c>
      <c r="C15" s="102"/>
      <c r="D15" s="102"/>
      <c r="E15" s="102"/>
      <c r="F15" s="102"/>
      <c r="G15" s="102"/>
      <c r="H15" s="102"/>
      <c r="I15" s="103"/>
    </row>
    <row r="16" spans="2:9" ht="15" x14ac:dyDescent="0.25">
      <c r="B16" s="24" t="s">
        <v>93</v>
      </c>
      <c r="C16" s="27">
        <f>Forecast!F58</f>
        <v>9779039.9524183627</v>
      </c>
      <c r="D16" s="24" t="s">
        <v>97</v>
      </c>
      <c r="E16" s="27">
        <f>SUM(Forecast!F61:F65)</f>
        <v>8301491.1435937174</v>
      </c>
      <c r="F16" s="26" t="s">
        <v>99</v>
      </c>
      <c r="G16" s="25">
        <f>Forecast!F39</f>
        <v>-176918.21913666619</v>
      </c>
      <c r="H16" s="24" t="s">
        <v>100</v>
      </c>
      <c r="I16" s="27">
        <f>Forecast!F39</f>
        <v>-176918.21913666619</v>
      </c>
    </row>
    <row r="17" spans="2:9" ht="15.75" thickBot="1" x14ac:dyDescent="0.3">
      <c r="B17" s="28" t="s">
        <v>94</v>
      </c>
      <c r="C17" s="31">
        <f>SUM(Forecast!F61:F65)</f>
        <v>8301491.1435937174</v>
      </c>
      <c r="D17" s="28" t="s">
        <v>96</v>
      </c>
      <c r="E17" s="31">
        <f>SUM(Forecast!F67:F68)</f>
        <v>1477548.8088246444</v>
      </c>
      <c r="F17" s="30" t="s">
        <v>22</v>
      </c>
      <c r="G17" s="29">
        <f>Forecast!F58</f>
        <v>9779039.9524183627</v>
      </c>
      <c r="H17" s="28" t="s">
        <v>101</v>
      </c>
      <c r="I17" s="31">
        <f>SUM(Forecast!F67:F68)</f>
        <v>1477548.8088246444</v>
      </c>
    </row>
    <row r="18" spans="2:9" ht="15.75" thickBot="1" x14ac:dyDescent="0.3">
      <c r="B18" s="32" t="s">
        <v>92</v>
      </c>
      <c r="C18" s="38">
        <f>C16/C17</f>
        <v>1.1779859525556289</v>
      </c>
      <c r="D18" s="32" t="s">
        <v>95</v>
      </c>
      <c r="E18" s="38">
        <f>E16/E17</f>
        <v>5.6184209239066423</v>
      </c>
      <c r="F18" s="33" t="s">
        <v>98</v>
      </c>
      <c r="G18" s="34">
        <f>G16/G17</f>
        <v>-1.8091573405722122E-2</v>
      </c>
      <c r="H18" s="32" t="s">
        <v>102</v>
      </c>
      <c r="I18" s="35">
        <f>I16/I17</f>
        <v>-0.11973764797482427</v>
      </c>
    </row>
    <row r="20" spans="2:9" ht="13.5" thickBot="1" x14ac:dyDescent="0.25"/>
    <row r="21" spans="2:9" ht="13.5" thickBot="1" x14ac:dyDescent="0.25">
      <c r="B21" s="101" t="s">
        <v>107</v>
      </c>
      <c r="C21" s="102"/>
      <c r="D21" s="102"/>
      <c r="E21" s="102"/>
      <c r="F21" s="102"/>
      <c r="G21" s="102"/>
      <c r="H21" s="102"/>
      <c r="I21" s="103"/>
    </row>
    <row r="22" spans="2:9" ht="15" x14ac:dyDescent="0.25">
      <c r="B22" s="24" t="s">
        <v>93</v>
      </c>
      <c r="C22" s="27">
        <f>Forecast!G58</f>
        <v>9473329.7962533571</v>
      </c>
      <c r="D22" s="24" t="s">
        <v>97</v>
      </c>
      <c r="E22" s="27">
        <f>SUM(Forecast!G61:G65)</f>
        <v>8055779.1136028217</v>
      </c>
      <c r="F22" s="26" t="s">
        <v>99</v>
      </c>
      <c r="G22" s="25">
        <f>Forecast!G39</f>
        <v>-59998.126174105921</v>
      </c>
      <c r="H22" s="24" t="s">
        <v>100</v>
      </c>
      <c r="I22" s="27">
        <f>Forecast!G39</f>
        <v>-59998.126174105921</v>
      </c>
    </row>
    <row r="23" spans="2:9" ht="15.75" thickBot="1" x14ac:dyDescent="0.3">
      <c r="B23" s="28" t="s">
        <v>94</v>
      </c>
      <c r="C23" s="31">
        <f>SUM(Forecast!G61:G65)</f>
        <v>8055779.1136028217</v>
      </c>
      <c r="D23" s="28" t="s">
        <v>96</v>
      </c>
      <c r="E23" s="31">
        <f>SUM(Forecast!G67:G68)</f>
        <v>1417550.6826505386</v>
      </c>
      <c r="F23" s="30" t="s">
        <v>22</v>
      </c>
      <c r="G23" s="29">
        <f>Forecast!G58</f>
        <v>9473329.7962533571</v>
      </c>
      <c r="H23" s="28" t="s">
        <v>101</v>
      </c>
      <c r="I23" s="31">
        <f>SUM(Forecast!G67:G68)</f>
        <v>1417550.6826505386</v>
      </c>
    </row>
    <row r="24" spans="2:9" ht="15.75" thickBot="1" x14ac:dyDescent="0.3">
      <c r="B24" s="32" t="s">
        <v>92</v>
      </c>
      <c r="C24" s="38">
        <f>C22/C23</f>
        <v>1.1759669254407545</v>
      </c>
      <c r="D24" s="32" t="s">
        <v>95</v>
      </c>
      <c r="E24" s="38">
        <f>E22/E23</f>
        <v>5.6828861304204743</v>
      </c>
      <c r="F24" s="33" t="s">
        <v>98</v>
      </c>
      <c r="G24" s="34">
        <f>G22/G23</f>
        <v>-6.3333724745690588E-3</v>
      </c>
      <c r="H24" s="32" t="s">
        <v>102</v>
      </c>
      <c r="I24" s="35">
        <f>I22/I23</f>
        <v>-4.2325207069084346E-2</v>
      </c>
    </row>
  </sheetData>
  <mergeCells count="4">
    <mergeCell ref="B3:I3"/>
    <mergeCell ref="B9:I9"/>
    <mergeCell ref="B15:I15"/>
    <mergeCell ref="B21:I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Forecast</vt:lpstr>
      <vt:lpstr>Assumptions</vt:lpstr>
      <vt:lpstr>Mortgage 1-2</vt:lpstr>
      <vt:lpstr>Mortage 3</vt:lpstr>
      <vt:lpstr>Mortage 4</vt:lpstr>
      <vt:lpstr>Mortage 5</vt:lpstr>
      <vt:lpstr>Ratios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2013-12-02T22:25:29Z</dcterms:created>
  <dcterms:modified xsi:type="dcterms:W3CDTF">2019-07-17T21:31:35Z</dcterms:modified>
</cp:coreProperties>
</file>