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10" windowHeight="11010" activeTab="1"/>
  </bookViews>
  <sheets>
    <sheet name="Assumptions" sheetId="3" r:id="rId1"/>
    <sheet name="Forecast" sheetId="1" r:id="rId2"/>
    <sheet name="Amortization Schedule" sheetId="2" r:id="rId3"/>
  </sheets>
  <calcPr calcId="145621" iterateDelta="1E-4" concurrentCalc="0"/>
</workbook>
</file>

<file path=xl/calcChain.xml><?xml version="1.0" encoding="utf-8"?>
<calcChain xmlns="http://schemas.openxmlformats.org/spreadsheetml/2006/main">
  <c r="D101" i="1" l="1"/>
  <c r="I94" i="1"/>
  <c r="I91" i="1"/>
  <c r="I96" i="1"/>
  <c r="D108" i="1"/>
  <c r="D111" i="1"/>
  <c r="E104" i="1"/>
  <c r="D97" i="1"/>
  <c r="B2" i="2"/>
  <c r="I4" i="2"/>
  <c r="I6" i="2"/>
  <c r="I8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B72" i="2"/>
  <c r="E72" i="2"/>
  <c r="D72" i="2"/>
  <c r="C72" i="2"/>
  <c r="F72" i="2"/>
  <c r="B73" i="2"/>
  <c r="E73" i="2"/>
  <c r="D73" i="2"/>
  <c r="C73" i="2"/>
  <c r="F73" i="2"/>
  <c r="B74" i="2"/>
  <c r="E74" i="2"/>
  <c r="D74" i="2"/>
  <c r="C74" i="2"/>
  <c r="F74" i="2"/>
  <c r="B75" i="2"/>
  <c r="E75" i="2"/>
  <c r="D75" i="2"/>
  <c r="C75" i="2"/>
  <c r="F75" i="2"/>
  <c r="B76" i="2"/>
  <c r="E76" i="2"/>
  <c r="D76" i="2"/>
  <c r="C76" i="2"/>
  <c r="F76" i="2"/>
  <c r="B77" i="2"/>
  <c r="E77" i="2"/>
  <c r="D77" i="2"/>
  <c r="C77" i="2"/>
  <c r="F77" i="2"/>
  <c r="B78" i="2"/>
  <c r="E78" i="2"/>
  <c r="D78" i="2"/>
  <c r="C78" i="2"/>
  <c r="F78" i="2"/>
  <c r="B79" i="2"/>
  <c r="E79" i="2"/>
  <c r="D79" i="2"/>
  <c r="C79" i="2"/>
  <c r="F79" i="2"/>
  <c r="B80" i="2"/>
  <c r="E80" i="2"/>
  <c r="D80" i="2"/>
  <c r="C80" i="2"/>
  <c r="F80" i="2"/>
  <c r="B81" i="2"/>
  <c r="E81" i="2"/>
  <c r="D81" i="2"/>
  <c r="C81" i="2"/>
  <c r="F81" i="2"/>
  <c r="B82" i="2"/>
  <c r="E82" i="2"/>
  <c r="D82" i="2"/>
  <c r="C82" i="2"/>
  <c r="F82" i="2"/>
  <c r="B83" i="2"/>
  <c r="E83" i="2"/>
  <c r="D83" i="2"/>
  <c r="C83" i="2"/>
  <c r="F83" i="2"/>
  <c r="B86" i="2"/>
  <c r="E86" i="2"/>
  <c r="D86" i="2"/>
  <c r="C86" i="2"/>
  <c r="F86" i="2"/>
  <c r="B87" i="2"/>
  <c r="E87" i="2"/>
  <c r="D87" i="2"/>
  <c r="C87" i="2"/>
  <c r="F87" i="2"/>
  <c r="B88" i="2"/>
  <c r="E88" i="2"/>
  <c r="D88" i="2"/>
  <c r="C88" i="2"/>
  <c r="F88" i="2"/>
  <c r="B89" i="2"/>
  <c r="E89" i="2"/>
  <c r="D89" i="2"/>
  <c r="C89" i="2"/>
  <c r="F89" i="2"/>
  <c r="B90" i="2"/>
  <c r="E90" i="2"/>
  <c r="D90" i="2"/>
  <c r="C90" i="2"/>
  <c r="F90" i="2"/>
  <c r="B91" i="2"/>
  <c r="E91" i="2"/>
  <c r="D91" i="2"/>
  <c r="C91" i="2"/>
  <c r="F91" i="2"/>
  <c r="B92" i="2"/>
  <c r="E92" i="2"/>
  <c r="D92" i="2"/>
  <c r="C92" i="2"/>
  <c r="F92" i="2"/>
  <c r="B93" i="2"/>
  <c r="E93" i="2"/>
  <c r="D93" i="2"/>
  <c r="C93" i="2"/>
  <c r="F93" i="2"/>
  <c r="B94" i="2"/>
  <c r="E94" i="2"/>
  <c r="D94" i="2"/>
  <c r="C94" i="2"/>
  <c r="F94" i="2"/>
  <c r="B95" i="2"/>
  <c r="E95" i="2"/>
  <c r="D95" i="2"/>
  <c r="C95" i="2"/>
  <c r="F95" i="2"/>
  <c r="B96" i="2"/>
  <c r="E96" i="2"/>
  <c r="D96" i="2"/>
  <c r="C96" i="2"/>
  <c r="F96" i="2"/>
  <c r="B97" i="2"/>
  <c r="E97" i="2"/>
  <c r="D97" i="2"/>
  <c r="C97" i="2"/>
  <c r="F97" i="2"/>
  <c r="B100" i="2"/>
  <c r="E100" i="2"/>
  <c r="D100" i="2"/>
  <c r="C100" i="2"/>
  <c r="F100" i="2"/>
  <c r="B101" i="2"/>
  <c r="E101" i="2"/>
  <c r="D101" i="2"/>
  <c r="C101" i="2"/>
  <c r="F101" i="2"/>
  <c r="B102" i="2"/>
  <c r="E102" i="2"/>
  <c r="D102" i="2"/>
  <c r="C102" i="2"/>
  <c r="F102" i="2"/>
  <c r="B103" i="2"/>
  <c r="E103" i="2"/>
  <c r="D103" i="2"/>
  <c r="C103" i="2"/>
  <c r="F103" i="2"/>
  <c r="B104" i="2"/>
  <c r="E104" i="2"/>
  <c r="D104" i="2"/>
  <c r="C104" i="2"/>
  <c r="F104" i="2"/>
  <c r="B105" i="2"/>
  <c r="E105" i="2"/>
  <c r="D105" i="2"/>
  <c r="C105" i="2"/>
  <c r="F105" i="2"/>
  <c r="B106" i="2"/>
  <c r="E106" i="2"/>
  <c r="D106" i="2"/>
  <c r="C106" i="2"/>
  <c r="F106" i="2"/>
  <c r="B107" i="2"/>
  <c r="E107" i="2"/>
  <c r="D107" i="2"/>
  <c r="C107" i="2"/>
  <c r="F107" i="2"/>
  <c r="B108" i="2"/>
  <c r="E108" i="2"/>
  <c r="D108" i="2"/>
  <c r="C108" i="2"/>
  <c r="F108" i="2"/>
  <c r="B109" i="2"/>
  <c r="E109" i="2"/>
  <c r="D109" i="2"/>
  <c r="C109" i="2"/>
  <c r="F109" i="2"/>
  <c r="B110" i="2"/>
  <c r="E110" i="2"/>
  <c r="D110" i="2"/>
  <c r="C110" i="2"/>
  <c r="F110" i="2"/>
  <c r="B111" i="2"/>
  <c r="E111" i="2"/>
  <c r="D111" i="2"/>
  <c r="C111" i="2"/>
  <c r="F111" i="2"/>
  <c r="K76" i="1"/>
  <c r="E97" i="1"/>
  <c r="F97" i="1"/>
  <c r="D98" i="1"/>
  <c r="E98" i="1"/>
  <c r="F98" i="1"/>
  <c r="D99" i="1"/>
  <c r="E108" i="1"/>
  <c r="D94" i="1"/>
  <c r="D113" i="1"/>
  <c r="K41" i="1"/>
  <c r="K68" i="1"/>
  <c r="M131" i="1"/>
  <c r="K131" i="1"/>
  <c r="D31" i="1"/>
  <c r="D35" i="1"/>
  <c r="D36" i="1"/>
  <c r="D7" i="1"/>
  <c r="D25" i="1"/>
  <c r="D51" i="1"/>
  <c r="D8" i="1"/>
  <c r="D26" i="1"/>
  <c r="D52" i="1"/>
  <c r="D53" i="1"/>
  <c r="D32" i="1"/>
  <c r="D54" i="1"/>
  <c r="D56" i="1"/>
  <c r="D57" i="1"/>
  <c r="E53" i="1"/>
  <c r="E55" i="1"/>
  <c r="E57" i="1"/>
  <c r="E7" i="1"/>
  <c r="F7" i="1"/>
  <c r="G7" i="1"/>
  <c r="H7" i="1"/>
  <c r="I7" i="1"/>
  <c r="J7" i="1"/>
  <c r="K7" i="1"/>
  <c r="E9" i="1"/>
  <c r="F9" i="1"/>
  <c r="G9" i="1"/>
  <c r="H9" i="1"/>
  <c r="I9" i="1"/>
  <c r="J9" i="1"/>
  <c r="K9" i="1"/>
  <c r="K25" i="1"/>
  <c r="E8" i="1"/>
  <c r="F8" i="1"/>
  <c r="G8" i="1"/>
  <c r="H8" i="1"/>
  <c r="I8" i="1"/>
  <c r="J8" i="1"/>
  <c r="K8" i="1"/>
  <c r="E10" i="1"/>
  <c r="F10" i="1"/>
  <c r="G10" i="1"/>
  <c r="H10" i="1"/>
  <c r="I10" i="1"/>
  <c r="J10" i="1"/>
  <c r="K10" i="1"/>
  <c r="K26" i="1"/>
  <c r="K27" i="1"/>
  <c r="L31" i="1"/>
  <c r="E31" i="1"/>
  <c r="F31" i="1"/>
  <c r="G31" i="1"/>
  <c r="H31" i="1"/>
  <c r="I31" i="1"/>
  <c r="J31" i="1"/>
  <c r="K31" i="1"/>
  <c r="L32" i="1"/>
  <c r="E32" i="1"/>
  <c r="F32" i="1"/>
  <c r="G32" i="1"/>
  <c r="H32" i="1"/>
  <c r="I32" i="1"/>
  <c r="J32" i="1"/>
  <c r="K32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K12" i="1"/>
  <c r="K33" i="1"/>
  <c r="K65" i="1"/>
  <c r="K35" i="1"/>
  <c r="K36" i="1"/>
  <c r="K37" i="1"/>
  <c r="K38" i="1"/>
  <c r="K40" i="1"/>
  <c r="D112" i="2"/>
  <c r="K42" i="1"/>
  <c r="K43" i="1"/>
  <c r="K45" i="1"/>
  <c r="K46" i="1"/>
  <c r="K47" i="1"/>
  <c r="J25" i="1"/>
  <c r="J26" i="1"/>
  <c r="J27" i="1"/>
  <c r="J33" i="1"/>
  <c r="J65" i="1"/>
  <c r="J35" i="1"/>
  <c r="J36" i="1"/>
  <c r="J37" i="1"/>
  <c r="J38" i="1"/>
  <c r="J40" i="1"/>
  <c r="J41" i="1"/>
  <c r="D98" i="2"/>
  <c r="J42" i="1"/>
  <c r="J43" i="1"/>
  <c r="J45" i="1"/>
  <c r="J46" i="1"/>
  <c r="J47" i="1"/>
  <c r="I25" i="1"/>
  <c r="I26" i="1"/>
  <c r="I27" i="1"/>
  <c r="I33" i="1"/>
  <c r="I65" i="1"/>
  <c r="I35" i="1"/>
  <c r="I36" i="1"/>
  <c r="I37" i="1"/>
  <c r="I38" i="1"/>
  <c r="I40" i="1"/>
  <c r="I41" i="1"/>
  <c r="D84" i="2"/>
  <c r="I42" i="1"/>
  <c r="I43" i="1"/>
  <c r="I45" i="1"/>
  <c r="I46" i="1"/>
  <c r="I47" i="1"/>
  <c r="H25" i="1"/>
  <c r="H26" i="1"/>
  <c r="H27" i="1"/>
  <c r="H33" i="1"/>
  <c r="H65" i="1"/>
  <c r="H35" i="1"/>
  <c r="H36" i="1"/>
  <c r="H37" i="1"/>
  <c r="H38" i="1"/>
  <c r="H40" i="1"/>
  <c r="H41" i="1"/>
  <c r="D70" i="2"/>
  <c r="H42" i="1"/>
  <c r="H43" i="1"/>
  <c r="H45" i="1"/>
  <c r="H46" i="1"/>
  <c r="H47" i="1"/>
  <c r="G25" i="1"/>
  <c r="G26" i="1"/>
  <c r="G27" i="1"/>
  <c r="G33" i="1"/>
  <c r="G65" i="1"/>
  <c r="G35" i="1"/>
  <c r="G36" i="1"/>
  <c r="G37" i="1"/>
  <c r="G38" i="1"/>
  <c r="G40" i="1"/>
  <c r="G41" i="1"/>
  <c r="D56" i="2"/>
  <c r="G42" i="1"/>
  <c r="G43" i="1"/>
  <c r="G45" i="1"/>
  <c r="G46" i="1"/>
  <c r="G47" i="1"/>
  <c r="F25" i="1"/>
  <c r="F26" i="1"/>
  <c r="F27" i="1"/>
  <c r="F33" i="1"/>
  <c r="F65" i="1"/>
  <c r="F35" i="1"/>
  <c r="F36" i="1"/>
  <c r="F37" i="1"/>
  <c r="F38" i="1"/>
  <c r="F40" i="1"/>
  <c r="F41" i="1"/>
  <c r="D42" i="2"/>
  <c r="F42" i="1"/>
  <c r="F43" i="1"/>
  <c r="F45" i="1"/>
  <c r="F46" i="1"/>
  <c r="F47" i="1"/>
  <c r="E25" i="1"/>
  <c r="E26" i="1"/>
  <c r="E27" i="1"/>
  <c r="E33" i="1"/>
  <c r="E65" i="1"/>
  <c r="E35" i="1"/>
  <c r="E36" i="1"/>
  <c r="E37" i="1"/>
  <c r="E38" i="1"/>
  <c r="E40" i="1"/>
  <c r="E41" i="1"/>
  <c r="D28" i="2"/>
  <c r="E42" i="1"/>
  <c r="E43" i="1"/>
  <c r="E45" i="1"/>
  <c r="E46" i="1"/>
  <c r="E47" i="1"/>
  <c r="D27" i="1"/>
  <c r="D33" i="1"/>
  <c r="D37" i="1"/>
  <c r="D38" i="1"/>
  <c r="D40" i="1"/>
  <c r="D41" i="1"/>
  <c r="D14" i="2"/>
  <c r="D42" i="1"/>
  <c r="D43" i="1"/>
  <c r="D45" i="1"/>
  <c r="D46" i="1"/>
  <c r="D47" i="1"/>
  <c r="D80" i="1"/>
  <c r="E80" i="1"/>
  <c r="F80" i="1"/>
  <c r="G80" i="1"/>
  <c r="H80" i="1"/>
  <c r="I80" i="1"/>
  <c r="J80" i="1"/>
  <c r="K80" i="1"/>
  <c r="D118" i="1"/>
  <c r="D119" i="1"/>
  <c r="D120" i="1"/>
  <c r="D121" i="1"/>
  <c r="D122" i="1"/>
  <c r="D123" i="1"/>
  <c r="D17" i="1"/>
  <c r="D62" i="1"/>
  <c r="D136" i="1"/>
  <c r="D137" i="1"/>
  <c r="D74" i="1"/>
  <c r="D138" i="1"/>
  <c r="D146" i="1"/>
  <c r="E118" i="1"/>
  <c r="E119" i="1"/>
  <c r="E120" i="1"/>
  <c r="E121" i="1"/>
  <c r="E122" i="1"/>
  <c r="E123" i="1"/>
  <c r="E16" i="1"/>
  <c r="E17" i="1"/>
  <c r="E62" i="1"/>
  <c r="E136" i="1"/>
  <c r="E137" i="1"/>
  <c r="E18" i="1"/>
  <c r="E74" i="1"/>
  <c r="E138" i="1"/>
  <c r="E146" i="1"/>
  <c r="F118" i="1"/>
  <c r="F119" i="1"/>
  <c r="F120" i="1"/>
  <c r="F121" i="1"/>
  <c r="F122" i="1"/>
  <c r="F123" i="1"/>
  <c r="F16" i="1"/>
  <c r="F17" i="1"/>
  <c r="F62" i="1"/>
  <c r="F136" i="1"/>
  <c r="F137" i="1"/>
  <c r="F18" i="1"/>
  <c r="F74" i="1"/>
  <c r="F138" i="1"/>
  <c r="F146" i="1"/>
  <c r="G118" i="1"/>
  <c r="G119" i="1"/>
  <c r="G120" i="1"/>
  <c r="G121" i="1"/>
  <c r="G122" i="1"/>
  <c r="G123" i="1"/>
  <c r="G16" i="1"/>
  <c r="G17" i="1"/>
  <c r="G62" i="1"/>
  <c r="G136" i="1"/>
  <c r="G137" i="1"/>
  <c r="G18" i="1"/>
  <c r="G74" i="1"/>
  <c r="G138" i="1"/>
  <c r="G146" i="1"/>
  <c r="H118" i="1"/>
  <c r="H119" i="1"/>
  <c r="H120" i="1"/>
  <c r="H121" i="1"/>
  <c r="H122" i="1"/>
  <c r="H123" i="1"/>
  <c r="H16" i="1"/>
  <c r="H17" i="1"/>
  <c r="H62" i="1"/>
  <c r="H136" i="1"/>
  <c r="H137" i="1"/>
  <c r="H18" i="1"/>
  <c r="H74" i="1"/>
  <c r="H138" i="1"/>
  <c r="H146" i="1"/>
  <c r="I118" i="1"/>
  <c r="I119" i="1"/>
  <c r="I120" i="1"/>
  <c r="I121" i="1"/>
  <c r="I122" i="1"/>
  <c r="I123" i="1"/>
  <c r="I16" i="1"/>
  <c r="I17" i="1"/>
  <c r="I62" i="1"/>
  <c r="I136" i="1"/>
  <c r="I137" i="1"/>
  <c r="I18" i="1"/>
  <c r="I74" i="1"/>
  <c r="I138" i="1"/>
  <c r="I146" i="1"/>
  <c r="J118" i="1"/>
  <c r="J119" i="1"/>
  <c r="J120" i="1"/>
  <c r="J121" i="1"/>
  <c r="J122" i="1"/>
  <c r="J123" i="1"/>
  <c r="J16" i="1"/>
  <c r="J17" i="1"/>
  <c r="J62" i="1"/>
  <c r="J136" i="1"/>
  <c r="J137" i="1"/>
  <c r="J18" i="1"/>
  <c r="J74" i="1"/>
  <c r="J138" i="1"/>
  <c r="J146" i="1"/>
  <c r="K118" i="1"/>
  <c r="K119" i="1"/>
  <c r="K120" i="1"/>
  <c r="K121" i="1"/>
  <c r="K122" i="1"/>
  <c r="K123" i="1"/>
  <c r="D67" i="1"/>
  <c r="E67" i="1"/>
  <c r="F67" i="1"/>
  <c r="G67" i="1"/>
  <c r="H67" i="1"/>
  <c r="I67" i="1"/>
  <c r="J67" i="1"/>
  <c r="K67" i="1"/>
  <c r="M130" i="1"/>
  <c r="K130" i="1"/>
  <c r="C128" i="1"/>
  <c r="M132" i="1"/>
  <c r="K132" i="1"/>
  <c r="M133" i="1"/>
  <c r="K133" i="1"/>
  <c r="K16" i="1"/>
  <c r="K17" i="1"/>
  <c r="K62" i="1"/>
  <c r="K136" i="1"/>
  <c r="K137" i="1"/>
  <c r="K18" i="1"/>
  <c r="K74" i="1"/>
  <c r="K138" i="1"/>
  <c r="K142" i="1"/>
  <c r="K143" i="1"/>
  <c r="K144" i="1"/>
  <c r="K146" i="1"/>
  <c r="C126" i="1"/>
  <c r="C127" i="1"/>
  <c r="C146" i="1"/>
  <c r="C148" i="1"/>
  <c r="I99" i="1"/>
  <c r="I97" i="1"/>
  <c r="C151" i="1"/>
  <c r="C150" i="1"/>
  <c r="D150" i="1"/>
  <c r="E150" i="1"/>
  <c r="F150" i="1"/>
  <c r="G150" i="1"/>
  <c r="H150" i="1"/>
  <c r="I150" i="1"/>
  <c r="J150" i="1"/>
  <c r="K150" i="1"/>
  <c r="C153" i="1"/>
  <c r="H68" i="1"/>
  <c r="D68" i="1"/>
  <c r="E68" i="1"/>
  <c r="F68" i="1"/>
  <c r="G68" i="1"/>
  <c r="I68" i="1"/>
  <c r="J68" i="1"/>
  <c r="D61" i="1"/>
  <c r="E61" i="1"/>
  <c r="F61" i="1"/>
  <c r="G61" i="1"/>
  <c r="H61" i="1"/>
  <c r="I61" i="1"/>
  <c r="J61" i="1"/>
  <c r="K61" i="1"/>
  <c r="E15" i="1"/>
  <c r="F15" i="1"/>
  <c r="G15" i="1"/>
  <c r="H15" i="1"/>
  <c r="I15" i="1"/>
  <c r="J15" i="1"/>
  <c r="K15" i="1"/>
  <c r="E5" i="1"/>
  <c r="F5" i="1"/>
  <c r="E23" i="1"/>
  <c r="D23" i="1"/>
  <c r="F23" i="1"/>
  <c r="G5" i="1"/>
  <c r="G23" i="1"/>
  <c r="H5" i="1"/>
  <c r="D63" i="1"/>
  <c r="D70" i="1"/>
  <c r="H23" i="1"/>
  <c r="I5" i="1"/>
  <c r="E63" i="1"/>
  <c r="E70" i="1"/>
  <c r="D50" i="1"/>
  <c r="I23" i="1"/>
  <c r="J5" i="1"/>
  <c r="F63" i="1"/>
  <c r="F70" i="1"/>
  <c r="J23" i="1"/>
  <c r="K5" i="1"/>
  <c r="K23" i="1"/>
  <c r="G63" i="1"/>
  <c r="G70" i="1"/>
  <c r="H63" i="1"/>
  <c r="H70" i="1"/>
  <c r="I63" i="1"/>
  <c r="I70" i="1"/>
  <c r="J63" i="1"/>
  <c r="J70" i="1"/>
  <c r="K63" i="1"/>
  <c r="K70" i="1"/>
  <c r="D73" i="1"/>
  <c r="C14" i="2"/>
  <c r="D76" i="1"/>
  <c r="D19" i="1"/>
  <c r="D20" i="1"/>
  <c r="D82" i="1"/>
  <c r="D84" i="1"/>
  <c r="D21" i="1"/>
  <c r="C28" i="2"/>
  <c r="E73" i="1"/>
  <c r="E76" i="1"/>
  <c r="E82" i="1"/>
  <c r="E84" i="1"/>
  <c r="E20" i="1"/>
  <c r="E21" i="1"/>
  <c r="E19" i="1"/>
  <c r="F73" i="1"/>
  <c r="C42" i="2"/>
  <c r="F76" i="1"/>
  <c r="F20" i="1"/>
  <c r="F21" i="1"/>
  <c r="F19" i="1"/>
  <c r="F82" i="1"/>
  <c r="F84" i="1"/>
  <c r="C56" i="2"/>
  <c r="G73" i="1"/>
  <c r="G76" i="1"/>
  <c r="G20" i="1"/>
  <c r="G19" i="1"/>
  <c r="G82" i="1"/>
  <c r="G84" i="1"/>
  <c r="G21" i="1"/>
  <c r="H73" i="1"/>
  <c r="C70" i="2"/>
  <c r="H76" i="1"/>
  <c r="H82" i="1"/>
  <c r="H84" i="1"/>
  <c r="H20" i="1"/>
  <c r="H21" i="1"/>
  <c r="H19" i="1"/>
  <c r="I73" i="1"/>
  <c r="C84" i="2"/>
  <c r="I76" i="1"/>
  <c r="I21" i="1"/>
  <c r="I20" i="1"/>
  <c r="I19" i="1"/>
  <c r="I82" i="1"/>
  <c r="I84" i="1"/>
  <c r="J73" i="1"/>
  <c r="C98" i="2"/>
  <c r="J20" i="1"/>
  <c r="J76" i="1"/>
  <c r="J21" i="1"/>
  <c r="J19" i="1"/>
  <c r="J82" i="1"/>
  <c r="J84" i="1"/>
  <c r="K73" i="1"/>
  <c r="C112" i="2"/>
  <c r="K20" i="1"/>
  <c r="K21" i="1"/>
  <c r="K82" i="1"/>
  <c r="K84" i="1"/>
  <c r="K19" i="1"/>
</calcChain>
</file>

<file path=xl/sharedStrings.xml><?xml version="1.0" encoding="utf-8"?>
<sst xmlns="http://schemas.openxmlformats.org/spreadsheetml/2006/main" count="238" uniqueCount="206">
  <si>
    <t>FORECAST</t>
  </si>
  <si>
    <t>SALES UNIT FORECASTS</t>
  </si>
  <si>
    <t>Yearly % change</t>
  </si>
  <si>
    <t>RATIOS USED IN FORECAST</t>
  </si>
  <si>
    <t>Inventory Turnover Ratio - All Sales</t>
  </si>
  <si>
    <t>INCOME STATEMENT</t>
  </si>
  <si>
    <t>Gross Profit</t>
  </si>
  <si>
    <t>Operating Expenses</t>
  </si>
  <si>
    <t>Percent of sales forcast</t>
  </si>
  <si>
    <t>Total Operating Expenses</t>
  </si>
  <si>
    <t>Operating Profit</t>
  </si>
  <si>
    <t>Year Depreciation</t>
  </si>
  <si>
    <t>Mortgage Interest Expense</t>
  </si>
  <si>
    <t>Interest rate</t>
  </si>
  <si>
    <t>Bank Loan Interest Expense</t>
  </si>
  <si>
    <t>Profit Before Taxes</t>
  </si>
  <si>
    <t>Taxes</t>
  </si>
  <si>
    <t>Tax rate, but only if Profit Before Taxes is positive; $0 taxes if it is not positive</t>
  </si>
  <si>
    <t>Net Profit After Taxes</t>
  </si>
  <si>
    <t>BALANCE SHEET</t>
  </si>
  <si>
    <t>Assets</t>
  </si>
  <si>
    <t>Cash</t>
  </si>
  <si>
    <t>Minimum balance required</t>
  </si>
  <si>
    <t>Accounts Receivable</t>
  </si>
  <si>
    <t>Inventory</t>
  </si>
  <si>
    <t>Total Current Assets</t>
  </si>
  <si>
    <t>Buildings</t>
  </si>
  <si>
    <t>Total Assets</t>
  </si>
  <si>
    <t>Liabilities and Equity</t>
  </si>
  <si>
    <t>Income Tax Payable</t>
  </si>
  <si>
    <t>Current years income taxes (not paid until next April)</t>
  </si>
  <si>
    <t>Mortgage on Buildings</t>
  </si>
  <si>
    <t>Bank Loans</t>
  </si>
  <si>
    <t>Shareholder Contributions</t>
  </si>
  <si>
    <t>Retained Earnings</t>
  </si>
  <si>
    <t>Total Liabilities and Equity</t>
  </si>
  <si>
    <t>Beg Balance</t>
  </si>
  <si>
    <t>Principal</t>
  </si>
  <si>
    <t xml:space="preserve">Interest </t>
  </si>
  <si>
    <t>Payment</t>
  </si>
  <si>
    <t>End Balance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</si>
  <si>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</si>
  <si>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</si>
  <si>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</si>
  <si>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</si>
  <si>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</si>
  <si>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</si>
  <si>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</si>
  <si>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</si>
  <si>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</si>
  <si>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</si>
  <si>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</si>
  <si>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</si>
  <si>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</si>
  <si>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</si>
  <si>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</si>
  <si>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</si>
  <si>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</si>
  <si>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</si>
  <si>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</si>
  <si>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</si>
  <si>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</si>
  <si>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</si>
  <si>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</si>
  <si>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</si>
  <si>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</si>
  <si>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</si>
  <si>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</si>
  <si>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</si>
  <si>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</si>
  <si>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</si>
  <si>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</si>
  <si>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</si>
  <si>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</si>
  <si>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</si>
  <si>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</si>
  <si>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</si>
  <si>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</si>
  <si>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</si>
  <si>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</si>
  <si>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</si>
  <si>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</si>
  <si>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</si>
  <si>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</si>
  <si>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</si>
  <si>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</si>
  <si>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</si>
  <si>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</si>
  <si>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</si>
  <si>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</si>
  <si>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As per facts given</t>
  </si>
  <si>
    <t>Inventory Days - All Sales</t>
  </si>
  <si>
    <t>Loan Amount</t>
  </si>
  <si>
    <t>Payments per year</t>
  </si>
  <si>
    <t>Number of years</t>
  </si>
  <si>
    <t>Only change cells in red</t>
  </si>
  <si>
    <t>APR</t>
  </si>
  <si>
    <t>Building Maintenance Expense</t>
  </si>
  <si>
    <t>Debt to Equity Ratio</t>
  </si>
  <si>
    <t>Return on Assets</t>
  </si>
  <si>
    <t>Return on Equity</t>
  </si>
  <si>
    <t>• BLUE TEXT MEANS THAT THE NUMBER IS AN INPUT</t>
  </si>
  <si>
    <t>Forecasted Car Wash Sales (units)</t>
  </si>
  <si>
    <t>Sale price for car wash</t>
  </si>
  <si>
    <t>Average Sales Price for vending products</t>
  </si>
  <si>
    <t>Forecasted Vending Products (units)</t>
  </si>
  <si>
    <t>Assumptions:</t>
  </si>
  <si>
    <t>Average Collection Period - Credit Card Purchases</t>
  </si>
  <si>
    <t>Sales Revenue - Car Washes</t>
  </si>
  <si>
    <t>Sales Revenue - Vending</t>
  </si>
  <si>
    <t>DFN</t>
  </si>
  <si>
    <t>BREAK EVEN</t>
  </si>
  <si>
    <t>Land</t>
  </si>
  <si>
    <t>Salary</t>
  </si>
  <si>
    <t>Equipment</t>
  </si>
  <si>
    <t>Year Equipment Depreciation</t>
  </si>
  <si>
    <t>Supplies</t>
  </si>
  <si>
    <t>Accounts Payable - Supplies</t>
  </si>
  <si>
    <t>Supplies per car wash (soap)</t>
  </si>
  <si>
    <t>Supplies per vending items</t>
  </si>
  <si>
    <t>Average Payables Period - Supplies</t>
  </si>
  <si>
    <t>contribution margin</t>
  </si>
  <si>
    <t>Revenue/Unit</t>
  </si>
  <si>
    <t>Expenses/Unit</t>
  </si>
  <si>
    <t>CM/Unit</t>
  </si>
  <si>
    <t>Business has building 4032sqft</t>
  </si>
  <si>
    <t>kleen-ritecorp.com CAT3535 pumps = 8300/ea</t>
  </si>
  <si>
    <t>dultmeier.com GinSan Vacuums = 1075/ea</t>
  </si>
  <si>
    <t>heated floor =$20000</t>
  </si>
  <si>
    <t>Car wash sales based on an average of 100 cars per day</t>
  </si>
  <si>
    <t>Vending sales based on an average that 1/2 of people who wash cars also vaccum or buy other products</t>
  </si>
  <si>
    <r>
      <t xml:space="preserve">Average FMV </t>
    </r>
    <r>
      <rPr>
        <u/>
        <sz val="11"/>
        <color indexed="62"/>
        <rFont val="Calibri"/>
        <family val="2"/>
      </rPr>
      <t xml:space="preserve">LandAndFarm.com </t>
    </r>
    <r>
      <rPr>
        <sz val="11"/>
        <rFont val="Calibri"/>
        <family val="2"/>
      </rPr>
      <t>with Century21.com Average $/sqft = 105 was considered in determining price of land and building</t>
    </r>
  </si>
  <si>
    <t>Fixed Utilities</t>
  </si>
  <si>
    <t>Variable Utilities</t>
  </si>
  <si>
    <t>Property Taxes</t>
  </si>
  <si>
    <t>Business Insurance</t>
  </si>
  <si>
    <t>Inflation Rate</t>
  </si>
  <si>
    <t>Business insurance includes: property &amp; general liability only</t>
  </si>
  <si>
    <t>Put down 25% on mortgage</t>
  </si>
  <si>
    <t>cars per day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</si>
  <si>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</si>
  <si>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</si>
  <si>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</si>
  <si>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</si>
  <si>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</si>
  <si>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</si>
  <si>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 xml:space="preserve"> </t>
  </si>
  <si>
    <t>Fixed rate of Bank Loan debt</t>
  </si>
  <si>
    <t>Combined rate of all debt</t>
  </si>
  <si>
    <t>Tax Rate of Company</t>
  </si>
  <si>
    <t>Debt Investors</t>
  </si>
  <si>
    <t>Percent</t>
  </si>
  <si>
    <t>Bank Loan</t>
  </si>
  <si>
    <t>Equity Investors (Including Retained Earnings)</t>
  </si>
  <si>
    <t>Total Debt and Equity Investors</t>
  </si>
  <si>
    <t>Gain</t>
  </si>
  <si>
    <t>Accounts Payable - COGS</t>
  </si>
  <si>
    <t>NPV</t>
  </si>
  <si>
    <t>IRR</t>
  </si>
  <si>
    <t>Free Cash Flows (FCF)</t>
  </si>
  <si>
    <t>Cash from Operating Income</t>
  </si>
  <si>
    <t>Less: Depreciation</t>
  </si>
  <si>
    <t>Taxable Operating Income</t>
  </si>
  <si>
    <t>Taxes on Operations Only</t>
  </si>
  <si>
    <t>Add: Depreciation</t>
  </si>
  <si>
    <t>TOTAL CASH FROM OPERATIONS</t>
  </si>
  <si>
    <t>Cash In/Out from Capital Expenditures</t>
  </si>
  <si>
    <t>Buy Building</t>
  </si>
  <si>
    <t>Sell Building</t>
  </si>
  <si>
    <t>Pay Taxes on Sale of Building</t>
  </si>
  <si>
    <t>Cash In/Out from Working Capital Changes</t>
  </si>
  <si>
    <t>-</t>
  </si>
  <si>
    <t>+</t>
  </si>
  <si>
    <t>Income Tax Payable (OPERATIONS ONLY)</t>
  </si>
  <si>
    <t>Cash In/Out from Liquidating Working Capital</t>
  </si>
  <si>
    <t>TOTAL FREE CASH FLOWS (OPERATIONS)</t>
  </si>
  <si>
    <t>PV of FCFs</t>
  </si>
  <si>
    <t>Buy Equipment</t>
  </si>
  <si>
    <t>Book Value (bldg)</t>
  </si>
  <si>
    <t>Depreciation (Building)</t>
  </si>
  <si>
    <t>Depreciation (Equipment)</t>
  </si>
  <si>
    <t>Less:  Accumulated Depreciation (Building)</t>
  </si>
  <si>
    <t>Less:  Accumulated Depreciation (Equipment)</t>
  </si>
  <si>
    <t>Buy Land</t>
  </si>
  <si>
    <t>Sell Equipment</t>
  </si>
  <si>
    <t>Sell Land</t>
  </si>
  <si>
    <t>Book Value (land)</t>
  </si>
  <si>
    <t>Book Value (equip)</t>
  </si>
  <si>
    <t>appreciated 10%</t>
  </si>
  <si>
    <t>Refurbishing</t>
  </si>
  <si>
    <t>Unlevered Beta</t>
  </si>
  <si>
    <t>Relevered Beta</t>
  </si>
  <si>
    <t>New Debt Ratio</t>
  </si>
  <si>
    <t>New Equity Ratio</t>
  </si>
  <si>
    <t>WACC projected for 2020</t>
  </si>
  <si>
    <t>New CAPM</t>
  </si>
  <si>
    <t>New WACC</t>
  </si>
  <si>
    <t>Break Even Point (Units) per day</t>
  </si>
  <si>
    <t>Unlevered Industry Beta</t>
  </si>
  <si>
    <t>Price per unit car washes</t>
  </si>
  <si>
    <t>Price per unit vending</t>
  </si>
  <si>
    <t>Debt in 2013</t>
  </si>
  <si>
    <t>Proportion in 2013</t>
  </si>
  <si>
    <t>Year 2013</t>
  </si>
  <si>
    <t>Return on  debt holders want</t>
  </si>
  <si>
    <t>Fixed rate of Mortgage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</si>
</sst>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\$* #,##0.00_);_(\$* \(#,##0.00\);_(\$* \-??_);_(@_)"/>
    <numFmt numFmtId="166" formatCode="_(\$* #,##0_);_(\$* \(#,##0\);_(\$* \-??_);_(@_)"/>
    <numFmt numFmtId="167" formatCode="0.0"/>
    <numFmt numFmtId="168" formatCode="0.0%"/>
    <numFmt numFmtId="169" formatCode="[$$-409]#,##0.00;[Red]\-[$$-409]#,##0.00"/>
  </numFmts>
  <fonts count="18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name val="Arial"/>
      <family val="2"/>
    </font>
    <font>
      <u/>
      <sz val="11"/>
      <color indexed="62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</borders>
  <cellStyleXfs count="5">
    <xf numFmtId="0" fontId="0" fillId="0" borderId="0"/>
    <xf numFmtId="164" fontId="1" fillId="0" borderId="0"/>
    <xf numFmtId="165" fontId="1" fillId="0" borderId="0"/>
    <xf numFmtId="0" fontId="1" fillId="0" borderId="0"/>
    <xf numFmtId="9" fontId="1" fillId="0" borderId="0"/>
  </cellStyleXfs>
  <cellXfs count="89">
    <xf numFmtId="0" fontId="0" fillId="0" borderId="0" xfId="0"/>
    <xf numFmtId="0" fontId="1" fillId="0" borderId="0" xfId="3"/>
    <xf numFmtId="0" fontId="2" fillId="0" borderId="0" xfId="3" applyFont="1"/>
    <xf numFmtId="0" fontId="1" fillId="0" borderId="0" xfId="3" applyFont="1"/>
    <xf numFmtId="166" fontId="1" fillId="0" borderId="0" xfId="2" applyNumberFormat="1" applyFont="1" applyFill="1" applyBorder="1" applyAlignment="1" applyProtection="1"/>
    <xf numFmtId="0" fontId="14" fillId="0" borderId="0" xfId="3" applyFont="1"/>
    <xf numFmtId="0" fontId="15" fillId="0" borderId="0" xfId="3" applyFont="1"/>
    <xf numFmtId="9" fontId="15" fillId="0" borderId="0" xfId="4" applyFont="1"/>
    <xf numFmtId="9" fontId="15" fillId="0" borderId="0" xfId="3" applyNumberFormat="1" applyFont="1"/>
    <xf numFmtId="167" fontId="15" fillId="0" borderId="0" xfId="3" applyNumberFormat="1" applyFont="1"/>
    <xf numFmtId="10" fontId="15" fillId="0" borderId="0" xfId="4" applyNumberFormat="1" applyFont="1"/>
    <xf numFmtId="166" fontId="15" fillId="0" borderId="0" xfId="2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9" fontId="3" fillId="0" borderId="0" xfId="0" applyNumberFormat="1" applyFont="1" applyAlignment="1">
      <alignment wrapText="1"/>
    </xf>
    <xf numFmtId="16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69" fontId="3" fillId="0" borderId="4" xfId="0" applyNumberFormat="1" applyFont="1" applyBorder="1"/>
    <xf numFmtId="0" fontId="16" fillId="0" borderId="0" xfId="0" applyFont="1"/>
    <xf numFmtId="0" fontId="4" fillId="0" borderId="1" xfId="0" applyFont="1" applyBorder="1"/>
    <xf numFmtId="42" fontId="17" fillId="2" borderId="1" xfId="2" applyNumberFormat="1" applyFont="1" applyFill="1" applyBorder="1"/>
    <xf numFmtId="0" fontId="17" fillId="2" borderId="1" xfId="0" applyFont="1" applyFill="1" applyBorder="1"/>
    <xf numFmtId="0" fontId="4" fillId="0" borderId="1" xfId="0" applyFont="1" applyFill="1" applyBorder="1"/>
    <xf numFmtId="10" fontId="4" fillId="0" borderId="0" xfId="4" applyNumberFormat="1" applyFont="1" applyFill="1"/>
    <xf numFmtId="10" fontId="6" fillId="0" borderId="0" xfId="4" applyNumberFormat="1" applyFont="1"/>
    <xf numFmtId="0" fontId="7" fillId="0" borderId="0" xfId="3" applyFont="1"/>
    <xf numFmtId="0" fontId="6" fillId="0" borderId="0" xfId="3" applyFont="1"/>
    <xf numFmtId="0" fontId="15" fillId="0" borderId="0" xfId="3" applyFont="1" applyAlignment="1">
      <alignment vertical="center"/>
    </xf>
    <xf numFmtId="0" fontId="1" fillId="0" borderId="0" xfId="3" applyNumberFormat="1"/>
    <xf numFmtId="0" fontId="8" fillId="0" borderId="0" xfId="0" applyFont="1"/>
    <xf numFmtId="164" fontId="15" fillId="0" borderId="0" xfId="1" applyNumberFormat="1" applyFont="1"/>
    <xf numFmtId="164" fontId="5" fillId="0" borderId="0" xfId="1" applyNumberFormat="1" applyFont="1"/>
    <xf numFmtId="164" fontId="15" fillId="0" borderId="0" xfId="2" applyNumberFormat="1" applyFont="1"/>
    <xf numFmtId="164" fontId="5" fillId="0" borderId="0" xfId="2" applyNumberFormat="1" applyFont="1"/>
    <xf numFmtId="164" fontId="15" fillId="0" borderId="0" xfId="3" applyNumberFormat="1" applyFont="1"/>
    <xf numFmtId="164" fontId="6" fillId="0" borderId="0" xfId="1" applyNumberFormat="1" applyFont="1"/>
    <xf numFmtId="164" fontId="6" fillId="0" borderId="0" xfId="4" applyNumberFormat="1" applyFont="1"/>
    <xf numFmtId="165" fontId="1" fillId="0" borderId="0" xfId="2" applyNumberFormat="1"/>
    <xf numFmtId="165" fontId="1" fillId="0" borderId="2" xfId="2" applyNumberFormat="1" applyBorder="1"/>
    <xf numFmtId="165" fontId="1" fillId="0" borderId="0" xfId="2" applyNumberFormat="1" applyFont="1" applyFill="1" applyBorder="1" applyAlignment="1" applyProtection="1"/>
    <xf numFmtId="165" fontId="15" fillId="0" borderId="0" xfId="2" applyNumberFormat="1" applyFont="1" applyFill="1" applyBorder="1" applyAlignment="1" applyProtection="1"/>
    <xf numFmtId="165" fontId="1" fillId="0" borderId="3" xfId="2" applyNumberFormat="1" applyFont="1" applyFill="1" applyBorder="1" applyAlignment="1" applyProtection="1"/>
    <xf numFmtId="165" fontId="1" fillId="0" borderId="2" xfId="2" applyNumberFormat="1" applyFont="1" applyFill="1" applyBorder="1" applyAlignment="1" applyProtection="1"/>
    <xf numFmtId="165" fontId="1" fillId="0" borderId="0" xfId="3" applyNumberFormat="1"/>
    <xf numFmtId="165" fontId="1" fillId="0" borderId="2" xfId="3" applyNumberFormat="1" applyBorder="1"/>
    <xf numFmtId="165" fontId="2" fillId="0" borderId="0" xfId="3" applyNumberFormat="1" applyFont="1"/>
    <xf numFmtId="165" fontId="2" fillId="0" borderId="0" xfId="2" applyNumberFormat="1" applyFont="1" applyFill="1" applyBorder="1" applyAlignment="1" applyProtection="1"/>
    <xf numFmtId="0" fontId="1" fillId="0" borderId="2" xfId="3" applyBorder="1"/>
    <xf numFmtId="0" fontId="2" fillId="0" borderId="2" xfId="3" applyFont="1" applyBorder="1"/>
    <xf numFmtId="165" fontId="1" fillId="0" borderId="0" xfId="2" applyNumberFormat="1" applyBorder="1"/>
    <xf numFmtId="166" fontId="1" fillId="0" borderId="0" xfId="3" applyNumberFormat="1"/>
    <xf numFmtId="0" fontId="1" fillId="0" borderId="0" xfId="3" applyAlignment="1"/>
    <xf numFmtId="165" fontId="1" fillId="0" borderId="0" xfId="3" applyNumberFormat="1" applyFont="1"/>
    <xf numFmtId="0" fontId="10" fillId="0" borderId="0" xfId="0" applyFont="1" applyAlignment="1"/>
    <xf numFmtId="10" fontId="15" fillId="0" borderId="0" xfId="4" applyNumberFormat="1" applyFont="1"/>
    <xf numFmtId="165" fontId="11" fillId="0" borderId="0" xfId="2" applyNumberFormat="1" applyFont="1" applyFill="1" applyBorder="1" applyAlignment="1" applyProtection="1"/>
    <xf numFmtId="0" fontId="15" fillId="0" borderId="0" xfId="3" applyFont="1"/>
    <xf numFmtId="0" fontId="1" fillId="0" borderId="0" xfId="3" applyFill="1"/>
    <xf numFmtId="44" fontId="3" fillId="0" borderId="0" xfId="0" applyNumberFormat="1" applyFont="1"/>
    <xf numFmtId="10" fontId="1" fillId="0" borderId="0" xfId="3" applyNumberFormat="1"/>
    <xf numFmtId="10" fontId="1" fillId="0" borderId="0" xfId="4" applyNumberFormat="1" applyFont="1" applyFill="1" applyBorder="1" applyAlignment="1" applyProtection="1"/>
    <xf numFmtId="168" fontId="1" fillId="0" borderId="0" xfId="4" applyNumberFormat="1" applyFont="1" applyFill="1" applyBorder="1" applyAlignment="1" applyProtection="1"/>
    <xf numFmtId="164" fontId="1" fillId="0" borderId="0" xfId="3" applyNumberFormat="1"/>
    <xf numFmtId="168" fontId="1" fillId="0" borderId="0" xfId="3" applyNumberFormat="1"/>
    <xf numFmtId="0" fontId="12" fillId="0" borderId="0" xfId="3" applyFont="1" applyFill="1"/>
    <xf numFmtId="0" fontId="2" fillId="0" borderId="0" xfId="3" applyFont="1" applyFill="1"/>
    <xf numFmtId="0" fontId="1" fillId="0" borderId="0" xfId="3" applyFill="1" applyAlignment="1">
      <alignment horizontal="left"/>
    </xf>
    <xf numFmtId="165" fontId="1" fillId="0" borderId="0" xfId="2" applyFill="1"/>
    <xf numFmtId="165" fontId="1" fillId="0" borderId="2" xfId="2" applyFill="1" applyBorder="1"/>
    <xf numFmtId="166" fontId="1" fillId="0" borderId="0" xfId="3" applyNumberFormat="1" applyFill="1"/>
    <xf numFmtId="165" fontId="2" fillId="0" borderId="0" xfId="2" applyFont="1" applyFill="1"/>
    <xf numFmtId="10" fontId="2" fillId="0" borderId="0" xfId="3" applyNumberFormat="1" applyFont="1" applyFill="1"/>
    <xf numFmtId="8" fontId="2" fillId="0" borderId="0" xfId="3" applyNumberFormat="1" applyFont="1" applyFill="1"/>
    <xf numFmtId="10" fontId="1" fillId="0" borderId="0" xfId="3" applyNumberFormat="1" applyFill="1"/>
    <xf numFmtId="0" fontId="1" fillId="0" borderId="0" xfId="3" applyBorder="1"/>
    <xf numFmtId="0" fontId="13" fillId="0" borderId="2" xfId="3" applyFont="1" applyFill="1" applyBorder="1"/>
    <xf numFmtId="0" fontId="1" fillId="0" borderId="2" xfId="3" applyFill="1" applyBorder="1"/>
    <xf numFmtId="165" fontId="1" fillId="0" borderId="0" xfId="2"/>
    <xf numFmtId="2" fontId="1" fillId="0" borderId="0" xfId="1" applyNumberFormat="1"/>
    <xf numFmtId="168" fontId="1" fillId="0" borderId="0" xfId="4" applyNumberFormat="1"/>
    <xf numFmtId="2" fontId="1" fillId="0" borderId="0" xfId="3" quotePrefix="1" applyNumberFormat="1"/>
    <xf numFmtId="10" fontId="1" fillId="0" borderId="0" xfId="4" applyNumberFormat="1"/>
    <xf numFmtId="0" fontId="1" fillId="3" borderId="0" xfId="3" applyFill="1"/>
    <xf numFmtId="10" fontId="1" fillId="3" borderId="0" xfId="4" applyNumberFormat="1" applyFill="1"/>
    <xf numFmtId="10" fontId="1" fillId="3" borderId="0" xfId="3" applyNumberFormat="1" applyFill="1"/>
    <xf numFmtId="164" fontId="2" fillId="0" borderId="0" xfId="1" applyNumberFormat="1" applyFont="1"/>
    <xf numFmtId="43" fontId="1" fillId="0" borderId="0" xfId="3" applyNumberFormat="1"/>
    <xf numFmtId="0" fontId="1" fillId="0" borderId="0" xfId="3" applyAlignment="1">
      <alignment horizontal="center"/>
    </xf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B13" sqref="B13"/>
    </sheetView>
  </sheetViews>
  <sheetFormatPr defaultColWidth="11.42578125" defaultRowHeight="12.75" x14ac:dyDescent="0.2"/>
  <sheetData>
    <row r="2" spans="1:4" ht="15" x14ac:dyDescent="0.25">
      <c r="A2" s="30" t="s">
        <v>106</v>
      </c>
    </row>
    <row r="3" spans="1:4" x14ac:dyDescent="0.2">
      <c r="A3" s="54" t="s">
        <v>129</v>
      </c>
    </row>
    <row r="4" spans="1:4" x14ac:dyDescent="0.2">
      <c r="A4" s="54" t="s">
        <v>130</v>
      </c>
    </row>
    <row r="5" spans="1:4" ht="15" x14ac:dyDescent="0.25">
      <c r="A5" s="1" t="s">
        <v>131</v>
      </c>
      <c r="B5" s="1"/>
      <c r="C5" s="1"/>
      <c r="D5" s="1"/>
    </row>
    <row r="6" spans="1:4" ht="15" x14ac:dyDescent="0.25">
      <c r="A6" s="1" t="s">
        <v>125</v>
      </c>
      <c r="B6" s="1"/>
      <c r="C6" s="1"/>
      <c r="D6" s="1"/>
    </row>
    <row r="7" spans="1:4" ht="15" x14ac:dyDescent="0.25">
      <c r="A7" s="1" t="s">
        <v>126</v>
      </c>
      <c r="B7" s="1"/>
      <c r="C7" s="1"/>
      <c r="D7" s="1"/>
    </row>
    <row r="8" spans="1:4" ht="15" x14ac:dyDescent="0.25">
      <c r="A8" s="1" t="s">
        <v>127</v>
      </c>
      <c r="B8" s="1"/>
      <c r="C8" s="1"/>
      <c r="D8" s="1"/>
    </row>
    <row r="9" spans="1:4" ht="15" x14ac:dyDescent="0.25">
      <c r="A9" s="1" t="s">
        <v>128</v>
      </c>
      <c r="B9" s="1"/>
      <c r="C9" s="1"/>
      <c r="D9" s="1"/>
    </row>
    <row r="10" spans="1:4" ht="15" x14ac:dyDescent="0.25">
      <c r="A10" s="58" t="s">
        <v>137</v>
      </c>
    </row>
    <row r="11" spans="1:4" ht="15" x14ac:dyDescent="0.25">
      <c r="A11" s="58" t="s">
        <v>138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zoomScale="80" zoomScaleNormal="80" workbookViewId="0">
      <selection activeCell="A30" sqref="A30"/>
    </sheetView>
  </sheetViews>
  <sheetFormatPr defaultColWidth="9.42578125" defaultRowHeight="15" x14ac:dyDescent="0.25"/>
  <cols>
    <col min="1" max="1" width="4.7109375" style="1" customWidth="1"/>
    <col min="2" max="2" width="33.28515625" style="1" customWidth="1"/>
    <col min="3" max="3" width="17.140625" style="1" customWidth="1"/>
    <col min="4" max="5" width="15" style="1" bestFit="1" customWidth="1"/>
    <col min="6" max="6" width="15.28515625" style="1" customWidth="1"/>
    <col min="7" max="7" width="15.7109375" style="1" bestFit="1" customWidth="1"/>
    <col min="8" max="8" width="17.85546875" style="1" bestFit="1" customWidth="1"/>
    <col min="9" max="9" width="15.85546875" style="1" bestFit="1" customWidth="1"/>
    <col min="10" max="10" width="15.7109375" style="1" bestFit="1" customWidth="1"/>
    <col min="11" max="11" width="17.28515625" style="1" bestFit="1" customWidth="1"/>
    <col min="12" max="12" width="18.140625" style="1" bestFit="1" customWidth="1"/>
    <col min="13" max="13" width="13.42578125" style="1" customWidth="1"/>
    <col min="14" max="16384" width="9.42578125" style="1"/>
  </cols>
  <sheetData>
    <row r="1" spans="1:14" ht="18.75" x14ac:dyDescent="0.3">
      <c r="A1" s="26"/>
    </row>
    <row r="2" spans="1:14" s="3" customFormat="1" ht="12" customHeight="1" x14ac:dyDescent="0.25">
      <c r="A2" s="27"/>
      <c r="B2" s="28" t="s">
        <v>101</v>
      </c>
    </row>
    <row r="3" spans="1:14" customFormat="1" ht="12.75" x14ac:dyDescent="0.2"/>
    <row r="4" spans="1:14" x14ac:dyDescent="0.25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>
        <v>2013</v>
      </c>
      <c r="E5" s="6">
        <f>D5+1</f>
        <v>2014</v>
      </c>
      <c r="F5" s="6">
        <f t="shared" ref="F5:K5" si="0">E5+1</f>
        <v>2015</v>
      </c>
      <c r="G5" s="6">
        <f t="shared" si="0"/>
        <v>2016</v>
      </c>
      <c r="H5" s="6">
        <f t="shared" si="0"/>
        <v>2017</v>
      </c>
      <c r="I5" s="6">
        <f t="shared" si="0"/>
        <v>2018</v>
      </c>
      <c r="J5" s="6">
        <f t="shared" si="0"/>
        <v>2019</v>
      </c>
      <c r="K5" s="6">
        <f t="shared" si="0"/>
        <v>2020</v>
      </c>
      <c r="L5" s="6"/>
      <c r="M5" s="6"/>
      <c r="N5" s="6"/>
    </row>
    <row r="6" spans="1:14" x14ac:dyDescent="0.25">
      <c r="A6" s="5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v>20</v>
      </c>
      <c r="M6" s="57" t="s">
        <v>139</v>
      </c>
      <c r="N6" s="6"/>
    </row>
    <row r="7" spans="1:14" x14ac:dyDescent="0.25">
      <c r="A7" s="6" t="s">
        <v>102</v>
      </c>
      <c r="B7" s="6"/>
      <c r="C7" s="6"/>
      <c r="D7" s="31">
        <f>$L$6*360</f>
        <v>7200</v>
      </c>
      <c r="E7" s="32">
        <f t="shared" ref="E7:K8" si="1">(1+$L7)*D7</f>
        <v>7560</v>
      </c>
      <c r="F7" s="32">
        <f t="shared" si="1"/>
        <v>7938</v>
      </c>
      <c r="G7" s="32">
        <f t="shared" si="1"/>
        <v>8334.9</v>
      </c>
      <c r="H7" s="32">
        <f t="shared" si="1"/>
        <v>8751.6450000000004</v>
      </c>
      <c r="I7" s="32">
        <f t="shared" si="1"/>
        <v>9189.2272500000017</v>
      </c>
      <c r="J7" s="32">
        <f t="shared" si="1"/>
        <v>9648.6886125000019</v>
      </c>
      <c r="K7" s="32">
        <f t="shared" si="1"/>
        <v>10131.123043125002</v>
      </c>
      <c r="L7" s="7">
        <v>0.05</v>
      </c>
      <c r="M7" s="6" t="s">
        <v>2</v>
      </c>
      <c r="N7" s="6"/>
    </row>
    <row r="8" spans="1:14" x14ac:dyDescent="0.25">
      <c r="A8" s="6" t="s">
        <v>105</v>
      </c>
      <c r="B8" s="6"/>
      <c r="C8" s="6"/>
      <c r="D8" s="31">
        <f>D7*0.5</f>
        <v>3600</v>
      </c>
      <c r="E8" s="32">
        <f t="shared" si="1"/>
        <v>3780</v>
      </c>
      <c r="F8" s="32">
        <f t="shared" si="1"/>
        <v>3969</v>
      </c>
      <c r="G8" s="32">
        <f t="shared" si="1"/>
        <v>4167.45</v>
      </c>
      <c r="H8" s="32">
        <f t="shared" si="1"/>
        <v>4375.8225000000002</v>
      </c>
      <c r="I8" s="32">
        <f t="shared" si="1"/>
        <v>4594.6136250000009</v>
      </c>
      <c r="J8" s="32">
        <f t="shared" si="1"/>
        <v>4824.344306250001</v>
      </c>
      <c r="K8" s="32">
        <f t="shared" si="1"/>
        <v>5065.5615215625012</v>
      </c>
      <c r="L8" s="7">
        <v>0.05</v>
      </c>
      <c r="M8" s="6" t="s">
        <v>2</v>
      </c>
      <c r="N8" s="6"/>
    </row>
    <row r="9" spans="1:14" x14ac:dyDescent="0.25">
      <c r="A9" s="6" t="s">
        <v>103</v>
      </c>
      <c r="B9" s="6"/>
      <c r="C9" s="6"/>
      <c r="D9" s="33">
        <v>4</v>
      </c>
      <c r="E9" s="34">
        <f t="shared" ref="E9:K9" si="2">D9*($L$9+1)</f>
        <v>4.12</v>
      </c>
      <c r="F9" s="34">
        <f t="shared" si="2"/>
        <v>4.2435999999999998</v>
      </c>
      <c r="G9" s="34">
        <f t="shared" si="2"/>
        <v>4.370908</v>
      </c>
      <c r="H9" s="34">
        <f t="shared" si="2"/>
        <v>4.5020352400000005</v>
      </c>
      <c r="I9" s="34">
        <f t="shared" si="2"/>
        <v>4.6370962972000003</v>
      </c>
      <c r="J9" s="34">
        <f t="shared" si="2"/>
        <v>4.7762091861160005</v>
      </c>
      <c r="K9" s="34">
        <f t="shared" si="2"/>
        <v>4.9194954616994808</v>
      </c>
      <c r="L9" s="7">
        <v>0.03</v>
      </c>
      <c r="M9" s="6" t="s">
        <v>2</v>
      </c>
      <c r="N9" s="6"/>
    </row>
    <row r="10" spans="1:14" x14ac:dyDescent="0.25">
      <c r="A10" s="6" t="s">
        <v>104</v>
      </c>
      <c r="B10" s="6"/>
      <c r="C10" s="6"/>
      <c r="D10" s="33">
        <v>2.5</v>
      </c>
      <c r="E10" s="34">
        <f>D10*(1+$L$10)</f>
        <v>2.5750000000000002</v>
      </c>
      <c r="F10" s="34">
        <f t="shared" ref="F10:K10" si="3">E10*(1+$L$10)</f>
        <v>2.6522500000000004</v>
      </c>
      <c r="G10" s="34">
        <f t="shared" si="3"/>
        <v>2.7318175000000005</v>
      </c>
      <c r="H10" s="34">
        <f t="shared" si="3"/>
        <v>2.8137720250000005</v>
      </c>
      <c r="I10" s="34">
        <f t="shared" si="3"/>
        <v>2.8981851857500005</v>
      </c>
      <c r="J10" s="34">
        <f t="shared" si="3"/>
        <v>2.9851307413225006</v>
      </c>
      <c r="K10" s="34">
        <f t="shared" si="3"/>
        <v>3.0746846635621758</v>
      </c>
      <c r="L10" s="7">
        <v>0.03</v>
      </c>
      <c r="M10" s="6" t="s">
        <v>2</v>
      </c>
      <c r="N10" s="6"/>
    </row>
    <row r="11" spans="1:14" x14ac:dyDescent="0.25">
      <c r="A11" s="6" t="s">
        <v>118</v>
      </c>
      <c r="B11" s="6"/>
      <c r="C11" s="6"/>
      <c r="D11" s="33">
        <v>1</v>
      </c>
      <c r="E11" s="34">
        <f t="shared" ref="E11:K11" si="4">D11*(1+$L$11)</f>
        <v>1.05</v>
      </c>
      <c r="F11" s="34">
        <f t="shared" si="4"/>
        <v>1.1025</v>
      </c>
      <c r="G11" s="34">
        <f t="shared" si="4"/>
        <v>1.1576250000000001</v>
      </c>
      <c r="H11" s="34">
        <f t="shared" si="4"/>
        <v>1.2155062500000002</v>
      </c>
      <c r="I11" s="34">
        <f t="shared" si="4"/>
        <v>1.2762815625000004</v>
      </c>
      <c r="J11" s="34">
        <f t="shared" si="4"/>
        <v>1.3400956406250004</v>
      </c>
      <c r="K11" s="34">
        <f t="shared" si="4"/>
        <v>1.4071004226562505</v>
      </c>
      <c r="L11" s="7">
        <v>0.05</v>
      </c>
      <c r="M11" s="6" t="s">
        <v>2</v>
      </c>
      <c r="N11" s="6"/>
    </row>
    <row r="12" spans="1:14" x14ac:dyDescent="0.25">
      <c r="A12" s="6" t="s">
        <v>119</v>
      </c>
      <c r="B12" s="6"/>
      <c r="C12" s="6"/>
      <c r="D12" s="33">
        <f>D10*0.33333</f>
        <v>0.83332500000000009</v>
      </c>
      <c r="E12" s="34">
        <f t="shared" ref="E12:K12" si="5">D12*(1+$L$12)</f>
        <v>0.85832475000000008</v>
      </c>
      <c r="F12" s="34">
        <f t="shared" si="5"/>
        <v>0.88407449250000014</v>
      </c>
      <c r="G12" s="34">
        <f t="shared" si="5"/>
        <v>0.91059672727500018</v>
      </c>
      <c r="H12" s="34">
        <f t="shared" si="5"/>
        <v>0.93791462909325019</v>
      </c>
      <c r="I12" s="34">
        <f t="shared" si="5"/>
        <v>0.9660520679660477</v>
      </c>
      <c r="J12" s="34">
        <f t="shared" si="5"/>
        <v>0.9950336300050292</v>
      </c>
      <c r="K12" s="34">
        <f t="shared" si="5"/>
        <v>1.02488463890518</v>
      </c>
      <c r="L12" s="7">
        <v>0.03</v>
      </c>
      <c r="M12" s="6" t="s">
        <v>2</v>
      </c>
      <c r="N12" s="6"/>
    </row>
    <row r="13" spans="1:14" x14ac:dyDescent="0.25">
      <c r="A13" s="6"/>
      <c r="B13" s="6"/>
      <c r="C13" s="6"/>
      <c r="D13" s="35"/>
      <c r="E13" s="35"/>
      <c r="F13" s="35"/>
      <c r="G13" s="35"/>
      <c r="H13" s="35"/>
      <c r="I13" s="35"/>
      <c r="J13" s="35"/>
      <c r="K13" s="35"/>
      <c r="L13" s="6"/>
      <c r="M13" s="6"/>
      <c r="N13" s="6"/>
    </row>
    <row r="14" spans="1:14" x14ac:dyDescent="0.25">
      <c r="A14" s="5" t="s">
        <v>3</v>
      </c>
      <c r="B14" s="6"/>
      <c r="C14" s="6"/>
      <c r="D14" s="35"/>
      <c r="E14" s="35"/>
      <c r="F14" s="35"/>
      <c r="G14" s="35"/>
      <c r="H14" s="35"/>
      <c r="I14" s="35"/>
      <c r="J14" s="35"/>
      <c r="K14" s="35"/>
      <c r="L14" s="6"/>
      <c r="M14" s="6"/>
      <c r="N14" s="6"/>
    </row>
    <row r="15" spans="1:14" x14ac:dyDescent="0.25">
      <c r="A15" s="6" t="s">
        <v>107</v>
      </c>
      <c r="B15" s="6"/>
      <c r="C15" s="6"/>
      <c r="D15" s="31">
        <v>7</v>
      </c>
      <c r="E15" s="31">
        <f t="shared" ref="E15:K15" si="6">D15*(1+$L$15)</f>
        <v>7.3500000000000005</v>
      </c>
      <c r="F15" s="31">
        <f t="shared" si="6"/>
        <v>7.7175000000000011</v>
      </c>
      <c r="G15" s="31">
        <f t="shared" si="6"/>
        <v>8.1033750000000015</v>
      </c>
      <c r="H15" s="31">
        <f t="shared" si="6"/>
        <v>8.5085437500000012</v>
      </c>
      <c r="I15" s="31">
        <f t="shared" si="6"/>
        <v>8.9339709375000016</v>
      </c>
      <c r="J15" s="31">
        <f t="shared" si="6"/>
        <v>9.3806694843750016</v>
      </c>
      <c r="K15" s="31">
        <f t="shared" si="6"/>
        <v>9.8497029585937526</v>
      </c>
      <c r="L15" s="7">
        <v>0.05</v>
      </c>
      <c r="M15" s="6" t="s">
        <v>2</v>
      </c>
      <c r="N15" s="6"/>
    </row>
    <row r="16" spans="1:14" x14ac:dyDescent="0.25">
      <c r="A16" s="6" t="s">
        <v>4</v>
      </c>
      <c r="B16" s="6"/>
      <c r="C16" s="6"/>
      <c r="D16" s="31">
        <v>6</v>
      </c>
      <c r="E16" s="31">
        <f t="shared" ref="E16:K16" si="7">D16*(1+$L$16)</f>
        <v>6.3000000000000007</v>
      </c>
      <c r="F16" s="31">
        <f t="shared" si="7"/>
        <v>6.6150000000000011</v>
      </c>
      <c r="G16" s="31">
        <f t="shared" si="7"/>
        <v>6.9457500000000012</v>
      </c>
      <c r="H16" s="31">
        <f t="shared" si="7"/>
        <v>7.2930375000000014</v>
      </c>
      <c r="I16" s="31">
        <f t="shared" si="7"/>
        <v>7.6576893750000021</v>
      </c>
      <c r="J16" s="31">
        <f t="shared" si="7"/>
        <v>8.0405738437500034</v>
      </c>
      <c r="K16" s="31">
        <f t="shared" si="7"/>
        <v>8.4426025359375032</v>
      </c>
      <c r="L16" s="7">
        <v>0.05</v>
      </c>
      <c r="M16" s="6" t="s">
        <v>2</v>
      </c>
      <c r="N16" s="6"/>
    </row>
    <row r="17" spans="1:14" x14ac:dyDescent="0.25">
      <c r="A17" s="6" t="s">
        <v>91</v>
      </c>
      <c r="B17" s="6"/>
      <c r="C17" s="6"/>
      <c r="D17" s="32">
        <f t="shared" ref="D17:K17" si="8">360/D16</f>
        <v>60</v>
      </c>
      <c r="E17" s="32">
        <f t="shared" si="8"/>
        <v>57.142857142857139</v>
      </c>
      <c r="F17" s="32">
        <f t="shared" si="8"/>
        <v>54.421768707482983</v>
      </c>
      <c r="G17" s="32">
        <f t="shared" si="8"/>
        <v>51.830255911888557</v>
      </c>
      <c r="H17" s="32">
        <f t="shared" si="8"/>
        <v>49.362148487512911</v>
      </c>
      <c r="I17" s="32">
        <f t="shared" si="8"/>
        <v>47.011569988107532</v>
      </c>
      <c r="J17" s="32">
        <f t="shared" si="8"/>
        <v>44.772923798197638</v>
      </c>
      <c r="K17" s="32">
        <f t="shared" si="8"/>
        <v>42.640879807807281</v>
      </c>
      <c r="L17" s="8"/>
      <c r="M17" s="6"/>
      <c r="N17" s="6"/>
    </row>
    <row r="18" spans="1:14" x14ac:dyDescent="0.25">
      <c r="A18" s="6" t="s">
        <v>120</v>
      </c>
      <c r="B18" s="6"/>
      <c r="C18" s="6"/>
      <c r="D18" s="31">
        <v>20</v>
      </c>
      <c r="E18" s="35">
        <f>D18</f>
        <v>20</v>
      </c>
      <c r="F18" s="35">
        <f t="shared" ref="F18:K18" si="9">E18</f>
        <v>20</v>
      </c>
      <c r="G18" s="35">
        <f t="shared" si="9"/>
        <v>20</v>
      </c>
      <c r="H18" s="35">
        <f t="shared" si="9"/>
        <v>20</v>
      </c>
      <c r="I18" s="35">
        <f t="shared" si="9"/>
        <v>20</v>
      </c>
      <c r="J18" s="35">
        <f t="shared" si="9"/>
        <v>20</v>
      </c>
      <c r="K18" s="35">
        <f t="shared" si="9"/>
        <v>20</v>
      </c>
      <c r="L18" s="6"/>
      <c r="M18" s="6" t="s">
        <v>90</v>
      </c>
      <c r="N18" s="6"/>
    </row>
    <row r="19" spans="1:14" x14ac:dyDescent="0.25">
      <c r="A19" s="5" t="s">
        <v>98</v>
      </c>
      <c r="B19" s="6"/>
      <c r="C19" s="6"/>
      <c r="D19" s="36">
        <f t="shared" ref="D19:K19" si="10">(D73+D74+D76+D77)/(D79+D80)</f>
        <v>-193.64110756208694</v>
      </c>
      <c r="E19" s="36">
        <f t="shared" si="10"/>
        <v>-5.2366527753738774</v>
      </c>
      <c r="F19" s="36">
        <f t="shared" si="10"/>
        <v>-2.9521646469247607</v>
      </c>
      <c r="G19" s="36">
        <f t="shared" si="10"/>
        <v>-2.1849874292530589</v>
      </c>
      <c r="H19" s="36">
        <f t="shared" si="10"/>
        <v>-1.8044352583180394</v>
      </c>
      <c r="I19" s="36">
        <f t="shared" si="10"/>
        <v>-1.5796749143833164</v>
      </c>
      <c r="J19" s="36">
        <f t="shared" si="10"/>
        <v>-1.4330836285408302</v>
      </c>
      <c r="K19" s="36">
        <f t="shared" si="10"/>
        <v>-1.3312184115210433</v>
      </c>
      <c r="L19" s="6"/>
      <c r="M19" s="6"/>
      <c r="N19" s="6"/>
    </row>
    <row r="20" spans="1:14" x14ac:dyDescent="0.25">
      <c r="A20" s="5" t="s">
        <v>99</v>
      </c>
      <c r="B20" s="6"/>
      <c r="C20" s="6"/>
      <c r="D20" s="37">
        <f t="shared" ref="D20:K20" si="11">D47/D70</f>
        <v>-0.20137165760120368</v>
      </c>
      <c r="E20" s="37">
        <f t="shared" si="11"/>
        <v>-0.22467031005559934</v>
      </c>
      <c r="F20" s="37">
        <f t="shared" si="11"/>
        <v>-0.25104292428208896</v>
      </c>
      <c r="G20" s="37">
        <f t="shared" si="11"/>
        <v>-0.28116823047176964</v>
      </c>
      <c r="H20" s="37">
        <f t="shared" si="11"/>
        <v>-0.31559875079328203</v>
      </c>
      <c r="I20" s="37">
        <f t="shared" si="11"/>
        <v>-0.35497006760915073</v>
      </c>
      <c r="J20" s="37">
        <f t="shared" si="11"/>
        <v>-0.4000135303438922</v>
      </c>
      <c r="K20" s="37">
        <f t="shared" si="11"/>
        <v>-0.4515709386665534</v>
      </c>
      <c r="L20" s="6"/>
      <c r="M20" s="6"/>
      <c r="N20" s="6"/>
    </row>
    <row r="21" spans="1:14" x14ac:dyDescent="0.25">
      <c r="A21" s="5" t="s">
        <v>100</v>
      </c>
      <c r="B21" s="6"/>
      <c r="C21" s="6"/>
      <c r="D21" s="37">
        <f t="shared" ref="D21:K21" si="12">D47/(D79+D80)</f>
        <v>38.457222574180328</v>
      </c>
      <c r="E21" s="37">
        <f t="shared" si="12"/>
        <v>0.9758936556597656</v>
      </c>
      <c r="F21" s="37">
        <f t="shared" si="12"/>
        <v>0.51893225897684048</v>
      </c>
      <c r="G21" s="37">
        <f t="shared" si="12"/>
        <v>0.36503105655769813</v>
      </c>
      <c r="H21" s="37">
        <f t="shared" si="12"/>
        <v>0.28836955058937491</v>
      </c>
      <c r="I21" s="37">
        <f t="shared" si="12"/>
        <v>0.24284669085782995</v>
      </c>
      <c r="J21" s="37">
        <f t="shared" si="12"/>
        <v>0.21296064899194567</v>
      </c>
      <c r="K21" s="37">
        <f t="shared" si="12"/>
        <v>0.19203308002730715</v>
      </c>
      <c r="L21" s="6"/>
      <c r="M21" s="6"/>
      <c r="N21" s="6"/>
    </row>
    <row r="22" spans="1:14" x14ac:dyDescent="0.25">
      <c r="A22" s="5"/>
      <c r="B22" s="6"/>
      <c r="C22" s="6"/>
      <c r="D22" s="25"/>
      <c r="E22" s="25"/>
      <c r="F22" s="25"/>
      <c r="G22" s="25"/>
      <c r="H22" s="25"/>
      <c r="I22" s="25"/>
      <c r="J22" s="25"/>
      <c r="K22" s="25"/>
      <c r="L22" s="6"/>
      <c r="M22" s="6"/>
      <c r="N22" s="6"/>
    </row>
    <row r="23" spans="1:14" x14ac:dyDescent="0.25">
      <c r="D23" s="29">
        <f>D5</f>
        <v>2013</v>
      </c>
      <c r="E23" s="29">
        <f t="shared" ref="E23:K23" si="13">E5</f>
        <v>2014</v>
      </c>
      <c r="F23" s="29">
        <f t="shared" si="13"/>
        <v>2015</v>
      </c>
      <c r="G23" s="29">
        <f t="shared" si="13"/>
        <v>2016</v>
      </c>
      <c r="H23" s="29">
        <f t="shared" si="13"/>
        <v>2017</v>
      </c>
      <c r="I23" s="29">
        <f t="shared" si="13"/>
        <v>2018</v>
      </c>
      <c r="J23" s="29">
        <f t="shared" si="13"/>
        <v>2019</v>
      </c>
      <c r="K23" s="29">
        <f t="shared" si="13"/>
        <v>2020</v>
      </c>
    </row>
    <row r="24" spans="1:14" x14ac:dyDescent="0.25">
      <c r="A24" s="2" t="s">
        <v>5</v>
      </c>
    </row>
    <row r="25" spans="1:14" x14ac:dyDescent="0.25">
      <c r="A25" s="3" t="s">
        <v>108</v>
      </c>
      <c r="D25" s="38">
        <f>D7*D9</f>
        <v>28800</v>
      </c>
      <c r="E25" s="38">
        <f t="shared" ref="D25:K26" si="14">E7*E9</f>
        <v>31147.200000000001</v>
      </c>
      <c r="F25" s="38">
        <f t="shared" si="14"/>
        <v>33685.696799999998</v>
      </c>
      <c r="G25" s="38">
        <f t="shared" si="14"/>
        <v>36431.081089200001</v>
      </c>
      <c r="H25" s="38">
        <f t="shared" si="14"/>
        <v>39400.214197969806</v>
      </c>
      <c r="I25" s="38">
        <f t="shared" si="14"/>
        <v>42611.331655104346</v>
      </c>
      <c r="J25" s="38">
        <f t="shared" si="14"/>
        <v>46084.155184995354</v>
      </c>
      <c r="K25" s="38">
        <f t="shared" si="14"/>
        <v>49840.013832572484</v>
      </c>
      <c r="L25" s="9"/>
      <c r="M25" s="6"/>
    </row>
    <row r="26" spans="1:14" x14ac:dyDescent="0.25">
      <c r="A26" s="3" t="s">
        <v>109</v>
      </c>
      <c r="D26" s="38">
        <f t="shared" si="14"/>
        <v>9000</v>
      </c>
      <c r="E26" s="38">
        <f t="shared" si="14"/>
        <v>9733.5</v>
      </c>
      <c r="F26" s="38">
        <f t="shared" si="14"/>
        <v>10526.780250000002</v>
      </c>
      <c r="G26" s="38">
        <f t="shared" si="14"/>
        <v>11384.712840375001</v>
      </c>
      <c r="H26" s="38">
        <f t="shared" si="14"/>
        <v>12312.566936865565</v>
      </c>
      <c r="I26" s="38">
        <f t="shared" si="14"/>
        <v>13316.04114222011</v>
      </c>
      <c r="J26" s="38">
        <f t="shared" si="14"/>
        <v>14401.29849531105</v>
      </c>
      <c r="K26" s="38">
        <f t="shared" si="14"/>
        <v>15575.004322678902</v>
      </c>
      <c r="L26" s="9"/>
      <c r="M26" s="6"/>
    </row>
    <row r="27" spans="1:14" x14ac:dyDescent="0.25">
      <c r="A27" s="3"/>
      <c r="B27" s="1" t="s">
        <v>6</v>
      </c>
      <c r="D27" s="39">
        <f>D25+D26</f>
        <v>37800</v>
      </c>
      <c r="E27" s="39">
        <f t="shared" ref="E27:K27" si="15">E25+E26</f>
        <v>40880.699999999997</v>
      </c>
      <c r="F27" s="39">
        <f t="shared" si="15"/>
        <v>44212.477050000001</v>
      </c>
      <c r="G27" s="39">
        <f t="shared" si="15"/>
        <v>47815.793929575004</v>
      </c>
      <c r="H27" s="39">
        <f t="shared" si="15"/>
        <v>51712.781134835372</v>
      </c>
      <c r="I27" s="39">
        <f t="shared" si="15"/>
        <v>55927.372797324453</v>
      </c>
      <c r="J27" s="39">
        <f t="shared" si="15"/>
        <v>60485.453680306404</v>
      </c>
      <c r="K27" s="39">
        <f t="shared" si="15"/>
        <v>65415.018155251382</v>
      </c>
      <c r="L27" s="6"/>
      <c r="M27" s="6"/>
    </row>
    <row r="28" spans="1:14" x14ac:dyDescent="0.25">
      <c r="A28" s="3"/>
      <c r="D28" s="50"/>
      <c r="E28" s="50"/>
      <c r="F28" s="50"/>
      <c r="G28" s="50"/>
      <c r="H28" s="50"/>
      <c r="I28" s="50"/>
      <c r="J28" s="50"/>
      <c r="K28" s="50"/>
      <c r="L28" s="6"/>
      <c r="M28" s="6"/>
    </row>
    <row r="29" spans="1:14" x14ac:dyDescent="0.25">
      <c r="A29" s="1" t="s">
        <v>7</v>
      </c>
      <c r="D29" s="40"/>
      <c r="E29" s="40"/>
      <c r="F29" s="40"/>
      <c r="G29" s="40"/>
      <c r="H29" s="40"/>
      <c r="I29" s="40"/>
      <c r="J29" s="40"/>
      <c r="K29" s="40"/>
      <c r="L29" s="6"/>
      <c r="M29" s="6"/>
    </row>
    <row r="30" spans="1:14" x14ac:dyDescent="0.25">
      <c r="B30" s="1" t="s">
        <v>113</v>
      </c>
      <c r="D30" s="40">
        <v>50000</v>
      </c>
      <c r="E30" s="40">
        <v>50000</v>
      </c>
      <c r="F30" s="40">
        <v>50000</v>
      </c>
      <c r="G30" s="40">
        <v>50000</v>
      </c>
      <c r="H30" s="40">
        <v>50000</v>
      </c>
      <c r="I30" s="40">
        <v>50000</v>
      </c>
      <c r="J30" s="40">
        <v>50000</v>
      </c>
      <c r="K30" s="40">
        <v>50000</v>
      </c>
      <c r="L30" s="6"/>
      <c r="M30" s="6"/>
    </row>
    <row r="31" spans="1:14" x14ac:dyDescent="0.25">
      <c r="B31" s="1" t="s">
        <v>132</v>
      </c>
      <c r="D31" s="41">
        <f>14400*0.1</f>
        <v>1440</v>
      </c>
      <c r="E31" s="40">
        <f>D31*(1+$L31)</f>
        <v>1512</v>
      </c>
      <c r="F31" s="40">
        <f t="shared" ref="F31:K32" si="16">E31*(1+$L31)</f>
        <v>1587.6000000000001</v>
      </c>
      <c r="G31" s="40">
        <f t="shared" si="16"/>
        <v>1666.9800000000002</v>
      </c>
      <c r="H31" s="40">
        <f t="shared" si="16"/>
        <v>1750.3290000000004</v>
      </c>
      <c r="I31" s="40">
        <f t="shared" si="16"/>
        <v>1837.8454500000005</v>
      </c>
      <c r="J31" s="40">
        <f t="shared" si="16"/>
        <v>1929.7377225000007</v>
      </c>
      <c r="K31" s="40">
        <f t="shared" si="16"/>
        <v>2026.2246086250009</v>
      </c>
      <c r="L31" s="10">
        <f>(+D31/(D25))</f>
        <v>0.05</v>
      </c>
      <c r="M31" s="6" t="s">
        <v>8</v>
      </c>
    </row>
    <row r="32" spans="1:14" x14ac:dyDescent="0.25">
      <c r="B32" s="1" t="s">
        <v>133</v>
      </c>
      <c r="D32" s="41">
        <f>(14400)*0.9</f>
        <v>12960</v>
      </c>
      <c r="E32" s="40">
        <f>D32*(1+$L32)</f>
        <v>13608</v>
      </c>
      <c r="F32" s="40">
        <f t="shared" si="16"/>
        <v>14288.400000000001</v>
      </c>
      <c r="G32" s="40">
        <f t="shared" si="16"/>
        <v>15002.820000000002</v>
      </c>
      <c r="H32" s="40">
        <f t="shared" si="16"/>
        <v>15752.961000000003</v>
      </c>
      <c r="I32" s="40">
        <f t="shared" si="16"/>
        <v>16540.609050000003</v>
      </c>
      <c r="J32" s="40">
        <f t="shared" si="16"/>
        <v>17367.639502500002</v>
      </c>
      <c r="K32" s="40">
        <f t="shared" si="16"/>
        <v>18236.021477625003</v>
      </c>
      <c r="L32" s="55">
        <f>(+D31/(D25))</f>
        <v>0.05</v>
      </c>
      <c r="M32" s="6" t="s">
        <v>8</v>
      </c>
    </row>
    <row r="33" spans="1:13" x14ac:dyDescent="0.25">
      <c r="B33" s="1" t="s">
        <v>116</v>
      </c>
      <c r="D33" s="38">
        <f t="shared" ref="D33:K33" si="17">(D11*D7)+(D8+D12)</f>
        <v>10800.833325</v>
      </c>
      <c r="E33" s="38">
        <f t="shared" si="17"/>
        <v>11718.858324749999</v>
      </c>
      <c r="F33" s="38">
        <f t="shared" si="17"/>
        <v>12721.529074492501</v>
      </c>
      <c r="G33" s="38">
        <f t="shared" si="17"/>
        <v>13817.049209227276</v>
      </c>
      <c r="H33" s="38">
        <f t="shared" si="17"/>
        <v>15014.439609910347</v>
      </c>
      <c r="I33" s="38">
        <f t="shared" si="17"/>
        <v>16323.620989865551</v>
      </c>
      <c r="J33" s="38">
        <f t="shared" si="17"/>
        <v>17755.504887239342</v>
      </c>
      <c r="K33" s="38">
        <f t="shared" si="17"/>
        <v>19322.093922165077</v>
      </c>
      <c r="L33" s="6"/>
      <c r="M33" s="6"/>
    </row>
    <row r="34" spans="1:13" x14ac:dyDescent="0.25">
      <c r="B34" s="1" t="s">
        <v>97</v>
      </c>
      <c r="D34" s="41">
        <v>10000</v>
      </c>
      <c r="E34" s="41">
        <v>10000</v>
      </c>
      <c r="F34" s="41">
        <v>10000</v>
      </c>
      <c r="G34" s="41">
        <v>10000</v>
      </c>
      <c r="H34" s="41">
        <v>10000</v>
      </c>
      <c r="I34" s="41">
        <v>10000</v>
      </c>
      <c r="J34" s="41">
        <v>10000</v>
      </c>
      <c r="K34" s="41">
        <v>10000</v>
      </c>
      <c r="L34" s="10"/>
      <c r="M34" s="6"/>
    </row>
    <row r="35" spans="1:13" x14ac:dyDescent="0.25">
      <c r="B35" s="1" t="s">
        <v>134</v>
      </c>
      <c r="D35" s="41">
        <f>(D65+D64)*$L$35</f>
        <v>7491.0009999999993</v>
      </c>
      <c r="E35" s="56">
        <f>(E65+E64)*$L$35</f>
        <v>7491.0009999999993</v>
      </c>
      <c r="F35" s="56">
        <f t="shared" ref="F35:K35" si="18">(F65+F64)*$L$35</f>
        <v>7491.0009999999993</v>
      </c>
      <c r="G35" s="56">
        <f t="shared" si="18"/>
        <v>7491.0009999999993</v>
      </c>
      <c r="H35" s="56">
        <f t="shared" si="18"/>
        <v>7491.0009999999993</v>
      </c>
      <c r="I35" s="56">
        <f t="shared" si="18"/>
        <v>7491.0009999999993</v>
      </c>
      <c r="J35" s="56">
        <f t="shared" si="18"/>
        <v>7491.0009999999993</v>
      </c>
      <c r="K35" s="56">
        <f t="shared" si="18"/>
        <v>7491.0009999999993</v>
      </c>
      <c r="L35" s="55">
        <v>1.4982001999999999E-2</v>
      </c>
      <c r="M35" s="6"/>
    </row>
    <row r="36" spans="1:13" x14ac:dyDescent="0.25">
      <c r="B36" s="1" t="s">
        <v>135</v>
      </c>
      <c r="D36" s="41">
        <f>400*12</f>
        <v>4800</v>
      </c>
      <c r="E36" s="56">
        <f>(400*12)*(1+$L$36)</f>
        <v>4944</v>
      </c>
      <c r="F36" s="56">
        <f t="shared" ref="F36:K36" si="19">(400*12)*(1+$L$36)</f>
        <v>4944</v>
      </c>
      <c r="G36" s="56">
        <f t="shared" si="19"/>
        <v>4944</v>
      </c>
      <c r="H36" s="56">
        <f t="shared" si="19"/>
        <v>4944</v>
      </c>
      <c r="I36" s="56">
        <f t="shared" si="19"/>
        <v>4944</v>
      </c>
      <c r="J36" s="56">
        <f t="shared" si="19"/>
        <v>4944</v>
      </c>
      <c r="K36" s="56">
        <f t="shared" si="19"/>
        <v>4944</v>
      </c>
      <c r="L36" s="55">
        <v>0.03</v>
      </c>
      <c r="M36" s="57" t="s">
        <v>136</v>
      </c>
    </row>
    <row r="37" spans="1:13" x14ac:dyDescent="0.25">
      <c r="B37" s="1" t="s">
        <v>9</v>
      </c>
      <c r="D37" s="42">
        <f>SUM(D30:D36)</f>
        <v>97491.834325000003</v>
      </c>
      <c r="E37" s="42">
        <f t="shared" ref="E37:K37" si="20">SUM(E30:E36)</f>
        <v>99273.85932475001</v>
      </c>
      <c r="F37" s="42">
        <f t="shared" si="20"/>
        <v>101032.5300744925</v>
      </c>
      <c r="G37" s="42">
        <f t="shared" si="20"/>
        <v>102921.85020922728</v>
      </c>
      <c r="H37" s="42">
        <f t="shared" si="20"/>
        <v>104952.73060991036</v>
      </c>
      <c r="I37" s="42">
        <f t="shared" si="20"/>
        <v>107137.07648986556</v>
      </c>
      <c r="J37" s="42">
        <f t="shared" si="20"/>
        <v>109487.88311223935</v>
      </c>
      <c r="K37" s="42">
        <f t="shared" si="20"/>
        <v>112019.34100841508</v>
      </c>
      <c r="L37" s="6"/>
      <c r="M37" s="6"/>
    </row>
    <row r="38" spans="1:13" x14ac:dyDescent="0.25">
      <c r="A38" s="1" t="s">
        <v>10</v>
      </c>
      <c r="D38" s="40">
        <f t="shared" ref="D38:K38" si="21">+D27-D37</f>
        <v>-59691.834325000003</v>
      </c>
      <c r="E38" s="40">
        <f t="shared" si="21"/>
        <v>-58393.159324750013</v>
      </c>
      <c r="F38" s="40">
        <f t="shared" si="21"/>
        <v>-56820.053024492503</v>
      </c>
      <c r="G38" s="40">
        <f t="shared" si="21"/>
        <v>-55106.056279652279</v>
      </c>
      <c r="H38" s="40">
        <f t="shared" si="21"/>
        <v>-53239.949475074987</v>
      </c>
      <c r="I38" s="40">
        <f t="shared" si="21"/>
        <v>-51209.703692541108</v>
      </c>
      <c r="J38" s="40">
        <f t="shared" si="21"/>
        <v>-49002.429431932942</v>
      </c>
      <c r="K38" s="40">
        <f t="shared" si="21"/>
        <v>-46604.3228531637</v>
      </c>
      <c r="L38" s="6"/>
      <c r="M38" s="6"/>
    </row>
    <row r="39" spans="1:13" x14ac:dyDescent="0.25">
      <c r="D39" s="40"/>
      <c r="E39" s="40"/>
      <c r="F39" s="40"/>
      <c r="G39" s="40"/>
      <c r="H39" s="40"/>
      <c r="I39" s="40"/>
      <c r="J39" s="40"/>
      <c r="K39" s="40"/>
      <c r="L39" s="6">
        <v>15</v>
      </c>
      <c r="M39" s="6" t="s">
        <v>115</v>
      </c>
    </row>
    <row r="40" spans="1:13" x14ac:dyDescent="0.25">
      <c r="A40" s="1" t="s">
        <v>179</v>
      </c>
      <c r="D40" s="38">
        <f>(D65/$L40)</f>
        <v>11666.666666666666</v>
      </c>
      <c r="E40" s="38">
        <f t="shared" ref="E40:K40" si="22">(E65/$L40)</f>
        <v>11666.666666666666</v>
      </c>
      <c r="F40" s="38">
        <f t="shared" si="22"/>
        <v>11666.666666666666</v>
      </c>
      <c r="G40" s="38">
        <f t="shared" si="22"/>
        <v>11666.666666666666</v>
      </c>
      <c r="H40" s="38">
        <f t="shared" si="22"/>
        <v>11666.666666666666</v>
      </c>
      <c r="I40" s="38">
        <f t="shared" si="22"/>
        <v>11666.666666666666</v>
      </c>
      <c r="J40" s="38">
        <f t="shared" si="22"/>
        <v>11666.666666666666</v>
      </c>
      <c r="K40" s="38">
        <f t="shared" si="22"/>
        <v>11666.666666666666</v>
      </c>
      <c r="L40" s="6">
        <v>30</v>
      </c>
      <c r="M40" s="6" t="s">
        <v>11</v>
      </c>
    </row>
    <row r="41" spans="1:13" x14ac:dyDescent="0.25">
      <c r="A41" s="1" t="s">
        <v>180</v>
      </c>
      <c r="D41" s="38">
        <f>(D66/$L39)</f>
        <v>46666.666666666664</v>
      </c>
      <c r="E41" s="38">
        <f t="shared" ref="E41:K41" si="23">(E66/$L39)</f>
        <v>42870</v>
      </c>
      <c r="F41" s="38">
        <f t="shared" si="23"/>
        <v>42870</v>
      </c>
      <c r="G41" s="38">
        <f t="shared" si="23"/>
        <v>42870</v>
      </c>
      <c r="H41" s="38">
        <f t="shared" si="23"/>
        <v>42870</v>
      </c>
      <c r="I41" s="38">
        <f t="shared" si="23"/>
        <v>42870</v>
      </c>
      <c r="J41" s="38">
        <f t="shared" si="23"/>
        <v>42870</v>
      </c>
      <c r="K41" s="38">
        <f t="shared" si="23"/>
        <v>42870</v>
      </c>
      <c r="L41" s="6"/>
      <c r="M41" s="6"/>
    </row>
    <row r="42" spans="1:13" x14ac:dyDescent="0.25">
      <c r="A42" s="1" t="s">
        <v>12</v>
      </c>
      <c r="D42" s="40">
        <f>'Amortization Schedule'!D14</f>
        <v>53796.223612677582</v>
      </c>
      <c r="E42" s="40">
        <f>'Amortization Schedule'!D28</f>
        <v>53328.213723306639</v>
      </c>
      <c r="F42" s="40">
        <f>'Amortization Schedule'!D42</f>
        <v>52821.359243936888</v>
      </c>
      <c r="G42" s="40">
        <f>'Amortization Schedule'!D56</f>
        <v>52272.436092756252</v>
      </c>
      <c r="H42" s="40">
        <f>'Amortization Schedule'!D70</f>
        <v>51677.952590752415</v>
      </c>
      <c r="I42" s="40">
        <f>'Amortization Schedule'!D84</f>
        <v>51034.127251277059</v>
      </c>
      <c r="J42" s="40">
        <f>'Amortization Schedule'!D98</f>
        <v>50336.864726155058</v>
      </c>
      <c r="K42" s="40">
        <f>'Amortization Schedule'!D112</f>
        <v>49581.729755332577</v>
      </c>
      <c r="L42" s="10">
        <v>0.08</v>
      </c>
      <c r="M42" s="6" t="s">
        <v>13</v>
      </c>
    </row>
    <row r="43" spans="1:13" x14ac:dyDescent="0.25">
      <c r="A43" s="1" t="s">
        <v>14</v>
      </c>
      <c r="D43" s="40">
        <f t="shared" ref="D43:K43" si="24">D77*$L43</f>
        <v>59185.460933644928</v>
      </c>
      <c r="E43" s="40">
        <f t="shared" si="24"/>
        <v>76916.490370519838</v>
      </c>
      <c r="F43" s="40">
        <f t="shared" si="24"/>
        <v>104616.20216063815</v>
      </c>
      <c r="G43" s="40">
        <f t="shared" si="24"/>
        <v>135858.78034732142</v>
      </c>
      <c r="H43" s="40">
        <f t="shared" si="24"/>
        <v>171106.53435079276</v>
      </c>
      <c r="I43" s="40">
        <f t="shared" si="24"/>
        <v>210883.16871788376</v>
      </c>
      <c r="J43" s="40">
        <f t="shared" si="24"/>
        <v>255782.03714504643</v>
      </c>
      <c r="K43" s="40">
        <f t="shared" si="24"/>
        <v>306475.5146491761</v>
      </c>
      <c r="L43" s="10">
        <v>0.12</v>
      </c>
      <c r="M43" s="6" t="s">
        <v>13</v>
      </c>
    </row>
    <row r="44" spans="1:13" x14ac:dyDescent="0.25">
      <c r="D44" s="40"/>
      <c r="E44" s="40"/>
      <c r="F44" s="40"/>
      <c r="G44" s="40"/>
      <c r="H44" s="40"/>
      <c r="I44" s="40"/>
      <c r="J44" s="40"/>
      <c r="K44" s="40"/>
      <c r="L44" s="6"/>
      <c r="M44" s="6"/>
    </row>
    <row r="45" spans="1:13" x14ac:dyDescent="0.25">
      <c r="A45" s="1" t="s">
        <v>15</v>
      </c>
      <c r="D45" s="40">
        <f>D38-D40-D41-D42-D43</f>
        <v>-231006.85220465585</v>
      </c>
      <c r="E45" s="40">
        <f t="shared" ref="E45:K45" si="25">E38-E40-E41-E42-E43</f>
        <v>-243174.53008524317</v>
      </c>
      <c r="F45" s="40">
        <f t="shared" si="25"/>
        <v>-268794.28109573422</v>
      </c>
      <c r="G45" s="40">
        <f t="shared" si="25"/>
        <v>-297773.93938639661</v>
      </c>
      <c r="H45" s="40">
        <f t="shared" si="25"/>
        <v>-330561.10308328684</v>
      </c>
      <c r="I45" s="40">
        <f t="shared" si="25"/>
        <v>-367663.66632836859</v>
      </c>
      <c r="J45" s="40">
        <f t="shared" si="25"/>
        <v>-409657.99796980107</v>
      </c>
      <c r="K45" s="40">
        <f t="shared" si="25"/>
        <v>-457198.23392433906</v>
      </c>
      <c r="L45" s="6"/>
      <c r="M45" s="6"/>
    </row>
    <row r="46" spans="1:13" x14ac:dyDescent="0.25">
      <c r="A46" s="1" t="s">
        <v>16</v>
      </c>
      <c r="D46" s="38">
        <f t="shared" ref="D46:K46" si="26">IF(D45&lt;0,0,$L46*D45)</f>
        <v>0</v>
      </c>
      <c r="E46" s="38">
        <f t="shared" si="26"/>
        <v>0</v>
      </c>
      <c r="F46" s="38">
        <f t="shared" si="26"/>
        <v>0</v>
      </c>
      <c r="G46" s="38">
        <f t="shared" si="26"/>
        <v>0</v>
      </c>
      <c r="H46" s="38">
        <f t="shared" si="26"/>
        <v>0</v>
      </c>
      <c r="I46" s="38">
        <f t="shared" si="26"/>
        <v>0</v>
      </c>
      <c r="J46" s="38">
        <f t="shared" si="26"/>
        <v>0</v>
      </c>
      <c r="K46" s="38">
        <f t="shared" si="26"/>
        <v>0</v>
      </c>
      <c r="L46" s="7">
        <v>0.15</v>
      </c>
      <c r="M46" s="6" t="s">
        <v>17</v>
      </c>
    </row>
    <row r="47" spans="1:13" x14ac:dyDescent="0.25">
      <c r="A47" s="2" t="s">
        <v>18</v>
      </c>
      <c r="D47" s="43">
        <f t="shared" ref="D47:K47" si="27">D45-D46</f>
        <v>-231006.85220465585</v>
      </c>
      <c r="E47" s="43">
        <f t="shared" si="27"/>
        <v>-243174.53008524317</v>
      </c>
      <c r="F47" s="43">
        <f t="shared" si="27"/>
        <v>-268794.28109573422</v>
      </c>
      <c r="G47" s="43">
        <f t="shared" si="27"/>
        <v>-297773.93938639661</v>
      </c>
      <c r="H47" s="43">
        <f t="shared" si="27"/>
        <v>-330561.10308328684</v>
      </c>
      <c r="I47" s="43">
        <f t="shared" si="27"/>
        <v>-367663.66632836859</v>
      </c>
      <c r="J47" s="43">
        <f t="shared" si="27"/>
        <v>-409657.99796980107</v>
      </c>
      <c r="K47" s="43">
        <f t="shared" si="27"/>
        <v>-457198.23392433906</v>
      </c>
      <c r="L47" s="6"/>
      <c r="M47" s="6"/>
    </row>
    <row r="48" spans="1:13" x14ac:dyDescent="0.25">
      <c r="A48" s="2"/>
      <c r="D48" s="40"/>
      <c r="E48" s="40"/>
      <c r="F48" s="40"/>
      <c r="G48" s="40"/>
      <c r="H48" s="40"/>
      <c r="I48" s="40"/>
      <c r="J48" s="40"/>
      <c r="K48" s="40"/>
      <c r="L48" s="6"/>
      <c r="M48" s="6"/>
    </row>
    <row r="49" spans="1:13" x14ac:dyDescent="0.25">
      <c r="A49" s="49" t="s">
        <v>111</v>
      </c>
      <c r="B49" s="48"/>
      <c r="C49" s="48"/>
      <c r="D49" s="43"/>
      <c r="E49" s="43"/>
      <c r="F49" s="43"/>
      <c r="G49" s="43"/>
      <c r="H49" s="43"/>
      <c r="I49" s="43"/>
      <c r="J49" s="43"/>
      <c r="K49" s="43"/>
      <c r="L49" s="6"/>
      <c r="M49" s="6"/>
    </row>
    <row r="50" spans="1:13" x14ac:dyDescent="0.25">
      <c r="B50" s="1" t="s">
        <v>121</v>
      </c>
      <c r="D50" s="44">
        <f>D27-D33</f>
        <v>26999.166675</v>
      </c>
      <c r="E50" s="44"/>
      <c r="F50" s="44"/>
      <c r="G50" s="44"/>
      <c r="H50" s="44"/>
      <c r="I50" s="44"/>
      <c r="J50" s="44"/>
      <c r="K50" s="44"/>
      <c r="L50" s="6"/>
      <c r="M50" s="6"/>
    </row>
    <row r="51" spans="1:13" x14ac:dyDescent="0.25">
      <c r="B51" s="1" t="s">
        <v>199</v>
      </c>
      <c r="D51" s="44">
        <f>D25/D7</f>
        <v>4</v>
      </c>
      <c r="E51" s="44"/>
      <c r="F51" s="44"/>
      <c r="G51" s="44"/>
      <c r="H51" s="44"/>
      <c r="I51" s="44"/>
      <c r="J51" s="44"/>
      <c r="K51" s="44"/>
      <c r="L51" s="6"/>
      <c r="M51" s="6"/>
    </row>
    <row r="52" spans="1:13" x14ac:dyDescent="0.25">
      <c r="A52" s="52"/>
      <c r="B52" s="52" t="s">
        <v>200</v>
      </c>
      <c r="D52" s="44">
        <f>D26/D8</f>
        <v>2.5</v>
      </c>
      <c r="E52" s="44"/>
      <c r="F52" s="44"/>
      <c r="G52" s="44"/>
      <c r="H52" s="44"/>
      <c r="I52" s="44"/>
      <c r="J52" s="44"/>
      <c r="K52" s="44"/>
      <c r="L52" s="6"/>
      <c r="M52" s="6"/>
    </row>
    <row r="53" spans="1:13" x14ac:dyDescent="0.25">
      <c r="C53" s="1" t="s">
        <v>122</v>
      </c>
      <c r="D53" s="44">
        <f>SUM(D51:D52)</f>
        <v>6.5</v>
      </c>
      <c r="E53" s="44">
        <f>D54*D53</f>
        <v>11.700000000000001</v>
      </c>
      <c r="F53" s="44"/>
      <c r="G53" s="44"/>
      <c r="H53" s="44"/>
      <c r="I53" s="44"/>
      <c r="J53" s="44"/>
      <c r="K53" s="44"/>
      <c r="L53" s="6"/>
      <c r="M53" s="6"/>
    </row>
    <row r="54" spans="1:13" x14ac:dyDescent="0.25">
      <c r="C54" s="1" t="s">
        <v>133</v>
      </c>
      <c r="D54" s="86">
        <f>D32/7200</f>
        <v>1.8</v>
      </c>
      <c r="E54" s="44"/>
      <c r="F54" s="44"/>
      <c r="G54" s="44"/>
      <c r="H54" s="44"/>
      <c r="I54" s="44"/>
      <c r="J54" s="44"/>
      <c r="K54" s="44"/>
      <c r="L54" s="6"/>
      <c r="M54" s="6"/>
    </row>
    <row r="55" spans="1:13" x14ac:dyDescent="0.25">
      <c r="A55" s="52"/>
      <c r="B55" s="52"/>
      <c r="C55" s="1" t="s">
        <v>123</v>
      </c>
      <c r="D55" s="44">
        <v>1.83</v>
      </c>
      <c r="E55" s="44">
        <f>D54*D55</f>
        <v>3.294</v>
      </c>
      <c r="F55" s="44"/>
      <c r="G55" s="44"/>
      <c r="H55" s="44"/>
      <c r="I55" s="44"/>
      <c r="J55" s="44"/>
      <c r="K55" s="44"/>
      <c r="L55" s="6"/>
      <c r="M55" s="6"/>
    </row>
    <row r="56" spans="1:13" x14ac:dyDescent="0.25">
      <c r="C56" s="3" t="s">
        <v>124</v>
      </c>
      <c r="D56" s="53">
        <f>D53-D55-D54</f>
        <v>2.87</v>
      </c>
      <c r="E56" s="44"/>
      <c r="F56" s="44"/>
      <c r="G56" s="44"/>
      <c r="H56" s="44"/>
      <c r="I56" s="44"/>
      <c r="J56" s="44"/>
      <c r="K56" s="44"/>
      <c r="L56" s="6"/>
      <c r="M56" s="6"/>
    </row>
    <row r="57" spans="1:13" x14ac:dyDescent="0.25">
      <c r="B57" s="2" t="s">
        <v>197</v>
      </c>
      <c r="C57" s="2"/>
      <c r="D57" s="87">
        <f>((D30+D31+D34+D35+D36)/D56)/360</f>
        <v>71.361789585753002</v>
      </c>
      <c r="E57" s="51">
        <f>E53-E55</f>
        <v>8.4060000000000006</v>
      </c>
      <c r="F57" s="44"/>
      <c r="G57" s="44"/>
      <c r="H57" s="44"/>
      <c r="I57" s="44"/>
      <c r="J57" s="44"/>
      <c r="K57" s="44"/>
      <c r="L57" s="6"/>
      <c r="M57" s="6"/>
    </row>
    <row r="58" spans="1:13" x14ac:dyDescent="0.25">
      <c r="D58" s="44"/>
      <c r="E58" s="44"/>
      <c r="F58" s="44"/>
      <c r="G58" s="44"/>
      <c r="H58" s="44"/>
      <c r="I58" s="44"/>
      <c r="J58" s="44"/>
      <c r="K58" s="44"/>
      <c r="L58" s="6"/>
      <c r="M58" s="6"/>
    </row>
    <row r="59" spans="1:13" x14ac:dyDescent="0.25">
      <c r="A59" s="2" t="s">
        <v>19</v>
      </c>
      <c r="D59" s="44"/>
      <c r="E59" s="44"/>
      <c r="F59" s="44"/>
      <c r="G59" s="44"/>
      <c r="H59" s="44"/>
      <c r="I59" s="44"/>
      <c r="J59" s="44"/>
      <c r="K59" s="44"/>
      <c r="L59" s="6"/>
      <c r="M59" s="6"/>
    </row>
    <row r="60" spans="1:13" x14ac:dyDescent="0.25">
      <c r="A60" s="2" t="s">
        <v>20</v>
      </c>
      <c r="D60" s="44"/>
      <c r="E60" s="44"/>
      <c r="F60" s="44"/>
      <c r="G60" s="44"/>
      <c r="H60" s="44"/>
      <c r="I60" s="44"/>
      <c r="J60" s="44"/>
      <c r="K60" s="44"/>
      <c r="L60" s="6"/>
      <c r="M60" s="6"/>
    </row>
    <row r="61" spans="1:13" x14ac:dyDescent="0.25">
      <c r="A61" s="1" t="s">
        <v>21</v>
      </c>
      <c r="D61" s="40">
        <f>$L$61</f>
        <v>5000</v>
      </c>
      <c r="E61" s="40">
        <f t="shared" ref="E61:K61" si="28">$L$61</f>
        <v>5000</v>
      </c>
      <c r="F61" s="40">
        <f t="shared" si="28"/>
        <v>5000</v>
      </c>
      <c r="G61" s="40">
        <f t="shared" si="28"/>
        <v>5000</v>
      </c>
      <c r="H61" s="40">
        <f t="shared" si="28"/>
        <v>5000</v>
      </c>
      <c r="I61" s="40">
        <f t="shared" si="28"/>
        <v>5000</v>
      </c>
      <c r="J61" s="40">
        <f t="shared" si="28"/>
        <v>5000</v>
      </c>
      <c r="K61" s="40">
        <f t="shared" si="28"/>
        <v>5000</v>
      </c>
      <c r="L61" s="11">
        <v>5000</v>
      </c>
      <c r="M61" s="6" t="s">
        <v>22</v>
      </c>
    </row>
    <row r="62" spans="1:13" x14ac:dyDescent="0.25">
      <c r="A62" s="1" t="s">
        <v>24</v>
      </c>
      <c r="D62" s="38">
        <f t="shared" ref="D62:K62" si="29">(D8*D12)/360*D17</f>
        <v>499.99500000000006</v>
      </c>
      <c r="E62" s="38">
        <f t="shared" si="29"/>
        <v>514.99485000000004</v>
      </c>
      <c r="F62" s="38">
        <f t="shared" si="29"/>
        <v>530.44469549999997</v>
      </c>
      <c r="G62" s="38">
        <f t="shared" si="29"/>
        <v>546.35803636499998</v>
      </c>
      <c r="H62" s="38">
        <f t="shared" si="29"/>
        <v>562.74877745594995</v>
      </c>
      <c r="I62" s="38">
        <f t="shared" si="29"/>
        <v>579.63124077962868</v>
      </c>
      <c r="J62" s="38">
        <f t="shared" si="29"/>
        <v>597.02017800301735</v>
      </c>
      <c r="K62" s="38">
        <f t="shared" si="29"/>
        <v>614.93078334310792</v>
      </c>
      <c r="L62" s="6"/>
      <c r="M62" s="6"/>
    </row>
    <row r="63" spans="1:13" x14ac:dyDescent="0.25">
      <c r="A63" s="1" t="s">
        <v>25</v>
      </c>
      <c r="D63" s="45">
        <f t="shared" ref="D63:K63" si="30">SUM(D61:D62)</f>
        <v>5499.9949999999999</v>
      </c>
      <c r="E63" s="45">
        <f t="shared" si="30"/>
        <v>5514.99485</v>
      </c>
      <c r="F63" s="45">
        <f t="shared" si="30"/>
        <v>5530.4446955000003</v>
      </c>
      <c r="G63" s="45">
        <f t="shared" si="30"/>
        <v>5546.3580363649999</v>
      </c>
      <c r="H63" s="45">
        <f t="shared" si="30"/>
        <v>5562.7487774559504</v>
      </c>
      <c r="I63" s="45">
        <f t="shared" si="30"/>
        <v>5579.6312407796286</v>
      </c>
      <c r="J63" s="45">
        <f t="shared" si="30"/>
        <v>5597.0201780030175</v>
      </c>
      <c r="K63" s="45">
        <f t="shared" si="30"/>
        <v>5614.9307833431076</v>
      </c>
      <c r="L63" s="6"/>
      <c r="M63" s="6"/>
    </row>
    <row r="64" spans="1:13" x14ac:dyDescent="0.25">
      <c r="A64" s="1" t="s">
        <v>112</v>
      </c>
      <c r="D64" s="44">
        <v>150000</v>
      </c>
      <c r="E64" s="44">
        <v>150000</v>
      </c>
      <c r="F64" s="44">
        <v>150000</v>
      </c>
      <c r="G64" s="44">
        <v>150000</v>
      </c>
      <c r="H64" s="44">
        <v>150000</v>
      </c>
      <c r="I64" s="44">
        <v>150000</v>
      </c>
      <c r="J64" s="44">
        <v>150000</v>
      </c>
      <c r="K64" s="44">
        <v>150000</v>
      </c>
      <c r="L64" s="6"/>
      <c r="M64" s="6"/>
    </row>
    <row r="65" spans="1:13" x14ac:dyDescent="0.25">
      <c r="A65" s="1" t="s">
        <v>26</v>
      </c>
      <c r="D65" s="41">
        <v>350000</v>
      </c>
      <c r="E65" s="40">
        <f t="shared" ref="E65:K65" si="31">+$D$65</f>
        <v>350000</v>
      </c>
      <c r="F65" s="40">
        <f t="shared" si="31"/>
        <v>350000</v>
      </c>
      <c r="G65" s="40">
        <f t="shared" si="31"/>
        <v>350000</v>
      </c>
      <c r="H65" s="40">
        <f t="shared" si="31"/>
        <v>350000</v>
      </c>
      <c r="I65" s="40">
        <f t="shared" si="31"/>
        <v>350000</v>
      </c>
      <c r="J65" s="40">
        <f t="shared" si="31"/>
        <v>350000</v>
      </c>
      <c r="K65" s="40">
        <f t="shared" si="31"/>
        <v>350000</v>
      </c>
      <c r="L65" s="6"/>
      <c r="M65" s="6"/>
    </row>
    <row r="66" spans="1:13" x14ac:dyDescent="0.25">
      <c r="A66" s="1" t="s">
        <v>114</v>
      </c>
      <c r="D66" s="41">
        <v>700000</v>
      </c>
      <c r="E66" s="41">
        <v>643050</v>
      </c>
      <c r="F66" s="41">
        <v>643050</v>
      </c>
      <c r="G66" s="41">
        <v>643050</v>
      </c>
      <c r="H66" s="41">
        <v>643050</v>
      </c>
      <c r="I66" s="41">
        <v>643050</v>
      </c>
      <c r="J66" s="41">
        <v>643050</v>
      </c>
      <c r="K66" s="41">
        <v>643050</v>
      </c>
      <c r="L66" s="6"/>
      <c r="M66" s="6"/>
    </row>
    <row r="67" spans="1:13" x14ac:dyDescent="0.25">
      <c r="A67" s="1" t="s">
        <v>181</v>
      </c>
      <c r="D67" s="40">
        <f>D40</f>
        <v>11666.666666666666</v>
      </c>
      <c r="E67" s="40">
        <f t="shared" ref="E67:K67" si="32">D67+E40</f>
        <v>23333.333333333332</v>
      </c>
      <c r="F67" s="40">
        <f t="shared" si="32"/>
        <v>35000</v>
      </c>
      <c r="G67" s="40">
        <f t="shared" si="32"/>
        <v>46666.666666666664</v>
      </c>
      <c r="H67" s="40">
        <f t="shared" si="32"/>
        <v>58333.333333333328</v>
      </c>
      <c r="I67" s="40">
        <f t="shared" si="32"/>
        <v>70000</v>
      </c>
      <c r="J67" s="40">
        <f t="shared" si="32"/>
        <v>81666.666666666672</v>
      </c>
      <c r="K67" s="40">
        <f t="shared" si="32"/>
        <v>93333.333333333343</v>
      </c>
      <c r="L67" s="6"/>
      <c r="M67" s="6"/>
    </row>
    <row r="68" spans="1:13" x14ac:dyDescent="0.25">
      <c r="A68" s="1" t="s">
        <v>182</v>
      </c>
      <c r="D68" s="40">
        <f>D41</f>
        <v>46666.666666666664</v>
      </c>
      <c r="E68" s="40">
        <f t="shared" ref="E68:K68" si="33">E41</f>
        <v>42870</v>
      </c>
      <c r="F68" s="40">
        <f t="shared" si="33"/>
        <v>42870</v>
      </c>
      <c r="G68" s="40">
        <f t="shared" si="33"/>
        <v>42870</v>
      </c>
      <c r="H68" s="40">
        <f t="shared" si="33"/>
        <v>42870</v>
      </c>
      <c r="I68" s="40">
        <f t="shared" si="33"/>
        <v>42870</v>
      </c>
      <c r="J68" s="40">
        <f t="shared" si="33"/>
        <v>42870</v>
      </c>
      <c r="K68" s="40">
        <f t="shared" si="33"/>
        <v>42870</v>
      </c>
      <c r="L68" s="6"/>
      <c r="M68" s="6"/>
    </row>
    <row r="69" spans="1:13" x14ac:dyDescent="0.25">
      <c r="D69" s="44"/>
      <c r="E69" s="44"/>
      <c r="F69" s="44"/>
      <c r="G69" s="44"/>
      <c r="H69" s="44"/>
      <c r="I69" s="44"/>
      <c r="J69" s="44"/>
      <c r="K69" s="44"/>
      <c r="L69" s="6"/>
      <c r="M69" s="6"/>
    </row>
    <row r="70" spans="1:13" x14ac:dyDescent="0.25">
      <c r="A70" s="2" t="s">
        <v>27</v>
      </c>
      <c r="D70" s="46">
        <f>D63+D65-D67-D68+D64+D66</f>
        <v>1147166.6616666666</v>
      </c>
      <c r="E70" s="46">
        <f t="shared" ref="E70:K70" si="34">E63+E65-E67-E68+E64+E66</f>
        <v>1082361.6615166666</v>
      </c>
      <c r="F70" s="46">
        <f t="shared" si="34"/>
        <v>1070710.4446955</v>
      </c>
      <c r="G70" s="46">
        <f t="shared" si="34"/>
        <v>1059059.6913696984</v>
      </c>
      <c r="H70" s="46">
        <f t="shared" si="34"/>
        <v>1047409.4154441226</v>
      </c>
      <c r="I70" s="46">
        <f t="shared" si="34"/>
        <v>1035759.6312407797</v>
      </c>
      <c r="J70" s="46">
        <f t="shared" si="34"/>
        <v>1024110.3535113363</v>
      </c>
      <c r="K70" s="46">
        <f t="shared" si="34"/>
        <v>1012461.5974500098</v>
      </c>
      <c r="L70" s="6"/>
      <c r="M70" s="6"/>
    </row>
    <row r="71" spans="1:13" x14ac:dyDescent="0.25">
      <c r="D71" s="44"/>
      <c r="E71" s="44"/>
      <c r="F71" s="44"/>
      <c r="G71" s="44"/>
      <c r="H71" s="44"/>
      <c r="I71" s="44"/>
      <c r="J71" s="44"/>
      <c r="K71" s="44"/>
      <c r="L71" s="6"/>
      <c r="M71" s="6"/>
    </row>
    <row r="72" spans="1:13" x14ac:dyDescent="0.25">
      <c r="A72" s="2" t="s">
        <v>28</v>
      </c>
      <c r="D72" s="44"/>
      <c r="E72" s="44"/>
      <c r="F72" s="44"/>
      <c r="G72" s="44"/>
      <c r="H72" s="44"/>
      <c r="I72" s="44"/>
      <c r="J72" s="44"/>
      <c r="K72" s="44"/>
      <c r="L72" s="6"/>
      <c r="M72" s="6"/>
    </row>
    <row r="73" spans="1:13" x14ac:dyDescent="0.25">
      <c r="A73" s="1" t="s">
        <v>29</v>
      </c>
      <c r="D73" s="40">
        <f t="shared" ref="D73:K73" si="35">D46</f>
        <v>0</v>
      </c>
      <c r="E73" s="40">
        <f t="shared" si="35"/>
        <v>0</v>
      </c>
      <c r="F73" s="40">
        <f t="shared" si="35"/>
        <v>0</v>
      </c>
      <c r="G73" s="40">
        <f t="shared" si="35"/>
        <v>0</v>
      </c>
      <c r="H73" s="40">
        <f t="shared" si="35"/>
        <v>0</v>
      </c>
      <c r="I73" s="40">
        <f t="shared" si="35"/>
        <v>0</v>
      </c>
      <c r="J73" s="40">
        <f t="shared" si="35"/>
        <v>0</v>
      </c>
      <c r="K73" s="40">
        <f t="shared" si="35"/>
        <v>0</v>
      </c>
      <c r="L73" s="6"/>
      <c r="M73" s="6" t="s">
        <v>30</v>
      </c>
    </row>
    <row r="74" spans="1:13" x14ac:dyDescent="0.25">
      <c r="A74" s="1" t="s">
        <v>117</v>
      </c>
      <c r="D74" s="40">
        <f t="shared" ref="D74:K74" si="36">D18/360*D33</f>
        <v>600.04629583333326</v>
      </c>
      <c r="E74" s="40">
        <f t="shared" si="36"/>
        <v>651.04768470833324</v>
      </c>
      <c r="F74" s="40">
        <f t="shared" si="36"/>
        <v>706.75161524958332</v>
      </c>
      <c r="G74" s="40">
        <f t="shared" si="36"/>
        <v>767.61384495707091</v>
      </c>
      <c r="H74" s="40">
        <f t="shared" si="36"/>
        <v>834.13553388390812</v>
      </c>
      <c r="I74" s="40">
        <f t="shared" si="36"/>
        <v>906.86783277030827</v>
      </c>
      <c r="J74" s="40">
        <f t="shared" si="36"/>
        <v>986.41693817996338</v>
      </c>
      <c r="K74" s="40">
        <f t="shared" si="36"/>
        <v>1073.4496623425043</v>
      </c>
      <c r="L74" s="6"/>
      <c r="M74" s="6"/>
    </row>
    <row r="75" spans="1:13" x14ac:dyDescent="0.25">
      <c r="D75" s="40"/>
      <c r="E75" s="40"/>
      <c r="F75" s="40"/>
      <c r="G75" s="40"/>
      <c r="H75" s="40"/>
      <c r="I75" s="40"/>
      <c r="J75" s="40"/>
      <c r="K75" s="40"/>
      <c r="L75" s="6"/>
      <c r="M75" s="6"/>
    </row>
    <row r="76" spans="1:13" x14ac:dyDescent="0.25">
      <c r="A76" s="1" t="s">
        <v>31</v>
      </c>
      <c r="D76" s="38">
        <f>'Amortization Schedule'!F13</f>
        <v>669361.29312844819</v>
      </c>
      <c r="E76" s="40">
        <f>'Amortization Schedule'!F27</f>
        <v>663254.57636752515</v>
      </c>
      <c r="F76" s="40">
        <f>'Amortization Schedule'!F41</f>
        <v>656641.00512723241</v>
      </c>
      <c r="G76" s="40">
        <f>'Amortization Schedule'!F55</f>
        <v>649478.51073575916</v>
      </c>
      <c r="H76" s="40">
        <f>'Amortization Schedule'!F69</f>
        <v>641721.53284228232</v>
      </c>
      <c r="I76" s="40">
        <f>'Amortization Schedule'!F83</f>
        <v>633320.72960932972</v>
      </c>
      <c r="J76" s="40">
        <f>'Amortization Schedule'!F97</f>
        <v>624222.66385125532</v>
      </c>
      <c r="K76" s="40">
        <f>'Amortization Schedule'!F111</f>
        <v>614369.46312235831</v>
      </c>
      <c r="L76" s="6"/>
      <c r="M76" s="6"/>
    </row>
    <row r="77" spans="1:13" x14ac:dyDescent="0.25">
      <c r="A77" s="1" t="s">
        <v>32</v>
      </c>
      <c r="D77" s="41">
        <v>493212.17444704106</v>
      </c>
      <c r="E77" s="41">
        <v>640970.7530876653</v>
      </c>
      <c r="F77" s="41">
        <v>871801.68467198464</v>
      </c>
      <c r="G77" s="41">
        <v>1132156.5028943452</v>
      </c>
      <c r="H77" s="41">
        <v>1425887.7862566065</v>
      </c>
      <c r="I77" s="41">
        <v>1757359.7393156982</v>
      </c>
      <c r="J77" s="41">
        <v>2131516.9762087204</v>
      </c>
      <c r="K77" s="41">
        <v>2553962.6220764676</v>
      </c>
      <c r="L77" s="6"/>
      <c r="M77" s="6"/>
    </row>
    <row r="78" spans="1:13" x14ac:dyDescent="0.25">
      <c r="D78" s="40"/>
      <c r="E78" s="40"/>
      <c r="F78" s="40"/>
      <c r="G78" s="40"/>
      <c r="H78" s="40"/>
      <c r="I78" s="40"/>
      <c r="J78" s="40"/>
      <c r="K78" s="40"/>
      <c r="L78" s="6"/>
      <c r="M78" s="6"/>
    </row>
    <row r="79" spans="1:13" x14ac:dyDescent="0.25">
      <c r="A79" s="1" t="s">
        <v>33</v>
      </c>
      <c r="D79" s="41">
        <v>225000</v>
      </c>
      <c r="E79" s="41">
        <v>225000</v>
      </c>
      <c r="F79" s="41">
        <v>225000</v>
      </c>
      <c r="G79" s="41">
        <v>225000</v>
      </c>
      <c r="H79" s="41">
        <v>225000</v>
      </c>
      <c r="I79" s="41">
        <v>225000</v>
      </c>
      <c r="J79" s="41">
        <v>225000</v>
      </c>
      <c r="K79" s="41">
        <v>225000</v>
      </c>
      <c r="L79" s="6"/>
      <c r="M79" s="6"/>
    </row>
    <row r="80" spans="1:13" x14ac:dyDescent="0.25">
      <c r="A80" s="1" t="s">
        <v>34</v>
      </c>
      <c r="B80" s="4"/>
      <c r="C80" s="4"/>
      <c r="D80" s="40">
        <f>D47</f>
        <v>-231006.85220465585</v>
      </c>
      <c r="E80" s="40">
        <f t="shared" ref="E80:K80" si="37">E47+D80</f>
        <v>-474181.38228989905</v>
      </c>
      <c r="F80" s="40">
        <f t="shared" si="37"/>
        <v>-742975.66338563326</v>
      </c>
      <c r="G80" s="40">
        <f t="shared" si="37"/>
        <v>-1040749.6027720298</v>
      </c>
      <c r="H80" s="40">
        <f t="shared" si="37"/>
        <v>-1371310.7058553167</v>
      </c>
      <c r="I80" s="40">
        <f t="shared" si="37"/>
        <v>-1738974.3721836852</v>
      </c>
      <c r="J80" s="40">
        <f t="shared" si="37"/>
        <v>-2148632.3701534863</v>
      </c>
      <c r="K80" s="40">
        <f t="shared" si="37"/>
        <v>-2605830.6040778253</v>
      </c>
      <c r="L80" s="6"/>
      <c r="M80" s="6"/>
    </row>
    <row r="81" spans="1:13" x14ac:dyDescent="0.25">
      <c r="D81" s="40"/>
      <c r="E81" s="40"/>
      <c r="F81" s="40"/>
      <c r="G81" s="40"/>
      <c r="H81" s="40"/>
      <c r="I81" s="40"/>
      <c r="J81" s="40"/>
      <c r="K81" s="40"/>
      <c r="L81" s="6"/>
      <c r="M81" s="6"/>
    </row>
    <row r="82" spans="1:13" x14ac:dyDescent="0.25">
      <c r="A82" s="2" t="s">
        <v>35</v>
      </c>
      <c r="D82" s="47">
        <f t="shared" ref="D82:K82" si="38">SUM(D73:D80)</f>
        <v>1157166.6616666669</v>
      </c>
      <c r="E82" s="47">
        <f t="shared" si="38"/>
        <v>1055694.9948499999</v>
      </c>
      <c r="F82" s="47">
        <f t="shared" si="38"/>
        <v>1011173.7780288333</v>
      </c>
      <c r="G82" s="47">
        <f t="shared" si="38"/>
        <v>966653.02470303164</v>
      </c>
      <c r="H82" s="47">
        <f t="shared" si="38"/>
        <v>922132.74877745588</v>
      </c>
      <c r="I82" s="47">
        <f t="shared" si="38"/>
        <v>877612.96457411302</v>
      </c>
      <c r="J82" s="47">
        <f t="shared" si="38"/>
        <v>833093.68684466928</v>
      </c>
      <c r="K82" s="47">
        <f t="shared" si="38"/>
        <v>788574.93078334304</v>
      </c>
      <c r="L82" s="6"/>
      <c r="M82" s="6"/>
    </row>
    <row r="83" spans="1:13" x14ac:dyDescent="0.25">
      <c r="D83" s="44"/>
      <c r="E83" s="44"/>
      <c r="F83" s="44"/>
      <c r="G83" s="44"/>
      <c r="H83" s="44"/>
      <c r="I83" s="44"/>
      <c r="J83" s="44"/>
      <c r="K83" s="44"/>
      <c r="L83" s="6"/>
      <c r="M83" s="6"/>
    </row>
    <row r="84" spans="1:13" x14ac:dyDescent="0.25">
      <c r="A84" s="2" t="s">
        <v>110</v>
      </c>
      <c r="D84" s="51">
        <f>+D70-D82</f>
        <v>-10000.000000000233</v>
      </c>
      <c r="E84" s="51">
        <f t="shared" ref="E84:K84" si="39">+E70-E82</f>
        <v>26666.666666666744</v>
      </c>
      <c r="F84" s="51">
        <f t="shared" si="39"/>
        <v>59536.666666666628</v>
      </c>
      <c r="G84" s="51">
        <f t="shared" si="39"/>
        <v>92406.666666666744</v>
      </c>
      <c r="H84" s="51">
        <f t="shared" si="39"/>
        <v>125276.66666666674</v>
      </c>
      <c r="I84" s="51">
        <f t="shared" si="39"/>
        <v>158146.66666666663</v>
      </c>
      <c r="J84" s="51">
        <f t="shared" si="39"/>
        <v>191016.66666666698</v>
      </c>
      <c r="K84" s="51">
        <f t="shared" si="39"/>
        <v>223886.66666666674</v>
      </c>
      <c r="L84" s="6"/>
      <c r="M84" s="6"/>
    </row>
    <row r="87" spans="1:13" x14ac:dyDescent="0.25">
      <c r="A87" s="2" t="s">
        <v>140</v>
      </c>
    </row>
    <row r="88" spans="1:13" x14ac:dyDescent="0.25">
      <c r="D88" s="60"/>
    </row>
    <row r="89" spans="1:13" x14ac:dyDescent="0.25">
      <c r="A89" s="2" t="s">
        <v>141</v>
      </c>
    </row>
    <row r="90" spans="1:13" x14ac:dyDescent="0.25">
      <c r="B90" s="1" t="s">
        <v>142</v>
      </c>
      <c r="D90" s="1">
        <v>0.8</v>
      </c>
      <c r="E90" s="88" t="s">
        <v>198</v>
      </c>
      <c r="F90" s="88"/>
      <c r="H90" s="1" t="s">
        <v>190</v>
      </c>
      <c r="I90" s="79">
        <v>0.8</v>
      </c>
    </row>
    <row r="91" spans="1:13" x14ac:dyDescent="0.25">
      <c r="B91" s="1" t="s">
        <v>143</v>
      </c>
      <c r="D91" s="61">
        <v>1.9400000000000001E-2</v>
      </c>
      <c r="H91" s="1" t="s">
        <v>191</v>
      </c>
      <c r="I91" s="81">
        <f>(1+(1-D101)*(I93/I94))*I90</f>
        <v>0.37903318079550274</v>
      </c>
    </row>
    <row r="92" spans="1:13" x14ac:dyDescent="0.25">
      <c r="B92" s="1" t="s">
        <v>144</v>
      </c>
      <c r="D92" s="61">
        <v>5.5E-2</v>
      </c>
    </row>
    <row r="93" spans="1:13" x14ac:dyDescent="0.25">
      <c r="D93" s="62"/>
      <c r="H93" s="1" t="s">
        <v>192</v>
      </c>
      <c r="I93" s="80">
        <v>-1.6251463148917404</v>
      </c>
    </row>
    <row r="94" spans="1:13" x14ac:dyDescent="0.25">
      <c r="B94" s="3" t="s">
        <v>145</v>
      </c>
      <c r="C94" s="3"/>
      <c r="D94" s="61">
        <f>D91+D90*(D92-D91)</f>
        <v>4.7880000000000006E-2</v>
      </c>
      <c r="H94" s="1" t="s">
        <v>193</v>
      </c>
      <c r="I94" s="80">
        <f>1-I93</f>
        <v>2.6251463148917402</v>
      </c>
    </row>
    <row r="95" spans="1:13" x14ac:dyDescent="0.25">
      <c r="D95" s="62"/>
    </row>
    <row r="96" spans="1:13" x14ac:dyDescent="0.25">
      <c r="A96" s="2" t="s">
        <v>204</v>
      </c>
      <c r="D96" s="62"/>
      <c r="E96" s="1" t="s">
        <v>201</v>
      </c>
      <c r="F96" s="1" t="s">
        <v>202</v>
      </c>
      <c r="H96" s="1" t="s">
        <v>195</v>
      </c>
      <c r="I96" s="82">
        <f>D91+I91*(D92-D91)</f>
        <v>3.2893581236319899E-2</v>
      </c>
    </row>
    <row r="97" spans="1:9" x14ac:dyDescent="0.25">
      <c r="B97" s="1" t="s">
        <v>205</v>
      </c>
      <c r="D97" s="62">
        <f>L42</f>
        <v>0.08</v>
      </c>
      <c r="E97" s="51">
        <f>+K76</f>
        <v>614369.46312235831</v>
      </c>
      <c r="F97" s="63">
        <f>+E97/SUM($K$76:$K$77)</f>
        <v>0.19390942824221155</v>
      </c>
      <c r="H97" s="83" t="s">
        <v>196</v>
      </c>
      <c r="I97" s="84">
        <f>+I93*(1-D101)*D99+I94*I96</f>
        <v>-6.8699999999999983E-2</v>
      </c>
    </row>
    <row r="98" spans="1:9" x14ac:dyDescent="0.25">
      <c r="A98" s="1" t="s">
        <v>146</v>
      </c>
      <c r="B98" s="1" t="s">
        <v>147</v>
      </c>
      <c r="D98" s="62">
        <f>L43</f>
        <v>0.12</v>
      </c>
      <c r="E98" s="51">
        <f>+K77</f>
        <v>2553962.6220764676</v>
      </c>
      <c r="F98" s="63">
        <f>+E98/SUM($K$76:$K$77)</f>
        <v>0.80609057175778831</v>
      </c>
    </row>
    <row r="99" spans="1:9" x14ac:dyDescent="0.25">
      <c r="B99" s="1" t="s">
        <v>148</v>
      </c>
      <c r="D99" s="62">
        <f>+D97*F97+D98*F98</f>
        <v>0.11224362287031152</v>
      </c>
      <c r="E99" s="51"/>
      <c r="F99" s="63"/>
      <c r="H99" s="83" t="s">
        <v>158</v>
      </c>
      <c r="I99" s="85">
        <f>C148</f>
        <v>-6.8678999102696814E-2</v>
      </c>
    </row>
    <row r="100" spans="1:9" x14ac:dyDescent="0.25">
      <c r="D100" s="62"/>
    </row>
    <row r="101" spans="1:9" x14ac:dyDescent="0.25">
      <c r="A101" s="1" t="s">
        <v>149</v>
      </c>
      <c r="D101" s="62">
        <f>L46</f>
        <v>0.15</v>
      </c>
    </row>
    <row r="102" spans="1:9" x14ac:dyDescent="0.25">
      <c r="D102" s="4"/>
    </row>
    <row r="103" spans="1:9" x14ac:dyDescent="0.25">
      <c r="A103" s="2" t="s">
        <v>150</v>
      </c>
      <c r="D103" s="4" t="s">
        <v>203</v>
      </c>
      <c r="E103" s="1" t="s">
        <v>151</v>
      </c>
    </row>
    <row r="104" spans="1:9" x14ac:dyDescent="0.25">
      <c r="A104" s="1" t="s">
        <v>31</v>
      </c>
      <c r="D104" s="4">
        <v>675000</v>
      </c>
      <c r="E104" s="62">
        <f>+(D104+D105)/D111</f>
        <v>0.75</v>
      </c>
    </row>
    <row r="105" spans="1:9" x14ac:dyDescent="0.25">
      <c r="A105" s="1" t="s">
        <v>152</v>
      </c>
      <c r="D105" s="4"/>
      <c r="E105" s="62"/>
      <c r="F105" s="64"/>
    </row>
    <row r="106" spans="1:9" x14ac:dyDescent="0.25">
      <c r="E106" s="62"/>
    </row>
    <row r="107" spans="1:9" x14ac:dyDescent="0.25">
      <c r="A107" s="2" t="s">
        <v>153</v>
      </c>
      <c r="D107" s="1" t="s">
        <v>203</v>
      </c>
      <c r="E107" s="62"/>
    </row>
    <row r="108" spans="1:9" x14ac:dyDescent="0.25">
      <c r="A108" s="1" t="s">
        <v>33</v>
      </c>
      <c r="D108" s="4">
        <f>+K79</f>
        <v>225000</v>
      </c>
      <c r="E108" s="62">
        <f>(+D108+D109)/D111</f>
        <v>0.25</v>
      </c>
    </row>
    <row r="109" spans="1:9" x14ac:dyDescent="0.25">
      <c r="A109" s="1" t="s">
        <v>34</v>
      </c>
      <c r="D109" s="4"/>
    </row>
    <row r="110" spans="1:9" x14ac:dyDescent="0.25">
      <c r="D110" s="4"/>
    </row>
    <row r="111" spans="1:9" x14ac:dyDescent="0.25">
      <c r="A111" s="2" t="s">
        <v>154</v>
      </c>
      <c r="D111" s="51">
        <f>SUM(D104:D109)</f>
        <v>900000</v>
      </c>
    </row>
    <row r="112" spans="1:9" x14ac:dyDescent="0.25">
      <c r="D112" s="4"/>
    </row>
    <row r="113" spans="1:11" x14ac:dyDescent="0.25">
      <c r="A113" s="2" t="s">
        <v>194</v>
      </c>
      <c r="D113" s="61">
        <f>+E104*(1-D101)*D99+E108*D94</f>
        <v>8.3525309579823598E-2</v>
      </c>
    </row>
    <row r="114" spans="1:11" x14ac:dyDescent="0.25">
      <c r="A114" s="75"/>
      <c r="B114" s="75"/>
      <c r="C114" s="75"/>
      <c r="D114" s="75"/>
      <c r="E114" s="75"/>
      <c r="F114" s="75"/>
      <c r="G114" s="75"/>
      <c r="H114" s="75"/>
      <c r="I114" s="75"/>
    </row>
    <row r="115" spans="1:11" ht="15.75" x14ac:dyDescent="0.25">
      <c r="A115" s="76"/>
      <c r="B115" s="77"/>
      <c r="C115" s="77">
        <v>0</v>
      </c>
      <c r="D115" s="77">
        <v>1</v>
      </c>
      <c r="E115" s="77">
        <v>2</v>
      </c>
      <c r="F115" s="77">
        <v>3</v>
      </c>
      <c r="G115" s="77">
        <v>4</v>
      </c>
      <c r="H115" s="77">
        <v>5</v>
      </c>
      <c r="I115" s="77">
        <v>6</v>
      </c>
      <c r="J115" s="48">
        <v>7</v>
      </c>
      <c r="K115" s="48">
        <v>8</v>
      </c>
    </row>
    <row r="116" spans="1:11" ht="15.75" x14ac:dyDescent="0.25">
      <c r="A116" s="65" t="s">
        <v>159</v>
      </c>
      <c r="B116" s="58"/>
      <c r="C116" s="58"/>
      <c r="D116" s="58"/>
      <c r="E116" s="58"/>
      <c r="F116" s="58"/>
      <c r="G116" s="58"/>
      <c r="H116" s="58"/>
      <c r="I116" s="58"/>
    </row>
    <row r="117" spans="1:11" x14ac:dyDescent="0.25">
      <c r="A117" s="66" t="s">
        <v>160</v>
      </c>
      <c r="B117" s="58"/>
      <c r="C117" s="58"/>
      <c r="D117" s="58"/>
      <c r="E117" s="58"/>
      <c r="F117" s="58"/>
      <c r="G117" s="58"/>
      <c r="H117" s="58"/>
      <c r="I117" s="58"/>
    </row>
    <row r="118" spans="1:11" x14ac:dyDescent="0.25">
      <c r="A118" s="58"/>
      <c r="B118" s="67" t="s">
        <v>10</v>
      </c>
      <c r="C118" s="58"/>
      <c r="D118" s="68">
        <f>D38</f>
        <v>-59691.834325000003</v>
      </c>
      <c r="E118" s="68">
        <f t="shared" ref="E118:K118" si="40">E38</f>
        <v>-58393.159324750013</v>
      </c>
      <c r="F118" s="68">
        <f t="shared" si="40"/>
        <v>-56820.053024492503</v>
      </c>
      <c r="G118" s="68">
        <f t="shared" si="40"/>
        <v>-55106.056279652279</v>
      </c>
      <c r="H118" s="68">
        <f t="shared" si="40"/>
        <v>-53239.949475074987</v>
      </c>
      <c r="I118" s="68">
        <f t="shared" si="40"/>
        <v>-51209.703692541108</v>
      </c>
      <c r="J118" s="68">
        <f t="shared" si="40"/>
        <v>-49002.429431932942</v>
      </c>
      <c r="K118" s="68">
        <f t="shared" si="40"/>
        <v>-46604.3228531637</v>
      </c>
    </row>
    <row r="119" spans="1:11" x14ac:dyDescent="0.25">
      <c r="A119" s="58"/>
      <c r="B119" s="67" t="s">
        <v>161</v>
      </c>
      <c r="C119" s="58"/>
      <c r="D119" s="68">
        <f>D40</f>
        <v>11666.666666666666</v>
      </c>
      <c r="E119" s="68">
        <f t="shared" ref="E119:K119" si="41">E40</f>
        <v>11666.666666666666</v>
      </c>
      <c r="F119" s="68">
        <f t="shared" si="41"/>
        <v>11666.666666666666</v>
      </c>
      <c r="G119" s="68">
        <f t="shared" si="41"/>
        <v>11666.666666666666</v>
      </c>
      <c r="H119" s="68">
        <f t="shared" si="41"/>
        <v>11666.666666666666</v>
      </c>
      <c r="I119" s="68">
        <f t="shared" si="41"/>
        <v>11666.666666666666</v>
      </c>
      <c r="J119" s="68">
        <f t="shared" si="41"/>
        <v>11666.666666666666</v>
      </c>
      <c r="K119" s="68">
        <f t="shared" si="41"/>
        <v>11666.666666666666</v>
      </c>
    </row>
    <row r="120" spans="1:11" x14ac:dyDescent="0.25">
      <c r="A120" s="58"/>
      <c r="B120" s="67" t="s">
        <v>162</v>
      </c>
      <c r="C120" s="58"/>
      <c r="D120" s="69">
        <f>D118-D119</f>
        <v>-71358.500991666675</v>
      </c>
      <c r="E120" s="69">
        <f t="shared" ref="E120:K120" si="42">E118-E119</f>
        <v>-70059.825991416685</v>
      </c>
      <c r="F120" s="69">
        <f t="shared" si="42"/>
        <v>-68486.719691159175</v>
      </c>
      <c r="G120" s="69">
        <f t="shared" si="42"/>
        <v>-66772.722946318943</v>
      </c>
      <c r="H120" s="69">
        <f t="shared" si="42"/>
        <v>-64906.616141741652</v>
      </c>
      <c r="I120" s="69">
        <f t="shared" si="42"/>
        <v>-62876.370359207773</v>
      </c>
      <c r="J120" s="69">
        <f t="shared" si="42"/>
        <v>-60669.096098599606</v>
      </c>
      <c r="K120" s="69">
        <f t="shared" si="42"/>
        <v>-58270.989519830364</v>
      </c>
    </row>
    <row r="121" spans="1:11" x14ac:dyDescent="0.25">
      <c r="A121" s="58"/>
      <c r="B121" s="67" t="s">
        <v>163</v>
      </c>
      <c r="C121" s="58"/>
      <c r="D121" s="68">
        <f>IF(D120&lt;0,0,D120*$L$46)</f>
        <v>0</v>
      </c>
      <c r="E121" s="68">
        <f t="shared" ref="E121:K121" si="43">IF(E120&lt;0,0,E120*$L$46)</f>
        <v>0</v>
      </c>
      <c r="F121" s="68">
        <f t="shared" si="43"/>
        <v>0</v>
      </c>
      <c r="G121" s="68">
        <f t="shared" si="43"/>
        <v>0</v>
      </c>
      <c r="H121" s="68">
        <f t="shared" si="43"/>
        <v>0</v>
      </c>
      <c r="I121" s="68">
        <f t="shared" si="43"/>
        <v>0</v>
      </c>
      <c r="J121" s="68">
        <f t="shared" si="43"/>
        <v>0</v>
      </c>
      <c r="K121" s="68">
        <f t="shared" si="43"/>
        <v>0</v>
      </c>
    </row>
    <row r="122" spans="1:11" x14ac:dyDescent="0.25">
      <c r="A122" s="58"/>
      <c r="B122" s="67" t="s">
        <v>164</v>
      </c>
      <c r="C122" s="58"/>
      <c r="D122" s="68">
        <f t="shared" ref="D122:K122" si="44">D119</f>
        <v>11666.666666666666</v>
      </c>
      <c r="E122" s="68">
        <f t="shared" si="44"/>
        <v>11666.666666666666</v>
      </c>
      <c r="F122" s="68">
        <f t="shared" si="44"/>
        <v>11666.666666666666</v>
      </c>
      <c r="G122" s="68">
        <f t="shared" si="44"/>
        <v>11666.666666666666</v>
      </c>
      <c r="H122" s="68">
        <f t="shared" si="44"/>
        <v>11666.666666666666</v>
      </c>
      <c r="I122" s="68">
        <f t="shared" si="44"/>
        <v>11666.666666666666</v>
      </c>
      <c r="J122" s="68">
        <f t="shared" si="44"/>
        <v>11666.666666666666</v>
      </c>
      <c r="K122" s="68">
        <f t="shared" si="44"/>
        <v>11666.666666666666</v>
      </c>
    </row>
    <row r="123" spans="1:11" x14ac:dyDescent="0.25">
      <c r="A123" s="58"/>
      <c r="B123" s="67" t="s">
        <v>165</v>
      </c>
      <c r="C123" s="58"/>
      <c r="D123" s="69">
        <f>D120-D121+D122</f>
        <v>-59691.834325000011</v>
      </c>
      <c r="E123" s="69">
        <f t="shared" ref="E123:K123" si="45">E120-E121+E122</f>
        <v>-58393.15932475002</v>
      </c>
      <c r="F123" s="69">
        <f t="shared" si="45"/>
        <v>-56820.05302449251</v>
      </c>
      <c r="G123" s="69">
        <f t="shared" si="45"/>
        <v>-55106.056279652279</v>
      </c>
      <c r="H123" s="69">
        <f t="shared" si="45"/>
        <v>-53239.949475074987</v>
      </c>
      <c r="I123" s="69">
        <f t="shared" si="45"/>
        <v>-51209.703692541108</v>
      </c>
      <c r="J123" s="69">
        <f t="shared" si="45"/>
        <v>-49002.429431932942</v>
      </c>
      <c r="K123" s="69">
        <f t="shared" si="45"/>
        <v>-46604.3228531637</v>
      </c>
    </row>
    <row r="124" spans="1:11" x14ac:dyDescent="0.25">
      <c r="A124" s="58"/>
      <c r="B124" s="58"/>
      <c r="C124" s="58"/>
      <c r="D124" s="58"/>
      <c r="E124" s="58"/>
      <c r="F124" s="58"/>
      <c r="G124" s="58"/>
      <c r="H124" s="58"/>
      <c r="I124" s="58"/>
    </row>
    <row r="125" spans="1:11" x14ac:dyDescent="0.25">
      <c r="A125" s="66" t="s">
        <v>166</v>
      </c>
      <c r="B125" s="58"/>
      <c r="C125" s="58"/>
      <c r="D125" s="58"/>
      <c r="E125" s="58"/>
      <c r="F125" s="58"/>
      <c r="G125" s="58"/>
      <c r="H125" s="58"/>
      <c r="I125" s="58"/>
    </row>
    <row r="126" spans="1:11" x14ac:dyDescent="0.25">
      <c r="A126" s="58"/>
      <c r="B126" s="58" t="s">
        <v>167</v>
      </c>
      <c r="C126" s="68">
        <f>-D65</f>
        <v>-350000</v>
      </c>
      <c r="D126" s="58"/>
      <c r="E126" s="58"/>
      <c r="F126" s="58"/>
      <c r="G126" s="58"/>
      <c r="H126" s="58"/>
      <c r="I126" s="58"/>
    </row>
    <row r="127" spans="1:11" x14ac:dyDescent="0.25">
      <c r="A127" s="58"/>
      <c r="B127" s="58" t="s">
        <v>177</v>
      </c>
      <c r="C127" s="68">
        <f>-D66</f>
        <v>-700000</v>
      </c>
      <c r="D127" s="58"/>
      <c r="E127" s="58"/>
      <c r="F127" s="58"/>
      <c r="G127" s="58"/>
      <c r="H127" s="58"/>
      <c r="I127" s="58"/>
    </row>
    <row r="128" spans="1:11" x14ac:dyDescent="0.25">
      <c r="A128" s="58"/>
      <c r="B128" s="58" t="s">
        <v>183</v>
      </c>
      <c r="C128" s="68">
        <f>-D64</f>
        <v>-150000</v>
      </c>
      <c r="D128" s="58"/>
      <c r="E128" s="58"/>
      <c r="F128" s="58"/>
      <c r="G128" s="58"/>
      <c r="H128" s="58"/>
      <c r="I128" s="58"/>
    </row>
    <row r="129" spans="1:14" x14ac:dyDescent="0.25">
      <c r="A129" s="58"/>
      <c r="B129" s="58" t="s">
        <v>189</v>
      </c>
      <c r="C129" s="68"/>
      <c r="D129" s="58"/>
      <c r="E129" s="58"/>
      <c r="F129" s="58"/>
      <c r="G129" s="58"/>
      <c r="H129" s="78">
        <v>-8000</v>
      </c>
      <c r="I129" s="58"/>
    </row>
    <row r="130" spans="1:14" x14ac:dyDescent="0.25">
      <c r="A130" s="58"/>
      <c r="B130" s="58" t="s">
        <v>168</v>
      </c>
      <c r="C130" s="58"/>
      <c r="D130" s="58"/>
      <c r="E130" s="58"/>
      <c r="F130" s="58"/>
      <c r="K130" s="68">
        <f>130%*M130</f>
        <v>333666.66666666669</v>
      </c>
      <c r="L130" s="58" t="s">
        <v>178</v>
      </c>
      <c r="M130" s="68">
        <f>K65-K67</f>
        <v>256666.66666666666</v>
      </c>
    </row>
    <row r="131" spans="1:14" x14ac:dyDescent="0.25">
      <c r="A131" s="58"/>
      <c r="B131" s="1" t="s">
        <v>184</v>
      </c>
      <c r="C131" s="58"/>
      <c r="D131" s="58"/>
      <c r="E131" s="58"/>
      <c r="F131" s="58"/>
      <c r="K131" s="68">
        <f>80%*M131</f>
        <v>480144</v>
      </c>
      <c r="L131" s="58" t="s">
        <v>187</v>
      </c>
      <c r="M131" s="68">
        <f>K66-K68</f>
        <v>600180</v>
      </c>
    </row>
    <row r="132" spans="1:14" x14ac:dyDescent="0.25">
      <c r="A132" s="58"/>
      <c r="B132" s="1" t="s">
        <v>185</v>
      </c>
      <c r="C132" s="58"/>
      <c r="D132" s="58"/>
      <c r="E132" s="58"/>
      <c r="F132" s="58"/>
      <c r="K132" s="68">
        <f>130%*M132</f>
        <v>214500</v>
      </c>
      <c r="L132" s="58" t="s">
        <v>186</v>
      </c>
      <c r="M132" s="68">
        <f>-C128*(1+10%)</f>
        <v>165000</v>
      </c>
      <c r="N132" s="1" t="s">
        <v>188</v>
      </c>
    </row>
    <row r="133" spans="1:14" x14ac:dyDescent="0.25">
      <c r="A133" s="58"/>
      <c r="B133" s="58" t="s">
        <v>169</v>
      </c>
      <c r="C133" s="58"/>
      <c r="D133" s="58"/>
      <c r="E133" s="58"/>
      <c r="F133" s="58"/>
      <c r="G133" s="58"/>
      <c r="H133" s="58"/>
      <c r="I133" s="58"/>
      <c r="K133" s="68">
        <f>-((M133*-H121)+(M133*L46))</f>
        <v>-969.60000000000434</v>
      </c>
      <c r="L133" s="58" t="s">
        <v>155</v>
      </c>
      <c r="M133" s="68">
        <f>(K130-M130)+(K131-M131)+(K132-M132)</f>
        <v>6464.0000000000291</v>
      </c>
    </row>
    <row r="134" spans="1:14" x14ac:dyDescent="0.25">
      <c r="A134" s="66" t="s">
        <v>170</v>
      </c>
      <c r="B134" s="58"/>
      <c r="C134" s="58"/>
      <c r="D134" s="58"/>
      <c r="E134" s="58"/>
      <c r="F134" s="58"/>
      <c r="G134" s="58"/>
      <c r="H134" s="58"/>
      <c r="I134" s="58"/>
      <c r="M134" s="68"/>
    </row>
    <row r="135" spans="1:14" x14ac:dyDescent="0.25">
      <c r="A135" s="58" t="s">
        <v>171</v>
      </c>
      <c r="B135" s="58" t="s">
        <v>23</v>
      </c>
      <c r="C135" s="58"/>
      <c r="D135" s="68">
        <v>0</v>
      </c>
      <c r="E135" s="68">
        <v>0</v>
      </c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</row>
    <row r="136" spans="1:14" x14ac:dyDescent="0.25">
      <c r="A136" s="58" t="s">
        <v>171</v>
      </c>
      <c r="B136" s="58" t="s">
        <v>24</v>
      </c>
      <c r="C136" s="58"/>
      <c r="D136" s="68">
        <f>-C62-D62</f>
        <v>-499.99500000000006</v>
      </c>
      <c r="E136" s="68">
        <f t="shared" ref="E136:K136" si="46">-D62-E62</f>
        <v>-1014.9898500000002</v>
      </c>
      <c r="F136" s="68">
        <f t="shared" si="46"/>
        <v>-1045.4395454999999</v>
      </c>
      <c r="G136" s="68">
        <f t="shared" si="46"/>
        <v>-1076.8027318649999</v>
      </c>
      <c r="H136" s="68">
        <f t="shared" si="46"/>
        <v>-1109.1068138209498</v>
      </c>
      <c r="I136" s="68">
        <f t="shared" si="46"/>
        <v>-1142.3800182355785</v>
      </c>
      <c r="J136" s="68">
        <f t="shared" si="46"/>
        <v>-1176.651418782646</v>
      </c>
      <c r="K136" s="68">
        <f t="shared" si="46"/>
        <v>-1211.9509613461253</v>
      </c>
    </row>
    <row r="137" spans="1:14" x14ac:dyDescent="0.25">
      <c r="A137" s="58" t="s">
        <v>172</v>
      </c>
      <c r="B137" s="58" t="s">
        <v>173</v>
      </c>
      <c r="C137" s="58"/>
      <c r="D137" s="68">
        <f t="shared" ref="D137:K137" si="47">D121-C121</f>
        <v>0</v>
      </c>
      <c r="E137" s="68">
        <f t="shared" si="47"/>
        <v>0</v>
      </c>
      <c r="F137" s="68">
        <f t="shared" si="47"/>
        <v>0</v>
      </c>
      <c r="G137" s="68">
        <f t="shared" si="47"/>
        <v>0</v>
      </c>
      <c r="H137" s="68">
        <f t="shared" si="47"/>
        <v>0</v>
      </c>
      <c r="I137" s="68">
        <f t="shared" si="47"/>
        <v>0</v>
      </c>
      <c r="J137" s="68">
        <f t="shared" si="47"/>
        <v>0</v>
      </c>
      <c r="K137" s="68">
        <f t="shared" si="47"/>
        <v>0</v>
      </c>
    </row>
    <row r="138" spans="1:14" x14ac:dyDescent="0.25">
      <c r="A138" s="58" t="s">
        <v>172</v>
      </c>
      <c r="B138" s="58" t="s">
        <v>117</v>
      </c>
      <c r="C138" s="58"/>
      <c r="D138" s="68">
        <f>D74-C74</f>
        <v>600.04629583333326</v>
      </c>
      <c r="E138" s="68">
        <f t="shared" ref="E138:K138" si="48">E74-D74</f>
        <v>51.001388874999975</v>
      </c>
      <c r="F138" s="68">
        <f t="shared" si="48"/>
        <v>55.703930541250088</v>
      </c>
      <c r="G138" s="68">
        <f t="shared" si="48"/>
        <v>60.862229707487586</v>
      </c>
      <c r="H138" s="68">
        <f t="shared" si="48"/>
        <v>66.521688926837214</v>
      </c>
      <c r="I138" s="68">
        <f t="shared" si="48"/>
        <v>72.732298886400145</v>
      </c>
      <c r="J138" s="68">
        <f t="shared" si="48"/>
        <v>79.549105409655112</v>
      </c>
      <c r="K138" s="68">
        <f t="shared" si="48"/>
        <v>87.032724162540944</v>
      </c>
    </row>
    <row r="139" spans="1:14" x14ac:dyDescent="0.25">
      <c r="A139" s="58"/>
      <c r="B139" s="58"/>
      <c r="C139" s="58"/>
      <c r="D139" s="58"/>
      <c r="E139" s="58"/>
      <c r="F139" s="58"/>
      <c r="G139" s="58"/>
      <c r="H139" s="58"/>
      <c r="I139" s="58"/>
    </row>
    <row r="140" spans="1:14" x14ac:dyDescent="0.25">
      <c r="A140" s="66" t="s">
        <v>174</v>
      </c>
      <c r="B140" s="58"/>
      <c r="C140" s="58"/>
      <c r="D140" s="58"/>
      <c r="E140" s="58"/>
      <c r="F140" s="58"/>
      <c r="G140" s="58"/>
      <c r="H140" s="58"/>
      <c r="I140" s="58"/>
    </row>
    <row r="141" spans="1:14" x14ac:dyDescent="0.25">
      <c r="A141" s="58" t="s">
        <v>172</v>
      </c>
      <c r="B141" s="58" t="s">
        <v>23</v>
      </c>
      <c r="C141" s="58"/>
      <c r="D141" s="58"/>
      <c r="E141" s="58"/>
      <c r="F141" s="58"/>
      <c r="H141" s="58"/>
      <c r="I141" s="58"/>
      <c r="K141" s="70">
        <v>0</v>
      </c>
    </row>
    <row r="142" spans="1:14" x14ac:dyDescent="0.25">
      <c r="A142" s="58" t="s">
        <v>172</v>
      </c>
      <c r="B142" s="58" t="s">
        <v>24</v>
      </c>
      <c r="C142" s="58"/>
      <c r="D142" s="58"/>
      <c r="E142" s="58"/>
      <c r="F142" s="58"/>
      <c r="H142" s="58"/>
      <c r="I142" s="58"/>
      <c r="K142" s="70">
        <f>K62</f>
        <v>614.93078334310792</v>
      </c>
    </row>
    <row r="143" spans="1:14" x14ac:dyDescent="0.25">
      <c r="A143" s="58" t="s">
        <v>171</v>
      </c>
      <c r="B143" s="58" t="s">
        <v>173</v>
      </c>
      <c r="C143" s="58"/>
      <c r="D143" s="58"/>
      <c r="E143" s="58"/>
      <c r="F143" s="58"/>
      <c r="H143" s="58"/>
      <c r="I143" s="58"/>
      <c r="K143" s="70">
        <f>K121</f>
        <v>0</v>
      </c>
    </row>
    <row r="144" spans="1:14" x14ac:dyDescent="0.25">
      <c r="A144" s="58" t="s">
        <v>171</v>
      </c>
      <c r="B144" s="58" t="s">
        <v>156</v>
      </c>
      <c r="C144" s="58"/>
      <c r="D144" s="58"/>
      <c r="E144" s="58"/>
      <c r="F144" s="58"/>
      <c r="H144" s="58"/>
      <c r="I144" s="58"/>
      <c r="K144" s="70">
        <f>-K74</f>
        <v>-1073.4496623425043</v>
      </c>
    </row>
    <row r="145" spans="1:11" x14ac:dyDescent="0.25">
      <c r="A145" s="58"/>
      <c r="B145" s="58"/>
      <c r="C145" s="58"/>
      <c r="D145" s="58"/>
      <c r="E145" s="58"/>
      <c r="F145" s="58"/>
      <c r="G145" s="58"/>
      <c r="H145" s="58"/>
      <c r="I145" s="58"/>
    </row>
    <row r="146" spans="1:11" x14ac:dyDescent="0.25">
      <c r="A146" s="66" t="s">
        <v>175</v>
      </c>
      <c r="B146" s="66"/>
      <c r="C146" s="71">
        <f t="shared" ref="C146:K146" si="49">SUM(C123:C145)</f>
        <v>-1200000</v>
      </c>
      <c r="D146" s="71">
        <f t="shared" si="49"/>
        <v>-59591.783029166683</v>
      </c>
      <c r="E146" s="71">
        <f t="shared" si="49"/>
        <v>-59357.147785875015</v>
      </c>
      <c r="F146" s="71">
        <f t="shared" si="49"/>
        <v>-57809.788639451261</v>
      </c>
      <c r="G146" s="71">
        <f t="shared" si="49"/>
        <v>-56121.996781809787</v>
      </c>
      <c r="H146" s="71">
        <f t="shared" si="49"/>
        <v>-62282.534599969105</v>
      </c>
      <c r="I146" s="71">
        <f t="shared" si="49"/>
        <v>-52279.351411890282</v>
      </c>
      <c r="J146" s="71">
        <f t="shared" si="49"/>
        <v>-50099.531745305932</v>
      </c>
      <c r="K146" s="71">
        <f t="shared" si="49"/>
        <v>979153.30669731996</v>
      </c>
    </row>
    <row r="147" spans="1:11" x14ac:dyDescent="0.25">
      <c r="A147" s="58"/>
      <c r="B147" s="58"/>
      <c r="C147" s="58"/>
      <c r="D147" s="58"/>
      <c r="E147" s="58"/>
      <c r="F147" s="58"/>
      <c r="G147" s="58"/>
      <c r="H147" s="58"/>
      <c r="I147" s="58"/>
    </row>
    <row r="148" spans="1:11" x14ac:dyDescent="0.25">
      <c r="A148" s="66" t="s">
        <v>158</v>
      </c>
      <c r="B148" s="66"/>
      <c r="C148" s="72">
        <f>IRR(C146:K146)</f>
        <v>-6.8678999102696814E-2</v>
      </c>
      <c r="D148" s="58"/>
      <c r="E148" s="58"/>
      <c r="F148" s="58"/>
      <c r="G148" s="58"/>
      <c r="H148" s="58"/>
      <c r="I148" s="58"/>
    </row>
    <row r="149" spans="1:11" x14ac:dyDescent="0.25">
      <c r="A149" s="58"/>
      <c r="B149" s="58"/>
      <c r="C149" s="58">
        <v>0</v>
      </c>
      <c r="D149" s="58">
        <v>1</v>
      </c>
      <c r="E149" s="58">
        <v>2</v>
      </c>
      <c r="F149" s="58">
        <v>3</v>
      </c>
      <c r="G149" s="58">
        <v>4</v>
      </c>
      <c r="H149" s="58">
        <v>5</v>
      </c>
      <c r="I149" s="58">
        <v>6</v>
      </c>
      <c r="J149" s="58">
        <v>7</v>
      </c>
      <c r="K149" s="58">
        <v>8</v>
      </c>
    </row>
    <row r="150" spans="1:11" x14ac:dyDescent="0.25">
      <c r="A150" s="66" t="s">
        <v>176</v>
      </c>
      <c r="B150" s="66"/>
      <c r="C150" s="73">
        <f>-PV($C$151,C149,,C146)</f>
        <v>-1200000</v>
      </c>
      <c r="D150" s="73">
        <f>-PV($C$151,D149,,D146)</f>
        <v>-54998.053577793733</v>
      </c>
      <c r="E150" s="73">
        <f t="shared" ref="E150:K150" si="50">-PV($C$151,E149,,E146)</f>
        <v>-50558.584178190948</v>
      </c>
      <c r="F150" s="73">
        <f t="shared" si="50"/>
        <v>-45444.800448814654</v>
      </c>
      <c r="G150" s="73">
        <f t="shared" si="50"/>
        <v>-40717.103268625389</v>
      </c>
      <c r="H150" s="73">
        <f t="shared" si="50"/>
        <v>-41703.353236038696</v>
      </c>
      <c r="I150" s="73">
        <f t="shared" si="50"/>
        <v>-32306.940319877671</v>
      </c>
      <c r="J150" s="73">
        <f t="shared" si="50"/>
        <v>-28573.28973020472</v>
      </c>
      <c r="K150" s="73">
        <f t="shared" si="50"/>
        <v>515392.64050874469</v>
      </c>
    </row>
    <row r="151" spans="1:11" x14ac:dyDescent="0.25">
      <c r="A151" s="58" t="s">
        <v>140</v>
      </c>
      <c r="B151" s="58"/>
      <c r="C151" s="74">
        <f>D113</f>
        <v>8.3525309579823598E-2</v>
      </c>
      <c r="D151" s="58"/>
      <c r="E151" s="58"/>
      <c r="F151" s="58"/>
      <c r="G151" s="58"/>
      <c r="H151" s="58"/>
      <c r="I151" s="58"/>
    </row>
    <row r="152" spans="1:11" x14ac:dyDescent="0.25">
      <c r="A152" s="58"/>
      <c r="B152" s="58"/>
      <c r="C152" s="58"/>
      <c r="D152" s="58"/>
      <c r="E152" s="58"/>
      <c r="F152" s="58"/>
      <c r="G152" s="58"/>
      <c r="H152" s="58"/>
      <c r="I152" s="58"/>
    </row>
    <row r="153" spans="1:11" x14ac:dyDescent="0.25">
      <c r="A153" s="66" t="s">
        <v>157</v>
      </c>
      <c r="B153" s="66"/>
      <c r="C153" s="73">
        <f>SUM(C150:K150)</f>
        <v>-978909.48425080115</v>
      </c>
      <c r="D153" s="58"/>
      <c r="E153" s="58"/>
      <c r="F153" s="58"/>
      <c r="G153" s="58"/>
      <c r="H153" s="58"/>
      <c r="I153" s="58"/>
    </row>
  </sheetData>
  <sheetProtection selectLockedCells="1" selectUnlockedCells="1"/>
  <mergeCells count="1">
    <mergeCell ref="E90:F90"/>
  </mergeCells>
  <pageMargins left="0.7" right="0.7" top="0.75" bottom="0.75" header="0.51180555555555551" footer="0.51180555555555551"/>
  <pageSetup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opLeftCell="B1" workbookViewId="0">
      <selection activeCell="H22" sqref="H22"/>
    </sheetView>
  </sheetViews>
  <sheetFormatPr defaultColWidth="11.42578125" defaultRowHeight="12.75" x14ac:dyDescent="0.2"/>
  <cols>
    <col min="1" max="1" width="30.140625" style="12" customWidth="1"/>
    <col min="2" max="4" width="12.7109375" style="12" customWidth="1"/>
    <col min="5" max="5" width="13.42578125" style="12" customWidth="1"/>
    <col min="6" max="6" width="12.42578125" style="12" customWidth="1"/>
    <col min="7" max="7" width="11.42578125" style="12"/>
    <col min="8" max="8" width="19.140625" style="12" bestFit="1" customWidth="1"/>
    <col min="9" max="9" width="12" style="12" bestFit="1" customWidth="1"/>
    <col min="10" max="16384" width="11.42578125" style="12"/>
  </cols>
  <sheetData>
    <row r="1" spans="1:10" x14ac:dyDescent="0.2">
      <c r="B1" s="12" t="s">
        <v>36</v>
      </c>
      <c r="C1" s="12" t="s">
        <v>37</v>
      </c>
      <c r="D1" s="12" t="s">
        <v>38</v>
      </c>
      <c r="E1" s="12" t="s">
        <v>39</v>
      </c>
      <c r="F1" s="12" t="s">
        <v>40</v>
      </c>
    </row>
    <row r="2" spans="1:10" x14ac:dyDescent="0.2">
      <c r="A2" s="13" t="s">
        <v>41</v>
      </c>
      <c r="B2" s="14">
        <f>I3</f>
        <v>675000</v>
      </c>
      <c r="C2" s="14">
        <f>+E2-D2</f>
        <v>452.91087368578883</v>
      </c>
      <c r="D2" s="14">
        <f>B2*$I$4/$I$5</f>
        <v>4500</v>
      </c>
      <c r="E2" s="14">
        <f t="shared" ref="E2:E13" si="0">-$I$8</f>
        <v>4952.9108736857888</v>
      </c>
      <c r="F2" s="14">
        <f t="shared" ref="F2:F13" si="1">+B2-C2</f>
        <v>674547.08912631427</v>
      </c>
      <c r="I2" s="59"/>
    </row>
    <row r="3" spans="1:10" x14ac:dyDescent="0.2">
      <c r="A3" s="13" t="s">
        <v>42</v>
      </c>
      <c r="B3" s="14">
        <f t="shared" ref="B3:B13" si="2">+F2</f>
        <v>674547.08912631427</v>
      </c>
      <c r="C3" s="14">
        <f t="shared" ref="C3:C13" si="3">+E3-D3</f>
        <v>455.93027951036038</v>
      </c>
      <c r="D3" s="14">
        <f t="shared" ref="D3:D13" si="4">B3*$I$4/$I$5</f>
        <v>4496.9805941754285</v>
      </c>
      <c r="E3" s="14">
        <f t="shared" si="0"/>
        <v>4952.9108736857888</v>
      </c>
      <c r="F3" s="14">
        <f t="shared" si="1"/>
        <v>674091.15884680394</v>
      </c>
      <c r="H3" s="20" t="s">
        <v>92</v>
      </c>
      <c r="I3" s="21">
        <v>675000</v>
      </c>
      <c r="J3" s="19" t="s">
        <v>95</v>
      </c>
    </row>
    <row r="4" spans="1:10" x14ac:dyDescent="0.2">
      <c r="A4" s="13" t="s">
        <v>43</v>
      </c>
      <c r="B4" s="14">
        <f t="shared" si="2"/>
        <v>674091.15884680394</v>
      </c>
      <c r="C4" s="14">
        <f t="shared" si="3"/>
        <v>458.96981470709579</v>
      </c>
      <c r="D4" s="14">
        <f t="shared" si="4"/>
        <v>4493.941058978693</v>
      </c>
      <c r="E4" s="14">
        <f t="shared" si="0"/>
        <v>4952.9108736857888</v>
      </c>
      <c r="F4" s="14">
        <f t="shared" si="1"/>
        <v>673632.18903209688</v>
      </c>
      <c r="H4" s="20" t="s">
        <v>96</v>
      </c>
      <c r="I4" s="24">
        <f>Forecast!L42</f>
        <v>0.08</v>
      </c>
    </row>
    <row r="5" spans="1:10" x14ac:dyDescent="0.2">
      <c r="A5" s="13" t="s">
        <v>44</v>
      </c>
      <c r="B5" s="14">
        <f t="shared" si="2"/>
        <v>673632.18903209688</v>
      </c>
      <c r="C5" s="14">
        <f t="shared" si="3"/>
        <v>462.02961347180917</v>
      </c>
      <c r="D5" s="14">
        <f t="shared" si="4"/>
        <v>4490.8812602139797</v>
      </c>
      <c r="E5" s="14">
        <f t="shared" si="0"/>
        <v>4952.9108736857888</v>
      </c>
      <c r="F5" s="14">
        <f t="shared" si="1"/>
        <v>673170.15941862506</v>
      </c>
      <c r="H5" s="20" t="s">
        <v>93</v>
      </c>
      <c r="I5" s="22">
        <v>12</v>
      </c>
    </row>
    <row r="6" spans="1:10" x14ac:dyDescent="0.2">
      <c r="A6" s="13" t="s">
        <v>45</v>
      </c>
      <c r="B6" s="14">
        <f t="shared" si="2"/>
        <v>673170.15941862506</v>
      </c>
      <c r="C6" s="14">
        <f t="shared" si="3"/>
        <v>465.10981089495453</v>
      </c>
      <c r="D6" s="14">
        <f t="shared" si="4"/>
        <v>4487.8010627908343</v>
      </c>
      <c r="E6" s="14">
        <f t="shared" si="0"/>
        <v>4952.9108736857888</v>
      </c>
      <c r="F6" s="14">
        <f t="shared" si="1"/>
        <v>672705.04960773012</v>
      </c>
      <c r="H6" s="20" t="s">
        <v>94</v>
      </c>
      <c r="I6" s="23">
        <f>Forecast!L40</f>
        <v>30</v>
      </c>
      <c r="J6" s="19"/>
    </row>
    <row r="7" spans="1:10" ht="13.5" thickBot="1" x14ac:dyDescent="0.25">
      <c r="A7" s="13" t="s">
        <v>46</v>
      </c>
      <c r="B7" s="14">
        <f t="shared" si="2"/>
        <v>672705.04960773012</v>
      </c>
      <c r="C7" s="14">
        <f t="shared" si="3"/>
        <v>468.21054296758757</v>
      </c>
      <c r="D7" s="14">
        <f t="shared" si="4"/>
        <v>4484.7003307182013</v>
      </c>
      <c r="E7" s="14">
        <f t="shared" si="0"/>
        <v>4952.9108736857888</v>
      </c>
      <c r="F7" s="14">
        <f t="shared" si="1"/>
        <v>672236.83906476258</v>
      </c>
    </row>
    <row r="8" spans="1:10" ht="13.5" thickBot="1" x14ac:dyDescent="0.25">
      <c r="A8" s="13" t="s">
        <v>47</v>
      </c>
      <c r="B8" s="14">
        <f t="shared" si="2"/>
        <v>672236.83906476258</v>
      </c>
      <c r="C8" s="14">
        <f t="shared" si="3"/>
        <v>471.33194658737102</v>
      </c>
      <c r="D8" s="14">
        <f t="shared" si="4"/>
        <v>4481.5789270984178</v>
      </c>
      <c r="E8" s="14">
        <f t="shared" si="0"/>
        <v>4952.9108736857888</v>
      </c>
      <c r="F8" s="14">
        <f t="shared" si="1"/>
        <v>671765.50711817516</v>
      </c>
      <c r="H8" s="12" t="s">
        <v>39</v>
      </c>
      <c r="I8" s="18">
        <f>PMT(I4/I5,I6*I5,I3,0)</f>
        <v>-4952.9108736857888</v>
      </c>
    </row>
    <row r="9" spans="1:10" x14ac:dyDescent="0.2">
      <c r="A9" s="13" t="s">
        <v>48</v>
      </c>
      <c r="B9" s="14">
        <f t="shared" si="2"/>
        <v>671765.50711817516</v>
      </c>
      <c r="C9" s="14">
        <f t="shared" si="3"/>
        <v>474.474159564621</v>
      </c>
      <c r="D9" s="14">
        <f t="shared" si="4"/>
        <v>4478.4367141211678</v>
      </c>
      <c r="E9" s="14">
        <f t="shared" si="0"/>
        <v>4952.9108736857888</v>
      </c>
      <c r="F9" s="14">
        <f t="shared" si="1"/>
        <v>671291.03295861057</v>
      </c>
    </row>
    <row r="10" spans="1:10" x14ac:dyDescent="0.2">
      <c r="A10" s="13" t="s">
        <v>49</v>
      </c>
      <c r="B10" s="14">
        <f t="shared" si="2"/>
        <v>671291.03295861057</v>
      </c>
      <c r="C10" s="14">
        <f t="shared" si="3"/>
        <v>477.63732062838517</v>
      </c>
      <c r="D10" s="14">
        <f t="shared" si="4"/>
        <v>4475.2735530574037</v>
      </c>
      <c r="E10" s="14">
        <f t="shared" si="0"/>
        <v>4952.9108736857888</v>
      </c>
      <c r="F10" s="14">
        <f t="shared" si="1"/>
        <v>670813.39563798218</v>
      </c>
    </row>
    <row r="11" spans="1:10" x14ac:dyDescent="0.2">
      <c r="A11" s="13" t="s">
        <v>50</v>
      </c>
      <c r="B11" s="14">
        <f t="shared" si="2"/>
        <v>670813.39563798218</v>
      </c>
      <c r="C11" s="14">
        <f t="shared" si="3"/>
        <v>480.82156943257451</v>
      </c>
      <c r="D11" s="14">
        <f t="shared" si="4"/>
        <v>4472.0893042532143</v>
      </c>
      <c r="E11" s="14">
        <f t="shared" si="0"/>
        <v>4952.9108736857888</v>
      </c>
      <c r="F11" s="14">
        <f t="shared" si="1"/>
        <v>670332.57406854955</v>
      </c>
    </row>
    <row r="12" spans="1:10" x14ac:dyDescent="0.2">
      <c r="A12" s="13" t="s">
        <v>51</v>
      </c>
      <c r="B12" s="14">
        <f t="shared" si="2"/>
        <v>670332.57406854955</v>
      </c>
      <c r="C12" s="14">
        <f t="shared" si="3"/>
        <v>484.02704656212518</v>
      </c>
      <c r="D12" s="14">
        <f t="shared" si="4"/>
        <v>4468.8838271236637</v>
      </c>
      <c r="E12" s="14">
        <f t="shared" si="0"/>
        <v>4952.9108736857888</v>
      </c>
      <c r="F12" s="14">
        <f t="shared" si="1"/>
        <v>669848.54702198738</v>
      </c>
    </row>
    <row r="13" spans="1:10" x14ac:dyDescent="0.2">
      <c r="A13" s="13" t="s">
        <v>52</v>
      </c>
      <c r="B13" s="14">
        <f t="shared" si="2"/>
        <v>669848.54702198738</v>
      </c>
      <c r="C13" s="14">
        <f t="shared" si="3"/>
        <v>487.25389353920673</v>
      </c>
      <c r="D13" s="14">
        <f t="shared" si="4"/>
        <v>4465.6569801465821</v>
      </c>
      <c r="E13" s="14">
        <f t="shared" si="0"/>
        <v>4952.9108736857888</v>
      </c>
      <c r="F13" s="15">
        <f t="shared" si="1"/>
        <v>669361.29312844819</v>
      </c>
    </row>
    <row r="14" spans="1:10" x14ac:dyDescent="0.2">
      <c r="A14" s="16" t="s">
        <v>53</v>
      </c>
      <c r="B14" s="16"/>
      <c r="C14" s="15">
        <f>SUM(C2:C13)</f>
        <v>5638.7068715518799</v>
      </c>
      <c r="D14" s="15">
        <f>SUM(D2:D13)</f>
        <v>53796.223612677582</v>
      </c>
      <c r="E14" s="14"/>
      <c r="F14" s="14"/>
    </row>
    <row r="15" spans="1:10" x14ac:dyDescent="0.2">
      <c r="A15" s="13"/>
      <c r="B15" s="13"/>
      <c r="C15" s="14"/>
      <c r="D15" s="14"/>
      <c r="E15" s="14"/>
      <c r="F15" s="14"/>
    </row>
    <row r="16" spans="1:10" x14ac:dyDescent="0.2">
      <c r="A16" s="13" t="s">
        <v>54</v>
      </c>
      <c r="B16" s="14">
        <f>+F13</f>
        <v>669361.29312844819</v>
      </c>
      <c r="C16" s="14">
        <f t="shared" ref="C16:C27" si="5">+E16-D16</f>
        <v>490.50225282946758</v>
      </c>
      <c r="D16" s="14">
        <f>B16*$I$4/$I$5</f>
        <v>4462.4086208563212</v>
      </c>
      <c r="E16" s="14">
        <f t="shared" ref="E16:E27" si="6">-$I$8</f>
        <v>4952.9108736857888</v>
      </c>
      <c r="F16" s="14">
        <f t="shared" ref="F16:F27" si="7">+B16-C16</f>
        <v>668870.7908756187</v>
      </c>
    </row>
    <row r="17" spans="1:6" x14ac:dyDescent="0.2">
      <c r="A17" s="13" t="s">
        <v>55</v>
      </c>
      <c r="B17" s="14">
        <f t="shared" ref="B17:B27" si="8">+F16</f>
        <v>668870.7908756187</v>
      </c>
      <c r="C17" s="14">
        <f t="shared" si="5"/>
        <v>493.77226784833056</v>
      </c>
      <c r="D17" s="14">
        <f t="shared" ref="D17:D27" si="9">B17*$I$4/$I$5</f>
        <v>4459.1386058374583</v>
      </c>
      <c r="E17" s="14">
        <f t="shared" si="6"/>
        <v>4952.9108736857888</v>
      </c>
      <c r="F17" s="14">
        <f t="shared" si="7"/>
        <v>668377.01860777033</v>
      </c>
    </row>
    <row r="18" spans="1:6" x14ac:dyDescent="0.2">
      <c r="A18" s="13" t="s">
        <v>56</v>
      </c>
      <c r="B18" s="14">
        <f t="shared" si="8"/>
        <v>668377.01860777033</v>
      </c>
      <c r="C18" s="14">
        <f t="shared" si="5"/>
        <v>497.06408296732025</v>
      </c>
      <c r="D18" s="14">
        <f t="shared" si="9"/>
        <v>4455.8467907184686</v>
      </c>
      <c r="E18" s="14">
        <f t="shared" si="6"/>
        <v>4952.9108736857888</v>
      </c>
      <c r="F18" s="14">
        <f t="shared" si="7"/>
        <v>667879.95452480298</v>
      </c>
    </row>
    <row r="19" spans="1:6" x14ac:dyDescent="0.2">
      <c r="A19" s="13" t="s">
        <v>57</v>
      </c>
      <c r="B19" s="14">
        <f t="shared" si="8"/>
        <v>667879.95452480298</v>
      </c>
      <c r="C19" s="14">
        <f t="shared" si="5"/>
        <v>500.37784352043582</v>
      </c>
      <c r="D19" s="14">
        <f t="shared" si="9"/>
        <v>4452.533030165353</v>
      </c>
      <c r="E19" s="14">
        <f t="shared" si="6"/>
        <v>4952.9108736857888</v>
      </c>
      <c r="F19" s="14">
        <f t="shared" si="7"/>
        <v>667379.57668128249</v>
      </c>
    </row>
    <row r="20" spans="1:6" x14ac:dyDescent="0.2">
      <c r="A20" s="13" t="s">
        <v>58</v>
      </c>
      <c r="B20" s="14">
        <f t="shared" si="8"/>
        <v>667379.57668128249</v>
      </c>
      <c r="C20" s="14">
        <f t="shared" si="5"/>
        <v>503.71369581057206</v>
      </c>
      <c r="D20" s="14">
        <f t="shared" si="9"/>
        <v>4449.1971778752168</v>
      </c>
      <c r="E20" s="14">
        <f t="shared" si="6"/>
        <v>4952.9108736857888</v>
      </c>
      <c r="F20" s="14">
        <f t="shared" si="7"/>
        <v>666875.86298547196</v>
      </c>
    </row>
    <row r="21" spans="1:6" x14ac:dyDescent="0.2">
      <c r="A21" s="13" t="s">
        <v>59</v>
      </c>
      <c r="B21" s="14">
        <f t="shared" si="8"/>
        <v>666875.86298547196</v>
      </c>
      <c r="C21" s="14">
        <f t="shared" si="5"/>
        <v>507.07178711597589</v>
      </c>
      <c r="D21" s="14">
        <f t="shared" si="9"/>
        <v>4445.8390865698129</v>
      </c>
      <c r="E21" s="14">
        <f t="shared" si="6"/>
        <v>4952.9108736857888</v>
      </c>
      <c r="F21" s="14">
        <f t="shared" si="7"/>
        <v>666368.79119835596</v>
      </c>
    </row>
    <row r="22" spans="1:6" x14ac:dyDescent="0.2">
      <c r="A22" s="13" t="s">
        <v>60</v>
      </c>
      <c r="B22" s="14">
        <f t="shared" si="8"/>
        <v>666368.79119835596</v>
      </c>
      <c r="C22" s="14">
        <f t="shared" si="5"/>
        <v>510.45226569674924</v>
      </c>
      <c r="D22" s="14">
        <f t="shared" si="9"/>
        <v>4442.4586079890396</v>
      </c>
      <c r="E22" s="14">
        <f t="shared" si="6"/>
        <v>4952.9108736857888</v>
      </c>
      <c r="F22" s="14">
        <f t="shared" si="7"/>
        <v>665858.33893265924</v>
      </c>
    </row>
    <row r="23" spans="1:6" x14ac:dyDescent="0.2">
      <c r="A23" s="13" t="s">
        <v>61</v>
      </c>
      <c r="B23" s="14">
        <f t="shared" si="8"/>
        <v>665858.33893265924</v>
      </c>
      <c r="C23" s="14">
        <f t="shared" si="5"/>
        <v>513.85528080139375</v>
      </c>
      <c r="D23" s="14">
        <f t="shared" si="9"/>
        <v>4439.0555928843951</v>
      </c>
      <c r="E23" s="14">
        <f t="shared" si="6"/>
        <v>4952.9108736857888</v>
      </c>
      <c r="F23" s="14">
        <f t="shared" si="7"/>
        <v>665344.48365185782</v>
      </c>
    </row>
    <row r="24" spans="1:6" x14ac:dyDescent="0.2">
      <c r="A24" s="13" t="s">
        <v>62</v>
      </c>
      <c r="B24" s="14">
        <f t="shared" si="8"/>
        <v>665344.48365185782</v>
      </c>
      <c r="C24" s="14">
        <f t="shared" si="5"/>
        <v>517.28098267340374</v>
      </c>
      <c r="D24" s="14">
        <f t="shared" si="9"/>
        <v>4435.6298910123851</v>
      </c>
      <c r="E24" s="14">
        <f t="shared" si="6"/>
        <v>4952.9108736857888</v>
      </c>
      <c r="F24" s="14">
        <f t="shared" si="7"/>
        <v>664827.20266918442</v>
      </c>
    </row>
    <row r="25" spans="1:6" x14ac:dyDescent="0.2">
      <c r="A25" s="13" t="s">
        <v>63</v>
      </c>
      <c r="B25" s="14">
        <f t="shared" si="8"/>
        <v>664827.20266918442</v>
      </c>
      <c r="C25" s="14">
        <f t="shared" si="5"/>
        <v>520.72952255789278</v>
      </c>
      <c r="D25" s="14">
        <f t="shared" si="9"/>
        <v>4432.1813511278961</v>
      </c>
      <c r="E25" s="14">
        <f t="shared" si="6"/>
        <v>4952.9108736857888</v>
      </c>
      <c r="F25" s="14">
        <f t="shared" si="7"/>
        <v>664306.47314662649</v>
      </c>
    </row>
    <row r="26" spans="1:6" x14ac:dyDescent="0.2">
      <c r="A26" s="13" t="s">
        <v>64</v>
      </c>
      <c r="B26" s="14">
        <f t="shared" si="8"/>
        <v>664306.47314662649</v>
      </c>
      <c r="C26" s="14">
        <f t="shared" si="5"/>
        <v>524.20105270827935</v>
      </c>
      <c r="D26" s="14">
        <f t="shared" si="9"/>
        <v>4428.7098209775095</v>
      </c>
      <c r="E26" s="14">
        <f t="shared" si="6"/>
        <v>4952.9108736857888</v>
      </c>
      <c r="F26" s="14">
        <f t="shared" si="7"/>
        <v>663782.27209391817</v>
      </c>
    </row>
    <row r="27" spans="1:6" x14ac:dyDescent="0.2">
      <c r="A27" s="13" t="s">
        <v>65</v>
      </c>
      <c r="B27" s="14">
        <f t="shared" si="8"/>
        <v>663782.27209391817</v>
      </c>
      <c r="C27" s="14">
        <f t="shared" si="5"/>
        <v>527.69572639300077</v>
      </c>
      <c r="D27" s="14">
        <f t="shared" si="9"/>
        <v>4425.2151472927881</v>
      </c>
      <c r="E27" s="14">
        <f t="shared" si="6"/>
        <v>4952.9108736857888</v>
      </c>
      <c r="F27" s="15">
        <f t="shared" si="7"/>
        <v>663254.57636752515</v>
      </c>
    </row>
    <row r="28" spans="1:6" x14ac:dyDescent="0.2">
      <c r="A28" s="16" t="s">
        <v>53</v>
      </c>
      <c r="B28" s="16"/>
      <c r="C28" s="15">
        <f>SUM(C16:C27)</f>
        <v>6106.7167609228218</v>
      </c>
      <c r="D28" s="15">
        <f>SUM(D16:D27)</f>
        <v>53328.213723306639</v>
      </c>
      <c r="E28" s="14"/>
      <c r="F28" s="14"/>
    </row>
    <row r="29" spans="1:6" x14ac:dyDescent="0.2">
      <c r="A29" s="13"/>
      <c r="B29" s="13"/>
      <c r="C29" s="14"/>
      <c r="D29" s="14"/>
      <c r="E29" s="14"/>
      <c r="F29" s="14"/>
    </row>
    <row r="30" spans="1:6" x14ac:dyDescent="0.2">
      <c r="A30" s="13" t="s">
        <v>66</v>
      </c>
      <c r="B30" s="14">
        <f>+F27</f>
        <v>663254.57636752515</v>
      </c>
      <c r="C30" s="14">
        <f t="shared" ref="C30:C41" si="10">+E30-D30</f>
        <v>531.213697902288</v>
      </c>
      <c r="D30" s="14">
        <f>B30*$I$4/$I$5</f>
        <v>4421.6971757835008</v>
      </c>
      <c r="E30" s="14">
        <f t="shared" ref="E30:E41" si="11">-$I$8</f>
        <v>4952.9108736857888</v>
      </c>
      <c r="F30" s="14">
        <f t="shared" ref="F30:F41" si="12">+B30-C30</f>
        <v>662723.36266962287</v>
      </c>
    </row>
    <row r="31" spans="1:6" x14ac:dyDescent="0.2">
      <c r="A31" s="13" t="s">
        <v>67</v>
      </c>
      <c r="B31" s="14">
        <f t="shared" ref="B31:B41" si="13">+F30</f>
        <v>662723.36266962287</v>
      </c>
      <c r="C31" s="14">
        <f t="shared" si="10"/>
        <v>534.7551225549696</v>
      </c>
      <c r="D31" s="14">
        <f t="shared" ref="D31:D41" si="14">B31*$I$4/$I$5</f>
        <v>4418.1557511308192</v>
      </c>
      <c r="E31" s="14">
        <f t="shared" si="11"/>
        <v>4952.9108736857888</v>
      </c>
      <c r="F31" s="14">
        <f t="shared" si="12"/>
        <v>662188.60754706792</v>
      </c>
    </row>
    <row r="32" spans="1:6" x14ac:dyDescent="0.2">
      <c r="A32" s="13" t="s">
        <v>68</v>
      </c>
      <c r="B32" s="14">
        <f t="shared" si="13"/>
        <v>662188.60754706792</v>
      </c>
      <c r="C32" s="14">
        <f t="shared" si="10"/>
        <v>538.32015670533565</v>
      </c>
      <c r="D32" s="14">
        <f t="shared" si="14"/>
        <v>4414.5907169804532</v>
      </c>
      <c r="E32" s="14">
        <f t="shared" si="11"/>
        <v>4952.9108736857888</v>
      </c>
      <c r="F32" s="14">
        <f t="shared" si="12"/>
        <v>661650.28739036259</v>
      </c>
    </row>
    <row r="33" spans="1:6" x14ac:dyDescent="0.2">
      <c r="A33" s="13" t="s">
        <v>69</v>
      </c>
      <c r="B33" s="14">
        <f t="shared" si="13"/>
        <v>661650.28739036259</v>
      </c>
      <c r="C33" s="14">
        <f t="shared" si="10"/>
        <v>541.9089577500381</v>
      </c>
      <c r="D33" s="14">
        <f t="shared" si="14"/>
        <v>4411.0019159357507</v>
      </c>
      <c r="E33" s="14">
        <f t="shared" si="11"/>
        <v>4952.9108736857888</v>
      </c>
      <c r="F33" s="14">
        <f t="shared" si="12"/>
        <v>661108.37843261252</v>
      </c>
    </row>
    <row r="34" spans="1:6" x14ac:dyDescent="0.2">
      <c r="A34" s="13" t="s">
        <v>70</v>
      </c>
      <c r="B34" s="14">
        <f t="shared" si="13"/>
        <v>661108.37843261252</v>
      </c>
      <c r="C34" s="14">
        <f t="shared" si="10"/>
        <v>545.52168413503841</v>
      </c>
      <c r="D34" s="14">
        <f t="shared" si="14"/>
        <v>4407.3891895507504</v>
      </c>
      <c r="E34" s="14">
        <f t="shared" si="11"/>
        <v>4952.9108736857888</v>
      </c>
      <c r="F34" s="14">
        <f t="shared" si="12"/>
        <v>660562.85674847744</v>
      </c>
    </row>
    <row r="35" spans="1:6" x14ac:dyDescent="0.2">
      <c r="A35" s="13" t="s">
        <v>71</v>
      </c>
      <c r="B35" s="14">
        <f t="shared" si="13"/>
        <v>660562.85674847744</v>
      </c>
      <c r="C35" s="14">
        <f t="shared" si="10"/>
        <v>549.15849536260521</v>
      </c>
      <c r="D35" s="14">
        <f t="shared" si="14"/>
        <v>4403.7523783231836</v>
      </c>
      <c r="E35" s="14">
        <f t="shared" si="11"/>
        <v>4952.9108736857888</v>
      </c>
      <c r="F35" s="14">
        <f t="shared" si="12"/>
        <v>660013.69825311482</v>
      </c>
    </row>
    <row r="36" spans="1:6" x14ac:dyDescent="0.2">
      <c r="A36" s="13" t="s">
        <v>72</v>
      </c>
      <c r="B36" s="14">
        <f t="shared" si="13"/>
        <v>660013.69825311482</v>
      </c>
      <c r="C36" s="14">
        <f t="shared" si="10"/>
        <v>552.81955199835647</v>
      </c>
      <c r="D36" s="14">
        <f t="shared" si="14"/>
        <v>4400.0913216874324</v>
      </c>
      <c r="E36" s="14">
        <f t="shared" si="11"/>
        <v>4952.9108736857888</v>
      </c>
      <c r="F36" s="14">
        <f t="shared" si="12"/>
        <v>659460.87870111642</v>
      </c>
    </row>
    <row r="37" spans="1:6" x14ac:dyDescent="0.2">
      <c r="A37" s="13" t="s">
        <v>73</v>
      </c>
      <c r="B37" s="14">
        <f t="shared" si="13"/>
        <v>659460.87870111642</v>
      </c>
      <c r="C37" s="14">
        <f t="shared" si="10"/>
        <v>556.50501567834635</v>
      </c>
      <c r="D37" s="14">
        <f t="shared" si="14"/>
        <v>4396.4058580074425</v>
      </c>
      <c r="E37" s="14">
        <f t="shared" si="11"/>
        <v>4952.9108736857888</v>
      </c>
      <c r="F37" s="14">
        <f t="shared" si="12"/>
        <v>658904.37368543807</v>
      </c>
    </row>
    <row r="38" spans="1:6" x14ac:dyDescent="0.2">
      <c r="A38" s="13" t="s">
        <v>74</v>
      </c>
      <c r="B38" s="14">
        <f t="shared" si="13"/>
        <v>658904.37368543807</v>
      </c>
      <c r="C38" s="14">
        <f t="shared" si="10"/>
        <v>560.21504911620195</v>
      </c>
      <c r="D38" s="14">
        <f t="shared" si="14"/>
        <v>4392.6958245695869</v>
      </c>
      <c r="E38" s="14">
        <f t="shared" si="11"/>
        <v>4952.9108736857888</v>
      </c>
      <c r="F38" s="14">
        <f t="shared" si="12"/>
        <v>658344.1586363219</v>
      </c>
    </row>
    <row r="39" spans="1:6" x14ac:dyDescent="0.2">
      <c r="A39" s="13" t="s">
        <v>75</v>
      </c>
      <c r="B39" s="14">
        <f t="shared" si="13"/>
        <v>658344.1586363219</v>
      </c>
      <c r="C39" s="14">
        <f t="shared" si="10"/>
        <v>563.94981611030926</v>
      </c>
      <c r="D39" s="14">
        <f t="shared" si="14"/>
        <v>4388.9610575754796</v>
      </c>
      <c r="E39" s="14">
        <f t="shared" si="11"/>
        <v>4952.9108736857888</v>
      </c>
      <c r="F39" s="14">
        <f t="shared" si="12"/>
        <v>657780.20882021158</v>
      </c>
    </row>
    <row r="40" spans="1:6" x14ac:dyDescent="0.2">
      <c r="A40" s="13" t="s">
        <v>76</v>
      </c>
      <c r="B40" s="14">
        <f t="shared" si="13"/>
        <v>657780.20882021158</v>
      </c>
      <c r="C40" s="14">
        <f t="shared" si="10"/>
        <v>567.70948155104543</v>
      </c>
      <c r="D40" s="14">
        <f t="shared" si="14"/>
        <v>4385.2013921347434</v>
      </c>
      <c r="E40" s="14">
        <f t="shared" si="11"/>
        <v>4952.9108736857888</v>
      </c>
      <c r="F40" s="14">
        <f t="shared" si="12"/>
        <v>657212.49933866051</v>
      </c>
    </row>
    <row r="41" spans="1:6" x14ac:dyDescent="0.2">
      <c r="A41" s="13" t="s">
        <v>77</v>
      </c>
      <c r="B41" s="14">
        <f t="shared" si="13"/>
        <v>657212.49933866051</v>
      </c>
      <c r="C41" s="14">
        <f t="shared" si="10"/>
        <v>571.49421142805204</v>
      </c>
      <c r="D41" s="14">
        <f t="shared" si="14"/>
        <v>4381.4166622577368</v>
      </c>
      <c r="E41" s="14">
        <f t="shared" si="11"/>
        <v>4952.9108736857888</v>
      </c>
      <c r="F41" s="15">
        <f t="shared" si="12"/>
        <v>656641.00512723241</v>
      </c>
    </row>
    <row r="42" spans="1:6" x14ac:dyDescent="0.2">
      <c r="A42" s="16" t="s">
        <v>53</v>
      </c>
      <c r="B42" s="16"/>
      <c r="C42" s="15">
        <f>SUM(C30:C41)</f>
        <v>6613.5712402925865</v>
      </c>
      <c r="D42" s="15">
        <f>SUM(D30:D41)</f>
        <v>52821.359243936888</v>
      </c>
      <c r="E42" s="14"/>
      <c r="F42" s="14"/>
    </row>
    <row r="43" spans="1:6" x14ac:dyDescent="0.2">
      <c r="A43" s="13"/>
      <c r="B43" s="13"/>
      <c r="C43" s="14"/>
      <c r="D43" s="14"/>
      <c r="E43" s="14"/>
      <c r="F43" s="14"/>
    </row>
    <row r="44" spans="1:6" x14ac:dyDescent="0.2">
      <c r="A44" s="13" t="s">
        <v>78</v>
      </c>
      <c r="B44" s="14">
        <f>+F41</f>
        <v>656641.00512723241</v>
      </c>
      <c r="C44" s="14">
        <f t="shared" ref="C44:C55" si="15">+E44-D44</f>
        <v>575.30417283757288</v>
      </c>
      <c r="D44" s="14">
        <f>B44*$I$4/$I$5</f>
        <v>4377.606700848216</v>
      </c>
      <c r="E44" s="14">
        <f t="shared" ref="E44:E55" si="16">-$I$8</f>
        <v>4952.9108736857888</v>
      </c>
      <c r="F44" s="14">
        <f t="shared" ref="F44:F55" si="17">+B44-C44</f>
        <v>656065.70095439488</v>
      </c>
    </row>
    <row r="45" spans="1:6" x14ac:dyDescent="0.2">
      <c r="A45" s="13" t="s">
        <v>79</v>
      </c>
      <c r="B45" s="14">
        <f t="shared" ref="B45:B55" si="18">+F44</f>
        <v>656065.70095439488</v>
      </c>
      <c r="C45" s="14">
        <f t="shared" si="15"/>
        <v>579.13953398982267</v>
      </c>
      <c r="D45" s="14">
        <f t="shared" ref="D45:D55" si="19">B45*$I$4/$I$5</f>
        <v>4373.7713396959662</v>
      </c>
      <c r="E45" s="14">
        <f t="shared" si="16"/>
        <v>4952.9108736857888</v>
      </c>
      <c r="F45" s="14">
        <f t="shared" si="17"/>
        <v>655486.56142040505</v>
      </c>
    </row>
    <row r="46" spans="1:6" x14ac:dyDescent="0.2">
      <c r="A46" s="13" t="s">
        <v>80</v>
      </c>
      <c r="B46" s="14">
        <f t="shared" si="18"/>
        <v>655486.56142040505</v>
      </c>
      <c r="C46" s="14">
        <f t="shared" si="15"/>
        <v>583.00046421642128</v>
      </c>
      <c r="D46" s="14">
        <f t="shared" si="19"/>
        <v>4369.9104094693676</v>
      </c>
      <c r="E46" s="14">
        <f t="shared" si="16"/>
        <v>4952.9108736857888</v>
      </c>
      <c r="F46" s="14">
        <f t="shared" si="17"/>
        <v>654903.56095618859</v>
      </c>
    </row>
    <row r="47" spans="1:6" x14ac:dyDescent="0.2">
      <c r="A47" s="13" t="s">
        <v>81</v>
      </c>
      <c r="B47" s="14">
        <f t="shared" si="18"/>
        <v>654903.56095618859</v>
      </c>
      <c r="C47" s="14">
        <f t="shared" si="15"/>
        <v>586.88713397786432</v>
      </c>
      <c r="D47" s="14">
        <f t="shared" si="19"/>
        <v>4366.0237397079245</v>
      </c>
      <c r="E47" s="14">
        <f t="shared" si="16"/>
        <v>4952.9108736857888</v>
      </c>
      <c r="F47" s="14">
        <f t="shared" si="17"/>
        <v>654316.67382221075</v>
      </c>
    </row>
    <row r="48" spans="1:6" x14ac:dyDescent="0.2">
      <c r="A48" s="13" t="s">
        <v>82</v>
      </c>
      <c r="B48" s="14">
        <f t="shared" si="18"/>
        <v>654316.67382221075</v>
      </c>
      <c r="C48" s="14">
        <f t="shared" si="15"/>
        <v>590.79971487105013</v>
      </c>
      <c r="D48" s="14">
        <f t="shared" si="19"/>
        <v>4362.1111588147387</v>
      </c>
      <c r="E48" s="14">
        <f t="shared" si="16"/>
        <v>4952.9108736857888</v>
      </c>
      <c r="F48" s="14">
        <f t="shared" si="17"/>
        <v>653725.87410733965</v>
      </c>
    </row>
    <row r="49" spans="1:7" x14ac:dyDescent="0.2">
      <c r="A49" s="13" t="s">
        <v>83</v>
      </c>
      <c r="B49" s="14">
        <f t="shared" si="18"/>
        <v>653725.87410733965</v>
      </c>
      <c r="C49" s="14">
        <f t="shared" si="15"/>
        <v>594.73837963685764</v>
      </c>
      <c r="D49" s="14">
        <f t="shared" si="19"/>
        <v>4358.1724940489312</v>
      </c>
      <c r="E49" s="14">
        <f t="shared" si="16"/>
        <v>4952.9108736857888</v>
      </c>
      <c r="F49" s="14">
        <f t="shared" si="17"/>
        <v>653131.13572770276</v>
      </c>
    </row>
    <row r="50" spans="1:7" x14ac:dyDescent="0.2">
      <c r="A50" s="13" t="s">
        <v>84</v>
      </c>
      <c r="B50" s="14">
        <f t="shared" si="18"/>
        <v>653131.13572770276</v>
      </c>
      <c r="C50" s="14">
        <f t="shared" si="15"/>
        <v>598.70330216776983</v>
      </c>
      <c r="D50" s="14">
        <f t="shared" si="19"/>
        <v>4354.207571518019</v>
      </c>
      <c r="E50" s="14">
        <f t="shared" si="16"/>
        <v>4952.9108736857888</v>
      </c>
      <c r="F50" s="14">
        <f t="shared" si="17"/>
        <v>652532.43242553493</v>
      </c>
    </row>
    <row r="51" spans="1:7" x14ac:dyDescent="0.2">
      <c r="A51" s="13" t="s">
        <v>85</v>
      </c>
      <c r="B51" s="14">
        <f t="shared" si="18"/>
        <v>652532.43242553493</v>
      </c>
      <c r="C51" s="14">
        <f t="shared" si="15"/>
        <v>602.69465751555526</v>
      </c>
      <c r="D51" s="14">
        <f t="shared" si="19"/>
        <v>4350.2162161702336</v>
      </c>
      <c r="E51" s="14">
        <f t="shared" si="16"/>
        <v>4952.9108736857888</v>
      </c>
      <c r="F51" s="14">
        <f t="shared" si="17"/>
        <v>651929.73776801943</v>
      </c>
    </row>
    <row r="52" spans="1:7" x14ac:dyDescent="0.2">
      <c r="A52" s="13" t="s">
        <v>86</v>
      </c>
      <c r="B52" s="14">
        <f t="shared" si="18"/>
        <v>651929.73776801943</v>
      </c>
      <c r="C52" s="14">
        <f t="shared" si="15"/>
        <v>606.71262189899244</v>
      </c>
      <c r="D52" s="14">
        <f t="shared" si="19"/>
        <v>4346.1982517867964</v>
      </c>
      <c r="E52" s="14">
        <f t="shared" si="16"/>
        <v>4952.9108736857888</v>
      </c>
      <c r="F52" s="14">
        <f t="shared" si="17"/>
        <v>651323.02514612046</v>
      </c>
    </row>
    <row r="53" spans="1:7" x14ac:dyDescent="0.2">
      <c r="A53" s="13" t="s">
        <v>87</v>
      </c>
      <c r="B53" s="14">
        <f t="shared" si="18"/>
        <v>651323.02514612046</v>
      </c>
      <c r="C53" s="14">
        <f t="shared" si="15"/>
        <v>610.75737271165235</v>
      </c>
      <c r="D53" s="14">
        <f t="shared" si="19"/>
        <v>4342.1535009741365</v>
      </c>
      <c r="E53" s="14">
        <f t="shared" si="16"/>
        <v>4952.9108736857888</v>
      </c>
      <c r="F53" s="14">
        <f t="shared" si="17"/>
        <v>650712.26777340879</v>
      </c>
    </row>
    <row r="54" spans="1:7" x14ac:dyDescent="0.2">
      <c r="A54" s="13" t="s">
        <v>88</v>
      </c>
      <c r="B54" s="14">
        <f t="shared" si="18"/>
        <v>650712.26777340879</v>
      </c>
      <c r="C54" s="14">
        <f t="shared" si="15"/>
        <v>614.82908852973014</v>
      </c>
      <c r="D54" s="14">
        <f t="shared" si="19"/>
        <v>4338.0817851560587</v>
      </c>
      <c r="E54" s="14">
        <f t="shared" si="16"/>
        <v>4952.9108736857888</v>
      </c>
      <c r="F54" s="14">
        <f t="shared" si="17"/>
        <v>650097.4386848791</v>
      </c>
    </row>
    <row r="55" spans="1:7" x14ac:dyDescent="0.2">
      <c r="A55" s="13" t="s">
        <v>89</v>
      </c>
      <c r="B55" s="14">
        <f t="shared" si="18"/>
        <v>650097.4386848791</v>
      </c>
      <c r="C55" s="14">
        <f t="shared" si="15"/>
        <v>618.92794911992769</v>
      </c>
      <c r="D55" s="14">
        <f t="shared" si="19"/>
        <v>4333.9829245658611</v>
      </c>
      <c r="E55" s="14">
        <f t="shared" si="16"/>
        <v>4952.9108736857888</v>
      </c>
      <c r="F55" s="15">
        <f t="shared" si="17"/>
        <v>649478.51073575916</v>
      </c>
      <c r="G55" s="14"/>
    </row>
    <row r="56" spans="1:7" x14ac:dyDescent="0.2">
      <c r="A56" s="16" t="s">
        <v>53</v>
      </c>
      <c r="B56" s="17"/>
      <c r="C56" s="15">
        <f>SUM(C44:C55)</f>
        <v>7162.4943914732166</v>
      </c>
      <c r="D56" s="15">
        <f>SUM(D44:D55)</f>
        <v>52272.436092756252</v>
      </c>
    </row>
    <row r="58" spans="1:7" x14ac:dyDescent="0.2">
      <c r="B58" s="14">
        <f>+F55</f>
        <v>649478.51073575916</v>
      </c>
      <c r="C58" s="14">
        <f t="shared" ref="C58:C69" si="20">+E58-D58</f>
        <v>623.0541354473944</v>
      </c>
      <c r="D58" s="14">
        <f>B58*$I$4/$I$5</f>
        <v>4329.8567382383944</v>
      </c>
      <c r="E58" s="14">
        <f t="shared" ref="E58:E69" si="21">-$I$8</f>
        <v>4952.9108736857888</v>
      </c>
      <c r="F58" s="14">
        <f t="shared" ref="F58:F69" si="22">+B58-C58</f>
        <v>648855.45660031179</v>
      </c>
    </row>
    <row r="59" spans="1:7" x14ac:dyDescent="0.2">
      <c r="B59" s="14">
        <f t="shared" ref="B59:B69" si="23">+F58</f>
        <v>648855.45660031179</v>
      </c>
      <c r="C59" s="14">
        <f t="shared" si="20"/>
        <v>627.20782968370986</v>
      </c>
      <c r="D59" s="14">
        <f t="shared" ref="D59:D69" si="24">B59*$I$4/$I$5</f>
        <v>4325.703044002079</v>
      </c>
      <c r="E59" s="14">
        <f t="shared" si="21"/>
        <v>4952.9108736857888</v>
      </c>
      <c r="F59" s="14">
        <f t="shared" si="22"/>
        <v>648228.24877062812</v>
      </c>
    </row>
    <row r="60" spans="1:7" x14ac:dyDescent="0.2">
      <c r="B60" s="14">
        <f t="shared" si="23"/>
        <v>648228.24877062812</v>
      </c>
      <c r="C60" s="14">
        <f t="shared" si="20"/>
        <v>631.38921521493467</v>
      </c>
      <c r="D60" s="14">
        <f t="shared" si="24"/>
        <v>4321.5216584708542</v>
      </c>
      <c r="E60" s="14">
        <f t="shared" si="21"/>
        <v>4952.9108736857888</v>
      </c>
      <c r="F60" s="14">
        <f t="shared" si="22"/>
        <v>647596.85955541325</v>
      </c>
    </row>
    <row r="61" spans="1:7" x14ac:dyDescent="0.2">
      <c r="B61" s="14">
        <f t="shared" si="23"/>
        <v>647596.85955541325</v>
      </c>
      <c r="C61" s="14">
        <f t="shared" si="20"/>
        <v>635.59847664970039</v>
      </c>
      <c r="D61" s="14">
        <f t="shared" si="24"/>
        <v>4317.3123970360884</v>
      </c>
      <c r="E61" s="14">
        <f t="shared" si="21"/>
        <v>4952.9108736857888</v>
      </c>
      <c r="F61" s="14">
        <f t="shared" si="22"/>
        <v>646961.26107876352</v>
      </c>
    </row>
    <row r="62" spans="1:7" x14ac:dyDescent="0.2">
      <c r="B62" s="14">
        <f t="shared" si="23"/>
        <v>646961.26107876352</v>
      </c>
      <c r="C62" s="14">
        <f t="shared" si="20"/>
        <v>639.83579982736501</v>
      </c>
      <c r="D62" s="14">
        <f t="shared" si="24"/>
        <v>4313.0750738584238</v>
      </c>
      <c r="E62" s="14">
        <f t="shared" si="21"/>
        <v>4952.9108736857888</v>
      </c>
      <c r="F62" s="14">
        <f t="shared" si="22"/>
        <v>646321.42527893616</v>
      </c>
    </row>
    <row r="63" spans="1:7" x14ac:dyDescent="0.2">
      <c r="B63" s="14">
        <f t="shared" si="23"/>
        <v>646321.42527893616</v>
      </c>
      <c r="C63" s="14">
        <f t="shared" si="20"/>
        <v>644.10137182621384</v>
      </c>
      <c r="D63" s="14">
        <f t="shared" si="24"/>
        <v>4308.809501859575</v>
      </c>
      <c r="E63" s="14">
        <f t="shared" si="21"/>
        <v>4952.9108736857888</v>
      </c>
      <c r="F63" s="14">
        <f t="shared" si="22"/>
        <v>645677.32390710991</v>
      </c>
    </row>
    <row r="64" spans="1:7" x14ac:dyDescent="0.2">
      <c r="B64" s="14">
        <f t="shared" si="23"/>
        <v>645677.32390710991</v>
      </c>
      <c r="C64" s="14">
        <f t="shared" si="20"/>
        <v>648.39538097172317</v>
      </c>
      <c r="D64" s="14">
        <f t="shared" si="24"/>
        <v>4304.5154927140657</v>
      </c>
      <c r="E64" s="14">
        <f t="shared" si="21"/>
        <v>4952.9108736857888</v>
      </c>
      <c r="F64" s="14">
        <f t="shared" si="22"/>
        <v>645028.92852613819</v>
      </c>
    </row>
    <row r="65" spans="2:6" x14ac:dyDescent="0.2">
      <c r="B65" s="14">
        <f t="shared" si="23"/>
        <v>645028.92852613819</v>
      </c>
      <c r="C65" s="14">
        <f t="shared" si="20"/>
        <v>652.71801684486763</v>
      </c>
      <c r="D65" s="14">
        <f t="shared" si="24"/>
        <v>4300.1928568409212</v>
      </c>
      <c r="E65" s="14">
        <f t="shared" si="21"/>
        <v>4952.9108736857888</v>
      </c>
      <c r="F65" s="14">
        <f t="shared" si="22"/>
        <v>644376.21050929336</v>
      </c>
    </row>
    <row r="66" spans="2:6" x14ac:dyDescent="0.2">
      <c r="B66" s="14">
        <f t="shared" si="23"/>
        <v>644376.21050929336</v>
      </c>
      <c r="C66" s="14">
        <f t="shared" si="20"/>
        <v>657.06947029049934</v>
      </c>
      <c r="D66" s="14">
        <f t="shared" si="24"/>
        <v>4295.8414033952895</v>
      </c>
      <c r="E66" s="14">
        <f t="shared" si="21"/>
        <v>4952.9108736857888</v>
      </c>
      <c r="F66" s="14">
        <f t="shared" si="22"/>
        <v>643719.14103900292</v>
      </c>
    </row>
    <row r="67" spans="2:6" x14ac:dyDescent="0.2">
      <c r="B67" s="14">
        <f t="shared" si="23"/>
        <v>643719.14103900292</v>
      </c>
      <c r="C67" s="14">
        <f t="shared" si="20"/>
        <v>661.44993342576981</v>
      </c>
      <c r="D67" s="14">
        <f t="shared" si="24"/>
        <v>4291.460940260019</v>
      </c>
      <c r="E67" s="14">
        <f t="shared" si="21"/>
        <v>4952.9108736857888</v>
      </c>
      <c r="F67" s="14">
        <f t="shared" si="22"/>
        <v>643057.69110557716</v>
      </c>
    </row>
    <row r="68" spans="2:6" x14ac:dyDescent="0.2">
      <c r="B68" s="14">
        <f t="shared" si="23"/>
        <v>643057.69110557716</v>
      </c>
      <c r="C68" s="14">
        <f t="shared" si="20"/>
        <v>665.8595996486074</v>
      </c>
      <c r="D68" s="14">
        <f t="shared" si="24"/>
        <v>4287.0512740371814</v>
      </c>
      <c r="E68" s="14">
        <f t="shared" si="21"/>
        <v>4952.9108736857888</v>
      </c>
      <c r="F68" s="14">
        <f t="shared" si="22"/>
        <v>642391.83150592854</v>
      </c>
    </row>
    <row r="69" spans="2:6" x14ac:dyDescent="0.2">
      <c r="B69" s="14">
        <f t="shared" si="23"/>
        <v>642391.83150592854</v>
      </c>
      <c r="C69" s="14">
        <f t="shared" si="20"/>
        <v>670.2986636462656</v>
      </c>
      <c r="D69" s="14">
        <f t="shared" si="24"/>
        <v>4282.6122100395232</v>
      </c>
      <c r="E69" s="14">
        <f t="shared" si="21"/>
        <v>4952.9108736857888</v>
      </c>
      <c r="F69" s="15">
        <f t="shared" si="22"/>
        <v>641721.53284228232</v>
      </c>
    </row>
    <row r="70" spans="2:6" x14ac:dyDescent="0.2">
      <c r="B70" s="17"/>
      <c r="C70" s="15">
        <f>SUM(C58:C69)</f>
        <v>7756.9778934770511</v>
      </c>
      <c r="D70" s="15">
        <f>SUM(D58:D69)</f>
        <v>51677.952590752415</v>
      </c>
    </row>
    <row r="72" spans="2:6" x14ac:dyDescent="0.2">
      <c r="B72" s="14">
        <f>+F69</f>
        <v>641721.53284228232</v>
      </c>
      <c r="C72" s="14">
        <f t="shared" ref="C72:C83" si="25">+E72-D72</f>
        <v>674.76732140390686</v>
      </c>
      <c r="D72" s="14">
        <f>B72*$I$4/$I$5</f>
        <v>4278.143552281882</v>
      </c>
      <c r="E72" s="14">
        <f t="shared" ref="E72:E83" si="26">-$I$8</f>
        <v>4952.9108736857888</v>
      </c>
      <c r="F72" s="14">
        <f t="shared" ref="F72:F83" si="27">+B72-C72</f>
        <v>641046.76552087837</v>
      </c>
    </row>
    <row r="73" spans="2:6" x14ac:dyDescent="0.2">
      <c r="B73" s="14">
        <f t="shared" ref="B73:B83" si="28">+F72</f>
        <v>641046.76552087837</v>
      </c>
      <c r="C73" s="14">
        <f t="shared" si="25"/>
        <v>679.26577021326648</v>
      </c>
      <c r="D73" s="14">
        <f t="shared" ref="D73:D83" si="29">B73*$I$4/$I$5</f>
        <v>4273.6451034725224</v>
      </c>
      <c r="E73" s="14">
        <f t="shared" si="26"/>
        <v>4952.9108736857888</v>
      </c>
      <c r="F73" s="14">
        <f t="shared" si="27"/>
        <v>640367.49975066516</v>
      </c>
    </row>
    <row r="74" spans="2:6" x14ac:dyDescent="0.2">
      <c r="B74" s="14">
        <f t="shared" si="28"/>
        <v>640367.49975066516</v>
      </c>
      <c r="C74" s="14">
        <f t="shared" si="25"/>
        <v>683.79420868135458</v>
      </c>
      <c r="D74" s="14">
        <f t="shared" si="29"/>
        <v>4269.1166650044343</v>
      </c>
      <c r="E74" s="14">
        <f t="shared" si="26"/>
        <v>4952.9108736857888</v>
      </c>
      <c r="F74" s="14">
        <f t="shared" si="27"/>
        <v>639683.70554198383</v>
      </c>
    </row>
    <row r="75" spans="2:6" x14ac:dyDescent="0.2">
      <c r="B75" s="14">
        <f t="shared" si="28"/>
        <v>639683.70554198383</v>
      </c>
      <c r="C75" s="14">
        <f t="shared" si="25"/>
        <v>688.35283673923004</v>
      </c>
      <c r="D75" s="14">
        <f t="shared" si="29"/>
        <v>4264.5580369465588</v>
      </c>
      <c r="E75" s="14">
        <f t="shared" si="26"/>
        <v>4952.9108736857888</v>
      </c>
      <c r="F75" s="14">
        <f t="shared" si="27"/>
        <v>638995.35270524456</v>
      </c>
    </row>
    <row r="76" spans="2:6" x14ac:dyDescent="0.2">
      <c r="B76" s="14">
        <f t="shared" si="28"/>
        <v>638995.35270524456</v>
      </c>
      <c r="C76" s="14">
        <f t="shared" si="25"/>
        <v>692.94185565082535</v>
      </c>
      <c r="D76" s="14">
        <f t="shared" si="29"/>
        <v>4259.9690180349635</v>
      </c>
      <c r="E76" s="14">
        <f t="shared" si="26"/>
        <v>4952.9108736857888</v>
      </c>
      <c r="F76" s="14">
        <f t="shared" si="27"/>
        <v>638302.4108495937</v>
      </c>
    </row>
    <row r="77" spans="2:6" x14ac:dyDescent="0.2">
      <c r="B77" s="14">
        <f t="shared" si="28"/>
        <v>638302.4108495937</v>
      </c>
      <c r="C77" s="14">
        <f t="shared" si="25"/>
        <v>697.56146802183048</v>
      </c>
      <c r="D77" s="14">
        <f t="shared" si="29"/>
        <v>4255.3494056639584</v>
      </c>
      <c r="E77" s="14">
        <f t="shared" si="26"/>
        <v>4952.9108736857888</v>
      </c>
      <c r="F77" s="14">
        <f t="shared" si="27"/>
        <v>637604.84938157187</v>
      </c>
    </row>
    <row r="78" spans="2:6" x14ac:dyDescent="0.2">
      <c r="B78" s="14">
        <f t="shared" si="28"/>
        <v>637604.84938157187</v>
      </c>
      <c r="C78" s="14">
        <f t="shared" si="25"/>
        <v>702.21187780864329</v>
      </c>
      <c r="D78" s="14">
        <f t="shared" si="29"/>
        <v>4250.6989958771455</v>
      </c>
      <c r="E78" s="14">
        <f t="shared" si="26"/>
        <v>4952.9108736857888</v>
      </c>
      <c r="F78" s="14">
        <f t="shared" si="27"/>
        <v>636902.6375037632</v>
      </c>
    </row>
    <row r="79" spans="2:6" x14ac:dyDescent="0.2">
      <c r="B79" s="14">
        <f t="shared" si="28"/>
        <v>636902.6375037632</v>
      </c>
      <c r="C79" s="14">
        <f t="shared" si="25"/>
        <v>706.89329032736714</v>
      </c>
      <c r="D79" s="14">
        <f t="shared" si="29"/>
        <v>4246.0175833584217</v>
      </c>
      <c r="E79" s="14">
        <f t="shared" si="26"/>
        <v>4952.9108736857888</v>
      </c>
      <c r="F79" s="14">
        <f t="shared" si="27"/>
        <v>636195.7442134358</v>
      </c>
    </row>
    <row r="80" spans="2:6" x14ac:dyDescent="0.2">
      <c r="B80" s="14">
        <f t="shared" si="28"/>
        <v>636195.7442134358</v>
      </c>
      <c r="C80" s="14">
        <f t="shared" si="25"/>
        <v>711.60591226288398</v>
      </c>
      <c r="D80" s="14">
        <f t="shared" si="29"/>
        <v>4241.3049614229049</v>
      </c>
      <c r="E80" s="14">
        <f t="shared" si="26"/>
        <v>4952.9108736857888</v>
      </c>
      <c r="F80" s="14">
        <f t="shared" si="27"/>
        <v>635484.13830117288</v>
      </c>
    </row>
    <row r="81" spans="2:6" x14ac:dyDescent="0.2">
      <c r="B81" s="14">
        <f t="shared" si="28"/>
        <v>635484.13830117288</v>
      </c>
      <c r="C81" s="14">
        <f t="shared" si="25"/>
        <v>716.34995167796933</v>
      </c>
      <c r="D81" s="14">
        <f t="shared" si="29"/>
        <v>4236.5609220078195</v>
      </c>
      <c r="E81" s="14">
        <f t="shared" si="26"/>
        <v>4952.9108736857888</v>
      </c>
      <c r="F81" s="14">
        <f t="shared" si="27"/>
        <v>634767.78834949492</v>
      </c>
    </row>
    <row r="82" spans="2:6" x14ac:dyDescent="0.2">
      <c r="B82" s="14">
        <f t="shared" si="28"/>
        <v>634767.78834949492</v>
      </c>
      <c r="C82" s="14">
        <f t="shared" si="25"/>
        <v>721.12561802248911</v>
      </c>
      <c r="D82" s="14">
        <f t="shared" si="29"/>
        <v>4231.7852556632997</v>
      </c>
      <c r="E82" s="14">
        <f t="shared" si="26"/>
        <v>4952.9108736857888</v>
      </c>
      <c r="F82" s="14">
        <f t="shared" si="27"/>
        <v>634046.6627314724</v>
      </c>
    </row>
    <row r="83" spans="2:6" x14ac:dyDescent="0.2">
      <c r="B83" s="14">
        <f t="shared" si="28"/>
        <v>634046.6627314724</v>
      </c>
      <c r="C83" s="14">
        <f t="shared" si="25"/>
        <v>725.93312214263915</v>
      </c>
      <c r="D83" s="14">
        <f t="shared" si="29"/>
        <v>4226.9777515431497</v>
      </c>
      <c r="E83" s="14">
        <f t="shared" si="26"/>
        <v>4952.9108736857888</v>
      </c>
      <c r="F83" s="15">
        <f t="shared" si="27"/>
        <v>633320.72960932972</v>
      </c>
    </row>
    <row r="84" spans="2:6" x14ac:dyDescent="0.2">
      <c r="B84" s="17"/>
      <c r="C84" s="15">
        <f>SUM(C72:C83)</f>
        <v>8400.8032329524067</v>
      </c>
      <c r="D84" s="15">
        <f>SUM(D72:D83)</f>
        <v>51034.127251277059</v>
      </c>
    </row>
    <row r="85" spans="2:6" x14ac:dyDescent="0.2">
      <c r="B85" s="13"/>
      <c r="C85" s="14"/>
      <c r="D85" s="14"/>
      <c r="E85" s="14"/>
      <c r="F85" s="14"/>
    </row>
    <row r="86" spans="2:6" x14ac:dyDescent="0.2">
      <c r="B86" s="14">
        <f>+F83</f>
        <v>633320.72960932972</v>
      </c>
      <c r="C86" s="14">
        <f t="shared" ref="C86:C97" si="30">+E86-D86</f>
        <v>730.77267629025755</v>
      </c>
      <c r="D86" s="14">
        <f>B86*$I$4/$I$5</f>
        <v>4222.1381973955313</v>
      </c>
      <c r="E86" s="14">
        <f t="shared" ref="E86:E97" si="31">-$I$8</f>
        <v>4952.9108736857888</v>
      </c>
      <c r="F86" s="14">
        <f t="shared" ref="F86:F97" si="32">+B86-C86</f>
        <v>632589.95693303947</v>
      </c>
    </row>
    <row r="87" spans="2:6" x14ac:dyDescent="0.2">
      <c r="B87" s="14">
        <f t="shared" ref="B87:B97" si="33">+F86</f>
        <v>632589.95693303947</v>
      </c>
      <c r="C87" s="14">
        <f t="shared" si="30"/>
        <v>735.64449413219245</v>
      </c>
      <c r="D87" s="14">
        <f t="shared" ref="D87:D97" si="34">B87*$I$4/$I$5</f>
        <v>4217.2663795535964</v>
      </c>
      <c r="E87" s="14">
        <f t="shared" si="31"/>
        <v>4952.9108736857888</v>
      </c>
      <c r="F87" s="14">
        <f t="shared" si="32"/>
        <v>631854.31243890733</v>
      </c>
    </row>
    <row r="88" spans="2:6" x14ac:dyDescent="0.2">
      <c r="B88" s="14">
        <f t="shared" si="33"/>
        <v>631854.31243890733</v>
      </c>
      <c r="C88" s="14">
        <f t="shared" si="30"/>
        <v>740.54879075973986</v>
      </c>
      <c r="D88" s="14">
        <f t="shared" si="34"/>
        <v>4212.362082926049</v>
      </c>
      <c r="E88" s="14">
        <f t="shared" si="31"/>
        <v>4952.9108736857888</v>
      </c>
      <c r="F88" s="14">
        <f t="shared" si="32"/>
        <v>631113.76364814758</v>
      </c>
    </row>
    <row r="89" spans="2:6" x14ac:dyDescent="0.2">
      <c r="B89" s="14">
        <f t="shared" si="33"/>
        <v>631113.76364814758</v>
      </c>
      <c r="C89" s="14">
        <f t="shared" si="30"/>
        <v>745.48578269813788</v>
      </c>
      <c r="D89" s="14">
        <f t="shared" si="34"/>
        <v>4207.4250909876509</v>
      </c>
      <c r="E89" s="14">
        <f t="shared" si="31"/>
        <v>4952.9108736857888</v>
      </c>
      <c r="F89" s="14">
        <f t="shared" si="32"/>
        <v>630368.27786544943</v>
      </c>
    </row>
    <row r="90" spans="2:6" x14ac:dyDescent="0.2">
      <c r="B90" s="14">
        <f t="shared" si="33"/>
        <v>630368.27786544943</v>
      </c>
      <c r="C90" s="14">
        <f t="shared" si="30"/>
        <v>750.4556879161255</v>
      </c>
      <c r="D90" s="14">
        <f t="shared" si="34"/>
        <v>4202.4551857696633</v>
      </c>
      <c r="E90" s="14">
        <f t="shared" si="31"/>
        <v>4952.9108736857888</v>
      </c>
      <c r="F90" s="14">
        <f t="shared" si="32"/>
        <v>629617.82217753329</v>
      </c>
    </row>
    <row r="91" spans="2:6" x14ac:dyDescent="0.2">
      <c r="B91" s="14">
        <f t="shared" si="33"/>
        <v>629617.82217753329</v>
      </c>
      <c r="C91" s="14">
        <f t="shared" si="30"/>
        <v>755.45872583556684</v>
      </c>
      <c r="D91" s="14">
        <f t="shared" si="34"/>
        <v>4197.452147850222</v>
      </c>
      <c r="E91" s="14">
        <f t="shared" si="31"/>
        <v>4952.9108736857888</v>
      </c>
      <c r="F91" s="14">
        <f t="shared" si="32"/>
        <v>628862.36345169775</v>
      </c>
    </row>
    <row r="92" spans="2:6" x14ac:dyDescent="0.2">
      <c r="B92" s="14">
        <f t="shared" si="33"/>
        <v>628862.36345169775</v>
      </c>
      <c r="C92" s="14">
        <f t="shared" si="30"/>
        <v>760.4951173411373</v>
      </c>
      <c r="D92" s="14">
        <f t="shared" si="34"/>
        <v>4192.4157563446515</v>
      </c>
      <c r="E92" s="14">
        <f t="shared" si="31"/>
        <v>4952.9108736857888</v>
      </c>
      <c r="F92" s="14">
        <f t="shared" si="32"/>
        <v>628101.86833435658</v>
      </c>
    </row>
    <row r="93" spans="2:6" x14ac:dyDescent="0.2">
      <c r="B93" s="14">
        <f t="shared" si="33"/>
        <v>628101.86833435658</v>
      </c>
      <c r="C93" s="14">
        <f t="shared" si="30"/>
        <v>765.5650847900788</v>
      </c>
      <c r="D93" s="14">
        <f t="shared" si="34"/>
        <v>4187.34578889571</v>
      </c>
      <c r="E93" s="14">
        <f t="shared" si="31"/>
        <v>4952.9108736857888</v>
      </c>
      <c r="F93" s="14">
        <f t="shared" si="32"/>
        <v>627336.30324956647</v>
      </c>
    </row>
    <row r="94" spans="2:6" x14ac:dyDescent="0.2">
      <c r="B94" s="14">
        <f t="shared" si="33"/>
        <v>627336.30324956647</v>
      </c>
      <c r="C94" s="14">
        <f t="shared" si="30"/>
        <v>770.66885202201229</v>
      </c>
      <c r="D94" s="14">
        <f t="shared" si="34"/>
        <v>4182.2420216637765</v>
      </c>
      <c r="E94" s="14">
        <f t="shared" si="31"/>
        <v>4952.9108736857888</v>
      </c>
      <c r="F94" s="14">
        <f t="shared" si="32"/>
        <v>626565.63439754443</v>
      </c>
    </row>
    <row r="95" spans="2:6" x14ac:dyDescent="0.2">
      <c r="B95" s="14">
        <f t="shared" si="33"/>
        <v>626565.63439754443</v>
      </c>
      <c r="C95" s="14">
        <f t="shared" si="30"/>
        <v>775.8066443688258</v>
      </c>
      <c r="D95" s="14">
        <f t="shared" si="34"/>
        <v>4177.104229316963</v>
      </c>
      <c r="E95" s="14">
        <f t="shared" si="31"/>
        <v>4952.9108736857888</v>
      </c>
      <c r="F95" s="14">
        <f t="shared" si="32"/>
        <v>625789.82775317563</v>
      </c>
    </row>
    <row r="96" spans="2:6" x14ac:dyDescent="0.2">
      <c r="B96" s="14">
        <f t="shared" si="33"/>
        <v>625789.82775317563</v>
      </c>
      <c r="C96" s="14">
        <f t="shared" si="30"/>
        <v>780.97868866461795</v>
      </c>
      <c r="D96" s="14">
        <f t="shared" si="34"/>
        <v>4171.9321850211709</v>
      </c>
      <c r="E96" s="14">
        <f t="shared" si="31"/>
        <v>4952.9108736857888</v>
      </c>
      <c r="F96" s="14">
        <f t="shared" si="32"/>
        <v>625008.84906451101</v>
      </c>
    </row>
    <row r="97" spans="2:6" x14ac:dyDescent="0.2">
      <c r="B97" s="14">
        <f t="shared" si="33"/>
        <v>625008.84906451101</v>
      </c>
      <c r="C97" s="14">
        <f t="shared" si="30"/>
        <v>786.1852132557151</v>
      </c>
      <c r="D97" s="14">
        <f t="shared" si="34"/>
        <v>4166.7256604300737</v>
      </c>
      <c r="E97" s="14">
        <f t="shared" si="31"/>
        <v>4952.9108736857888</v>
      </c>
      <c r="F97" s="15">
        <f t="shared" si="32"/>
        <v>624222.66385125532</v>
      </c>
    </row>
    <row r="98" spans="2:6" x14ac:dyDescent="0.2">
      <c r="B98" s="17"/>
      <c r="C98" s="15">
        <f>SUM(C86:C97)</f>
        <v>9098.0657580744082</v>
      </c>
      <c r="D98" s="15">
        <f>SUM(D86:D97)</f>
        <v>50336.864726155058</v>
      </c>
    </row>
    <row r="99" spans="2:6" x14ac:dyDescent="0.2">
      <c r="B99" s="13"/>
      <c r="C99" s="14"/>
      <c r="D99" s="14"/>
      <c r="E99" s="14"/>
      <c r="F99" s="14"/>
    </row>
    <row r="100" spans="2:6" x14ac:dyDescent="0.2">
      <c r="B100" s="14">
        <f>+F97</f>
        <v>624222.66385125532</v>
      </c>
      <c r="C100" s="14">
        <f t="shared" ref="C100:C111" si="35">+E100-D100</f>
        <v>791.42644801075312</v>
      </c>
      <c r="D100" s="14">
        <f>B100*$I$4/$I$5</f>
        <v>4161.4844256750357</v>
      </c>
      <c r="E100" s="14">
        <f t="shared" ref="E100:E111" si="36">-$I$8</f>
        <v>4952.9108736857888</v>
      </c>
      <c r="F100" s="14">
        <f t="shared" ref="F100:F111" si="37">+B100-C100</f>
        <v>623431.2374032446</v>
      </c>
    </row>
    <row r="101" spans="2:6" x14ac:dyDescent="0.2">
      <c r="B101" s="14">
        <f t="shared" ref="B101:B111" si="38">+F100</f>
        <v>623431.2374032446</v>
      </c>
      <c r="C101" s="14">
        <f t="shared" si="35"/>
        <v>796.70262433082462</v>
      </c>
      <c r="D101" s="14">
        <f t="shared" ref="D101:D111" si="39">B101*$I$4/$I$5</f>
        <v>4156.2082493549642</v>
      </c>
      <c r="E101" s="14">
        <f t="shared" si="36"/>
        <v>4952.9108736857888</v>
      </c>
      <c r="F101" s="14">
        <f t="shared" si="37"/>
        <v>622634.53477891372</v>
      </c>
    </row>
    <row r="102" spans="2:6" x14ac:dyDescent="0.2">
      <c r="B102" s="14">
        <f t="shared" si="38"/>
        <v>622634.53477891372</v>
      </c>
      <c r="C102" s="14">
        <f t="shared" si="35"/>
        <v>802.01397515969711</v>
      </c>
      <c r="D102" s="14">
        <f t="shared" si="39"/>
        <v>4150.8968985260917</v>
      </c>
      <c r="E102" s="14">
        <f t="shared" si="36"/>
        <v>4952.9108736857888</v>
      </c>
      <c r="F102" s="14">
        <f t="shared" si="37"/>
        <v>621832.52080375399</v>
      </c>
    </row>
    <row r="103" spans="2:6" x14ac:dyDescent="0.2">
      <c r="B103" s="14">
        <f t="shared" si="38"/>
        <v>621832.52080375399</v>
      </c>
      <c r="C103" s="14">
        <f t="shared" si="35"/>
        <v>807.36073499409576</v>
      </c>
      <c r="D103" s="14">
        <f t="shared" si="39"/>
        <v>4145.5501386916931</v>
      </c>
      <c r="E103" s="14">
        <f t="shared" si="36"/>
        <v>4952.9108736857888</v>
      </c>
      <c r="F103" s="14">
        <f t="shared" si="37"/>
        <v>621025.16006875993</v>
      </c>
    </row>
    <row r="104" spans="2:6" x14ac:dyDescent="0.2">
      <c r="B104" s="14">
        <f t="shared" si="38"/>
        <v>621025.16006875993</v>
      </c>
      <c r="C104" s="14">
        <f t="shared" si="35"/>
        <v>812.74313989405618</v>
      </c>
      <c r="D104" s="14">
        <f t="shared" si="39"/>
        <v>4140.1677337917326</v>
      </c>
      <c r="E104" s="14">
        <f t="shared" si="36"/>
        <v>4952.9108736857888</v>
      </c>
      <c r="F104" s="14">
        <f t="shared" si="37"/>
        <v>620212.41692886583</v>
      </c>
    </row>
    <row r="105" spans="2:6" x14ac:dyDescent="0.2">
      <c r="B105" s="14">
        <f t="shared" si="38"/>
        <v>620212.41692886583</v>
      </c>
      <c r="C105" s="14">
        <f t="shared" si="35"/>
        <v>818.16142749334995</v>
      </c>
      <c r="D105" s="14">
        <f t="shared" si="39"/>
        <v>4134.7494461924389</v>
      </c>
      <c r="E105" s="14">
        <f t="shared" si="36"/>
        <v>4952.9108736857888</v>
      </c>
      <c r="F105" s="14">
        <f t="shared" si="37"/>
        <v>619394.25550137251</v>
      </c>
    </row>
    <row r="106" spans="2:6" x14ac:dyDescent="0.2">
      <c r="B106" s="14">
        <f t="shared" si="38"/>
        <v>619394.25550137251</v>
      </c>
      <c r="C106" s="14">
        <f t="shared" si="35"/>
        <v>823.61583700997198</v>
      </c>
      <c r="D106" s="14">
        <f t="shared" si="39"/>
        <v>4129.2950366758168</v>
      </c>
      <c r="E106" s="14">
        <f t="shared" si="36"/>
        <v>4952.9108736857888</v>
      </c>
      <c r="F106" s="14">
        <f t="shared" si="37"/>
        <v>618570.63966436253</v>
      </c>
    </row>
    <row r="107" spans="2:6" x14ac:dyDescent="0.2">
      <c r="B107" s="14">
        <f t="shared" si="38"/>
        <v>618570.63966436253</v>
      </c>
      <c r="C107" s="14">
        <f t="shared" si="35"/>
        <v>829.10660925670527</v>
      </c>
      <c r="D107" s="14">
        <f t="shared" si="39"/>
        <v>4123.8042644290836</v>
      </c>
      <c r="E107" s="14">
        <f t="shared" si="36"/>
        <v>4952.9108736857888</v>
      </c>
      <c r="F107" s="14">
        <f t="shared" si="37"/>
        <v>617741.53305510583</v>
      </c>
    </row>
    <row r="108" spans="2:6" x14ac:dyDescent="0.2">
      <c r="B108" s="14">
        <f t="shared" si="38"/>
        <v>617741.53305510583</v>
      </c>
      <c r="C108" s="14">
        <f t="shared" si="35"/>
        <v>834.63398665175009</v>
      </c>
      <c r="D108" s="14">
        <f t="shared" si="39"/>
        <v>4118.2768870340387</v>
      </c>
      <c r="E108" s="14">
        <f t="shared" si="36"/>
        <v>4952.9108736857888</v>
      </c>
      <c r="F108" s="14">
        <f t="shared" si="37"/>
        <v>616906.89906845405</v>
      </c>
    </row>
    <row r="109" spans="2:6" x14ac:dyDescent="0.2">
      <c r="B109" s="14">
        <f t="shared" si="38"/>
        <v>616906.89906845405</v>
      </c>
      <c r="C109" s="14">
        <f t="shared" si="35"/>
        <v>840.19821322942789</v>
      </c>
      <c r="D109" s="14">
        <f t="shared" si="39"/>
        <v>4112.7126604563609</v>
      </c>
      <c r="E109" s="14">
        <f t="shared" si="36"/>
        <v>4952.9108736857888</v>
      </c>
      <c r="F109" s="14">
        <f t="shared" si="37"/>
        <v>616066.70085522463</v>
      </c>
    </row>
    <row r="110" spans="2:6" x14ac:dyDescent="0.2">
      <c r="B110" s="14">
        <f t="shared" si="38"/>
        <v>616066.70085522463</v>
      </c>
      <c r="C110" s="14">
        <f t="shared" si="35"/>
        <v>845.79953465095787</v>
      </c>
      <c r="D110" s="14">
        <f t="shared" si="39"/>
        <v>4107.111339034831</v>
      </c>
      <c r="E110" s="14">
        <f t="shared" si="36"/>
        <v>4952.9108736857888</v>
      </c>
      <c r="F110" s="14">
        <f t="shared" si="37"/>
        <v>615220.90132057364</v>
      </c>
    </row>
    <row r="111" spans="2:6" x14ac:dyDescent="0.2">
      <c r="B111" s="14">
        <f t="shared" si="38"/>
        <v>615220.90132057364</v>
      </c>
      <c r="C111" s="14">
        <f t="shared" si="35"/>
        <v>851.43819821529814</v>
      </c>
      <c r="D111" s="14">
        <f t="shared" si="39"/>
        <v>4101.4726754704907</v>
      </c>
      <c r="E111" s="14">
        <f t="shared" si="36"/>
        <v>4952.9108736857888</v>
      </c>
      <c r="F111" s="15">
        <f t="shared" si="37"/>
        <v>614369.46312235831</v>
      </c>
    </row>
    <row r="112" spans="2:6" x14ac:dyDescent="0.2">
      <c r="B112" s="17"/>
      <c r="C112" s="15">
        <f>SUM(C100:C111)</f>
        <v>9853.2007288968889</v>
      </c>
      <c r="D112" s="15">
        <f>SUM(D100:D111)</f>
        <v>49581.729755332577</v>
      </c>
    </row>
    <row r="114" spans="2:6" x14ac:dyDescent="0.2">
      <c r="B114" s="14"/>
      <c r="C114" s="14"/>
      <c r="D114" s="14"/>
      <c r="E114" s="14"/>
      <c r="F114" s="14"/>
    </row>
    <row r="115" spans="2:6" x14ac:dyDescent="0.2">
      <c r="B115" s="14"/>
      <c r="C115" s="14"/>
      <c r="D115" s="14"/>
      <c r="E115" s="14"/>
      <c r="F115" s="14"/>
    </row>
    <row r="116" spans="2:6" x14ac:dyDescent="0.2">
      <c r="B116" s="14"/>
      <c r="C116" s="14"/>
      <c r="D116" s="14"/>
      <c r="E116" s="14"/>
      <c r="F116" s="14"/>
    </row>
    <row r="117" spans="2:6" x14ac:dyDescent="0.2">
      <c r="B117" s="14"/>
      <c r="C117" s="14"/>
      <c r="D117" s="14"/>
      <c r="E117" s="14"/>
      <c r="F117" s="14"/>
    </row>
    <row r="118" spans="2:6" x14ac:dyDescent="0.2">
      <c r="B118" s="14"/>
      <c r="C118" s="14"/>
      <c r="D118" s="14"/>
      <c r="E118" s="14"/>
      <c r="F118" s="14"/>
    </row>
    <row r="119" spans="2:6" x14ac:dyDescent="0.2">
      <c r="B119" s="14"/>
      <c r="C119" s="14"/>
      <c r="D119" s="14"/>
      <c r="E119" s="14"/>
      <c r="F119" s="14"/>
    </row>
    <row r="120" spans="2:6" x14ac:dyDescent="0.2">
      <c r="B120" s="14"/>
      <c r="C120" s="14"/>
      <c r="D120" s="14"/>
      <c r="E120" s="14"/>
      <c r="F120" s="14"/>
    </row>
    <row r="121" spans="2:6" x14ac:dyDescent="0.2">
      <c r="B121" s="14"/>
      <c r="C121" s="14"/>
      <c r="D121" s="14"/>
      <c r="E121" s="14"/>
      <c r="F121" s="14"/>
    </row>
    <row r="122" spans="2:6" x14ac:dyDescent="0.2">
      <c r="B122" s="14"/>
      <c r="C122" s="14"/>
      <c r="D122" s="14"/>
      <c r="E122" s="14"/>
      <c r="F122" s="14"/>
    </row>
    <row r="123" spans="2:6" x14ac:dyDescent="0.2">
      <c r="B123" s="14"/>
      <c r="C123" s="14"/>
      <c r="D123" s="14"/>
      <c r="E123" s="14"/>
      <c r="F123" s="14"/>
    </row>
    <row r="124" spans="2:6" x14ac:dyDescent="0.2">
      <c r="B124" s="14"/>
      <c r="C124" s="14"/>
      <c r="D124" s="14"/>
      <c r="E124" s="14"/>
      <c r="F124" s="14"/>
    </row>
    <row r="125" spans="2:6" x14ac:dyDescent="0.2">
      <c r="B125" s="14"/>
      <c r="C125" s="14"/>
      <c r="D125" s="14"/>
      <c r="E125" s="14"/>
      <c r="F125" s="15"/>
    </row>
    <row r="126" spans="2:6" x14ac:dyDescent="0.2">
      <c r="B126" s="17"/>
      <c r="C126" s="15"/>
      <c r="D126" s="15"/>
    </row>
    <row r="128" spans="2:6" x14ac:dyDescent="0.2">
      <c r="B128" s="14"/>
      <c r="C128" s="14"/>
      <c r="D128" s="14"/>
      <c r="E128" s="14"/>
      <c r="F128" s="14"/>
    </row>
    <row r="129" spans="2:6" x14ac:dyDescent="0.2">
      <c r="B129" s="14"/>
      <c r="C129" s="14"/>
      <c r="D129" s="14"/>
      <c r="E129" s="14"/>
      <c r="F129" s="14"/>
    </row>
    <row r="130" spans="2:6" x14ac:dyDescent="0.2">
      <c r="B130" s="14"/>
      <c r="C130" s="14"/>
      <c r="D130" s="14"/>
      <c r="E130" s="14"/>
      <c r="F130" s="14"/>
    </row>
    <row r="131" spans="2:6" x14ac:dyDescent="0.2">
      <c r="B131" s="14"/>
      <c r="C131" s="14"/>
      <c r="D131" s="14"/>
      <c r="E131" s="14"/>
      <c r="F131" s="14"/>
    </row>
    <row r="132" spans="2:6" x14ac:dyDescent="0.2">
      <c r="B132" s="14"/>
      <c r="C132" s="14"/>
      <c r="D132" s="14"/>
      <c r="E132" s="14"/>
      <c r="F132" s="14"/>
    </row>
    <row r="133" spans="2:6" x14ac:dyDescent="0.2">
      <c r="B133" s="14"/>
      <c r="C133" s="14"/>
      <c r="D133" s="14"/>
      <c r="E133" s="14"/>
      <c r="F133" s="14"/>
    </row>
    <row r="134" spans="2:6" x14ac:dyDescent="0.2">
      <c r="B134" s="14"/>
      <c r="C134" s="14"/>
      <c r="D134" s="14"/>
      <c r="E134" s="14"/>
      <c r="F134" s="14"/>
    </row>
    <row r="135" spans="2:6" x14ac:dyDescent="0.2">
      <c r="B135" s="14"/>
      <c r="C135" s="14"/>
      <c r="D135" s="14"/>
      <c r="E135" s="14"/>
      <c r="F135" s="14"/>
    </row>
    <row r="136" spans="2:6" x14ac:dyDescent="0.2">
      <c r="B136" s="14"/>
      <c r="C136" s="14"/>
      <c r="D136" s="14"/>
      <c r="E136" s="14"/>
      <c r="F136" s="14"/>
    </row>
    <row r="137" spans="2:6" x14ac:dyDescent="0.2">
      <c r="B137" s="14"/>
      <c r="C137" s="14"/>
      <c r="D137" s="14"/>
      <c r="E137" s="14"/>
      <c r="F137" s="14"/>
    </row>
    <row r="138" spans="2:6" x14ac:dyDescent="0.2">
      <c r="B138" s="14"/>
      <c r="C138" s="14"/>
      <c r="D138" s="14"/>
      <c r="E138" s="14"/>
      <c r="F138" s="14"/>
    </row>
    <row r="139" spans="2:6" x14ac:dyDescent="0.2">
      <c r="B139" s="14"/>
      <c r="C139" s="14"/>
      <c r="D139" s="14"/>
      <c r="E139" s="14"/>
      <c r="F139" s="15"/>
    </row>
    <row r="140" spans="2:6" x14ac:dyDescent="0.2">
      <c r="B140" s="16"/>
      <c r="C140" s="15"/>
      <c r="D140" s="15"/>
      <c r="E140" s="14"/>
      <c r="F140" s="14"/>
    </row>
    <row r="141" spans="2:6" x14ac:dyDescent="0.2">
      <c r="B141" s="13"/>
      <c r="C141" s="14"/>
      <c r="D141" s="14"/>
      <c r="E141" s="14"/>
      <c r="F141" s="14"/>
    </row>
    <row r="142" spans="2:6" x14ac:dyDescent="0.2">
      <c r="B142" s="14"/>
      <c r="C142" s="14"/>
      <c r="D142" s="14"/>
      <c r="E142" s="14"/>
      <c r="F142" s="14"/>
    </row>
    <row r="143" spans="2:6" x14ac:dyDescent="0.2">
      <c r="B143" s="14"/>
      <c r="C143" s="14"/>
      <c r="D143" s="14"/>
      <c r="E143" s="14"/>
      <c r="F143" s="14"/>
    </row>
    <row r="144" spans="2:6" x14ac:dyDescent="0.2">
      <c r="B144" s="14"/>
      <c r="C144" s="14"/>
      <c r="D144" s="14"/>
      <c r="E144" s="14"/>
      <c r="F144" s="14"/>
    </row>
    <row r="145" spans="2:6" x14ac:dyDescent="0.2">
      <c r="B145" s="14"/>
      <c r="C145" s="14"/>
      <c r="D145" s="14"/>
      <c r="E145" s="14"/>
      <c r="F145" s="14"/>
    </row>
    <row r="146" spans="2:6" x14ac:dyDescent="0.2">
      <c r="B146" s="14"/>
      <c r="C146" s="14"/>
      <c r="D146" s="14"/>
      <c r="E146" s="14"/>
      <c r="F146" s="14"/>
    </row>
    <row r="147" spans="2:6" x14ac:dyDescent="0.2">
      <c r="B147" s="14"/>
      <c r="C147" s="14"/>
      <c r="D147" s="14"/>
      <c r="E147" s="14"/>
      <c r="F147" s="14"/>
    </row>
    <row r="148" spans="2:6" x14ac:dyDescent="0.2">
      <c r="B148" s="14"/>
      <c r="C148" s="14"/>
      <c r="D148" s="14"/>
      <c r="E148" s="14"/>
      <c r="F148" s="14"/>
    </row>
    <row r="149" spans="2:6" x14ac:dyDescent="0.2">
      <c r="B149" s="14"/>
      <c r="C149" s="14"/>
      <c r="D149" s="14"/>
      <c r="E149" s="14"/>
      <c r="F149" s="14"/>
    </row>
    <row r="150" spans="2:6" x14ac:dyDescent="0.2">
      <c r="B150" s="14"/>
      <c r="C150" s="14"/>
      <c r="D150" s="14"/>
      <c r="E150" s="14"/>
      <c r="F150" s="14"/>
    </row>
    <row r="151" spans="2:6" x14ac:dyDescent="0.2">
      <c r="B151" s="14"/>
      <c r="C151" s="14"/>
      <c r="D151" s="14"/>
      <c r="E151" s="14"/>
      <c r="F151" s="14"/>
    </row>
    <row r="152" spans="2:6" x14ac:dyDescent="0.2">
      <c r="B152" s="14"/>
      <c r="C152" s="14"/>
      <c r="D152" s="14"/>
      <c r="E152" s="14"/>
      <c r="F152" s="14"/>
    </row>
    <row r="153" spans="2:6" x14ac:dyDescent="0.2">
      <c r="B153" s="14"/>
      <c r="C153" s="14"/>
      <c r="D153" s="14"/>
      <c r="E153" s="14"/>
      <c r="F153" s="15"/>
    </row>
    <row r="154" spans="2:6" x14ac:dyDescent="0.2">
      <c r="B154" s="16"/>
      <c r="C154" s="15"/>
      <c r="D154" s="15"/>
      <c r="E154" s="14"/>
      <c r="F154" s="14"/>
    </row>
    <row r="155" spans="2:6" x14ac:dyDescent="0.2">
      <c r="B155" s="13"/>
      <c r="C155" s="14"/>
      <c r="D155" s="14"/>
      <c r="E155" s="14"/>
      <c r="F155" s="14"/>
    </row>
    <row r="156" spans="2:6" x14ac:dyDescent="0.2">
      <c r="B156" s="14"/>
      <c r="C156" s="14"/>
      <c r="D156" s="14"/>
      <c r="E156" s="14"/>
      <c r="F156" s="14"/>
    </row>
    <row r="157" spans="2:6" x14ac:dyDescent="0.2">
      <c r="B157" s="14"/>
      <c r="C157" s="14"/>
      <c r="D157" s="14"/>
      <c r="E157" s="14"/>
      <c r="F157" s="14"/>
    </row>
    <row r="158" spans="2:6" x14ac:dyDescent="0.2">
      <c r="B158" s="14"/>
      <c r="C158" s="14"/>
      <c r="D158" s="14"/>
      <c r="E158" s="14"/>
      <c r="F158" s="14"/>
    </row>
    <row r="159" spans="2:6" x14ac:dyDescent="0.2">
      <c r="B159" s="14"/>
      <c r="C159" s="14"/>
      <c r="D159" s="14"/>
      <c r="E159" s="14"/>
      <c r="F159" s="14"/>
    </row>
    <row r="160" spans="2:6" x14ac:dyDescent="0.2">
      <c r="B160" s="14"/>
      <c r="C160" s="14"/>
      <c r="D160" s="14"/>
      <c r="E160" s="14"/>
      <c r="F160" s="14"/>
    </row>
    <row r="161" spans="2:6" x14ac:dyDescent="0.2">
      <c r="B161" s="14"/>
      <c r="C161" s="14"/>
      <c r="D161" s="14"/>
      <c r="E161" s="14"/>
      <c r="F161" s="14"/>
    </row>
    <row r="162" spans="2:6" x14ac:dyDescent="0.2">
      <c r="B162" s="14"/>
      <c r="C162" s="14"/>
      <c r="D162" s="14"/>
      <c r="E162" s="14"/>
      <c r="F162" s="14"/>
    </row>
    <row r="163" spans="2:6" x14ac:dyDescent="0.2">
      <c r="B163" s="14"/>
      <c r="C163" s="14"/>
      <c r="D163" s="14"/>
      <c r="E163" s="14"/>
      <c r="F163" s="14"/>
    </row>
    <row r="164" spans="2:6" x14ac:dyDescent="0.2">
      <c r="B164" s="14"/>
      <c r="C164" s="14"/>
      <c r="D164" s="14"/>
      <c r="E164" s="14"/>
      <c r="F164" s="14"/>
    </row>
    <row r="165" spans="2:6" x14ac:dyDescent="0.2">
      <c r="B165" s="14"/>
      <c r="C165" s="14"/>
      <c r="D165" s="14"/>
      <c r="E165" s="14"/>
      <c r="F165" s="14"/>
    </row>
    <row r="166" spans="2:6" x14ac:dyDescent="0.2">
      <c r="B166" s="14"/>
      <c r="C166" s="14"/>
      <c r="D166" s="14"/>
      <c r="E166" s="14"/>
      <c r="F166" s="14"/>
    </row>
    <row r="167" spans="2:6" x14ac:dyDescent="0.2">
      <c r="B167" s="14"/>
      <c r="C167" s="14"/>
      <c r="D167" s="14"/>
      <c r="E167" s="14"/>
      <c r="F167" s="15"/>
    </row>
    <row r="168" spans="2:6" x14ac:dyDescent="0.2">
      <c r="B168" s="17"/>
      <c r="C168" s="15"/>
      <c r="D168" s="15"/>
    </row>
    <row r="170" spans="2:6" x14ac:dyDescent="0.2">
      <c r="B170" s="14"/>
      <c r="C170" s="14"/>
      <c r="D170" s="14"/>
      <c r="E170" s="14"/>
      <c r="F170" s="14"/>
    </row>
    <row r="171" spans="2:6" x14ac:dyDescent="0.2">
      <c r="B171" s="14"/>
      <c r="C171" s="14"/>
      <c r="D171" s="14"/>
      <c r="E171" s="14"/>
      <c r="F171" s="14"/>
    </row>
    <row r="172" spans="2:6" x14ac:dyDescent="0.2">
      <c r="B172" s="14"/>
      <c r="C172" s="14"/>
      <c r="D172" s="14"/>
      <c r="E172" s="14"/>
      <c r="F172" s="14"/>
    </row>
    <row r="173" spans="2:6" x14ac:dyDescent="0.2">
      <c r="B173" s="14"/>
      <c r="C173" s="14"/>
      <c r="D173" s="14"/>
      <c r="E173" s="14"/>
      <c r="F173" s="14"/>
    </row>
    <row r="174" spans="2:6" x14ac:dyDescent="0.2">
      <c r="B174" s="14"/>
      <c r="C174" s="14"/>
      <c r="D174" s="14"/>
      <c r="E174" s="14"/>
      <c r="F174" s="14"/>
    </row>
    <row r="175" spans="2:6" x14ac:dyDescent="0.2">
      <c r="B175" s="14"/>
      <c r="C175" s="14"/>
      <c r="D175" s="14"/>
      <c r="E175" s="14"/>
      <c r="F175" s="14"/>
    </row>
    <row r="176" spans="2:6" x14ac:dyDescent="0.2">
      <c r="B176" s="14"/>
      <c r="C176" s="14"/>
      <c r="D176" s="14"/>
      <c r="E176" s="14"/>
      <c r="F176" s="14"/>
    </row>
    <row r="177" spans="2:6" x14ac:dyDescent="0.2">
      <c r="B177" s="14"/>
      <c r="C177" s="14"/>
      <c r="D177" s="14"/>
      <c r="E177" s="14"/>
      <c r="F177" s="14"/>
    </row>
    <row r="178" spans="2:6" x14ac:dyDescent="0.2">
      <c r="B178" s="14"/>
      <c r="C178" s="14"/>
      <c r="D178" s="14"/>
      <c r="E178" s="14"/>
      <c r="F178" s="14"/>
    </row>
    <row r="179" spans="2:6" x14ac:dyDescent="0.2">
      <c r="B179" s="14"/>
      <c r="C179" s="14"/>
      <c r="D179" s="14"/>
      <c r="E179" s="14"/>
      <c r="F179" s="14"/>
    </row>
    <row r="180" spans="2:6" x14ac:dyDescent="0.2">
      <c r="B180" s="14"/>
      <c r="C180" s="14"/>
      <c r="D180" s="14"/>
      <c r="E180" s="14"/>
      <c r="F180" s="14"/>
    </row>
    <row r="181" spans="2:6" x14ac:dyDescent="0.2">
      <c r="B181" s="14"/>
      <c r="C181" s="14"/>
      <c r="D181" s="14"/>
      <c r="E181" s="14"/>
      <c r="F181" s="15"/>
    </row>
    <row r="182" spans="2:6" x14ac:dyDescent="0.2">
      <c r="B182" s="17"/>
      <c r="C182" s="15"/>
      <c r="D182" s="15"/>
    </row>
    <row r="184" spans="2:6" x14ac:dyDescent="0.2">
      <c r="B184" s="14"/>
      <c r="C184" s="14"/>
      <c r="D184" s="14"/>
      <c r="E184" s="14"/>
      <c r="F184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Forecast</vt:lpstr>
      <vt:lpstr>Amortization 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2013-12-02T22:24:06Z</dcterms:created>
  <dcterms:modified xsi:type="dcterms:W3CDTF">2019-07-17T21:30:41Z</dcterms:modified>
</cp:coreProperties>
</file>