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15600" windowHeight="9240" activeTab="3"/>
  </bookViews>
  <sheets>
    <sheet name="Financials" sheetId="1" r:id="rId1"/>
    <sheet name="Sheet3" sheetId="3" state="hidden" r:id="rId2"/>
    <sheet name="Mortgage" sheetId="6" r:id="rId3"/>
    <sheet name="Sources" sheetId="5" r:id="rId4"/>
  </sheets>
  <definedNames>
    <definedName name="_xlnm.Print_Area" localSheetId="0">Financials!$A$1:$Y$209</definedName>
  </definedNames>
  <calcPr calcId="145621"/>
</workbook>
</file>

<file path=xl/calcChain.xml><?xml version="1.0" encoding="utf-8"?>
<calcChain xmlns="http://schemas.openxmlformats.org/spreadsheetml/2006/main">
  <c r="B148" i="1" l="1"/>
  <c r="C208" i="1"/>
  <c r="R108" i="1" l="1"/>
  <c r="D157" i="1" l="1"/>
  <c r="T42" i="1"/>
  <c r="D8" i="1"/>
  <c r="C8" i="1"/>
  <c r="B44" i="1"/>
  <c r="D44" i="1"/>
  <c r="B153" i="1"/>
  <c r="B146" i="1"/>
  <c r="L186" i="1" l="1"/>
  <c r="L187" i="1" s="1"/>
  <c r="L188" i="1" s="1"/>
  <c r="C186" i="1" l="1"/>
  <c r="C202" i="1" s="1"/>
  <c r="B52" i="1"/>
  <c r="D182" i="1" s="1"/>
  <c r="T182" i="1"/>
  <c r="R182" i="1"/>
  <c r="P182" i="1"/>
  <c r="N182" i="1"/>
  <c r="J52" i="1"/>
  <c r="L182" i="1" s="1"/>
  <c r="N186" i="1" l="1"/>
  <c r="N188" i="1" s="1"/>
  <c r="R186" i="1"/>
  <c r="R188" i="1" s="1"/>
  <c r="N197" i="1"/>
  <c r="R197" i="1"/>
  <c r="N198" i="1"/>
  <c r="R198" i="1"/>
  <c r="N199" i="1"/>
  <c r="R199" i="1"/>
  <c r="J199" i="1"/>
  <c r="J198" i="1"/>
  <c r="J197" i="1"/>
  <c r="X186" i="1"/>
  <c r="J186" i="1" s="1"/>
  <c r="J188" i="1" s="1"/>
  <c r="B42" i="1" l="1"/>
  <c r="R44" i="1"/>
  <c r="P44" i="1"/>
  <c r="N44" i="1"/>
  <c r="L44" i="1"/>
  <c r="J44" i="1"/>
  <c r="H44" i="1"/>
  <c r="F44" i="1"/>
  <c r="D42" i="1" l="1"/>
  <c r="F42" i="1" s="1"/>
  <c r="H42" i="1" l="1"/>
  <c r="J42" i="1" s="1"/>
  <c r="L42" i="1" s="1"/>
  <c r="N42" i="1" s="1"/>
  <c r="P42" i="1" s="1"/>
  <c r="R42" i="1" s="1"/>
  <c r="B149" i="1"/>
  <c r="B147" i="1"/>
  <c r="B144" i="1"/>
  <c r="B109" i="1"/>
  <c r="C9" i="1"/>
  <c r="C99" i="1" s="1"/>
  <c r="C10" i="1"/>
  <c r="C93" i="1" s="1"/>
  <c r="D45" i="1"/>
  <c r="D109" i="1" s="1"/>
  <c r="B51" i="1"/>
  <c r="B110" i="1" s="1"/>
  <c r="D51" i="1"/>
  <c r="D110" i="1" s="1"/>
  <c r="F51" i="1"/>
  <c r="F110" i="1" s="1"/>
  <c r="F45" i="1"/>
  <c r="F109" i="1" s="1"/>
  <c r="R81" i="1"/>
  <c r="P81" i="1"/>
  <c r="N81" i="1"/>
  <c r="L81" i="1"/>
  <c r="J81" i="1"/>
  <c r="H81" i="1"/>
  <c r="F81" i="1"/>
  <c r="D81" i="1"/>
  <c r="B65" i="1"/>
  <c r="R65" i="1"/>
  <c r="D9" i="1"/>
  <c r="F9" i="1" s="1"/>
  <c r="D12" i="1"/>
  <c r="F12" i="1" s="1"/>
  <c r="D11" i="1"/>
  <c r="F11" i="1" s="1"/>
  <c r="F8" i="1"/>
  <c r="H8" i="1" s="1"/>
  <c r="D13" i="1"/>
  <c r="F13" i="1" s="1"/>
  <c r="D10" i="1"/>
  <c r="F10" i="1" s="1"/>
  <c r="B69" i="1"/>
  <c r="D52" i="1"/>
  <c r="F182" i="1" s="1"/>
  <c r="F52" i="1"/>
  <c r="H182" i="1" s="1"/>
  <c r="H52" i="1"/>
  <c r="J182" i="1" s="1"/>
  <c r="P65" i="1"/>
  <c r="N65" i="1"/>
  <c r="L65" i="1"/>
  <c r="J65" i="1"/>
  <c r="H65" i="1"/>
  <c r="F65" i="1"/>
  <c r="D65" i="1"/>
  <c r="B28" i="1"/>
  <c r="B66" i="1" s="1"/>
  <c r="B14" i="1"/>
  <c r="B32" i="1" s="1"/>
  <c r="B15" i="1"/>
  <c r="B33" i="1" s="1"/>
  <c r="B16" i="1"/>
  <c r="B34" i="1" s="1"/>
  <c r="B26" i="1"/>
  <c r="B27" i="1"/>
  <c r="F8" i="6"/>
  <c r="B9" i="6"/>
  <c r="D9" i="6" s="1"/>
  <c r="F9" i="6" s="1"/>
  <c r="C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B105" i="6"/>
  <c r="E105" i="6"/>
  <c r="B106" i="6"/>
  <c r="E106" i="6"/>
  <c r="B107" i="6"/>
  <c r="E107" i="6"/>
  <c r="B108" i="6"/>
  <c r="E108" i="6"/>
  <c r="B109" i="6"/>
  <c r="E109" i="6"/>
  <c r="B110" i="6"/>
  <c r="E110" i="6"/>
  <c r="B111" i="6"/>
  <c r="E111" i="6"/>
  <c r="B112" i="6"/>
  <c r="E112" i="6"/>
  <c r="B113" i="6"/>
  <c r="E113" i="6"/>
  <c r="B114" i="6"/>
  <c r="E114" i="6"/>
  <c r="B115" i="6"/>
  <c r="E115" i="6"/>
  <c r="B116" i="6"/>
  <c r="E116" i="6"/>
  <c r="B117" i="6"/>
  <c r="E117" i="6"/>
  <c r="B118" i="6"/>
  <c r="E118" i="6"/>
  <c r="B119" i="6"/>
  <c r="E119" i="6"/>
  <c r="B120" i="6"/>
  <c r="E120" i="6"/>
  <c r="B121" i="6"/>
  <c r="E121" i="6"/>
  <c r="B122" i="6"/>
  <c r="E122" i="6"/>
  <c r="B123" i="6"/>
  <c r="E123" i="6"/>
  <c r="B124" i="6"/>
  <c r="E124" i="6"/>
  <c r="B125" i="6"/>
  <c r="E125" i="6"/>
  <c r="B126" i="6"/>
  <c r="E126" i="6"/>
  <c r="B127" i="6"/>
  <c r="E127" i="6"/>
  <c r="B128" i="6"/>
  <c r="E128" i="6"/>
  <c r="B129" i="6"/>
  <c r="E129" i="6"/>
  <c r="B130" i="6"/>
  <c r="E130" i="6"/>
  <c r="B131" i="6"/>
  <c r="E131" i="6"/>
  <c r="B132" i="6"/>
  <c r="E132" i="6"/>
  <c r="B133" i="6"/>
  <c r="E133" i="6"/>
  <c r="B134" i="6"/>
  <c r="E134" i="6"/>
  <c r="B135" i="6"/>
  <c r="E135" i="6"/>
  <c r="B136" i="6"/>
  <c r="E136" i="6"/>
  <c r="B137" i="6"/>
  <c r="E137" i="6"/>
  <c r="B138" i="6"/>
  <c r="E138" i="6"/>
  <c r="B139" i="6"/>
  <c r="E139" i="6"/>
  <c r="B140" i="6"/>
  <c r="E140" i="6"/>
  <c r="B141" i="6"/>
  <c r="E141" i="6"/>
  <c r="B142" i="6"/>
  <c r="E142" i="6"/>
  <c r="B143" i="6"/>
  <c r="E143" i="6"/>
  <c r="B144" i="6"/>
  <c r="E144" i="6"/>
  <c r="B145" i="6"/>
  <c r="E145" i="6"/>
  <c r="B146" i="6"/>
  <c r="E146" i="6"/>
  <c r="B147" i="6"/>
  <c r="E147" i="6"/>
  <c r="B148" i="6"/>
  <c r="E148" i="6"/>
  <c r="B149" i="6"/>
  <c r="E149" i="6"/>
  <c r="B150" i="6"/>
  <c r="E150" i="6"/>
  <c r="B151" i="6"/>
  <c r="E151" i="6"/>
  <c r="B152" i="6"/>
  <c r="E152" i="6"/>
  <c r="B153" i="6"/>
  <c r="E153" i="6"/>
  <c r="B154" i="6"/>
  <c r="E154" i="6"/>
  <c r="B155" i="6"/>
  <c r="E155" i="6"/>
  <c r="B156" i="6"/>
  <c r="E156" i="6"/>
  <c r="B157" i="6"/>
  <c r="E157" i="6"/>
  <c r="B158" i="6"/>
  <c r="E158" i="6"/>
  <c r="B159" i="6"/>
  <c r="E159" i="6"/>
  <c r="B160" i="6"/>
  <c r="E160" i="6"/>
  <c r="B161" i="6"/>
  <c r="E161" i="6"/>
  <c r="B162" i="6"/>
  <c r="E162" i="6"/>
  <c r="B163" i="6"/>
  <c r="E163" i="6"/>
  <c r="B164" i="6"/>
  <c r="E164" i="6"/>
  <c r="B165" i="6"/>
  <c r="E165" i="6"/>
  <c r="B166" i="6"/>
  <c r="E166" i="6"/>
  <c r="B167" i="6"/>
  <c r="E167" i="6"/>
  <c r="B168" i="6"/>
  <c r="E168" i="6"/>
  <c r="B169" i="6"/>
  <c r="E169" i="6"/>
  <c r="B170" i="6"/>
  <c r="E170" i="6"/>
  <c r="B171" i="6"/>
  <c r="E171" i="6"/>
  <c r="B172" i="6"/>
  <c r="E172" i="6"/>
  <c r="B173" i="6"/>
  <c r="E173" i="6"/>
  <c r="B174" i="6"/>
  <c r="E174" i="6"/>
  <c r="B175" i="6"/>
  <c r="E175" i="6"/>
  <c r="B176" i="6"/>
  <c r="E176" i="6"/>
  <c r="B177" i="6"/>
  <c r="E177" i="6"/>
  <c r="B178" i="6"/>
  <c r="E178" i="6"/>
  <c r="B179" i="6"/>
  <c r="E179" i="6"/>
  <c r="B180" i="6"/>
  <c r="E180" i="6"/>
  <c r="B181" i="6"/>
  <c r="E181" i="6"/>
  <c r="B182" i="6"/>
  <c r="E182" i="6"/>
  <c r="B183" i="6"/>
  <c r="E183" i="6"/>
  <c r="B184" i="6"/>
  <c r="E184" i="6"/>
  <c r="B185" i="6"/>
  <c r="E185" i="6"/>
  <c r="B186" i="6"/>
  <c r="E186" i="6"/>
  <c r="B187" i="6"/>
  <c r="E187" i="6"/>
  <c r="B188" i="6"/>
  <c r="E188" i="6"/>
  <c r="B189" i="6"/>
  <c r="E189" i="6"/>
  <c r="B190" i="6"/>
  <c r="E190" i="6"/>
  <c r="B191" i="6"/>
  <c r="E191" i="6"/>
  <c r="B192" i="6"/>
  <c r="E192" i="6"/>
  <c r="B193" i="6"/>
  <c r="E193" i="6"/>
  <c r="B194" i="6"/>
  <c r="E194" i="6"/>
  <c r="B195" i="6"/>
  <c r="E195" i="6"/>
  <c r="B196" i="6"/>
  <c r="E196" i="6"/>
  <c r="B197" i="6"/>
  <c r="E197" i="6"/>
  <c r="B198" i="6"/>
  <c r="E198" i="6"/>
  <c r="B199" i="6"/>
  <c r="E199" i="6"/>
  <c r="B200" i="6"/>
  <c r="E200" i="6"/>
  <c r="B201" i="6"/>
  <c r="E201" i="6"/>
  <c r="B202" i="6"/>
  <c r="E202" i="6"/>
  <c r="B203" i="6"/>
  <c r="E203" i="6"/>
  <c r="B204" i="6"/>
  <c r="E204" i="6"/>
  <c r="B205" i="6"/>
  <c r="E205" i="6"/>
  <c r="B206" i="6"/>
  <c r="E206" i="6"/>
  <c r="B207" i="6"/>
  <c r="E207" i="6"/>
  <c r="B208" i="6"/>
  <c r="E208" i="6"/>
  <c r="B209" i="6"/>
  <c r="E209" i="6"/>
  <c r="B210" i="6"/>
  <c r="E210" i="6"/>
  <c r="B211" i="6"/>
  <c r="E211" i="6"/>
  <c r="B212" i="6"/>
  <c r="E212" i="6"/>
  <c r="B213" i="6"/>
  <c r="E213" i="6"/>
  <c r="B214" i="6"/>
  <c r="E214" i="6"/>
  <c r="B215" i="6"/>
  <c r="E215" i="6"/>
  <c r="B216" i="6"/>
  <c r="E216" i="6"/>
  <c r="B217" i="6"/>
  <c r="E217" i="6"/>
  <c r="B218" i="6"/>
  <c r="E218" i="6"/>
  <c r="B219" i="6"/>
  <c r="E219" i="6"/>
  <c r="B220" i="6"/>
  <c r="E220" i="6"/>
  <c r="B221" i="6"/>
  <c r="E221" i="6"/>
  <c r="B222" i="6"/>
  <c r="E222" i="6"/>
  <c r="B223" i="6"/>
  <c r="E223" i="6"/>
  <c r="B224" i="6"/>
  <c r="E224" i="6"/>
  <c r="B225" i="6"/>
  <c r="E225" i="6"/>
  <c r="B226" i="6"/>
  <c r="E226" i="6"/>
  <c r="B227" i="6"/>
  <c r="E227" i="6"/>
  <c r="B228" i="6"/>
  <c r="E228" i="6"/>
  <c r="B229" i="6"/>
  <c r="E229" i="6"/>
  <c r="B230" i="6"/>
  <c r="E230" i="6"/>
  <c r="B231" i="6"/>
  <c r="E231" i="6"/>
  <c r="B232" i="6"/>
  <c r="E232" i="6"/>
  <c r="B233" i="6"/>
  <c r="E233" i="6"/>
  <c r="B234" i="6"/>
  <c r="E234" i="6"/>
  <c r="B235" i="6"/>
  <c r="E235" i="6"/>
  <c r="B236" i="6"/>
  <c r="E236" i="6"/>
  <c r="B237" i="6"/>
  <c r="E237" i="6"/>
  <c r="B238" i="6"/>
  <c r="E238" i="6"/>
  <c r="B239" i="6"/>
  <c r="E239" i="6"/>
  <c r="B240" i="6"/>
  <c r="E240" i="6"/>
  <c r="B241" i="6"/>
  <c r="E241" i="6"/>
  <c r="B242" i="6"/>
  <c r="E242" i="6"/>
  <c r="B243" i="6"/>
  <c r="E243" i="6"/>
  <c r="B244" i="6"/>
  <c r="E244" i="6"/>
  <c r="B245" i="6"/>
  <c r="E245" i="6"/>
  <c r="B246" i="6"/>
  <c r="E246" i="6"/>
  <c r="B247" i="6"/>
  <c r="E247" i="6"/>
  <c r="B248" i="6"/>
  <c r="E248" i="6"/>
  <c r="B249" i="6"/>
  <c r="E249" i="6"/>
  <c r="B250" i="6"/>
  <c r="E250" i="6"/>
  <c r="B251" i="6"/>
  <c r="E251" i="6"/>
  <c r="B252" i="6"/>
  <c r="E252" i="6"/>
  <c r="B253" i="6"/>
  <c r="E253" i="6"/>
  <c r="B254" i="6"/>
  <c r="E254" i="6"/>
  <c r="B255" i="6"/>
  <c r="E255" i="6"/>
  <c r="B256" i="6"/>
  <c r="E256" i="6"/>
  <c r="B257" i="6"/>
  <c r="E257" i="6"/>
  <c r="B258" i="6"/>
  <c r="E258" i="6"/>
  <c r="B259" i="6"/>
  <c r="E259" i="6"/>
  <c r="B260" i="6"/>
  <c r="E260" i="6"/>
  <c r="B261" i="6"/>
  <c r="E261" i="6"/>
  <c r="B262" i="6"/>
  <c r="E262" i="6"/>
  <c r="B263" i="6"/>
  <c r="E263" i="6"/>
  <c r="B264" i="6"/>
  <c r="E264" i="6"/>
  <c r="B265" i="6"/>
  <c r="E265" i="6"/>
  <c r="B266" i="6"/>
  <c r="E266" i="6"/>
  <c r="B267" i="6"/>
  <c r="E267" i="6"/>
  <c r="B268" i="6"/>
  <c r="E268" i="6"/>
  <c r="B269" i="6"/>
  <c r="E269" i="6"/>
  <c r="B270" i="6"/>
  <c r="E270" i="6"/>
  <c r="B271" i="6"/>
  <c r="E271" i="6"/>
  <c r="B272" i="6"/>
  <c r="E272" i="6"/>
  <c r="B273" i="6"/>
  <c r="E273" i="6"/>
  <c r="B274" i="6"/>
  <c r="E274" i="6"/>
  <c r="B275" i="6"/>
  <c r="E275" i="6"/>
  <c r="B276" i="6"/>
  <c r="E276" i="6"/>
  <c r="B277" i="6"/>
  <c r="E277" i="6"/>
  <c r="B278" i="6"/>
  <c r="E278" i="6"/>
  <c r="B279" i="6"/>
  <c r="E279" i="6"/>
  <c r="B280" i="6"/>
  <c r="E280" i="6"/>
  <c r="B281" i="6"/>
  <c r="E281" i="6"/>
  <c r="B282" i="6"/>
  <c r="E282" i="6"/>
  <c r="B283" i="6"/>
  <c r="E283" i="6"/>
  <c r="B284" i="6"/>
  <c r="E284" i="6"/>
  <c r="B285" i="6"/>
  <c r="E285" i="6"/>
  <c r="B286" i="6"/>
  <c r="E286" i="6"/>
  <c r="B287" i="6"/>
  <c r="E287" i="6"/>
  <c r="B288" i="6"/>
  <c r="E288" i="6"/>
  <c r="B289" i="6"/>
  <c r="E289" i="6"/>
  <c r="B290" i="6"/>
  <c r="E290" i="6"/>
  <c r="B291" i="6"/>
  <c r="E291" i="6"/>
  <c r="B292" i="6"/>
  <c r="E292" i="6"/>
  <c r="B293" i="6"/>
  <c r="E293" i="6"/>
  <c r="B294" i="6"/>
  <c r="E294" i="6"/>
  <c r="B295" i="6"/>
  <c r="E295" i="6"/>
  <c r="B296" i="6"/>
  <c r="E296" i="6"/>
  <c r="B297" i="6"/>
  <c r="E297" i="6"/>
  <c r="B298" i="6"/>
  <c r="E298" i="6"/>
  <c r="B299" i="6"/>
  <c r="E299" i="6"/>
  <c r="B300" i="6"/>
  <c r="E300" i="6"/>
  <c r="B301" i="6"/>
  <c r="E301" i="6"/>
  <c r="B302" i="6"/>
  <c r="E302" i="6"/>
  <c r="B303" i="6"/>
  <c r="E303" i="6"/>
  <c r="B304" i="6"/>
  <c r="E304" i="6"/>
  <c r="B305" i="6"/>
  <c r="E305" i="6"/>
  <c r="B306" i="6"/>
  <c r="E306" i="6"/>
  <c r="B307" i="6"/>
  <c r="E307" i="6"/>
  <c r="B308" i="6"/>
  <c r="E308" i="6"/>
  <c r="B309" i="6"/>
  <c r="E309" i="6"/>
  <c r="B310" i="6"/>
  <c r="E310" i="6"/>
  <c r="B311" i="6"/>
  <c r="E311" i="6"/>
  <c r="B312" i="6"/>
  <c r="E312" i="6"/>
  <c r="B313" i="6"/>
  <c r="E313" i="6"/>
  <c r="B314" i="6"/>
  <c r="E314" i="6"/>
  <c r="B315" i="6"/>
  <c r="E315" i="6"/>
  <c r="B316" i="6"/>
  <c r="E316" i="6"/>
  <c r="B317" i="6"/>
  <c r="E317" i="6"/>
  <c r="B318" i="6"/>
  <c r="E318" i="6"/>
  <c r="B319" i="6"/>
  <c r="E319" i="6"/>
  <c r="B320" i="6"/>
  <c r="E320" i="6"/>
  <c r="B321" i="6"/>
  <c r="E321" i="6"/>
  <c r="B322" i="6"/>
  <c r="E322" i="6"/>
  <c r="B323" i="6"/>
  <c r="E323" i="6"/>
  <c r="B324" i="6"/>
  <c r="E324" i="6"/>
  <c r="B325" i="6"/>
  <c r="E325" i="6"/>
  <c r="B326" i="6"/>
  <c r="E326" i="6"/>
  <c r="B327" i="6"/>
  <c r="E327" i="6"/>
  <c r="B328" i="6"/>
  <c r="E328" i="6"/>
  <c r="B329" i="6"/>
  <c r="E329" i="6"/>
  <c r="B330" i="6"/>
  <c r="E330" i="6"/>
  <c r="B331" i="6"/>
  <c r="E331" i="6"/>
  <c r="B332" i="6"/>
  <c r="E332" i="6"/>
  <c r="B333" i="6"/>
  <c r="E333" i="6"/>
  <c r="B334" i="6"/>
  <c r="E334" i="6"/>
  <c r="B335" i="6"/>
  <c r="E335" i="6"/>
  <c r="B336" i="6"/>
  <c r="E336" i="6"/>
  <c r="B337" i="6"/>
  <c r="E337" i="6"/>
  <c r="B338" i="6"/>
  <c r="E338" i="6"/>
  <c r="B339" i="6"/>
  <c r="E339" i="6"/>
  <c r="B340" i="6"/>
  <c r="E340" i="6"/>
  <c r="B341" i="6"/>
  <c r="E341" i="6"/>
  <c r="B342" i="6"/>
  <c r="E342" i="6"/>
  <c r="B343" i="6"/>
  <c r="E343" i="6"/>
  <c r="B344" i="6"/>
  <c r="E344" i="6"/>
  <c r="B345" i="6"/>
  <c r="E345" i="6"/>
  <c r="B346" i="6"/>
  <c r="E346" i="6"/>
  <c r="B347" i="6"/>
  <c r="E347" i="6"/>
  <c r="B348" i="6"/>
  <c r="E348" i="6"/>
  <c r="B349" i="6"/>
  <c r="E349" i="6"/>
  <c r="B350" i="6"/>
  <c r="E350" i="6"/>
  <c r="B351" i="6"/>
  <c r="E351" i="6"/>
  <c r="B352" i="6"/>
  <c r="E352" i="6"/>
  <c r="B353" i="6"/>
  <c r="E353" i="6"/>
  <c r="B354" i="6"/>
  <c r="E354" i="6"/>
  <c r="B355" i="6"/>
  <c r="E355" i="6"/>
  <c r="B356" i="6"/>
  <c r="E356" i="6"/>
  <c r="B357" i="6"/>
  <c r="E357" i="6"/>
  <c r="B358" i="6"/>
  <c r="E358" i="6"/>
  <c r="B359" i="6"/>
  <c r="E359" i="6"/>
  <c r="B360" i="6"/>
  <c r="E360" i="6"/>
  <c r="B361" i="6"/>
  <c r="E361" i="6"/>
  <c r="B362" i="6"/>
  <c r="E362" i="6"/>
  <c r="B363" i="6"/>
  <c r="E363" i="6"/>
  <c r="B364" i="6"/>
  <c r="E364" i="6"/>
  <c r="B365" i="6"/>
  <c r="E365" i="6"/>
  <c r="B366" i="6"/>
  <c r="E366" i="6"/>
  <c r="B367" i="6"/>
  <c r="E367" i="6"/>
  <c r="B368" i="6"/>
  <c r="E368" i="6"/>
  <c r="B369" i="6"/>
  <c r="E369" i="6"/>
  <c r="B370" i="6"/>
  <c r="E370" i="6"/>
  <c r="D39" i="1"/>
  <c r="F39" i="1" s="1"/>
  <c r="H39" i="1" s="1"/>
  <c r="C91" i="1"/>
  <c r="B101" i="1"/>
  <c r="B91" i="1"/>
  <c r="B92" i="1"/>
  <c r="B93" i="1"/>
  <c r="B106" i="1"/>
  <c r="B108" i="1"/>
  <c r="B107" i="1"/>
  <c r="D38" i="1"/>
  <c r="R39" i="1"/>
  <c r="R106" i="1" s="1"/>
  <c r="R51" i="1"/>
  <c r="R110" i="1" s="1"/>
  <c r="D40" i="1"/>
  <c r="D107" i="1" s="1"/>
  <c r="R45" i="1"/>
  <c r="R109" i="1" s="1"/>
  <c r="P108" i="1"/>
  <c r="P51" i="1"/>
  <c r="P110" i="1" s="1"/>
  <c r="P45" i="1"/>
  <c r="P109" i="1" s="1"/>
  <c r="N108" i="1"/>
  <c r="N51" i="1"/>
  <c r="N110" i="1" s="1"/>
  <c r="N45" i="1"/>
  <c r="N109" i="1" s="1"/>
  <c r="L108" i="1"/>
  <c r="L51" i="1"/>
  <c r="L110" i="1" s="1"/>
  <c r="L45" i="1"/>
  <c r="L109" i="1" s="1"/>
  <c r="J108" i="1"/>
  <c r="J51" i="1"/>
  <c r="J110" i="1" s="1"/>
  <c r="J109" i="1"/>
  <c r="H109" i="1"/>
  <c r="H108" i="1"/>
  <c r="H51" i="1"/>
  <c r="H110" i="1" s="1"/>
  <c r="F108" i="1"/>
  <c r="D108" i="1"/>
  <c r="R21" i="1"/>
  <c r="P21" i="1"/>
  <c r="N21" i="1"/>
  <c r="L21" i="1"/>
  <c r="J21" i="1"/>
  <c r="H21" i="1"/>
  <c r="F21" i="1"/>
  <c r="D21" i="1"/>
  <c r="B19" i="1"/>
  <c r="F117" i="1"/>
  <c r="H117" i="1"/>
  <c r="J117" i="1"/>
  <c r="L117" i="1"/>
  <c r="N117" i="1"/>
  <c r="P117" i="1"/>
  <c r="R117" i="1"/>
  <c r="D117" i="1"/>
  <c r="B117" i="1"/>
  <c r="F89" i="1"/>
  <c r="D89" i="1"/>
  <c r="H89" i="1"/>
  <c r="J89" i="1"/>
  <c r="L89" i="1"/>
  <c r="N89" i="1"/>
  <c r="P89" i="1"/>
  <c r="R89" i="1"/>
  <c r="B89" i="1"/>
  <c r="J19" i="1"/>
  <c r="L19" i="1"/>
  <c r="N19" i="1"/>
  <c r="P19" i="1"/>
  <c r="R19" i="1"/>
  <c r="D19" i="1"/>
  <c r="F19" i="1"/>
  <c r="H19" i="1"/>
  <c r="C10" i="6" l="1"/>
  <c r="D10" i="6" s="1"/>
  <c r="D191" i="1"/>
  <c r="D92" i="1"/>
  <c r="D26" i="1"/>
  <c r="D93" i="1"/>
  <c r="D15" i="1"/>
  <c r="D99" i="1" s="1"/>
  <c r="B98" i="1"/>
  <c r="D148" i="1"/>
  <c r="B100" i="1"/>
  <c r="H13" i="1"/>
  <c r="J13" i="1" s="1"/>
  <c r="F16" i="1"/>
  <c r="F100" i="1" s="1"/>
  <c r="F93" i="1"/>
  <c r="D16" i="1"/>
  <c r="D100" i="1" s="1"/>
  <c r="D69" i="1"/>
  <c r="F69" i="1" s="1"/>
  <c r="B99" i="1"/>
  <c r="D14" i="1"/>
  <c r="D98" i="1" s="1"/>
  <c r="D28" i="1"/>
  <c r="C98" i="1"/>
  <c r="C100" i="1"/>
  <c r="B29" i="1"/>
  <c r="B43" i="1" s="1"/>
  <c r="B47" i="1" s="1"/>
  <c r="B35" i="1"/>
  <c r="B67" i="1" s="1"/>
  <c r="H10" i="1"/>
  <c r="J10" i="1" s="1"/>
  <c r="F28" i="1"/>
  <c r="F91" i="1"/>
  <c r="H11" i="1"/>
  <c r="H26" i="1" s="1"/>
  <c r="F14" i="1"/>
  <c r="D101" i="1"/>
  <c r="F26" i="1"/>
  <c r="D106" i="1"/>
  <c r="D91" i="1"/>
  <c r="C92" i="1"/>
  <c r="D146" i="1"/>
  <c r="D27" i="1"/>
  <c r="D66" i="1" s="1"/>
  <c r="J8" i="1"/>
  <c r="H106" i="1"/>
  <c r="J39" i="1"/>
  <c r="F15" i="1"/>
  <c r="F92" i="1"/>
  <c r="H12" i="1"/>
  <c r="F27" i="1"/>
  <c r="H9" i="1"/>
  <c r="F106" i="1"/>
  <c r="F40" i="1"/>
  <c r="F38" i="1"/>
  <c r="B164" i="1"/>
  <c r="B166" i="1" s="1"/>
  <c r="B168" i="1" s="1"/>
  <c r="B95" i="1" l="1"/>
  <c r="F10" i="6"/>
  <c r="D192" i="1"/>
  <c r="F191" i="1"/>
  <c r="D33" i="1"/>
  <c r="B49" i="1"/>
  <c r="B75" i="1"/>
  <c r="D193" i="1" s="1"/>
  <c r="F95" i="1"/>
  <c r="H93" i="1"/>
  <c r="D34" i="1"/>
  <c r="H16" i="1"/>
  <c r="H100" i="1" s="1"/>
  <c r="B151" i="1"/>
  <c r="B159" i="1" s="1"/>
  <c r="D32" i="1"/>
  <c r="J93" i="1"/>
  <c r="J16" i="1"/>
  <c r="J34" i="1" s="1"/>
  <c r="L13" i="1"/>
  <c r="L16" i="1" s="1"/>
  <c r="D29" i="1"/>
  <c r="B123" i="1"/>
  <c r="D95" i="1"/>
  <c r="D103" i="1" s="1"/>
  <c r="D112" i="1" s="1"/>
  <c r="F34" i="1"/>
  <c r="B125" i="1"/>
  <c r="B71" i="1"/>
  <c r="B134" i="1" s="1"/>
  <c r="H28" i="1"/>
  <c r="B103" i="1"/>
  <c r="B112" i="1" s="1"/>
  <c r="F32" i="1"/>
  <c r="F98" i="1"/>
  <c r="J11" i="1"/>
  <c r="J26" i="1" s="1"/>
  <c r="H14" i="1"/>
  <c r="H91" i="1"/>
  <c r="L10" i="1"/>
  <c r="J28" i="1"/>
  <c r="F101" i="1"/>
  <c r="H38" i="1"/>
  <c r="J12" i="1"/>
  <c r="H92" i="1"/>
  <c r="H15" i="1"/>
  <c r="L39" i="1"/>
  <c r="J106" i="1"/>
  <c r="F107" i="1"/>
  <c r="H40" i="1"/>
  <c r="J9" i="1"/>
  <c r="H27" i="1"/>
  <c r="H66" i="1" s="1"/>
  <c r="L8" i="1"/>
  <c r="F66" i="1"/>
  <c r="H191" i="1" s="1"/>
  <c r="F29" i="1"/>
  <c r="F99" i="1"/>
  <c r="F33" i="1"/>
  <c r="H69" i="1"/>
  <c r="B113" i="1" l="1"/>
  <c r="B114" i="1"/>
  <c r="D113" i="1"/>
  <c r="D114" i="1"/>
  <c r="C11" i="6"/>
  <c r="D43" i="1"/>
  <c r="D47" i="1" s="1"/>
  <c r="J191" i="1"/>
  <c r="C204" i="1"/>
  <c r="B55" i="1"/>
  <c r="B56" i="1" s="1"/>
  <c r="B76" i="1" s="1"/>
  <c r="B78" i="1" s="1"/>
  <c r="B120" i="1" s="1"/>
  <c r="D180" i="1"/>
  <c r="D123" i="1"/>
  <c r="D35" i="1"/>
  <c r="D67" i="1" s="1"/>
  <c r="H34" i="1"/>
  <c r="J100" i="1"/>
  <c r="B170" i="1"/>
  <c r="L93" i="1"/>
  <c r="N13" i="1"/>
  <c r="N16" i="1" s="1"/>
  <c r="F35" i="1"/>
  <c r="F75" i="1" s="1"/>
  <c r="F123" i="1"/>
  <c r="H32" i="1"/>
  <c r="H98" i="1"/>
  <c r="F103" i="1"/>
  <c r="F112" i="1" s="1"/>
  <c r="H95" i="1"/>
  <c r="L11" i="1"/>
  <c r="L26" i="1" s="1"/>
  <c r="J91" i="1"/>
  <c r="J14" i="1"/>
  <c r="F43" i="1"/>
  <c r="F47" i="1" s="1"/>
  <c r="N8" i="1"/>
  <c r="J40" i="1"/>
  <c r="H107" i="1"/>
  <c r="L106" i="1"/>
  <c r="N39" i="1"/>
  <c r="J38" i="1"/>
  <c r="H101" i="1"/>
  <c r="L28" i="1"/>
  <c r="N10" i="1"/>
  <c r="J69" i="1"/>
  <c r="H33" i="1"/>
  <c r="H99" i="1"/>
  <c r="L9" i="1"/>
  <c r="J27" i="1"/>
  <c r="J66" i="1" s="1"/>
  <c r="H29" i="1"/>
  <c r="H123" i="1" s="1"/>
  <c r="J92" i="1"/>
  <c r="L12" i="1"/>
  <c r="J15" i="1"/>
  <c r="L100" i="1"/>
  <c r="L34" i="1"/>
  <c r="F113" i="1" l="1"/>
  <c r="F114" i="1"/>
  <c r="D11" i="6"/>
  <c r="D49" i="1"/>
  <c r="F180" i="1" s="1"/>
  <c r="D71" i="1"/>
  <c r="D134" i="1" s="1"/>
  <c r="F192" i="1"/>
  <c r="L191" i="1"/>
  <c r="B58" i="1"/>
  <c r="B126" i="1" s="1"/>
  <c r="B121" i="1"/>
  <c r="B124" i="1"/>
  <c r="D181" i="1"/>
  <c r="D194" i="1" s="1"/>
  <c r="D75" i="1"/>
  <c r="F193" i="1" s="1"/>
  <c r="P13" i="1"/>
  <c r="P16" i="1" s="1"/>
  <c r="N93" i="1"/>
  <c r="H103" i="1"/>
  <c r="H112" i="1" s="1"/>
  <c r="H35" i="1"/>
  <c r="H67" i="1" s="1"/>
  <c r="F67" i="1"/>
  <c r="F71" i="1" s="1"/>
  <c r="F134" i="1" s="1"/>
  <c r="F49" i="1"/>
  <c r="J95" i="1"/>
  <c r="J98" i="1"/>
  <c r="J32" i="1"/>
  <c r="D125" i="1"/>
  <c r="L91" i="1"/>
  <c r="N11" i="1"/>
  <c r="N26" i="1" s="1"/>
  <c r="L14" i="1"/>
  <c r="N28" i="1"/>
  <c r="P10" i="1"/>
  <c r="N9" i="1"/>
  <c r="L27" i="1"/>
  <c r="L66" i="1" s="1"/>
  <c r="J107" i="1"/>
  <c r="L40" i="1"/>
  <c r="J33" i="1"/>
  <c r="J99" i="1"/>
  <c r="N100" i="1"/>
  <c r="N34" i="1"/>
  <c r="N106" i="1"/>
  <c r="P39" i="1"/>
  <c r="P106" i="1" s="1"/>
  <c r="N12" i="1"/>
  <c r="L15" i="1"/>
  <c r="L92" i="1"/>
  <c r="H43" i="1"/>
  <c r="H47" i="1" s="1"/>
  <c r="R13" i="1"/>
  <c r="L69" i="1"/>
  <c r="P8" i="1"/>
  <c r="J29" i="1"/>
  <c r="J101" i="1"/>
  <c r="L38" i="1"/>
  <c r="H113" i="1" l="1"/>
  <c r="H114" i="1"/>
  <c r="F11" i="6"/>
  <c r="D55" i="1"/>
  <c r="D56" i="1" s="1"/>
  <c r="D76" i="1" s="1"/>
  <c r="D124" i="1" s="1"/>
  <c r="H193" i="1"/>
  <c r="P93" i="1"/>
  <c r="H71" i="1"/>
  <c r="H134" i="1" s="1"/>
  <c r="F125" i="1"/>
  <c r="J192" i="1"/>
  <c r="H192" i="1"/>
  <c r="N191" i="1"/>
  <c r="B82" i="1"/>
  <c r="B132" i="1"/>
  <c r="D183" i="1"/>
  <c r="D202" i="1" s="1"/>
  <c r="D204" i="1" s="1"/>
  <c r="F55" i="1"/>
  <c r="F56" i="1" s="1"/>
  <c r="F76" i="1" s="1"/>
  <c r="F124" i="1" s="1"/>
  <c r="H180" i="1"/>
  <c r="F181" i="1"/>
  <c r="F194" i="1" s="1"/>
  <c r="H75" i="1"/>
  <c r="J193" i="1" s="1"/>
  <c r="H49" i="1"/>
  <c r="J103" i="1"/>
  <c r="J112" i="1" s="1"/>
  <c r="L95" i="1"/>
  <c r="L32" i="1"/>
  <c r="L98" i="1"/>
  <c r="J35" i="1"/>
  <c r="J75" i="1" s="1"/>
  <c r="P11" i="1"/>
  <c r="N14" i="1"/>
  <c r="N91" i="1"/>
  <c r="J43" i="1"/>
  <c r="J47" i="1" s="1"/>
  <c r="N69" i="1"/>
  <c r="L101" i="1"/>
  <c r="N38" i="1"/>
  <c r="R8" i="1"/>
  <c r="H125" i="1"/>
  <c r="P34" i="1"/>
  <c r="P100" i="1"/>
  <c r="L29" i="1"/>
  <c r="L123" i="1" s="1"/>
  <c r="L33" i="1"/>
  <c r="L99" i="1"/>
  <c r="N92" i="1"/>
  <c r="P12" i="1"/>
  <c r="N15" i="1"/>
  <c r="J123" i="1"/>
  <c r="N40" i="1"/>
  <c r="L107" i="1"/>
  <c r="P9" i="1"/>
  <c r="N27" i="1"/>
  <c r="N66" i="1" s="1"/>
  <c r="R93" i="1"/>
  <c r="R16" i="1"/>
  <c r="R100" i="1" s="1"/>
  <c r="P28" i="1"/>
  <c r="R10" i="1"/>
  <c r="R28" i="1" s="1"/>
  <c r="J113" i="1" l="1"/>
  <c r="J114" i="1"/>
  <c r="C12" i="6"/>
  <c r="D121" i="1"/>
  <c r="D78" i="1"/>
  <c r="D120" i="1" s="1"/>
  <c r="D58" i="1"/>
  <c r="D82" i="1" s="1"/>
  <c r="D127" i="1" s="1"/>
  <c r="L193" i="1"/>
  <c r="J49" i="1"/>
  <c r="J55" i="1" s="1"/>
  <c r="J56" i="1" s="1"/>
  <c r="J76" i="1" s="1"/>
  <c r="J121" i="1" s="1"/>
  <c r="F58" i="1"/>
  <c r="F132" i="1" s="1"/>
  <c r="F78" i="1"/>
  <c r="F120" i="1" s="1"/>
  <c r="P191" i="1"/>
  <c r="F121" i="1"/>
  <c r="B127" i="1"/>
  <c r="B84" i="1"/>
  <c r="B86" i="1" s="1"/>
  <c r="B133" i="1"/>
  <c r="B129" i="1" s="1"/>
  <c r="B122" i="1"/>
  <c r="H181" i="1"/>
  <c r="H194" i="1" s="1"/>
  <c r="F183" i="1"/>
  <c r="F202" i="1" s="1"/>
  <c r="H55" i="1"/>
  <c r="H56" i="1" s="1"/>
  <c r="H76" i="1" s="1"/>
  <c r="H78" i="1" s="1"/>
  <c r="H120" i="1" s="1"/>
  <c r="J180" i="1"/>
  <c r="N95" i="1"/>
  <c r="L103" i="1"/>
  <c r="L112" i="1" s="1"/>
  <c r="J67" i="1"/>
  <c r="L35" i="1"/>
  <c r="L75" i="1" s="1"/>
  <c r="N193" i="1" s="1"/>
  <c r="R11" i="1"/>
  <c r="R26" i="1" s="1"/>
  <c r="P14" i="1"/>
  <c r="P91" i="1"/>
  <c r="P95" i="1" s="1"/>
  <c r="P26" i="1"/>
  <c r="N98" i="1"/>
  <c r="N32" i="1"/>
  <c r="N29" i="1"/>
  <c r="N123" i="1" s="1"/>
  <c r="R12" i="1"/>
  <c r="P92" i="1"/>
  <c r="P15" i="1"/>
  <c r="P40" i="1"/>
  <c r="N107" i="1"/>
  <c r="L43" i="1"/>
  <c r="L47" i="1" s="1"/>
  <c r="N101" i="1"/>
  <c r="P38" i="1"/>
  <c r="P69" i="1"/>
  <c r="R34" i="1"/>
  <c r="R9" i="1"/>
  <c r="P27" i="1"/>
  <c r="P66" i="1" s="1"/>
  <c r="N33" i="1"/>
  <c r="N99" i="1"/>
  <c r="L113" i="1" l="1"/>
  <c r="L114" i="1"/>
  <c r="R27" i="1"/>
  <c r="R66" i="1" s="1"/>
  <c r="T197" i="1" s="1"/>
  <c r="D12" i="6"/>
  <c r="D126" i="1"/>
  <c r="L180" i="1"/>
  <c r="L181" i="1" s="1"/>
  <c r="L183" i="1" s="1"/>
  <c r="D132" i="1"/>
  <c r="H124" i="1"/>
  <c r="F204" i="1"/>
  <c r="F126" i="1"/>
  <c r="H58" i="1"/>
  <c r="H132" i="1" s="1"/>
  <c r="H121" i="1"/>
  <c r="L67" i="1"/>
  <c r="L71" i="1" s="1"/>
  <c r="L134" i="1" s="1"/>
  <c r="D133" i="1"/>
  <c r="F82" i="1"/>
  <c r="F133" i="1" s="1"/>
  <c r="F129" i="1" s="1"/>
  <c r="R191" i="1"/>
  <c r="D84" i="1"/>
  <c r="D86" i="1" s="1"/>
  <c r="D122" i="1"/>
  <c r="J71" i="1"/>
  <c r="J134" i="1" s="1"/>
  <c r="L192" i="1"/>
  <c r="H183" i="1"/>
  <c r="H202" i="1" s="1"/>
  <c r="H204" i="1" s="1"/>
  <c r="J125" i="1"/>
  <c r="J181" i="1"/>
  <c r="J194" i="1" s="1"/>
  <c r="L49" i="1"/>
  <c r="J78" i="1"/>
  <c r="J124" i="1"/>
  <c r="N35" i="1"/>
  <c r="N67" i="1" s="1"/>
  <c r="N103" i="1"/>
  <c r="N112" i="1" s="1"/>
  <c r="P29" i="1"/>
  <c r="P98" i="1"/>
  <c r="P32" i="1"/>
  <c r="R14" i="1"/>
  <c r="R91" i="1"/>
  <c r="R95" i="1" s="1"/>
  <c r="J58" i="1"/>
  <c r="R29" i="1"/>
  <c r="N43" i="1"/>
  <c r="N47" i="1" s="1"/>
  <c r="R38" i="1"/>
  <c r="R101" i="1" s="1"/>
  <c r="P101" i="1"/>
  <c r="R15" i="1"/>
  <c r="R99" i="1" s="1"/>
  <c r="R92" i="1"/>
  <c r="R69" i="1"/>
  <c r="R40" i="1"/>
  <c r="R107" i="1" s="1"/>
  <c r="P107" i="1"/>
  <c r="P33" i="1"/>
  <c r="P99" i="1"/>
  <c r="R32" i="1" l="1"/>
  <c r="R98" i="1"/>
  <c r="R103" i="1" s="1"/>
  <c r="R123" i="1"/>
  <c r="T191" i="1"/>
  <c r="N113" i="1"/>
  <c r="N114" i="1"/>
  <c r="F12" i="6"/>
  <c r="D129" i="1"/>
  <c r="H126" i="1"/>
  <c r="L125" i="1"/>
  <c r="N192" i="1"/>
  <c r="P192" i="1"/>
  <c r="P123" i="1"/>
  <c r="J120" i="1"/>
  <c r="F127" i="1"/>
  <c r="H82" i="1"/>
  <c r="H122" i="1" s="1"/>
  <c r="F84" i="1"/>
  <c r="F86" i="1" s="1"/>
  <c r="F122" i="1"/>
  <c r="N71" i="1"/>
  <c r="N134" i="1" s="1"/>
  <c r="J183" i="1"/>
  <c r="J202" i="1" s="1"/>
  <c r="L194" i="1"/>
  <c r="L202" i="1" s="1"/>
  <c r="L204" i="1" s="1"/>
  <c r="L55" i="1"/>
  <c r="L56" i="1" s="1"/>
  <c r="L76" i="1" s="1"/>
  <c r="L78" i="1" s="1"/>
  <c r="L120" i="1" s="1"/>
  <c r="N180" i="1"/>
  <c r="N75" i="1"/>
  <c r="P193" i="1" s="1"/>
  <c r="P103" i="1"/>
  <c r="P112" i="1" s="1"/>
  <c r="N49" i="1"/>
  <c r="P43" i="1"/>
  <c r="P47" i="1" s="1"/>
  <c r="P35" i="1"/>
  <c r="P67" i="1" s="1"/>
  <c r="R192" i="1" s="1"/>
  <c r="R33" i="1"/>
  <c r="R35" i="1" s="1"/>
  <c r="R43" i="1"/>
  <c r="R47" i="1" s="1"/>
  <c r="N125" i="1"/>
  <c r="J126" i="1"/>
  <c r="J132" i="1"/>
  <c r="T123" i="1" l="1"/>
  <c r="P113" i="1"/>
  <c r="P114" i="1"/>
  <c r="C13" i="6"/>
  <c r="H133" i="1"/>
  <c r="H129" i="1" s="1"/>
  <c r="H127" i="1"/>
  <c r="J82" i="1"/>
  <c r="J133" i="1" s="1"/>
  <c r="J129" i="1" s="1"/>
  <c r="J204" i="1"/>
  <c r="P49" i="1"/>
  <c r="R180" i="1" s="1"/>
  <c r="H84" i="1"/>
  <c r="H86" i="1" s="1"/>
  <c r="L58" i="1"/>
  <c r="L126" i="1" s="1"/>
  <c r="L124" i="1"/>
  <c r="L121" i="1"/>
  <c r="P71" i="1"/>
  <c r="P134" i="1" s="1"/>
  <c r="N181" i="1"/>
  <c r="N194" i="1" s="1"/>
  <c r="N55" i="1"/>
  <c r="N56" i="1" s="1"/>
  <c r="N76" i="1" s="1"/>
  <c r="N78" i="1" s="1"/>
  <c r="N120" i="1" s="1"/>
  <c r="P180" i="1"/>
  <c r="P75" i="1"/>
  <c r="R193" i="1" s="1"/>
  <c r="R112" i="1"/>
  <c r="R49" i="1"/>
  <c r="P125" i="1"/>
  <c r="R67" i="1"/>
  <c r="R75" i="1"/>
  <c r="R113" i="1" l="1"/>
  <c r="R114" i="1"/>
  <c r="D13" i="6"/>
  <c r="J122" i="1"/>
  <c r="L132" i="1"/>
  <c r="J84" i="1"/>
  <c r="J86" i="1" s="1"/>
  <c r="J127" i="1"/>
  <c r="N183" i="1"/>
  <c r="N202" i="1" s="1"/>
  <c r="N58" i="1"/>
  <c r="N126" i="1" s="1"/>
  <c r="L82" i="1"/>
  <c r="L133" i="1" s="1"/>
  <c r="N121" i="1"/>
  <c r="T193" i="1"/>
  <c r="T199" i="1"/>
  <c r="R71" i="1"/>
  <c r="R134" i="1" s="1"/>
  <c r="T134" i="1" s="1"/>
  <c r="T198" i="1"/>
  <c r="T192" i="1"/>
  <c r="N124" i="1"/>
  <c r="P181" i="1"/>
  <c r="P194" i="1" s="1"/>
  <c r="R55" i="1"/>
  <c r="R56" i="1" s="1"/>
  <c r="R76" i="1" s="1"/>
  <c r="R78" i="1" s="1"/>
  <c r="T180" i="1"/>
  <c r="P55" i="1"/>
  <c r="P56" i="1" s="1"/>
  <c r="P58" i="1" s="1"/>
  <c r="P132" i="1" s="1"/>
  <c r="R125" i="1"/>
  <c r="T125" i="1" s="1"/>
  <c r="F13" i="6" l="1"/>
  <c r="L129" i="1"/>
  <c r="N132" i="1"/>
  <c r="N204" i="1"/>
  <c r="R124" i="1"/>
  <c r="N82" i="1"/>
  <c r="N84" i="1" s="1"/>
  <c r="N86" i="1" s="1"/>
  <c r="L84" i="1"/>
  <c r="L86" i="1" s="1"/>
  <c r="L122" i="1"/>
  <c r="L127" i="1"/>
  <c r="R58" i="1"/>
  <c r="R126" i="1" s="1"/>
  <c r="R120" i="1"/>
  <c r="R121" i="1"/>
  <c r="P76" i="1"/>
  <c r="P124" i="1" s="1"/>
  <c r="T181" i="1"/>
  <c r="P126" i="1"/>
  <c r="R181" i="1"/>
  <c r="R183" i="1" s="1"/>
  <c r="P183" i="1"/>
  <c r="P202" i="1" s="1"/>
  <c r="P204" i="1" s="1"/>
  <c r="C14" i="6" l="1"/>
  <c r="T124" i="1"/>
  <c r="N133" i="1"/>
  <c r="N129" i="1" s="1"/>
  <c r="N122" i="1"/>
  <c r="P82" i="1"/>
  <c r="P122" i="1" s="1"/>
  <c r="N127" i="1"/>
  <c r="R132" i="1"/>
  <c r="T132" i="1" s="1"/>
  <c r="T126" i="1"/>
  <c r="P78" i="1"/>
  <c r="P120" i="1" s="1"/>
  <c r="T120" i="1" s="1"/>
  <c r="P121" i="1"/>
  <c r="T121" i="1" s="1"/>
  <c r="T183" i="1"/>
  <c r="T200" i="1"/>
  <c r="T194" i="1"/>
  <c r="R194" i="1"/>
  <c r="R202" i="1" s="1"/>
  <c r="R204" i="1" s="1"/>
  <c r="D14" i="6" l="1"/>
  <c r="F14" i="6" s="1"/>
  <c r="R82" i="1"/>
  <c r="R133" i="1" s="1"/>
  <c r="R129" i="1" s="1"/>
  <c r="P84" i="1"/>
  <c r="P86" i="1" s="1"/>
  <c r="P127" i="1"/>
  <c r="P133" i="1"/>
  <c r="P129" i="1" s="1"/>
  <c r="T202" i="1"/>
  <c r="C15" i="6" l="1"/>
  <c r="D15" i="6" s="1"/>
  <c r="F15" i="6" s="1"/>
  <c r="R122" i="1"/>
  <c r="T122" i="1" s="1"/>
  <c r="R127" i="1"/>
  <c r="T127" i="1" s="1"/>
  <c r="R84" i="1"/>
  <c r="R86" i="1" s="1"/>
  <c r="T129" i="1"/>
  <c r="T133" i="1"/>
  <c r="T204" i="1"/>
  <c r="C206" i="1" s="1"/>
  <c r="C16" i="6" l="1"/>
  <c r="D16" i="6" s="1"/>
  <c r="F16" i="6"/>
  <c r="C17" i="6" l="1"/>
  <c r="D17" i="6" s="1"/>
  <c r="F17" i="6"/>
  <c r="C18" i="6" l="1"/>
  <c r="D18" i="6" s="1"/>
  <c r="F18" i="6"/>
  <c r="C19" i="6" l="1"/>
  <c r="D19" i="6" s="1"/>
  <c r="F19" i="6"/>
  <c r="C20" i="6" l="1"/>
  <c r="D20" i="6" l="1"/>
  <c r="J20" i="6"/>
  <c r="D53" i="1" s="1"/>
  <c r="J21" i="6" l="1"/>
  <c r="F20" i="6"/>
  <c r="C21" i="6" l="1"/>
  <c r="D21" i="6" l="1"/>
  <c r="F21" i="6" l="1"/>
  <c r="C22" i="6" l="1"/>
  <c r="D22" i="6" l="1"/>
  <c r="F22" i="6" l="1"/>
  <c r="C23" i="6" l="1"/>
  <c r="D23" i="6" l="1"/>
  <c r="F23" i="6" l="1"/>
  <c r="C24" i="6" l="1"/>
  <c r="D24" i="6" l="1"/>
  <c r="F24" i="6" l="1"/>
  <c r="C25" i="6" l="1"/>
  <c r="D25" i="6" l="1"/>
  <c r="F25" i="6" l="1"/>
  <c r="C26" i="6" l="1"/>
  <c r="D26" i="6" s="1"/>
  <c r="F26" i="6" s="1"/>
  <c r="C27" i="6" l="1"/>
  <c r="D27" i="6" s="1"/>
  <c r="F27" i="6"/>
  <c r="C28" i="6" l="1"/>
  <c r="D28" i="6" s="1"/>
  <c r="F28" i="6"/>
  <c r="C29" i="6" l="1"/>
  <c r="D29" i="6" s="1"/>
  <c r="F29" i="6"/>
  <c r="C30" i="6" l="1"/>
  <c r="D30" i="6" s="1"/>
  <c r="F30" i="6"/>
  <c r="C31" i="6" l="1"/>
  <c r="D31" i="6" s="1"/>
  <c r="F31" i="6" s="1"/>
  <c r="C32" i="6" l="1"/>
  <c r="D32" i="6" l="1"/>
  <c r="J32" i="6"/>
  <c r="F53" i="1" s="1"/>
  <c r="J33" i="6" l="1"/>
  <c r="F32" i="6"/>
  <c r="C33" i="6" l="1"/>
  <c r="D33" i="6" l="1"/>
  <c r="F33" i="6" l="1"/>
  <c r="C34" i="6" l="1"/>
  <c r="D34" i="6" l="1"/>
  <c r="F34" i="6" l="1"/>
  <c r="C35" i="6" l="1"/>
  <c r="D35" i="6" l="1"/>
  <c r="F35" i="6" l="1"/>
  <c r="C36" i="6" l="1"/>
  <c r="D36" i="6" l="1"/>
  <c r="F36" i="6" l="1"/>
  <c r="C37" i="6" l="1"/>
  <c r="D37" i="6" l="1"/>
  <c r="F37" i="6" l="1"/>
  <c r="C38" i="6" l="1"/>
  <c r="D38" i="6" s="1"/>
  <c r="F38" i="6"/>
  <c r="C39" i="6" l="1"/>
  <c r="D39" i="6" s="1"/>
  <c r="F39" i="6"/>
  <c r="C40" i="6" l="1"/>
  <c r="D40" i="6" s="1"/>
  <c r="F40" i="6" s="1"/>
  <c r="C41" i="6" l="1"/>
  <c r="D41" i="6" s="1"/>
  <c r="F41" i="6" s="1"/>
  <c r="C42" i="6" l="1"/>
  <c r="D42" i="6" s="1"/>
  <c r="F42" i="6"/>
  <c r="C43" i="6" l="1"/>
  <c r="D43" i="6" s="1"/>
  <c r="F43" i="6"/>
  <c r="C44" i="6" l="1"/>
  <c r="D44" i="6" l="1"/>
  <c r="J44" i="6"/>
  <c r="H53" i="1" s="1"/>
  <c r="J45" i="6" l="1"/>
  <c r="F44" i="6"/>
  <c r="C45" i="6" l="1"/>
  <c r="D45" i="6" l="1"/>
  <c r="F45" i="6" l="1"/>
  <c r="C46" i="6" l="1"/>
  <c r="D46" i="6" l="1"/>
  <c r="F46" i="6" l="1"/>
  <c r="C47" i="6" l="1"/>
  <c r="D47" i="6" l="1"/>
  <c r="F47" i="6" l="1"/>
  <c r="C48" i="6" l="1"/>
  <c r="D48" i="6" l="1"/>
  <c r="F48" i="6" l="1"/>
  <c r="C49" i="6" l="1"/>
  <c r="D49" i="6" l="1"/>
  <c r="F49" i="6" l="1"/>
  <c r="C50" i="6" l="1"/>
  <c r="D50" i="6" s="1"/>
  <c r="F50" i="6" s="1"/>
  <c r="C51" i="6" l="1"/>
  <c r="D51" i="6" s="1"/>
  <c r="F51" i="6" s="1"/>
  <c r="C52" i="6" l="1"/>
  <c r="D52" i="6" s="1"/>
  <c r="F52" i="6"/>
  <c r="C53" i="6" l="1"/>
  <c r="D53" i="6" s="1"/>
  <c r="F53" i="6"/>
  <c r="C54" i="6" l="1"/>
  <c r="D54" i="6" s="1"/>
  <c r="F54" i="6"/>
  <c r="C55" i="6" l="1"/>
  <c r="D55" i="6" s="1"/>
  <c r="F55" i="6"/>
  <c r="C56" i="6" l="1"/>
  <c r="D56" i="6" l="1"/>
  <c r="J56" i="6"/>
  <c r="J53" i="1" s="1"/>
  <c r="J57" i="6" l="1"/>
  <c r="F56" i="6"/>
  <c r="C57" i="6" l="1"/>
  <c r="D57" i="6" l="1"/>
  <c r="F57" i="6" l="1"/>
  <c r="C58" i="6" l="1"/>
  <c r="D58" i="6" l="1"/>
  <c r="F58" i="6" l="1"/>
  <c r="C59" i="6" l="1"/>
  <c r="D59" i="6" l="1"/>
  <c r="F59" i="6" l="1"/>
  <c r="C60" i="6" l="1"/>
  <c r="D60" i="6" l="1"/>
  <c r="F60" i="6" l="1"/>
  <c r="C61" i="6" l="1"/>
  <c r="D61" i="6" l="1"/>
  <c r="F61" i="6" l="1"/>
  <c r="C62" i="6" l="1"/>
  <c r="D62" i="6" s="1"/>
  <c r="F62" i="6" s="1"/>
  <c r="C63" i="6" l="1"/>
  <c r="D63" i="6" s="1"/>
  <c r="F63" i="6"/>
  <c r="C64" i="6" l="1"/>
  <c r="D64" i="6" s="1"/>
  <c r="F64" i="6" s="1"/>
  <c r="C65" i="6" l="1"/>
  <c r="D65" i="6" s="1"/>
  <c r="F65" i="6"/>
  <c r="C66" i="6" l="1"/>
  <c r="D66" i="6" s="1"/>
  <c r="F66" i="6" s="1"/>
  <c r="C67" i="6" l="1"/>
  <c r="D67" i="6" s="1"/>
  <c r="F67" i="6" s="1"/>
  <c r="C68" i="6" l="1"/>
  <c r="D68" i="6" l="1"/>
  <c r="J68" i="6"/>
  <c r="L53" i="1" s="1"/>
  <c r="J69" i="6" l="1"/>
  <c r="F68" i="6"/>
  <c r="C69" i="6" l="1"/>
  <c r="D69" i="6" l="1"/>
  <c r="F69" i="6" l="1"/>
  <c r="C70" i="6" l="1"/>
  <c r="D70" i="6" l="1"/>
  <c r="F70" i="6" l="1"/>
  <c r="C71" i="6" l="1"/>
  <c r="D71" i="6" l="1"/>
  <c r="F71" i="6" l="1"/>
  <c r="C72" i="6" l="1"/>
  <c r="D72" i="6" l="1"/>
  <c r="F72" i="6" l="1"/>
  <c r="C73" i="6" l="1"/>
  <c r="D73" i="6" l="1"/>
  <c r="F73" i="6" l="1"/>
  <c r="C74" i="6" l="1"/>
  <c r="D74" i="6" s="1"/>
  <c r="F74" i="6" s="1"/>
  <c r="C75" i="6" l="1"/>
  <c r="D75" i="6" s="1"/>
  <c r="F75" i="6"/>
  <c r="C76" i="6" l="1"/>
  <c r="D76" i="6" s="1"/>
  <c r="F76" i="6"/>
  <c r="C77" i="6" l="1"/>
  <c r="D77" i="6" s="1"/>
  <c r="F77" i="6"/>
  <c r="C78" i="6" l="1"/>
  <c r="D78" i="6" s="1"/>
  <c r="F78" i="6"/>
  <c r="C79" i="6" l="1"/>
  <c r="D79" i="6" s="1"/>
  <c r="F79" i="6"/>
  <c r="C80" i="6" l="1"/>
  <c r="D80" i="6" l="1"/>
  <c r="J80" i="6"/>
  <c r="N53" i="1" s="1"/>
  <c r="J81" i="6" l="1"/>
  <c r="F80" i="6"/>
  <c r="C81" i="6" l="1"/>
  <c r="D81" i="6" l="1"/>
  <c r="F81" i="6" l="1"/>
  <c r="C82" i="6" l="1"/>
  <c r="D82" i="6" l="1"/>
  <c r="F82" i="6" l="1"/>
  <c r="C83" i="6" l="1"/>
  <c r="D83" i="6" l="1"/>
  <c r="F83" i="6" l="1"/>
  <c r="C84" i="6" l="1"/>
  <c r="D84" i="6" l="1"/>
  <c r="F84" i="6" l="1"/>
  <c r="C85" i="6" l="1"/>
  <c r="D85" i="6" l="1"/>
  <c r="F85" i="6" l="1"/>
  <c r="C86" i="6" l="1"/>
  <c r="D86" i="6" s="1"/>
  <c r="F86" i="6" s="1"/>
  <c r="C87" i="6" l="1"/>
  <c r="D87" i="6" s="1"/>
  <c r="F87" i="6"/>
  <c r="C88" i="6" l="1"/>
  <c r="D88" i="6" s="1"/>
  <c r="F88" i="6"/>
  <c r="C89" i="6" l="1"/>
  <c r="D89" i="6" s="1"/>
  <c r="F89" i="6"/>
  <c r="C90" i="6" l="1"/>
  <c r="D90" i="6" s="1"/>
  <c r="F90" i="6"/>
  <c r="C91" i="6" l="1"/>
  <c r="D91" i="6" s="1"/>
  <c r="F91" i="6" s="1"/>
  <c r="C92" i="6" l="1"/>
  <c r="D92" i="6" l="1"/>
  <c r="J92" i="6"/>
  <c r="P53" i="1" s="1"/>
  <c r="J93" i="6" l="1"/>
  <c r="F92" i="6"/>
  <c r="C93" i="6" l="1"/>
  <c r="D93" i="6" l="1"/>
  <c r="F93" i="6" l="1"/>
  <c r="C94" i="6" l="1"/>
  <c r="D94" i="6" l="1"/>
  <c r="F94" i="6" l="1"/>
  <c r="C95" i="6" l="1"/>
  <c r="D95" i="6" l="1"/>
  <c r="F95" i="6" l="1"/>
  <c r="C96" i="6" l="1"/>
  <c r="D96" i="6" l="1"/>
  <c r="F96" i="6" l="1"/>
  <c r="C97" i="6" l="1"/>
  <c r="D97" i="6" l="1"/>
  <c r="F97" i="6" l="1"/>
  <c r="C98" i="6" l="1"/>
  <c r="D98" i="6" s="1"/>
  <c r="F98" i="6" s="1"/>
  <c r="C99" i="6" l="1"/>
  <c r="D99" i="6" s="1"/>
  <c r="F99" i="6" s="1"/>
  <c r="C100" i="6" l="1"/>
  <c r="D100" i="6" s="1"/>
  <c r="F100" i="6" s="1"/>
  <c r="C101" i="6" l="1"/>
  <c r="D101" i="6" s="1"/>
  <c r="F101" i="6" s="1"/>
  <c r="C102" i="6" l="1"/>
  <c r="D102" i="6" s="1"/>
  <c r="F102" i="6" s="1"/>
  <c r="C103" i="6" l="1"/>
  <c r="D103" i="6" s="1"/>
  <c r="F103" i="6" s="1"/>
  <c r="C104" i="6" l="1"/>
  <c r="D104" i="6" l="1"/>
  <c r="J104" i="6"/>
  <c r="R53" i="1" s="1"/>
  <c r="J105" i="6" l="1"/>
  <c r="F104" i="6"/>
  <c r="C105" i="6" l="1"/>
  <c r="D105" i="6" s="1"/>
  <c r="F105" i="6"/>
  <c r="C106" i="6" l="1"/>
  <c r="D106" i="6" s="1"/>
  <c r="F106" i="6" s="1"/>
  <c r="C107" i="6" l="1"/>
  <c r="D107" i="6" s="1"/>
  <c r="F107" i="6" s="1"/>
  <c r="C108" i="6" l="1"/>
  <c r="D108" i="6" s="1"/>
  <c r="F108" i="6" s="1"/>
  <c r="C109" i="6" l="1"/>
  <c r="D109" i="6" s="1"/>
  <c r="F109" i="6" s="1"/>
  <c r="C110" i="6" l="1"/>
  <c r="D110" i="6" s="1"/>
  <c r="F110" i="6" s="1"/>
  <c r="C111" i="6" l="1"/>
  <c r="D111" i="6" s="1"/>
  <c r="F111" i="6" s="1"/>
  <c r="C112" i="6" l="1"/>
  <c r="D112" i="6" s="1"/>
  <c r="F112" i="6" s="1"/>
  <c r="C113" i="6" l="1"/>
  <c r="D113" i="6" s="1"/>
  <c r="F113" i="6" s="1"/>
  <c r="C114" i="6" l="1"/>
  <c r="D114" i="6" s="1"/>
  <c r="F114" i="6" s="1"/>
  <c r="C115" i="6" l="1"/>
  <c r="D115" i="6" s="1"/>
  <c r="F115" i="6" s="1"/>
  <c r="C116" i="6" l="1"/>
  <c r="D116" i="6" s="1"/>
  <c r="F116" i="6" s="1"/>
  <c r="C117" i="6" l="1"/>
  <c r="D117" i="6" s="1"/>
  <c r="F117" i="6"/>
  <c r="C118" i="6" l="1"/>
  <c r="D118" i="6" s="1"/>
  <c r="F118" i="6" s="1"/>
  <c r="C119" i="6" l="1"/>
  <c r="D119" i="6" s="1"/>
  <c r="F119" i="6" s="1"/>
  <c r="C120" i="6" l="1"/>
  <c r="D120" i="6" s="1"/>
  <c r="F120" i="6" s="1"/>
  <c r="C121" i="6" l="1"/>
  <c r="D121" i="6" s="1"/>
  <c r="F121" i="6"/>
  <c r="C122" i="6" l="1"/>
  <c r="D122" i="6" s="1"/>
  <c r="F122" i="6" s="1"/>
  <c r="C123" i="6" l="1"/>
  <c r="D123" i="6" s="1"/>
  <c r="F123" i="6" s="1"/>
  <c r="C124" i="6" l="1"/>
  <c r="D124" i="6" s="1"/>
  <c r="F124" i="6" s="1"/>
  <c r="C125" i="6" l="1"/>
  <c r="D125" i="6" s="1"/>
  <c r="F125" i="6"/>
  <c r="C126" i="6" l="1"/>
  <c r="D126" i="6" s="1"/>
  <c r="F126" i="6" s="1"/>
  <c r="C127" i="6" l="1"/>
  <c r="D127" i="6" s="1"/>
  <c r="F127" i="6" s="1"/>
  <c r="C128" i="6" l="1"/>
  <c r="D128" i="6" s="1"/>
  <c r="F128" i="6" s="1"/>
  <c r="C129" i="6" l="1"/>
  <c r="D129" i="6" s="1"/>
  <c r="F129" i="6" s="1"/>
  <c r="C130" i="6" l="1"/>
  <c r="D130" i="6" s="1"/>
  <c r="F130" i="6" s="1"/>
  <c r="C131" i="6" l="1"/>
  <c r="D131" i="6" s="1"/>
  <c r="F131" i="6" s="1"/>
  <c r="C132" i="6" l="1"/>
  <c r="D132" i="6" s="1"/>
  <c r="F132" i="6" s="1"/>
  <c r="C133" i="6" l="1"/>
  <c r="D133" i="6" s="1"/>
  <c r="F133" i="6"/>
  <c r="C134" i="6" l="1"/>
  <c r="D134" i="6" s="1"/>
  <c r="F134" i="6" s="1"/>
  <c r="C135" i="6" l="1"/>
  <c r="D135" i="6" s="1"/>
  <c r="F135" i="6" s="1"/>
  <c r="C136" i="6" l="1"/>
  <c r="D136" i="6" s="1"/>
  <c r="F136" i="6" s="1"/>
  <c r="C137" i="6" l="1"/>
  <c r="D137" i="6" s="1"/>
  <c r="F137" i="6"/>
  <c r="C138" i="6" l="1"/>
  <c r="D138" i="6" s="1"/>
  <c r="F138" i="6" s="1"/>
  <c r="C139" i="6" l="1"/>
  <c r="D139" i="6" s="1"/>
  <c r="F139" i="6" s="1"/>
  <c r="C140" i="6" l="1"/>
  <c r="D140" i="6" s="1"/>
  <c r="F140" i="6" s="1"/>
  <c r="C141" i="6" l="1"/>
  <c r="D141" i="6" s="1"/>
  <c r="F141" i="6"/>
  <c r="C142" i="6" l="1"/>
  <c r="D142" i="6" s="1"/>
  <c r="F142" i="6" s="1"/>
  <c r="C143" i="6" l="1"/>
  <c r="D143" i="6" s="1"/>
  <c r="F143" i="6" s="1"/>
  <c r="C144" i="6" l="1"/>
  <c r="D144" i="6" s="1"/>
  <c r="F144" i="6"/>
  <c r="C145" i="6" l="1"/>
  <c r="D145" i="6" s="1"/>
  <c r="F145" i="6"/>
  <c r="C146" i="6" l="1"/>
  <c r="D146" i="6" s="1"/>
  <c r="F146" i="6" s="1"/>
  <c r="C147" i="6" l="1"/>
  <c r="D147" i="6" s="1"/>
  <c r="F147" i="6" s="1"/>
  <c r="C148" i="6" l="1"/>
  <c r="D148" i="6" s="1"/>
  <c r="F148" i="6"/>
  <c r="C149" i="6" l="1"/>
  <c r="D149" i="6" s="1"/>
  <c r="F149" i="6" s="1"/>
  <c r="C150" i="6" l="1"/>
  <c r="D150" i="6" s="1"/>
  <c r="F150" i="6" s="1"/>
  <c r="C151" i="6" l="1"/>
  <c r="D151" i="6" s="1"/>
  <c r="F151" i="6" s="1"/>
  <c r="C152" i="6" l="1"/>
  <c r="D152" i="6" s="1"/>
  <c r="F152" i="6" s="1"/>
  <c r="C153" i="6" l="1"/>
  <c r="D153" i="6" s="1"/>
  <c r="F153" i="6"/>
  <c r="C154" i="6" l="1"/>
  <c r="D154" i="6" s="1"/>
  <c r="F154" i="6"/>
  <c r="C155" i="6" l="1"/>
  <c r="D155" i="6" s="1"/>
  <c r="F155" i="6" s="1"/>
  <c r="C156" i="6" l="1"/>
  <c r="D156" i="6" s="1"/>
  <c r="F156" i="6"/>
  <c r="C157" i="6" l="1"/>
  <c r="D157" i="6" s="1"/>
  <c r="F157" i="6" s="1"/>
  <c r="C158" i="6" l="1"/>
  <c r="D158" i="6" s="1"/>
  <c r="F158" i="6"/>
  <c r="C159" i="6" l="1"/>
  <c r="D159" i="6" s="1"/>
  <c r="F159" i="6" s="1"/>
  <c r="C160" i="6" l="1"/>
  <c r="D160" i="6" s="1"/>
  <c r="F160" i="6"/>
  <c r="C161" i="6" l="1"/>
  <c r="D161" i="6" s="1"/>
  <c r="F161" i="6" s="1"/>
  <c r="C162" i="6" l="1"/>
  <c r="D162" i="6" s="1"/>
  <c r="F162" i="6" s="1"/>
  <c r="C163" i="6" l="1"/>
  <c r="D163" i="6" s="1"/>
  <c r="F163" i="6"/>
  <c r="C164" i="6" l="1"/>
  <c r="D164" i="6" s="1"/>
  <c r="F164" i="6" s="1"/>
  <c r="C165" i="6" l="1"/>
  <c r="D165" i="6" s="1"/>
  <c r="F165" i="6"/>
  <c r="C166" i="6" l="1"/>
  <c r="D166" i="6" s="1"/>
  <c r="F166" i="6" s="1"/>
  <c r="C167" i="6" l="1"/>
  <c r="D167" i="6" s="1"/>
  <c r="F167" i="6" s="1"/>
  <c r="C168" i="6" l="1"/>
  <c r="D168" i="6" s="1"/>
  <c r="F168" i="6" s="1"/>
  <c r="C169" i="6" l="1"/>
  <c r="D169" i="6" s="1"/>
  <c r="F169" i="6" s="1"/>
  <c r="C170" i="6" l="1"/>
  <c r="D170" i="6" s="1"/>
  <c r="F170" i="6" s="1"/>
  <c r="C171" i="6" l="1"/>
  <c r="D171" i="6" s="1"/>
  <c r="F171" i="6" s="1"/>
  <c r="C172" i="6" l="1"/>
  <c r="D172" i="6" s="1"/>
  <c r="F172" i="6" s="1"/>
  <c r="C173" i="6" l="1"/>
  <c r="D173" i="6" s="1"/>
  <c r="F173" i="6"/>
  <c r="C174" i="6" l="1"/>
  <c r="D174" i="6" s="1"/>
  <c r="F174" i="6" s="1"/>
  <c r="C175" i="6" l="1"/>
  <c r="D175" i="6" s="1"/>
  <c r="F175" i="6" s="1"/>
  <c r="C176" i="6" l="1"/>
  <c r="D176" i="6" s="1"/>
  <c r="F176" i="6" s="1"/>
  <c r="C177" i="6" l="1"/>
  <c r="D177" i="6" s="1"/>
  <c r="F177" i="6"/>
  <c r="C178" i="6" l="1"/>
  <c r="D178" i="6" s="1"/>
  <c r="F178" i="6" s="1"/>
  <c r="C179" i="6" l="1"/>
  <c r="D179" i="6" s="1"/>
  <c r="F179" i="6" s="1"/>
  <c r="C180" i="6" l="1"/>
  <c r="D180" i="6" s="1"/>
  <c r="F180" i="6" s="1"/>
  <c r="C181" i="6" l="1"/>
  <c r="D181" i="6" s="1"/>
  <c r="F181" i="6"/>
  <c r="C182" i="6" l="1"/>
  <c r="D182" i="6" s="1"/>
  <c r="F182" i="6" s="1"/>
  <c r="C183" i="6" l="1"/>
  <c r="D183" i="6" s="1"/>
  <c r="F183" i="6" s="1"/>
  <c r="C184" i="6" l="1"/>
  <c r="D184" i="6" s="1"/>
  <c r="F184" i="6" s="1"/>
  <c r="C185" i="6" l="1"/>
  <c r="D185" i="6" s="1"/>
  <c r="F185" i="6" s="1"/>
  <c r="C186" i="6" l="1"/>
  <c r="D186" i="6" s="1"/>
  <c r="F186" i="6" s="1"/>
  <c r="C187" i="6" l="1"/>
  <c r="D187" i="6" s="1"/>
  <c r="F187" i="6" s="1"/>
  <c r="C188" i="6" l="1"/>
  <c r="D188" i="6" s="1"/>
  <c r="F188" i="6" s="1"/>
  <c r="C189" i="6" l="1"/>
  <c r="D189" i="6" s="1"/>
  <c r="F189" i="6"/>
  <c r="C190" i="6" l="1"/>
  <c r="D190" i="6" s="1"/>
  <c r="F190" i="6" s="1"/>
  <c r="C191" i="6" l="1"/>
  <c r="D191" i="6" s="1"/>
  <c r="F191" i="6" s="1"/>
  <c r="C192" i="6" l="1"/>
  <c r="D192" i="6" s="1"/>
  <c r="F192" i="6" s="1"/>
  <c r="C193" i="6" l="1"/>
  <c r="D193" i="6" s="1"/>
  <c r="F193" i="6"/>
  <c r="C194" i="6" l="1"/>
  <c r="D194" i="6" s="1"/>
  <c r="F194" i="6" s="1"/>
  <c r="C195" i="6" l="1"/>
  <c r="D195" i="6" s="1"/>
  <c r="F195" i="6" s="1"/>
  <c r="C196" i="6" l="1"/>
  <c r="D196" i="6" s="1"/>
  <c r="F196" i="6" s="1"/>
  <c r="C197" i="6" l="1"/>
  <c r="D197" i="6" s="1"/>
  <c r="F197" i="6"/>
  <c r="C198" i="6" l="1"/>
  <c r="D198" i="6" s="1"/>
  <c r="F198" i="6" s="1"/>
  <c r="C199" i="6" l="1"/>
  <c r="D199" i="6" s="1"/>
  <c r="F199" i="6" s="1"/>
  <c r="C200" i="6" l="1"/>
  <c r="D200" i="6" s="1"/>
  <c r="F200" i="6" s="1"/>
  <c r="C201" i="6" l="1"/>
  <c r="D201" i="6" s="1"/>
  <c r="F201" i="6"/>
  <c r="C202" i="6" l="1"/>
  <c r="D202" i="6" s="1"/>
  <c r="F202" i="6" s="1"/>
  <c r="C203" i="6" l="1"/>
  <c r="D203" i="6" s="1"/>
  <c r="F203" i="6" s="1"/>
  <c r="C204" i="6" l="1"/>
  <c r="D204" i="6" s="1"/>
  <c r="F204" i="6" s="1"/>
  <c r="C205" i="6" l="1"/>
  <c r="D205" i="6" s="1"/>
  <c r="F205" i="6" s="1"/>
  <c r="C206" i="6" l="1"/>
  <c r="D206" i="6" s="1"/>
  <c r="F206" i="6" s="1"/>
  <c r="C207" i="6" l="1"/>
  <c r="D207" i="6" s="1"/>
  <c r="F207" i="6" s="1"/>
  <c r="C208" i="6" l="1"/>
  <c r="D208" i="6" s="1"/>
  <c r="F208" i="6" s="1"/>
  <c r="C209" i="6" l="1"/>
  <c r="D209" i="6" s="1"/>
  <c r="F209" i="6" s="1"/>
  <c r="C210" i="6" l="1"/>
  <c r="D210" i="6" s="1"/>
  <c r="F210" i="6" s="1"/>
  <c r="C211" i="6" l="1"/>
  <c r="D211" i="6" s="1"/>
  <c r="F211" i="6" s="1"/>
  <c r="C212" i="6" l="1"/>
  <c r="D212" i="6" s="1"/>
  <c r="F212" i="6" s="1"/>
  <c r="C213" i="6" l="1"/>
  <c r="D213" i="6" s="1"/>
  <c r="F213" i="6"/>
  <c r="C214" i="6" l="1"/>
  <c r="D214" i="6" s="1"/>
  <c r="F214" i="6" s="1"/>
  <c r="C215" i="6" l="1"/>
  <c r="D215" i="6" s="1"/>
  <c r="F215" i="6" s="1"/>
  <c r="C216" i="6" l="1"/>
  <c r="D216" i="6" s="1"/>
  <c r="F216" i="6" s="1"/>
  <c r="C217" i="6" l="1"/>
  <c r="D217" i="6" s="1"/>
  <c r="F217" i="6"/>
  <c r="C218" i="6" l="1"/>
  <c r="D218" i="6" s="1"/>
  <c r="F218" i="6" s="1"/>
  <c r="C219" i="6" l="1"/>
  <c r="D219" i="6" s="1"/>
  <c r="F219" i="6" s="1"/>
  <c r="C220" i="6" l="1"/>
  <c r="D220" i="6" s="1"/>
  <c r="F220" i="6" s="1"/>
  <c r="C221" i="6" l="1"/>
  <c r="D221" i="6" s="1"/>
  <c r="F221" i="6"/>
  <c r="C222" i="6" l="1"/>
  <c r="D222" i="6" s="1"/>
  <c r="F222" i="6" s="1"/>
  <c r="C223" i="6" l="1"/>
  <c r="D223" i="6" s="1"/>
  <c r="F223" i="6" s="1"/>
  <c r="C224" i="6" l="1"/>
  <c r="D224" i="6" s="1"/>
  <c r="F224" i="6"/>
  <c r="C225" i="6" l="1"/>
  <c r="D225" i="6" s="1"/>
  <c r="F225" i="6"/>
  <c r="C226" i="6" l="1"/>
  <c r="D226" i="6" s="1"/>
  <c r="F226" i="6" s="1"/>
  <c r="C227" i="6" l="1"/>
  <c r="D227" i="6" s="1"/>
  <c r="F227" i="6" s="1"/>
  <c r="C228" i="6" l="1"/>
  <c r="D228" i="6" s="1"/>
  <c r="F228" i="6"/>
  <c r="C229" i="6" l="1"/>
  <c r="D229" i="6" s="1"/>
  <c r="F229" i="6"/>
  <c r="C230" i="6" l="1"/>
  <c r="D230" i="6" s="1"/>
  <c r="F230" i="6" s="1"/>
  <c r="C231" i="6" l="1"/>
  <c r="D231" i="6" s="1"/>
  <c r="F231" i="6" s="1"/>
  <c r="C232" i="6" l="1"/>
  <c r="D232" i="6" s="1"/>
  <c r="F232" i="6"/>
  <c r="C233" i="6" l="1"/>
  <c r="D233" i="6" s="1"/>
  <c r="F233" i="6"/>
  <c r="C234" i="6" l="1"/>
  <c r="D234" i="6" s="1"/>
  <c r="F234" i="6" s="1"/>
  <c r="C235" i="6" l="1"/>
  <c r="D235" i="6" s="1"/>
  <c r="F235" i="6" s="1"/>
  <c r="C236" i="6" l="1"/>
  <c r="D236" i="6" s="1"/>
  <c r="F236" i="6"/>
  <c r="C237" i="6" l="1"/>
  <c r="D237" i="6" s="1"/>
  <c r="F237" i="6" s="1"/>
  <c r="C238" i="6" l="1"/>
  <c r="D238" i="6" s="1"/>
  <c r="F238" i="6" s="1"/>
  <c r="C239" i="6" l="1"/>
  <c r="D239" i="6" s="1"/>
  <c r="F239" i="6" s="1"/>
  <c r="C240" i="6" l="1"/>
  <c r="D240" i="6" s="1"/>
  <c r="F240" i="6" s="1"/>
  <c r="C241" i="6" l="1"/>
  <c r="D241" i="6" s="1"/>
  <c r="F241" i="6" s="1"/>
  <c r="C242" i="6" l="1"/>
  <c r="D242" i="6" s="1"/>
  <c r="F242" i="6" s="1"/>
  <c r="C243" i="6" l="1"/>
  <c r="D243" i="6" s="1"/>
  <c r="F243" i="6" s="1"/>
  <c r="C244" i="6" l="1"/>
  <c r="D244" i="6" s="1"/>
  <c r="F244" i="6"/>
  <c r="C245" i="6" l="1"/>
  <c r="D245" i="6" s="1"/>
  <c r="F245" i="6"/>
  <c r="C246" i="6" l="1"/>
  <c r="D246" i="6" s="1"/>
  <c r="F246" i="6" s="1"/>
  <c r="C247" i="6" l="1"/>
  <c r="D247" i="6" s="1"/>
  <c r="F247" i="6"/>
  <c r="C248" i="6" l="1"/>
  <c r="D248" i="6" s="1"/>
  <c r="F248" i="6"/>
  <c r="C249" i="6" l="1"/>
  <c r="D249" i="6" s="1"/>
  <c r="F249" i="6"/>
  <c r="C250" i="6" l="1"/>
  <c r="D250" i="6" s="1"/>
  <c r="F250" i="6" s="1"/>
  <c r="C251" i="6" l="1"/>
  <c r="D251" i="6" s="1"/>
  <c r="F251" i="6" s="1"/>
  <c r="C252" i="6" l="1"/>
  <c r="D252" i="6" s="1"/>
  <c r="F252" i="6" s="1"/>
  <c r="C253" i="6" l="1"/>
  <c r="D253" i="6" s="1"/>
  <c r="F253" i="6"/>
  <c r="C254" i="6" l="1"/>
  <c r="D254" i="6" s="1"/>
  <c r="F254" i="6" s="1"/>
  <c r="C255" i="6" l="1"/>
  <c r="D255" i="6" s="1"/>
  <c r="F255" i="6" s="1"/>
  <c r="C256" i="6" l="1"/>
  <c r="D256" i="6" s="1"/>
  <c r="F256" i="6" s="1"/>
  <c r="C257" i="6" l="1"/>
  <c r="D257" i="6" s="1"/>
  <c r="F257" i="6"/>
  <c r="C258" i="6" l="1"/>
  <c r="D258" i="6" s="1"/>
  <c r="F258" i="6" s="1"/>
  <c r="C259" i="6" l="1"/>
  <c r="D259" i="6" s="1"/>
  <c r="F259" i="6" s="1"/>
  <c r="C260" i="6" l="1"/>
  <c r="D260" i="6" s="1"/>
  <c r="F260" i="6" s="1"/>
  <c r="C261" i="6" l="1"/>
  <c r="D261" i="6" s="1"/>
  <c r="F261" i="6"/>
  <c r="C262" i="6" l="1"/>
  <c r="D262" i="6" s="1"/>
  <c r="F262" i="6" s="1"/>
  <c r="C263" i="6" l="1"/>
  <c r="D263" i="6" s="1"/>
  <c r="F263" i="6" s="1"/>
  <c r="C264" i="6" l="1"/>
  <c r="D264" i="6" s="1"/>
  <c r="F264" i="6" s="1"/>
  <c r="C265" i="6" l="1"/>
  <c r="D265" i="6" s="1"/>
  <c r="F265" i="6"/>
  <c r="C266" i="6" l="1"/>
  <c r="D266" i="6" s="1"/>
  <c r="F266" i="6" s="1"/>
  <c r="C267" i="6" l="1"/>
  <c r="D267" i="6" s="1"/>
  <c r="F267" i="6" s="1"/>
  <c r="C268" i="6" l="1"/>
  <c r="D268" i="6" s="1"/>
  <c r="F268" i="6" s="1"/>
  <c r="C269" i="6" l="1"/>
  <c r="D269" i="6" s="1"/>
  <c r="F269" i="6" s="1"/>
  <c r="C270" i="6" l="1"/>
  <c r="D270" i="6" s="1"/>
  <c r="F270" i="6" s="1"/>
  <c r="C271" i="6" l="1"/>
  <c r="D271" i="6" s="1"/>
  <c r="F271" i="6" s="1"/>
  <c r="C272" i="6" l="1"/>
  <c r="D272" i="6" s="1"/>
  <c r="F272" i="6" s="1"/>
  <c r="C273" i="6" l="1"/>
  <c r="D273" i="6" s="1"/>
  <c r="F273" i="6"/>
  <c r="C274" i="6" l="1"/>
  <c r="D274" i="6" s="1"/>
  <c r="F274" i="6" s="1"/>
  <c r="C275" i="6" l="1"/>
  <c r="D275" i="6" s="1"/>
  <c r="F275" i="6" s="1"/>
  <c r="C276" i="6" l="1"/>
  <c r="D276" i="6" s="1"/>
  <c r="F276" i="6" s="1"/>
  <c r="C277" i="6" l="1"/>
  <c r="D277" i="6" s="1"/>
  <c r="F277" i="6" s="1"/>
  <c r="C278" i="6" l="1"/>
  <c r="D278" i="6" s="1"/>
  <c r="F278" i="6" s="1"/>
  <c r="C279" i="6" l="1"/>
  <c r="D279" i="6" s="1"/>
  <c r="F279" i="6" s="1"/>
  <c r="C280" i="6" l="1"/>
  <c r="D280" i="6" s="1"/>
  <c r="F280" i="6" s="1"/>
  <c r="C281" i="6" l="1"/>
  <c r="D281" i="6" s="1"/>
  <c r="F281" i="6"/>
  <c r="C282" i="6" l="1"/>
  <c r="D282" i="6" s="1"/>
  <c r="F282" i="6" s="1"/>
  <c r="C283" i="6" l="1"/>
  <c r="D283" i="6" s="1"/>
  <c r="F283" i="6" s="1"/>
  <c r="C284" i="6" l="1"/>
  <c r="D284" i="6" s="1"/>
  <c r="F284" i="6" s="1"/>
  <c r="C285" i="6" l="1"/>
  <c r="D285" i="6" s="1"/>
  <c r="F285" i="6"/>
  <c r="C286" i="6" l="1"/>
  <c r="D286" i="6" s="1"/>
  <c r="F286" i="6" s="1"/>
  <c r="C287" i="6" l="1"/>
  <c r="D287" i="6" s="1"/>
  <c r="F287" i="6" s="1"/>
  <c r="C288" i="6" l="1"/>
  <c r="D288" i="6" s="1"/>
  <c r="F288" i="6" s="1"/>
  <c r="C289" i="6" l="1"/>
  <c r="D289" i="6" s="1"/>
  <c r="F289" i="6"/>
  <c r="C290" i="6" l="1"/>
  <c r="D290" i="6" s="1"/>
  <c r="F290" i="6" s="1"/>
  <c r="C291" i="6" l="1"/>
  <c r="D291" i="6" s="1"/>
  <c r="F291" i="6" s="1"/>
  <c r="C292" i="6" l="1"/>
  <c r="D292" i="6" s="1"/>
  <c r="F292" i="6" s="1"/>
  <c r="C293" i="6" l="1"/>
  <c r="D293" i="6" s="1"/>
  <c r="F293" i="6"/>
  <c r="C294" i="6" l="1"/>
  <c r="D294" i="6" s="1"/>
  <c r="F294" i="6" s="1"/>
  <c r="C295" i="6" l="1"/>
  <c r="D295" i="6" s="1"/>
  <c r="F295" i="6" s="1"/>
  <c r="C296" i="6" l="1"/>
  <c r="D296" i="6" s="1"/>
  <c r="F296" i="6" s="1"/>
  <c r="C297" i="6" l="1"/>
  <c r="D297" i="6" s="1"/>
  <c r="F297" i="6"/>
  <c r="C298" i="6" l="1"/>
  <c r="D298" i="6" s="1"/>
  <c r="F298" i="6" s="1"/>
  <c r="C299" i="6" l="1"/>
  <c r="D299" i="6" s="1"/>
  <c r="F299" i="6" s="1"/>
  <c r="C300" i="6" l="1"/>
  <c r="D300" i="6" s="1"/>
  <c r="F300" i="6" s="1"/>
  <c r="C301" i="6" l="1"/>
  <c r="D301" i="6" s="1"/>
  <c r="F301" i="6"/>
  <c r="C302" i="6" l="1"/>
  <c r="D302" i="6" s="1"/>
  <c r="F302" i="6" s="1"/>
  <c r="C303" i="6" l="1"/>
  <c r="D303" i="6" s="1"/>
  <c r="F303" i="6" s="1"/>
  <c r="C304" i="6" l="1"/>
  <c r="D304" i="6" s="1"/>
  <c r="F304" i="6" s="1"/>
  <c r="C305" i="6" l="1"/>
  <c r="D305" i="6" s="1"/>
  <c r="F305" i="6"/>
  <c r="C306" i="6" l="1"/>
  <c r="D306" i="6" s="1"/>
  <c r="F306" i="6" s="1"/>
  <c r="C307" i="6" l="1"/>
  <c r="D307" i="6" s="1"/>
  <c r="F307" i="6" s="1"/>
  <c r="C308" i="6" l="1"/>
  <c r="D308" i="6" s="1"/>
  <c r="F308" i="6" s="1"/>
  <c r="C309" i="6" l="1"/>
  <c r="D309" i="6" s="1"/>
  <c r="F309" i="6"/>
  <c r="C310" i="6" l="1"/>
  <c r="D310" i="6" s="1"/>
  <c r="F310" i="6" s="1"/>
  <c r="C311" i="6" l="1"/>
  <c r="D311" i="6" s="1"/>
  <c r="F311" i="6" s="1"/>
  <c r="C312" i="6" l="1"/>
  <c r="D312" i="6" s="1"/>
  <c r="F312" i="6" s="1"/>
  <c r="C313" i="6" l="1"/>
  <c r="D313" i="6" s="1"/>
  <c r="F313" i="6"/>
  <c r="C314" i="6" l="1"/>
  <c r="D314" i="6" s="1"/>
  <c r="F314" i="6" s="1"/>
  <c r="C315" i="6" l="1"/>
  <c r="D315" i="6" s="1"/>
  <c r="F315" i="6" s="1"/>
  <c r="C316" i="6" l="1"/>
  <c r="D316" i="6" s="1"/>
  <c r="F316" i="6" s="1"/>
  <c r="C317" i="6" l="1"/>
  <c r="D317" i="6" s="1"/>
  <c r="F317" i="6"/>
  <c r="C318" i="6" l="1"/>
  <c r="D318" i="6" s="1"/>
  <c r="F318" i="6" s="1"/>
  <c r="C319" i="6" l="1"/>
  <c r="D319" i="6" s="1"/>
  <c r="F319" i="6" s="1"/>
  <c r="C320" i="6" l="1"/>
  <c r="D320" i="6" s="1"/>
  <c r="F320" i="6" s="1"/>
  <c r="C321" i="6" l="1"/>
  <c r="D321" i="6" s="1"/>
  <c r="F321" i="6"/>
  <c r="C322" i="6" l="1"/>
  <c r="D322" i="6" s="1"/>
  <c r="F322" i="6" s="1"/>
  <c r="C323" i="6" l="1"/>
  <c r="D323" i="6" s="1"/>
  <c r="F323" i="6" s="1"/>
  <c r="C324" i="6" l="1"/>
  <c r="D324" i="6" s="1"/>
  <c r="F324" i="6" s="1"/>
  <c r="C325" i="6" l="1"/>
  <c r="D325" i="6" s="1"/>
  <c r="F325" i="6"/>
  <c r="C326" i="6" l="1"/>
  <c r="D326" i="6" s="1"/>
  <c r="F326" i="6" s="1"/>
  <c r="C327" i="6" l="1"/>
  <c r="D327" i="6" s="1"/>
  <c r="F327" i="6" s="1"/>
  <c r="C328" i="6" l="1"/>
  <c r="D328" i="6" s="1"/>
  <c r="F328" i="6" s="1"/>
  <c r="C329" i="6" l="1"/>
  <c r="D329" i="6" s="1"/>
  <c r="F329" i="6"/>
  <c r="C330" i="6" l="1"/>
  <c r="D330" i="6" s="1"/>
  <c r="F330" i="6" s="1"/>
  <c r="C331" i="6" l="1"/>
  <c r="D331" i="6" s="1"/>
  <c r="F331" i="6" s="1"/>
  <c r="C332" i="6" l="1"/>
  <c r="D332" i="6" s="1"/>
  <c r="F332" i="6" s="1"/>
  <c r="C333" i="6" l="1"/>
  <c r="D333" i="6" s="1"/>
  <c r="F333" i="6"/>
  <c r="C334" i="6" l="1"/>
  <c r="D334" i="6" s="1"/>
  <c r="F334" i="6" s="1"/>
  <c r="C335" i="6" l="1"/>
  <c r="D335" i="6" s="1"/>
  <c r="F335" i="6" s="1"/>
  <c r="C336" i="6" l="1"/>
  <c r="D336" i="6" s="1"/>
  <c r="F336" i="6" s="1"/>
  <c r="C337" i="6" l="1"/>
  <c r="D337" i="6" s="1"/>
  <c r="F337" i="6"/>
  <c r="C338" i="6" l="1"/>
  <c r="D338" i="6" s="1"/>
  <c r="F338" i="6"/>
  <c r="C339" i="6" l="1"/>
  <c r="D339" i="6" s="1"/>
  <c r="F339" i="6" s="1"/>
  <c r="C340" i="6" l="1"/>
  <c r="D340" i="6" s="1"/>
  <c r="F340" i="6"/>
  <c r="C341" i="6" l="1"/>
  <c r="D341" i="6" s="1"/>
  <c r="F341" i="6"/>
  <c r="C342" i="6" l="1"/>
  <c r="D342" i="6" s="1"/>
  <c r="F342" i="6"/>
  <c r="C343" i="6" l="1"/>
  <c r="D343" i="6" s="1"/>
  <c r="F343" i="6" s="1"/>
  <c r="C344" i="6" l="1"/>
  <c r="D344" i="6" s="1"/>
  <c r="F344" i="6" s="1"/>
  <c r="C345" i="6" l="1"/>
  <c r="D345" i="6" s="1"/>
  <c r="F345" i="6" s="1"/>
  <c r="C346" i="6" l="1"/>
  <c r="D346" i="6" s="1"/>
  <c r="F346" i="6"/>
  <c r="C347" i="6" l="1"/>
  <c r="D347" i="6" s="1"/>
  <c r="F347" i="6" s="1"/>
  <c r="C348" i="6" l="1"/>
  <c r="D348" i="6" s="1"/>
  <c r="F348" i="6" s="1"/>
  <c r="C349" i="6" l="1"/>
  <c r="D349" i="6" s="1"/>
  <c r="F349" i="6" s="1"/>
  <c r="C350" i="6" l="1"/>
  <c r="D350" i="6" s="1"/>
  <c r="F350" i="6" s="1"/>
  <c r="C351" i="6" l="1"/>
  <c r="D351" i="6" s="1"/>
  <c r="F351" i="6"/>
  <c r="C352" i="6" l="1"/>
  <c r="D352" i="6" s="1"/>
  <c r="F352" i="6" s="1"/>
  <c r="C353" i="6" l="1"/>
  <c r="D353" i="6" s="1"/>
  <c r="F353" i="6" s="1"/>
  <c r="C354" i="6" l="1"/>
  <c r="D354" i="6" s="1"/>
  <c r="F354" i="6" s="1"/>
  <c r="C355" i="6" l="1"/>
  <c r="D355" i="6" s="1"/>
  <c r="F355" i="6"/>
  <c r="C356" i="6" l="1"/>
  <c r="D356" i="6" s="1"/>
  <c r="F356" i="6" s="1"/>
  <c r="C357" i="6" l="1"/>
  <c r="D357" i="6" s="1"/>
  <c r="F357" i="6" s="1"/>
  <c r="C358" i="6" l="1"/>
  <c r="D358" i="6" s="1"/>
  <c r="F358" i="6" s="1"/>
  <c r="C359" i="6" l="1"/>
  <c r="D359" i="6" s="1"/>
  <c r="F359" i="6"/>
  <c r="C360" i="6" l="1"/>
  <c r="D360" i="6" s="1"/>
  <c r="F360" i="6" s="1"/>
  <c r="C361" i="6" l="1"/>
  <c r="D361" i="6" s="1"/>
  <c r="F361" i="6" s="1"/>
  <c r="C362" i="6" l="1"/>
  <c r="D362" i="6" s="1"/>
  <c r="F362" i="6" s="1"/>
  <c r="C363" i="6" l="1"/>
  <c r="D363" i="6" s="1"/>
  <c r="F363" i="6" s="1"/>
  <c r="C364" i="6" l="1"/>
  <c r="D364" i="6" s="1"/>
  <c r="F364" i="6" s="1"/>
  <c r="C365" i="6" l="1"/>
  <c r="D365" i="6" s="1"/>
  <c r="F365" i="6" s="1"/>
  <c r="C366" i="6" l="1"/>
  <c r="D366" i="6" s="1"/>
  <c r="F366" i="6" s="1"/>
  <c r="C367" i="6" l="1"/>
  <c r="D367" i="6" s="1"/>
  <c r="F367" i="6"/>
  <c r="C368" i="6" l="1"/>
  <c r="D368" i="6" s="1"/>
  <c r="F368" i="6" s="1"/>
  <c r="C369" i="6" l="1"/>
  <c r="D369" i="6" s="1"/>
  <c r="F369" i="6" s="1"/>
  <c r="C370" i="6" l="1"/>
  <c r="D370" i="6" l="1"/>
  <c r="F370" i="6" s="1"/>
  <c r="H15" i="6" s="1"/>
  <c r="H9" i="6"/>
  <c r="H12" i="6" s="1"/>
</calcChain>
</file>

<file path=xl/sharedStrings.xml><?xml version="1.0" encoding="utf-8"?>
<sst xmlns="http://schemas.openxmlformats.org/spreadsheetml/2006/main" count="218" uniqueCount="185">
  <si>
    <t>INCOME STATEMENT</t>
  </si>
  <si>
    <t>Revenue</t>
  </si>
  <si>
    <t>Cost of Goods Sold</t>
  </si>
  <si>
    <t>Operating Expenses</t>
  </si>
  <si>
    <t>BALANCE SHEET</t>
  </si>
  <si>
    <t>Assets</t>
  </si>
  <si>
    <t>Total Assets</t>
  </si>
  <si>
    <t>Liabilities and Shareholder Equity</t>
  </si>
  <si>
    <t>Total Current liabilities</t>
  </si>
  <si>
    <t>Total Liabilities and Shareholder Equity</t>
  </si>
  <si>
    <t>Average Collection Period</t>
  </si>
  <si>
    <t>Average Days of Payable</t>
  </si>
  <si>
    <t>Inventory Turnover (Days)</t>
  </si>
  <si>
    <t xml:space="preserve">Inventory Turnover  </t>
  </si>
  <si>
    <t xml:space="preserve">     Maintenance Expenses</t>
  </si>
  <si>
    <t xml:space="preserve">     Income Tax Payable</t>
  </si>
  <si>
    <t xml:space="preserve">     Extra Bank Loan</t>
  </si>
  <si>
    <t xml:space="preserve">     Retained Earnings</t>
  </si>
  <si>
    <t>DFN</t>
  </si>
  <si>
    <t xml:space="preserve">     Cash Above Minimum Cash Balance</t>
  </si>
  <si>
    <t xml:space="preserve">     Minimum cash Balance</t>
  </si>
  <si>
    <t>Operating Profit</t>
  </si>
  <si>
    <t xml:space="preserve">     Taxes</t>
  </si>
  <si>
    <t xml:space="preserve">     Profit Before Taxes</t>
  </si>
  <si>
    <t>Net Profit After Taxes</t>
  </si>
  <si>
    <t>Interest</t>
  </si>
  <si>
    <t xml:space="preserve">     Extra Bank loan Interest Expense</t>
  </si>
  <si>
    <t>Tax Rate</t>
  </si>
  <si>
    <t xml:space="preserve">     Total Operating Expenses</t>
  </si>
  <si>
    <t xml:space="preserve">     Total Revenue</t>
  </si>
  <si>
    <t xml:space="preserve">     Total COGS</t>
  </si>
  <si>
    <t>Annual Change</t>
  </si>
  <si>
    <t>Sales Unit Forecasts</t>
  </si>
  <si>
    <t>Ratios Used in Forecast</t>
  </si>
  <si>
    <t>Fixed</t>
  </si>
  <si>
    <t>.</t>
  </si>
  <si>
    <t xml:space="preserve">     Accounts Payable (COGS)</t>
  </si>
  <si>
    <t>Break Even Analysis</t>
  </si>
  <si>
    <t>Variable Costs</t>
  </si>
  <si>
    <t xml:space="preserve">     General &amp; Administrative </t>
  </si>
  <si>
    <t>Fixed Costs</t>
  </si>
  <si>
    <t xml:space="preserve">     Store Building Maintenance Exp.</t>
  </si>
  <si>
    <t xml:space="preserve">     Bank Loan Interest Exp.</t>
  </si>
  <si>
    <t>Break-Even Sales of One of Each</t>
  </si>
  <si>
    <t>Greek Deli</t>
  </si>
  <si>
    <t>http://www.yelp.com/biz/greek-deli-and-catering-washington</t>
  </si>
  <si>
    <t>Kates Greek &amp; American Deli</t>
  </si>
  <si>
    <t>Opa, Rexburg ID</t>
  </si>
  <si>
    <t>http://www.yelp.com/biz/opa-rexburg#query:greek%20food</t>
  </si>
  <si>
    <t xml:space="preserve">     Lunch Sales</t>
  </si>
  <si>
    <t xml:space="preserve">     Dinner Sales</t>
  </si>
  <si>
    <t>Lunch Sales</t>
  </si>
  <si>
    <t>Dinner Sales</t>
  </si>
  <si>
    <t>Average Price (Lunch)</t>
  </si>
  <si>
    <t>Average Price (Dinner)</t>
  </si>
  <si>
    <t>Of Average Price</t>
  </si>
  <si>
    <t>COGS (Lunch)</t>
  </si>
  <si>
    <t>COGS (Dinner)</t>
  </si>
  <si>
    <t>Catering Sales</t>
  </si>
  <si>
    <t>Average Price (Catering)</t>
  </si>
  <si>
    <t>COGS (Catering)</t>
  </si>
  <si>
    <t xml:space="preserve">     Lunch Goods</t>
  </si>
  <si>
    <t xml:space="preserve">     Dinner Goods</t>
  </si>
  <si>
    <t xml:space="preserve">     Catering Goods</t>
  </si>
  <si>
    <t xml:space="preserve">     Rental Expense</t>
  </si>
  <si>
    <t>FINANCIAL HEALTH (RATIOS)</t>
  </si>
  <si>
    <t>Averages</t>
  </si>
  <si>
    <t>Current Ratio</t>
  </si>
  <si>
    <t>Acid Test</t>
  </si>
  <si>
    <t>Debt to Equity</t>
  </si>
  <si>
    <t>Average Payment Period</t>
  </si>
  <si>
    <t>Inventory Turnover</t>
  </si>
  <si>
    <t>ROA</t>
  </si>
  <si>
    <t>ROE</t>
  </si>
  <si>
    <t>DuPont Analysis - 2012</t>
  </si>
  <si>
    <t>Used in Dupont Analysis</t>
  </si>
  <si>
    <t>Return on Sales</t>
  </si>
  <si>
    <t>Leverage</t>
  </si>
  <si>
    <t>Assets Utilization</t>
  </si>
  <si>
    <t xml:space="preserve">     Catering Sales</t>
  </si>
  <si>
    <t xml:space="preserve">     Utilities</t>
  </si>
  <si>
    <t xml:space="preserve">     Labor Expenses</t>
  </si>
  <si>
    <t xml:space="preserve">     Accounts Receivable (Catering)</t>
  </si>
  <si>
    <t xml:space="preserve">     Inventory (All Three)</t>
  </si>
  <si>
    <t>Average Price Catering Sales</t>
  </si>
  <si>
    <t>Average Internet Dinner Sales</t>
  </si>
  <si>
    <t>Average Store Lunch Sales</t>
  </si>
  <si>
    <t xml:space="preserve">     Labor Expense</t>
  </si>
  <si>
    <t>Contribution Margin</t>
  </si>
  <si>
    <t xml:space="preserve">     Cost of Goods Sold (Lunch)</t>
  </si>
  <si>
    <t xml:space="preserve">     Cost of Goods Sold (Dinner)</t>
  </si>
  <si>
    <t xml:space="preserve">     Cost of Goods Sold (Catering)</t>
  </si>
  <si>
    <t>Per Average Customer</t>
  </si>
  <si>
    <t>Population of Kellog Idaho</t>
  </si>
  <si>
    <t>Average American Eats Out / Week</t>
  </si>
  <si>
    <t>13 Restaurants, we get ___% of Market</t>
  </si>
  <si>
    <t>Customers Per Year</t>
  </si>
  <si>
    <t>General Assumptions</t>
  </si>
  <si>
    <t>3 part time workers</t>
  </si>
  <si>
    <t>Increase on Rent after 2015</t>
  </si>
  <si>
    <t>Utilities per month (Water)</t>
  </si>
  <si>
    <t>Utilities per month (Gas)</t>
  </si>
  <si>
    <t>Utilities per month (Electric)</t>
  </si>
  <si>
    <t xml:space="preserve">     FF&amp;E</t>
  </si>
  <si>
    <t xml:space="preserve">     Depreciation Expense (FF&amp;E)</t>
  </si>
  <si>
    <t xml:space="preserve">     Mortgage Interest Expense</t>
  </si>
  <si>
    <t>Depreciation Per Year</t>
  </si>
  <si>
    <t>Loan Amount</t>
  </si>
  <si>
    <t>Extra Payments</t>
  </si>
  <si>
    <t>Interest Rate</t>
  </si>
  <si>
    <t>Periods</t>
  </si>
  <si>
    <t xml:space="preserve">Payment </t>
  </si>
  <si>
    <t xml:space="preserve">Interest </t>
  </si>
  <si>
    <t>Principle</t>
  </si>
  <si>
    <t>Extra Payment</t>
  </si>
  <si>
    <t>Loan Balance</t>
  </si>
  <si>
    <t>TOTAL INTEREST</t>
  </si>
  <si>
    <t>TOTAL PAID</t>
  </si>
  <si>
    <t>TOTAL PERIODS</t>
  </si>
  <si>
    <t>Interest Expense</t>
  </si>
  <si>
    <t>Amount Paid on Principle</t>
  </si>
  <si>
    <t>Average spent per Customer</t>
  </si>
  <si>
    <t xml:space="preserve">     Acuumulated Depreciation</t>
  </si>
  <si>
    <t>Down Payment</t>
  </si>
  <si>
    <t xml:space="preserve">     Shareholders Contribution</t>
  </si>
  <si>
    <t xml:space="preserve">     General Managers Salary</t>
  </si>
  <si>
    <t>Wage</t>
  </si>
  <si>
    <t>Hours</t>
  </si>
  <si>
    <t>Workers</t>
  </si>
  <si>
    <t xml:space="preserve">          Water</t>
  </si>
  <si>
    <t xml:space="preserve">          Gas</t>
  </si>
  <si>
    <t xml:space="preserve">          Electric</t>
  </si>
  <si>
    <t>WACC</t>
  </si>
  <si>
    <t>Return on T-Bills</t>
  </si>
  <si>
    <t>Return on S&amp;P 500</t>
  </si>
  <si>
    <t>Mortgage</t>
  </si>
  <si>
    <t>Mortgage Interest</t>
  </si>
  <si>
    <t>Bank Loan</t>
  </si>
  <si>
    <t>Bank Loan Interest</t>
  </si>
  <si>
    <t>Blended Average Debt</t>
  </si>
  <si>
    <t>CAPM-Return Equity Investors Expect</t>
  </si>
  <si>
    <t>Total Percent that is Debt</t>
  </si>
  <si>
    <t>Total Percent that is Equity</t>
  </si>
  <si>
    <t>Proportion</t>
  </si>
  <si>
    <t>Unlevered Beta</t>
  </si>
  <si>
    <t>Relevered Beta</t>
  </si>
  <si>
    <t>New CAPM</t>
  </si>
  <si>
    <t>New WACC</t>
  </si>
  <si>
    <t>Goal for Debt/Equity</t>
  </si>
  <si>
    <t>Per Month</t>
  </si>
  <si>
    <t>Of Sales</t>
  </si>
  <si>
    <t>Increase @ the rate that sales increases</t>
  </si>
  <si>
    <t>Statement of Free Cash Flows</t>
  </si>
  <si>
    <t>Year</t>
  </si>
  <si>
    <t>Period</t>
  </si>
  <si>
    <t>Cash From Operating Income</t>
  </si>
  <si>
    <t>Taxable Operating Income</t>
  </si>
  <si>
    <t>Income Taxes payable</t>
  </si>
  <si>
    <t>Depreciation Expense</t>
  </si>
  <si>
    <t>TOTAL CASH FROM OPERATIONS</t>
  </si>
  <si>
    <t>Cash In/out from Capital Expenditures</t>
  </si>
  <si>
    <t>Book Value</t>
  </si>
  <si>
    <t>Tax on Sale</t>
  </si>
  <si>
    <t>Selling @</t>
  </si>
  <si>
    <t>Cash In/Out from Working Capital Expenditures</t>
  </si>
  <si>
    <t>Cash In/Out from Liquidating Working Capital</t>
  </si>
  <si>
    <t>Total FCF's</t>
  </si>
  <si>
    <t>PV of FCF's</t>
  </si>
  <si>
    <t>NPV</t>
  </si>
  <si>
    <t>IRR</t>
  </si>
  <si>
    <t>- Accounts Receivable</t>
  </si>
  <si>
    <t>- Inventory</t>
  </si>
  <si>
    <t>+ Income Taxes Payable (operations only)</t>
  </si>
  <si>
    <t>+ Accounts Payable - COGS</t>
  </si>
  <si>
    <t>+ Accounts Receivable</t>
  </si>
  <si>
    <t>+ Inventory</t>
  </si>
  <si>
    <t>- Accounts Payable - COGS</t>
  </si>
  <si>
    <t>- Income Taxes Payable (operations only)</t>
  </si>
  <si>
    <t>Sale (FFE)</t>
  </si>
  <si>
    <t>Purchase (FFE, replace every 5 years)</t>
  </si>
  <si>
    <t>Beta (at forecasted debt/equity, 80/20)</t>
  </si>
  <si>
    <t>Percentage of Sales</t>
  </si>
  <si>
    <t>Increases @ 4% w/ sales</t>
  </si>
  <si>
    <t>Costomers per Day</t>
  </si>
  <si>
    <t>Cutomers per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</si>
</sst>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-&quot;$&quot;* #,##0.00_-;\-&quot;$&quot;* #,##0.00_-;_-&quot;$&quot;* &quot;-&quot;??_-;_-@_-"/>
    <numFmt numFmtId="168" formatCode="&quot;$&quot;#,##0.00;[Red]\-&quot;$&quot;#,##0.00"/>
    <numFmt numFmtId="169" formatCode="0.000"/>
    <numFmt numFmtId="170" formatCode="_(\$* #,##0.00_);_(\$* \(#,##0.00\);_(\$* \-??_);_(@_)"/>
    <numFmt numFmtId="171" formatCode="_(\$* #,##0_);_(\$* \(#,##0\);_(\$* \-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i/>
      <u/>
      <sz val="12"/>
      <color indexed="8"/>
      <name val="Calibri"/>
      <family val="2"/>
    </font>
    <font>
      <b/>
      <i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i/>
      <u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rgb="FFC00000"/>
      <name val="Arial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  <charset val="1"/>
    </font>
    <font>
      <sz val="11"/>
      <color theme="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slantDashDot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13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44" fontId="0" fillId="0" borderId="0" xfId="2" applyFont="1"/>
    <xf numFmtId="164" fontId="0" fillId="0" borderId="0" xfId="0" applyNumberFormat="1"/>
    <xf numFmtId="165" fontId="0" fillId="0" borderId="0" xfId="2" applyNumberFormat="1" applyFont="1"/>
    <xf numFmtId="43" fontId="0" fillId="0" borderId="0" xfId="0" applyNumberFormat="1"/>
    <xf numFmtId="0" fontId="2" fillId="0" borderId="0" xfId="0" applyFont="1" applyAlignment="1">
      <alignment horizontal="left"/>
    </xf>
    <xf numFmtId="44" fontId="0" fillId="0" borderId="1" xfId="2" applyFont="1" applyBorder="1"/>
    <xf numFmtId="44" fontId="0" fillId="0" borderId="0" xfId="2" applyFont="1" applyBorder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44" fontId="0" fillId="0" borderId="0" xfId="0" applyNumberFormat="1"/>
    <xf numFmtId="0" fontId="0" fillId="0" borderId="0" xfId="0" applyAlignment="1">
      <alignment horizontal="right"/>
    </xf>
    <xf numFmtId="0" fontId="0" fillId="0" borderId="0" xfId="0" applyFont="1"/>
    <xf numFmtId="9" fontId="0" fillId="0" borderId="0" xfId="3" applyFont="1"/>
    <xf numFmtId="9" fontId="0" fillId="0" borderId="0" xfId="0" applyNumberFormat="1"/>
    <xf numFmtId="165" fontId="0" fillId="0" borderId="0" xfId="2" applyNumberFormat="1" applyFont="1" applyBorder="1"/>
    <xf numFmtId="164" fontId="0" fillId="0" borderId="0" xfId="1" applyNumberFormat="1" applyFont="1"/>
    <xf numFmtId="9" fontId="0" fillId="0" borderId="0" xfId="0" applyNumberFormat="1" applyFont="1" applyAlignment="1">
      <alignment horizontal="right"/>
    </xf>
    <xf numFmtId="0" fontId="0" fillId="0" borderId="0" xfId="0" applyFill="1"/>
    <xf numFmtId="0" fontId="0" fillId="0" borderId="0" xfId="0" applyFont="1" applyFill="1"/>
    <xf numFmtId="44" fontId="0" fillId="0" borderId="2" xfId="2" applyFont="1" applyBorder="1"/>
    <xf numFmtId="0" fontId="0" fillId="0" borderId="0" xfId="0" applyFont="1" applyAlignment="1"/>
    <xf numFmtId="0" fontId="0" fillId="0" borderId="3" xfId="0" applyBorder="1"/>
    <xf numFmtId="0" fontId="2" fillId="0" borderId="4" xfId="0" applyFont="1" applyBorder="1" applyAlignment="1">
      <alignment horizontal="left"/>
    </xf>
    <xf numFmtId="44" fontId="0" fillId="0" borderId="4" xfId="2" applyFont="1" applyBorder="1"/>
    <xf numFmtId="0" fontId="0" fillId="0" borderId="4" xfId="0" applyBorder="1"/>
    <xf numFmtId="0" fontId="0" fillId="0" borderId="4" xfId="0" applyBorder="1" applyAlignment="1">
      <alignment horizontal="right"/>
    </xf>
    <xf numFmtId="44" fontId="0" fillId="0" borderId="0" xfId="2" applyNumberFormat="1" applyFont="1"/>
    <xf numFmtId="43" fontId="0" fillId="0" borderId="0" xfId="1" applyFont="1"/>
    <xf numFmtId="44" fontId="0" fillId="0" borderId="0" xfId="2" applyFont="1" applyFill="1"/>
    <xf numFmtId="44" fontId="2" fillId="0" borderId="1" xfId="2" applyFont="1" applyBorder="1"/>
    <xf numFmtId="44" fontId="2" fillId="0" borderId="0" xfId="2" applyFont="1" applyBorder="1"/>
    <xf numFmtId="164" fontId="2" fillId="0" borderId="0" xfId="1" applyNumberFormat="1" applyFont="1"/>
    <xf numFmtId="0" fontId="6" fillId="0" borderId="0" xfId="0" applyFont="1"/>
    <xf numFmtId="44" fontId="0" fillId="0" borderId="0" xfId="2" applyFont="1" applyFill="1" applyBorder="1"/>
    <xf numFmtId="0" fontId="0" fillId="0" borderId="0" xfId="0" applyBorder="1"/>
    <xf numFmtId="44" fontId="0" fillId="0" borderId="0" xfId="2" applyNumberFormat="1" applyFont="1" applyBorder="1"/>
    <xf numFmtId="0" fontId="8" fillId="0" borderId="0" xfId="4" applyFont="1" applyFill="1" applyBorder="1"/>
    <xf numFmtId="0" fontId="7" fillId="0" borderId="0" xfId="4"/>
    <xf numFmtId="0" fontId="9" fillId="0" borderId="0" xfId="4" applyFont="1"/>
    <xf numFmtId="0" fontId="9" fillId="0" borderId="0" xfId="4" applyFont="1" applyAlignment="1">
      <alignment horizontal="center"/>
    </xf>
    <xf numFmtId="2" fontId="7" fillId="0" borderId="0" xfId="4" applyNumberFormat="1"/>
    <xf numFmtId="2" fontId="7" fillId="0" borderId="0" xfId="1" applyNumberFormat="1" applyFont="1" applyFill="1" applyBorder="1" applyAlignment="1" applyProtection="1"/>
    <xf numFmtId="43" fontId="1" fillId="0" borderId="0" xfId="1"/>
    <xf numFmtId="10" fontId="1" fillId="0" borderId="0" xfId="3" applyNumberFormat="1"/>
    <xf numFmtId="0" fontId="10" fillId="0" borderId="0" xfId="4" applyFont="1" applyAlignment="1"/>
    <xf numFmtId="0" fontId="11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164" fontId="0" fillId="0" borderId="3" xfId="1" applyNumberFormat="1" applyFont="1" applyBorder="1"/>
    <xf numFmtId="0" fontId="12" fillId="0" borderId="0" xfId="4" applyFont="1"/>
    <xf numFmtId="9" fontId="0" fillId="0" borderId="0" xfId="2" applyNumberFormat="1" applyFont="1"/>
    <xf numFmtId="10" fontId="0" fillId="0" borderId="0" xfId="3" applyNumberFormat="1" applyFont="1"/>
    <xf numFmtId="9" fontId="0" fillId="0" borderId="0" xfId="3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165" fontId="0" fillId="0" borderId="0" xfId="2" applyNumberFormat="1" applyFont="1" applyAlignment="1">
      <alignment horizontal="right"/>
    </xf>
    <xf numFmtId="12" fontId="0" fillId="0" borderId="0" xfId="0" applyNumberFormat="1" applyFont="1" applyAlignment="1">
      <alignment horizontal="right"/>
    </xf>
    <xf numFmtId="0" fontId="14" fillId="0" borderId="5" xfId="0" applyFont="1" applyBorder="1"/>
    <xf numFmtId="44" fontId="15" fillId="0" borderId="6" xfId="2" applyFont="1" applyBorder="1"/>
    <xf numFmtId="0" fontId="14" fillId="0" borderId="7" xfId="0" applyFont="1" applyBorder="1"/>
    <xf numFmtId="44" fontId="15" fillId="0" borderId="8" xfId="2" applyFont="1" applyBorder="1"/>
    <xf numFmtId="0" fontId="14" fillId="0" borderId="9" xfId="0" applyFont="1" applyBorder="1"/>
    <xf numFmtId="166" fontId="15" fillId="0" borderId="10" xfId="3" applyNumberFormat="1" applyFont="1" applyBorder="1"/>
    <xf numFmtId="0" fontId="14" fillId="0" borderId="11" xfId="0" applyFont="1" applyBorder="1"/>
    <xf numFmtId="0" fontId="15" fillId="0" borderId="12" xfId="0" applyFont="1" applyBorder="1"/>
    <xf numFmtId="0" fontId="14" fillId="0" borderId="13" xfId="0" applyFont="1" applyBorder="1"/>
    <xf numFmtId="167" fontId="16" fillId="0" borderId="0" xfId="0" applyNumberFormat="1" applyFont="1"/>
    <xf numFmtId="0" fontId="14" fillId="0" borderId="0" xfId="0" applyFont="1"/>
    <xf numFmtId="168" fontId="0" fillId="0" borderId="0" xfId="0" applyNumberFormat="1"/>
    <xf numFmtId="2" fontId="0" fillId="0" borderId="0" xfId="0" applyNumberFormat="1"/>
    <xf numFmtId="167" fontId="0" fillId="0" borderId="0" xfId="0" applyNumberFormat="1"/>
    <xf numFmtId="44" fontId="17" fillId="2" borderId="13" xfId="2" applyFont="1" applyFill="1" applyBorder="1" applyAlignment="1"/>
    <xf numFmtId="167" fontId="17" fillId="2" borderId="13" xfId="0" applyNumberFormat="1" applyFont="1" applyFill="1" applyBorder="1" applyAlignment="1"/>
    <xf numFmtId="1" fontId="14" fillId="2" borderId="13" xfId="2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center"/>
    </xf>
    <xf numFmtId="167" fontId="5" fillId="0" borderId="0" xfId="0" applyNumberFormat="1" applyFont="1"/>
    <xf numFmtId="0" fontId="5" fillId="0" borderId="0" xfId="0" applyFont="1" applyAlignment="1">
      <alignment horizontal="center"/>
    </xf>
    <xf numFmtId="166" fontId="0" fillId="0" borderId="0" xfId="0" applyNumberFormat="1" applyFont="1" applyAlignment="1">
      <alignment horizontal="right"/>
    </xf>
    <xf numFmtId="0" fontId="0" fillId="0" borderId="14" xfId="0" applyBorder="1"/>
    <xf numFmtId="166" fontId="0" fillId="0" borderId="0" xfId="3" applyNumberFormat="1" applyFont="1"/>
    <xf numFmtId="166" fontId="0" fillId="0" borderId="0" xfId="0" applyNumberFormat="1"/>
    <xf numFmtId="10" fontId="7" fillId="0" borderId="15" xfId="4" applyNumberFormat="1" applyBorder="1"/>
    <xf numFmtId="10" fontId="1" fillId="0" borderId="15" xfId="3" applyNumberFormat="1" applyBorder="1"/>
    <xf numFmtId="0" fontId="9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2" fontId="7" fillId="0" borderId="15" xfId="0" applyNumberFormat="1" applyFont="1" applyFill="1" applyBorder="1" applyAlignment="1" applyProtection="1"/>
    <xf numFmtId="169" fontId="7" fillId="0" borderId="0" xfId="0" applyNumberFormat="1" applyFont="1" applyFill="1" applyBorder="1" applyAlignment="1" applyProtection="1"/>
    <xf numFmtId="10" fontId="7" fillId="0" borderId="15" xfId="0" applyNumberFormat="1" applyFont="1" applyFill="1" applyBorder="1" applyAlignment="1" applyProtection="1"/>
    <xf numFmtId="44" fontId="0" fillId="0" borderId="0" xfId="2" applyFont="1" applyAlignment="1">
      <alignment horizontal="right"/>
    </xf>
    <xf numFmtId="10" fontId="0" fillId="0" borderId="0" xfId="3" applyNumberFormat="1" applyFont="1" applyAlignment="1">
      <alignment horizontal="right"/>
    </xf>
    <xf numFmtId="44" fontId="0" fillId="0" borderId="0" xfId="2" applyNumberFormat="1" applyFont="1" applyFill="1"/>
    <xf numFmtId="44" fontId="0" fillId="0" borderId="0" xfId="2" applyNumberFormat="1" applyFont="1" applyFill="1" applyBorder="1"/>
    <xf numFmtId="0" fontId="18" fillId="0" borderId="0" xfId="4" applyFont="1" applyAlignment="1"/>
    <xf numFmtId="0" fontId="8" fillId="0" borderId="0" xfId="4" applyFont="1" applyAlignment="1"/>
    <xf numFmtId="0" fontId="8" fillId="0" borderId="0" xfId="4" applyFont="1"/>
    <xf numFmtId="0" fontId="19" fillId="0" borderId="16" xfId="4" applyFont="1" applyBorder="1"/>
    <xf numFmtId="0" fontId="9" fillId="0" borderId="0" xfId="4" applyFont="1" applyAlignment="1"/>
    <xf numFmtId="0" fontId="19" fillId="0" borderId="0" xfId="4" applyFont="1" applyBorder="1"/>
    <xf numFmtId="44" fontId="1" fillId="0" borderId="0" xfId="2"/>
    <xf numFmtId="171" fontId="7" fillId="0" borderId="0" xfId="4" applyNumberFormat="1"/>
    <xf numFmtId="44" fontId="1" fillId="0" borderId="16" xfId="2" applyBorder="1"/>
    <xf numFmtId="171" fontId="7" fillId="0" borderId="16" xfId="4" applyNumberFormat="1" applyBorder="1"/>
    <xf numFmtId="43" fontId="20" fillId="0" borderId="0" xfId="4" applyNumberFormat="1" applyFont="1"/>
    <xf numFmtId="9" fontId="7" fillId="0" borderId="0" xfId="4" applyNumberFormat="1"/>
    <xf numFmtId="0" fontId="7" fillId="0" borderId="0" xfId="4" quotePrefix="1"/>
    <xf numFmtId="0" fontId="9" fillId="0" borderId="0" xfId="4" quotePrefix="1" applyFont="1"/>
    <xf numFmtId="44" fontId="1" fillId="0" borderId="1" xfId="2" applyBorder="1"/>
    <xf numFmtId="8" fontId="7" fillId="0" borderId="0" xfId="4" applyNumberFormat="1"/>
    <xf numFmtId="170" fontId="9" fillId="0" borderId="0" xfId="4" applyNumberFormat="1" applyFont="1"/>
    <xf numFmtId="10" fontId="9" fillId="0" borderId="0" xfId="4" applyNumberFormat="1" applyFont="1"/>
    <xf numFmtId="171" fontId="7" fillId="0" borderId="0" xfId="4" applyNumberFormat="1" applyBorder="1"/>
    <xf numFmtId="44" fontId="1" fillId="0" borderId="0" xfId="2" applyBorder="1"/>
    <xf numFmtId="0" fontId="7" fillId="0" borderId="0" xfId="4" applyBorder="1"/>
    <xf numFmtId="171" fontId="20" fillId="0" borderId="0" xfId="4" applyNumberFormat="1" applyFont="1" applyBorder="1"/>
    <xf numFmtId="43" fontId="20" fillId="0" borderId="0" xfId="4" applyNumberFormat="1" applyFont="1" applyBorder="1"/>
    <xf numFmtId="8" fontId="7" fillId="0" borderId="0" xfId="4" applyNumberFormat="1" applyBorder="1"/>
    <xf numFmtId="8" fontId="1" fillId="0" borderId="0" xfId="2" applyNumberFormat="1"/>
    <xf numFmtId="0" fontId="18" fillId="0" borderId="0" xfId="0" applyNumberFormat="1" applyFont="1" applyFill="1" applyBorder="1" applyAlignment="1" applyProtection="1"/>
    <xf numFmtId="10" fontId="1" fillId="0" borderId="0" xfId="3" applyNumberFormat="1" applyBorder="1"/>
    <xf numFmtId="10" fontId="0" fillId="0" borderId="0" xfId="0" applyNumberFormat="1"/>
    <xf numFmtId="43" fontId="0" fillId="0" borderId="0" xfId="1" applyNumberFormat="1" applyFont="1"/>
    <xf numFmtId="164" fontId="0" fillId="0" borderId="0" xfId="1" applyNumberFormat="1" applyFont="1" applyBorder="1"/>
    <xf numFmtId="10" fontId="21" fillId="0" borderId="0" xfId="3" applyNumberFormat="1" applyFont="1"/>
    <xf numFmtId="9" fontId="0" fillId="0" borderId="0" xfId="3" applyNumberFormat="1" applyFont="1"/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13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Excel Built-in Normal" xfId="4"/>
    <cellStyle name="Normal" xfId="0" builtinId="0"/>
    <cellStyle name="Percent" xfId="3" builtinId="5"/>
  </cellStyles>
  <dxfs count="1"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9"/>
  <sheetViews>
    <sheetView zoomScale="85" zoomScaleNormal="85" workbookViewId="0">
      <pane xSplit="1" topLeftCell="B1" activePane="topRight" state="frozen"/>
      <selection pane="topRight"/>
    </sheetView>
  </sheetViews>
  <sheetFormatPr defaultRowHeight="15" x14ac:dyDescent="0.25"/>
  <cols>
    <col min="1" max="1" width="44.28515625" customWidth="1"/>
    <col min="2" max="2" width="13.5703125" customWidth="1"/>
    <col min="3" max="4" width="12.5703125" bestFit="1" customWidth="1"/>
    <col min="6" max="6" width="14.28515625" bestFit="1" customWidth="1"/>
    <col min="7" max="7" width="10.5703125" bestFit="1" customWidth="1"/>
    <col min="8" max="8" width="14.28515625" bestFit="1" customWidth="1"/>
    <col min="10" max="10" width="14.28515625" customWidth="1"/>
    <col min="12" max="12" width="14.28515625" customWidth="1"/>
    <col min="14" max="14" width="14.28515625" customWidth="1"/>
    <col min="16" max="16" width="14.28515625" customWidth="1"/>
    <col min="18" max="18" width="14.28515625" customWidth="1"/>
    <col min="20" max="20" width="21.140625" bestFit="1" customWidth="1"/>
    <col min="23" max="23" width="13.28515625" customWidth="1"/>
    <col min="24" max="24" width="13.140625" customWidth="1"/>
    <col min="25" max="25" width="14.28515625" bestFit="1" customWidth="1"/>
    <col min="26" max="26" width="10.5703125" bestFit="1" customWidth="1"/>
  </cols>
  <sheetData>
    <row r="1" spans="1:21" ht="15.75" x14ac:dyDescent="0.25">
      <c r="A1" s="50" t="s">
        <v>97</v>
      </c>
      <c r="D1" s="129" t="s">
        <v>98</v>
      </c>
      <c r="E1" s="130"/>
      <c r="F1" s="130"/>
      <c r="G1" t="s">
        <v>126</v>
      </c>
      <c r="H1" t="s">
        <v>127</v>
      </c>
      <c r="I1" t="s">
        <v>128</v>
      </c>
      <c r="K1" s="83"/>
    </row>
    <row r="2" spans="1:21" x14ac:dyDescent="0.25">
      <c r="A2" t="s">
        <v>93</v>
      </c>
      <c r="B2" s="20">
        <v>2000</v>
      </c>
      <c r="D2" s="129"/>
      <c r="E2" s="130"/>
      <c r="F2" s="130"/>
      <c r="G2" s="5">
        <v>7.25</v>
      </c>
      <c r="H2">
        <v>30</v>
      </c>
      <c r="I2">
        <v>3</v>
      </c>
      <c r="K2" s="83" t="s">
        <v>123</v>
      </c>
      <c r="M2" s="18">
        <v>0.2</v>
      </c>
    </row>
    <row r="3" spans="1:21" x14ac:dyDescent="0.25">
      <c r="A3" t="s">
        <v>94</v>
      </c>
      <c r="B3">
        <v>4.2</v>
      </c>
      <c r="D3" s="129" t="s">
        <v>102</v>
      </c>
      <c r="E3" s="130"/>
      <c r="F3" s="130"/>
      <c r="G3" s="14">
        <v>160</v>
      </c>
      <c r="H3" t="s">
        <v>182</v>
      </c>
      <c r="K3" s="83" t="s">
        <v>107</v>
      </c>
      <c r="M3" s="7">
        <v>64000</v>
      </c>
    </row>
    <row r="4" spans="1:21" x14ac:dyDescent="0.25">
      <c r="A4" s="59" t="s">
        <v>95</v>
      </c>
      <c r="B4" s="18">
        <v>0.05</v>
      </c>
      <c r="D4" s="129" t="s">
        <v>100</v>
      </c>
      <c r="E4" s="130"/>
      <c r="F4" s="130"/>
      <c r="G4" s="14">
        <v>190</v>
      </c>
      <c r="K4" s="83"/>
    </row>
    <row r="5" spans="1:21" x14ac:dyDescent="0.25">
      <c r="A5" s="59" t="s">
        <v>96</v>
      </c>
      <c r="B5" s="20">
        <v>23956</v>
      </c>
      <c r="D5" s="129" t="s">
        <v>101</v>
      </c>
      <c r="E5" s="130"/>
      <c r="F5" s="130"/>
      <c r="G5" s="124">
        <v>3.5000000000000001E-3</v>
      </c>
      <c r="H5" t="s">
        <v>181</v>
      </c>
      <c r="K5" s="83"/>
    </row>
    <row r="6" spans="1:21" x14ac:dyDescent="0.25">
      <c r="D6" s="58"/>
      <c r="E6" s="58"/>
      <c r="F6" s="58"/>
      <c r="G6" s="20"/>
    </row>
    <row r="7" spans="1:21" ht="18.75" x14ac:dyDescent="0.3">
      <c r="A7" s="50" t="s">
        <v>32</v>
      </c>
      <c r="B7" s="2">
        <v>2013</v>
      </c>
      <c r="C7" s="2"/>
      <c r="D7" s="2">
        <v>2014</v>
      </c>
      <c r="E7" s="2"/>
      <c r="F7" s="2">
        <v>2015</v>
      </c>
      <c r="H7" s="2">
        <v>2016</v>
      </c>
      <c r="J7" s="2">
        <v>2017</v>
      </c>
      <c r="L7" s="2">
        <v>2018</v>
      </c>
      <c r="N7" s="2">
        <v>2019</v>
      </c>
      <c r="O7" s="2"/>
      <c r="P7" s="2">
        <v>2020</v>
      </c>
      <c r="Q7" s="2"/>
      <c r="R7" s="2">
        <v>2021</v>
      </c>
    </row>
    <row r="8" spans="1:21" x14ac:dyDescent="0.25">
      <c r="A8" t="s">
        <v>51</v>
      </c>
      <c r="B8" s="20">
        <v>15056</v>
      </c>
      <c r="C8" s="127">
        <f>B8/SUM($B$8:$B$10)</f>
        <v>0.6284855568542328</v>
      </c>
      <c r="D8" s="125">
        <f>B8+(B8*$T$8)</f>
        <v>15101.168</v>
      </c>
      <c r="E8" s="20"/>
      <c r="F8" s="20">
        <f>D8+(D8*$T$8)</f>
        <v>15146.471503999999</v>
      </c>
      <c r="G8" s="20"/>
      <c r="H8" s="20">
        <f>F8+(F8*$T$8)</f>
        <v>15191.910918512</v>
      </c>
      <c r="I8" s="6"/>
      <c r="J8" s="20">
        <f>H8+(H8*$T$8)</f>
        <v>15237.486651267536</v>
      </c>
      <c r="K8" s="6"/>
      <c r="L8" s="20">
        <f>J8+(J8*$T$8)</f>
        <v>15283.199111221338</v>
      </c>
      <c r="M8" s="20"/>
      <c r="N8" s="20">
        <f>L8+(L8*$T$8)</f>
        <v>15329.048708555003</v>
      </c>
      <c r="O8" s="20"/>
      <c r="P8" s="20">
        <f>N8+(N8*$T$8)</f>
        <v>15375.035854680667</v>
      </c>
      <c r="Q8" s="32"/>
      <c r="R8" s="32">
        <f t="shared" ref="R8" si="0">P8+(P8*$T$8)</f>
        <v>15421.160962244709</v>
      </c>
      <c r="S8" s="32"/>
      <c r="T8" s="85">
        <v>3.0000000000000001E-3</v>
      </c>
      <c r="U8" t="s">
        <v>31</v>
      </c>
    </row>
    <row r="9" spans="1:21" x14ac:dyDescent="0.25">
      <c r="A9" t="s">
        <v>52</v>
      </c>
      <c r="B9" s="20">
        <v>6500</v>
      </c>
      <c r="C9" s="127">
        <f t="shared" ref="C9:C10" si="1">B9/SUM($B$8:$B$10)</f>
        <v>0.27133077308398729</v>
      </c>
      <c r="D9" s="20">
        <f>B9+(B9*$T$9)</f>
        <v>6519.5</v>
      </c>
      <c r="E9" s="20"/>
      <c r="F9" s="20">
        <f>D9+(D9*$T$9)</f>
        <v>6539.0585000000001</v>
      </c>
      <c r="G9" s="20"/>
      <c r="H9" s="20">
        <f t="shared" ref="H9:J9" si="2">F9+(F9*$T$9)</f>
        <v>6558.6756754999997</v>
      </c>
      <c r="I9" s="6"/>
      <c r="J9" s="20">
        <f t="shared" si="2"/>
        <v>6578.3517025265</v>
      </c>
      <c r="K9" s="6"/>
      <c r="L9" s="20">
        <f>J9+(J9*$T$9)</f>
        <v>6598.0867576340797</v>
      </c>
      <c r="M9" s="20"/>
      <c r="N9" s="20">
        <f t="shared" ref="N9" si="3">L9+(L9*$T$9)</f>
        <v>6617.8810179069824</v>
      </c>
      <c r="O9" s="20"/>
      <c r="P9" s="20">
        <f t="shared" ref="P9" si="4">N9+(N9*$T$9)</f>
        <v>6637.734660960703</v>
      </c>
      <c r="Q9" s="32"/>
      <c r="R9" s="32">
        <f t="shared" ref="R9" si="5">P9+(P9*$T$9)</f>
        <v>6657.6478649435849</v>
      </c>
      <c r="S9" s="32"/>
      <c r="T9" s="85">
        <v>3.0000000000000001E-3</v>
      </c>
      <c r="U9" t="s">
        <v>31</v>
      </c>
    </row>
    <row r="10" spans="1:21" x14ac:dyDescent="0.25">
      <c r="A10" t="s">
        <v>58</v>
      </c>
      <c r="B10" s="20">
        <v>2400</v>
      </c>
      <c r="C10" s="127">
        <f t="shared" si="1"/>
        <v>0.10018367006177993</v>
      </c>
      <c r="D10" s="20">
        <f>B10+(B10*$T$10)</f>
        <v>2407.1999999999998</v>
      </c>
      <c r="E10" s="20"/>
      <c r="F10" s="20">
        <f>D10+(D10*$T$10)</f>
        <v>2414.4215999999997</v>
      </c>
      <c r="G10" s="20"/>
      <c r="H10" s="20">
        <f>F10+(F10*$T$10)</f>
        <v>2421.6648647999996</v>
      </c>
      <c r="I10" s="6"/>
      <c r="J10" s="20">
        <f>H10+(H10*$T$10)</f>
        <v>2428.9298593943995</v>
      </c>
      <c r="K10" s="6"/>
      <c r="L10" s="20">
        <f>J10+(J10*$T$10)</f>
        <v>2436.2166489725828</v>
      </c>
      <c r="M10" s="20"/>
      <c r="N10" s="20">
        <f>L10+(L10*$T$10)</f>
        <v>2443.5252989195005</v>
      </c>
      <c r="O10" s="20"/>
      <c r="P10" s="20">
        <f>N10+(N10*$T$10)</f>
        <v>2450.8558748162591</v>
      </c>
      <c r="Q10" s="32"/>
      <c r="R10" s="32">
        <f t="shared" ref="R10" si="6">P10+(P10*$T$10)</f>
        <v>2458.208442440708</v>
      </c>
      <c r="S10" s="32"/>
      <c r="T10" s="85">
        <v>3.0000000000000001E-3</v>
      </c>
      <c r="U10" t="s">
        <v>31</v>
      </c>
    </row>
    <row r="11" spans="1:21" x14ac:dyDescent="0.25">
      <c r="A11" t="s">
        <v>53</v>
      </c>
      <c r="B11" s="5">
        <v>5.5</v>
      </c>
      <c r="C11" s="55"/>
      <c r="D11" s="5">
        <f>B11+(B11*$T$11)</f>
        <v>5.665</v>
      </c>
      <c r="E11" s="5"/>
      <c r="F11" s="5">
        <f>D11+(D11*$T$11)</f>
        <v>5.8349500000000001</v>
      </c>
      <c r="G11" s="5"/>
      <c r="H11" s="5">
        <f t="shared" ref="H11:J11" si="7">F11+(F11*$T$11)</f>
        <v>6.0099985</v>
      </c>
      <c r="J11" s="5">
        <f t="shared" si="7"/>
        <v>6.1902984549999998</v>
      </c>
      <c r="L11" s="5">
        <f>J11+(J11*$T$11)</f>
        <v>6.3760074086499996</v>
      </c>
      <c r="M11" s="5"/>
      <c r="N11" s="5">
        <f t="shared" ref="N11" si="8">L11+(L11*$T$11)</f>
        <v>6.5672876309094992</v>
      </c>
      <c r="O11" s="5"/>
      <c r="P11" s="5">
        <f t="shared" ref="P11" si="9">N11+(N11*$T$11)</f>
        <v>6.7643062598367845</v>
      </c>
      <c r="Q11" s="5"/>
      <c r="R11" s="5">
        <f t="shared" ref="R11" si="10">P11+(P11*$T$11)</f>
        <v>6.9672354476318876</v>
      </c>
      <c r="S11" s="5"/>
      <c r="T11" s="18">
        <v>0.03</v>
      </c>
      <c r="U11" t="s">
        <v>31</v>
      </c>
    </row>
    <row r="12" spans="1:21" x14ac:dyDescent="0.25">
      <c r="A12" t="s">
        <v>54</v>
      </c>
      <c r="B12" s="5">
        <v>8</v>
      </c>
      <c r="C12" s="5"/>
      <c r="D12" s="5">
        <f>B12+(B12*$T$12)</f>
        <v>8.24</v>
      </c>
      <c r="E12" s="5"/>
      <c r="F12" s="5">
        <f>D12+(D12*$T$12)</f>
        <v>8.4871999999999996</v>
      </c>
      <c r="G12" s="5"/>
      <c r="H12" s="5">
        <f t="shared" ref="H12:J12" si="11">F12+(F12*$T$12)</f>
        <v>8.741816</v>
      </c>
      <c r="J12" s="5">
        <f t="shared" si="11"/>
        <v>9.0040704799999993</v>
      </c>
      <c r="L12" s="5">
        <f>J12+(J12*$T$12)</f>
        <v>9.2741925943999988</v>
      </c>
      <c r="M12" s="5"/>
      <c r="N12" s="5">
        <f t="shared" ref="N12" si="12">L12+(L12*$T$12)</f>
        <v>9.5524183722319993</v>
      </c>
      <c r="O12" s="5"/>
      <c r="P12" s="5">
        <f t="shared" ref="P12" si="13">N12+(N12*$T$12)</f>
        <v>9.8389909233989599</v>
      </c>
      <c r="Q12" s="5"/>
      <c r="R12" s="5">
        <f t="shared" ref="R12" si="14">P12+(P12*$T$12)</f>
        <v>10.134160651100929</v>
      </c>
      <c r="S12" s="5"/>
      <c r="T12" s="18">
        <v>0.03</v>
      </c>
      <c r="U12" t="s">
        <v>31</v>
      </c>
    </row>
    <row r="13" spans="1:21" x14ac:dyDescent="0.25">
      <c r="A13" t="s">
        <v>59</v>
      </c>
      <c r="B13" s="5">
        <v>12</v>
      </c>
      <c r="C13" s="5"/>
      <c r="D13" s="5">
        <f>B13+(B13*$T$13)</f>
        <v>12.36</v>
      </c>
      <c r="E13" s="5"/>
      <c r="F13" s="5">
        <f>D13+(D13*$T$13)</f>
        <v>12.730799999999999</v>
      </c>
      <c r="G13" s="5"/>
      <c r="H13" s="5">
        <f>F13+(F13*$T$13)</f>
        <v>13.112723999999998</v>
      </c>
      <c r="J13" s="5">
        <f>H13+(H13*$T$13)</f>
        <v>13.506105719999999</v>
      </c>
      <c r="L13" s="5">
        <f>J13+(J13*$T$13)</f>
        <v>13.911288891599998</v>
      </c>
      <c r="M13" s="5"/>
      <c r="N13" s="5">
        <f>L13+(L13*$T$13)</f>
        <v>14.328627558347998</v>
      </c>
      <c r="O13" s="5"/>
      <c r="P13" s="5">
        <f>N13+(N13*$T$13)</f>
        <v>14.758486385098438</v>
      </c>
      <c r="Q13" s="5"/>
      <c r="R13" s="5">
        <f t="shared" ref="R13" si="15">P13+(P13*$T$13)</f>
        <v>15.201240976651391</v>
      </c>
      <c r="S13" s="5"/>
      <c r="T13" s="18">
        <v>0.03</v>
      </c>
      <c r="U13" t="s">
        <v>31</v>
      </c>
    </row>
    <row r="14" spans="1:21" x14ac:dyDescent="0.25">
      <c r="A14" t="s">
        <v>56</v>
      </c>
      <c r="B14" s="14">
        <f>B11*$T$14</f>
        <v>2.0350000000000001</v>
      </c>
      <c r="C14" s="14"/>
      <c r="D14" s="14">
        <f>D11*$T$14</f>
        <v>2.09605</v>
      </c>
      <c r="E14" s="14"/>
      <c r="F14" s="14">
        <f>F11*$T$14</f>
        <v>2.1589315</v>
      </c>
      <c r="G14" s="14"/>
      <c r="H14" s="14">
        <f>H11*$T$14</f>
        <v>2.2236994449999998</v>
      </c>
      <c r="J14" s="14">
        <f>J11*$T$14</f>
        <v>2.29041042835</v>
      </c>
      <c r="L14" s="14">
        <f>L11*$T$14</f>
        <v>2.3591227412004998</v>
      </c>
      <c r="M14" s="14"/>
      <c r="N14" s="14">
        <f>N11*$T$14</f>
        <v>2.4298964234365146</v>
      </c>
      <c r="O14" s="14"/>
      <c r="P14" s="14">
        <f>P11*$T$14</f>
        <v>2.5027933161396101</v>
      </c>
      <c r="Q14" s="14"/>
      <c r="R14" s="14">
        <f t="shared" ref="R14" si="16">R11*$T$14</f>
        <v>2.5778771156237985</v>
      </c>
      <c r="S14" s="14"/>
      <c r="T14" s="18">
        <v>0.37</v>
      </c>
      <c r="U14" t="s">
        <v>55</v>
      </c>
    </row>
    <row r="15" spans="1:21" x14ac:dyDescent="0.25">
      <c r="A15" t="s">
        <v>57</v>
      </c>
      <c r="B15" s="14">
        <f>B12*$T$15</f>
        <v>3.76</v>
      </c>
      <c r="C15" s="14"/>
      <c r="D15" s="14">
        <f>D12*$T$15</f>
        <v>3.8727999999999998</v>
      </c>
      <c r="E15" s="14"/>
      <c r="F15" s="14">
        <f>F12*$T$15</f>
        <v>3.9889839999999994</v>
      </c>
      <c r="G15" s="14"/>
      <c r="H15" s="14">
        <f>H12*$T$15</f>
        <v>4.1086535199999998</v>
      </c>
      <c r="J15" s="14">
        <f>J12*$T$15</f>
        <v>4.2319131255999993</v>
      </c>
      <c r="L15" s="14">
        <f>L12*$T$15</f>
        <v>4.3588705193679989</v>
      </c>
      <c r="M15" s="14"/>
      <c r="N15" s="14">
        <f>N12*$T$15</f>
        <v>4.4896366349490391</v>
      </c>
      <c r="O15" s="14"/>
      <c r="P15" s="14">
        <f>P12*$T$15</f>
        <v>4.6243257339975106</v>
      </c>
      <c r="Q15" s="14"/>
      <c r="R15" s="14">
        <f t="shared" ref="R15" si="17">R12*$T$15</f>
        <v>4.7630555060174364</v>
      </c>
      <c r="S15" s="14"/>
      <c r="T15" s="18">
        <v>0.47</v>
      </c>
      <c r="U15" t="s">
        <v>55</v>
      </c>
    </row>
    <row r="16" spans="1:21" x14ac:dyDescent="0.25">
      <c r="A16" t="s">
        <v>60</v>
      </c>
      <c r="B16" s="14">
        <f>B13*$T$16</f>
        <v>4.92</v>
      </c>
      <c r="C16" s="14"/>
      <c r="D16" s="14">
        <f t="shared" ref="D16:H16" si="18">D13*$T$16</f>
        <v>5.0675999999999997</v>
      </c>
      <c r="E16" s="14"/>
      <c r="F16" s="14">
        <f t="shared" si="18"/>
        <v>5.2196279999999993</v>
      </c>
      <c r="G16" s="14"/>
      <c r="H16" s="14">
        <f t="shared" si="18"/>
        <v>5.3762168399999988</v>
      </c>
      <c r="J16" s="14">
        <f t="shared" ref="J16" si="19">J13*$T$16</f>
        <v>5.5375033451999993</v>
      </c>
      <c r="L16" s="14">
        <f>L13*$T$16</f>
        <v>5.7036284455559985</v>
      </c>
      <c r="M16" s="14"/>
      <c r="N16" s="14">
        <f t="shared" ref="N16" si="20">N13*$T$16</f>
        <v>5.8747372989226792</v>
      </c>
      <c r="O16" s="14"/>
      <c r="P16" s="14">
        <f t="shared" ref="P16" si="21">P13*$T$16</f>
        <v>6.0509794178903595</v>
      </c>
      <c r="Q16" s="14"/>
      <c r="R16" s="14">
        <f t="shared" ref="R16" si="22">R13*$T$16</f>
        <v>6.2325088004270697</v>
      </c>
      <c r="S16" s="14"/>
      <c r="T16" s="18">
        <v>0.41</v>
      </c>
      <c r="U16" t="s">
        <v>55</v>
      </c>
    </row>
    <row r="17" spans="1:24" ht="18.75" x14ac:dyDescent="0.3">
      <c r="A17" s="2" t="s">
        <v>33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8"/>
    </row>
    <row r="18" spans="1:24" x14ac:dyDescent="0.25">
      <c r="A18" t="s">
        <v>10</v>
      </c>
      <c r="B18" s="20">
        <v>30</v>
      </c>
      <c r="C18" s="20"/>
      <c r="D18" s="20">
        <v>30</v>
      </c>
      <c r="E18" s="20"/>
      <c r="F18" s="20">
        <v>30</v>
      </c>
      <c r="G18" s="20"/>
      <c r="H18" s="20">
        <v>30</v>
      </c>
      <c r="I18" s="20"/>
      <c r="J18" s="20">
        <v>30</v>
      </c>
      <c r="K18" s="20"/>
      <c r="L18" s="20">
        <v>30</v>
      </c>
      <c r="M18" s="20"/>
      <c r="N18" s="20">
        <v>30</v>
      </c>
      <c r="O18" s="20"/>
      <c r="P18" s="20">
        <v>30</v>
      </c>
      <c r="Q18" s="20"/>
      <c r="R18" s="20">
        <v>30</v>
      </c>
      <c r="S18" s="20"/>
      <c r="T18" s="20"/>
      <c r="U18" s="20"/>
      <c r="V18" s="18"/>
    </row>
    <row r="19" spans="1:24" x14ac:dyDescent="0.25">
      <c r="A19" t="s">
        <v>13</v>
      </c>
      <c r="B19" s="20">
        <f>360/B20</f>
        <v>30</v>
      </c>
      <c r="C19" s="20"/>
      <c r="D19" s="20">
        <f t="shared" ref="D19:P19" si="23">360/D20</f>
        <v>30</v>
      </c>
      <c r="E19" s="20"/>
      <c r="F19" s="20">
        <f t="shared" si="23"/>
        <v>30</v>
      </c>
      <c r="G19" s="20"/>
      <c r="H19" s="20">
        <f t="shared" si="23"/>
        <v>30</v>
      </c>
      <c r="I19" s="20"/>
      <c r="J19" s="20">
        <f t="shared" si="23"/>
        <v>30</v>
      </c>
      <c r="K19" s="20"/>
      <c r="L19" s="20">
        <f t="shared" si="23"/>
        <v>30</v>
      </c>
      <c r="M19" s="20"/>
      <c r="N19" s="20">
        <f t="shared" si="23"/>
        <v>30</v>
      </c>
      <c r="O19" s="20"/>
      <c r="P19" s="20">
        <f t="shared" si="23"/>
        <v>30</v>
      </c>
      <c r="Q19" s="20"/>
      <c r="R19" s="20">
        <f>360/R20</f>
        <v>30</v>
      </c>
      <c r="S19" s="20"/>
      <c r="T19" s="20"/>
      <c r="U19" s="20"/>
      <c r="V19" s="18"/>
    </row>
    <row r="20" spans="1:24" x14ac:dyDescent="0.25">
      <c r="A20" t="s">
        <v>12</v>
      </c>
      <c r="B20" s="20">
        <v>12</v>
      </c>
      <c r="C20" s="14"/>
      <c r="D20" s="20">
        <v>12</v>
      </c>
      <c r="E20" s="20"/>
      <c r="F20" s="20">
        <v>12</v>
      </c>
      <c r="G20" s="20"/>
      <c r="H20" s="20">
        <v>12</v>
      </c>
      <c r="I20" s="20"/>
      <c r="J20" s="20">
        <v>12</v>
      </c>
      <c r="K20" s="20"/>
      <c r="L20" s="20">
        <v>12</v>
      </c>
      <c r="M20" s="20"/>
      <c r="N20" s="20">
        <v>12</v>
      </c>
      <c r="O20" s="20"/>
      <c r="P20" s="20">
        <v>12</v>
      </c>
      <c r="Q20" s="20"/>
      <c r="R20" s="20">
        <v>12</v>
      </c>
      <c r="S20" s="20"/>
      <c r="T20" s="20"/>
      <c r="U20" s="20"/>
    </row>
    <row r="21" spans="1:24" ht="15.75" thickBot="1" x14ac:dyDescent="0.3">
      <c r="A21" s="26" t="s">
        <v>11</v>
      </c>
      <c r="B21" s="53">
        <v>30</v>
      </c>
      <c r="C21" s="26"/>
      <c r="D21" s="53">
        <f>$B$21</f>
        <v>30</v>
      </c>
      <c r="E21" s="26"/>
      <c r="F21" s="53">
        <f>$B$21</f>
        <v>30</v>
      </c>
      <c r="G21" s="26"/>
      <c r="H21" s="53">
        <f>$B$21</f>
        <v>30</v>
      </c>
      <c r="I21" s="26"/>
      <c r="J21" s="53">
        <f>$B$21</f>
        <v>30</v>
      </c>
      <c r="K21" s="26"/>
      <c r="L21" s="53">
        <f>$B$21</f>
        <v>30</v>
      </c>
      <c r="M21" s="53"/>
      <c r="N21" s="53">
        <f>$B$21</f>
        <v>30</v>
      </c>
      <c r="O21" s="53"/>
      <c r="P21" s="53">
        <f>$B$21</f>
        <v>30</v>
      </c>
      <c r="Q21" s="53"/>
      <c r="R21" s="53">
        <f>$B$21</f>
        <v>30</v>
      </c>
      <c r="S21" s="26"/>
      <c r="T21" s="26"/>
      <c r="U21" s="26"/>
      <c r="V21" s="26"/>
      <c r="W21" s="26"/>
      <c r="X21" s="26"/>
    </row>
    <row r="22" spans="1:24" x14ac:dyDescent="0.25">
      <c r="A22" s="39"/>
      <c r="B22" s="126"/>
      <c r="C22" s="39"/>
      <c r="D22" s="126"/>
      <c r="E22" s="39"/>
      <c r="F22" s="126"/>
      <c r="G22" s="39"/>
      <c r="H22" s="126"/>
      <c r="I22" s="39"/>
      <c r="J22" s="126"/>
      <c r="K22" s="39"/>
      <c r="L22" s="126"/>
      <c r="M22" s="126"/>
      <c r="N22" s="126"/>
      <c r="O22" s="126"/>
      <c r="P22" s="126"/>
      <c r="Q22" s="126"/>
      <c r="R22" s="126"/>
      <c r="S22" s="39"/>
      <c r="T22" s="39"/>
      <c r="U22" s="39"/>
      <c r="V22" s="39"/>
      <c r="W22" s="39"/>
      <c r="X22" s="39"/>
    </row>
    <row r="24" spans="1:24" ht="18.75" x14ac:dyDescent="0.3">
      <c r="A24" s="50" t="s">
        <v>0</v>
      </c>
      <c r="B24" s="2">
        <v>2013</v>
      </c>
      <c r="C24" s="2"/>
      <c r="D24" s="2">
        <v>2014</v>
      </c>
      <c r="E24" s="2"/>
      <c r="F24" s="2">
        <v>2015</v>
      </c>
      <c r="H24" s="2">
        <v>2016</v>
      </c>
      <c r="J24" s="2">
        <v>2017</v>
      </c>
      <c r="L24" s="2">
        <v>2018</v>
      </c>
      <c r="N24" s="2">
        <v>2019</v>
      </c>
      <c r="O24" s="2"/>
      <c r="P24" s="2">
        <v>2020</v>
      </c>
      <c r="Q24" s="2"/>
      <c r="R24" s="2">
        <v>2021</v>
      </c>
      <c r="T24" s="3"/>
    </row>
    <row r="25" spans="1:24" x14ac:dyDescent="0.25">
      <c r="A25" s="4" t="s">
        <v>1</v>
      </c>
      <c r="B25" s="5"/>
      <c r="C25" s="5"/>
      <c r="D25" s="5"/>
      <c r="E25" s="5"/>
      <c r="F25" s="5"/>
      <c r="S25" s="6"/>
      <c r="T25" s="3"/>
    </row>
    <row r="26" spans="1:24" x14ac:dyDescent="0.25">
      <c r="A26" t="s">
        <v>49</v>
      </c>
      <c r="B26" s="7">
        <f>B8*B11</f>
        <v>82808</v>
      </c>
      <c r="C26" s="7"/>
      <c r="D26" s="7">
        <f>D8*D11</f>
        <v>85548.116720000005</v>
      </c>
      <c r="E26" s="7"/>
      <c r="F26" s="7">
        <f>F8*F11</f>
        <v>88378.903902264792</v>
      </c>
      <c r="G26" s="19"/>
      <c r="H26" s="7">
        <f>H8*H11</f>
        <v>91303.361832390743</v>
      </c>
      <c r="I26" s="19"/>
      <c r="J26" s="7">
        <f>J8*J11</f>
        <v>94324.590075424552</v>
      </c>
      <c r="K26" s="19"/>
      <c r="L26" s="7">
        <f>L8*L11</f>
        <v>97445.79076102034</v>
      </c>
      <c r="M26" s="19"/>
      <c r="N26" s="7">
        <f>N8*N11</f>
        <v>100670.2719773025</v>
      </c>
      <c r="O26" s="19"/>
      <c r="P26" s="7">
        <f>P8*P11</f>
        <v>104001.45127703145</v>
      </c>
      <c r="Q26" s="19"/>
      <c r="R26" s="7">
        <f>R8*R11</f>
        <v>107442.8592997884</v>
      </c>
      <c r="S26" s="6"/>
      <c r="T26" s="3"/>
    </row>
    <row r="27" spans="1:24" x14ac:dyDescent="0.25">
      <c r="A27" t="s">
        <v>50</v>
      </c>
      <c r="B27" s="7">
        <f>B9*B12</f>
        <v>52000</v>
      </c>
      <c r="C27" s="7"/>
      <c r="D27" s="7">
        <f>D9*D12</f>
        <v>53720.68</v>
      </c>
      <c r="E27" s="7"/>
      <c r="F27" s="7">
        <f>F9*F12</f>
        <v>55498.2973012</v>
      </c>
      <c r="G27" s="19"/>
      <c r="H27" s="7">
        <f>H9*H12</f>
        <v>57334.735958896708</v>
      </c>
      <c r="I27" s="19"/>
      <c r="J27" s="7">
        <f>J9*J12</f>
        <v>59231.942371776597</v>
      </c>
      <c r="K27" s="19"/>
      <c r="L27" s="7">
        <f>L9*L12</f>
        <v>61191.927344858683</v>
      </c>
      <c r="M27" s="19"/>
      <c r="N27" s="7">
        <f>N9*N12</f>
        <v>63216.768220700062</v>
      </c>
      <c r="O27" s="19"/>
      <c r="P27" s="7">
        <f>P9*P12</f>
        <v>65308.611081123032</v>
      </c>
      <c r="Q27" s="19"/>
      <c r="R27" s="7">
        <f>R9*R12</f>
        <v>67469.673021797396</v>
      </c>
      <c r="S27" s="8"/>
      <c r="T27" s="3"/>
    </row>
    <row r="28" spans="1:24" x14ac:dyDescent="0.25">
      <c r="A28" t="s">
        <v>79</v>
      </c>
      <c r="B28" s="7">
        <f>B10*B13</f>
        <v>28800</v>
      </c>
      <c r="C28" s="7"/>
      <c r="D28" s="7">
        <f>D10*D13</f>
        <v>29752.991999999995</v>
      </c>
      <c r="E28" s="7"/>
      <c r="F28" s="7">
        <f>F10*F13</f>
        <v>30737.518505279993</v>
      </c>
      <c r="G28" s="7"/>
      <c r="H28" s="7">
        <f>H10*H13</f>
        <v>31754.622992619705</v>
      </c>
      <c r="I28" s="7"/>
      <c r="J28" s="7">
        <f>J10*J13</f>
        <v>32805.383467445492</v>
      </c>
      <c r="K28" s="7"/>
      <c r="L28" s="7">
        <f>L10*L13</f>
        <v>33890.913606383263</v>
      </c>
      <c r="M28" s="7"/>
      <c r="N28" s="7">
        <f>N10*N13</f>
        <v>35012.363937618487</v>
      </c>
      <c r="O28" s="7"/>
      <c r="P28" s="7">
        <f>P10*P13</f>
        <v>36170.923060314279</v>
      </c>
      <c r="Q28" s="7"/>
      <c r="R28" s="7">
        <f>R10*R13</f>
        <v>37367.818904380081</v>
      </c>
      <c r="S28" s="8"/>
      <c r="T28" s="3"/>
    </row>
    <row r="29" spans="1:24" ht="15.75" thickBot="1" x14ac:dyDescent="0.3">
      <c r="A29" s="12" t="s">
        <v>29</v>
      </c>
      <c r="B29" s="10">
        <f>SUM(B26:B28)</f>
        <v>163608</v>
      </c>
      <c r="C29" s="11"/>
      <c r="D29" s="10">
        <f>SUM(D26:D28)</f>
        <v>169021.78872000001</v>
      </c>
      <c r="E29" s="11"/>
      <c r="F29" s="10">
        <f>SUM(F26:F28)</f>
        <v>174614.71970874479</v>
      </c>
      <c r="G29" s="11"/>
      <c r="H29" s="10">
        <f>SUM(H26:H28)</f>
        <v>180392.72078390716</v>
      </c>
      <c r="I29" s="11"/>
      <c r="J29" s="10">
        <f>SUM(J26:J28)</f>
        <v>186361.91591464664</v>
      </c>
      <c r="K29" s="11"/>
      <c r="L29" s="10">
        <f>SUM(L26:L28)</f>
        <v>192528.63171226229</v>
      </c>
      <c r="M29" s="11"/>
      <c r="N29" s="10">
        <f>SUM(N26:N28)</f>
        <v>198899.40413562104</v>
      </c>
      <c r="O29" s="11"/>
      <c r="P29" s="10">
        <f>SUM(P26:P28)</f>
        <v>205480.98541846877</v>
      </c>
      <c r="Q29" s="11"/>
      <c r="R29" s="10">
        <f>SUM(R26:R28)</f>
        <v>212280.35122596589</v>
      </c>
    </row>
    <row r="30" spans="1:24" ht="15.75" thickTop="1" x14ac:dyDescent="0.25">
      <c r="A30" s="9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24" x14ac:dyDescent="0.25">
      <c r="A31" s="9" t="s">
        <v>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24" x14ac:dyDescent="0.25">
      <c r="A32" s="12" t="s">
        <v>61</v>
      </c>
      <c r="B32" s="11">
        <f>B14*B8</f>
        <v>30638.960000000003</v>
      </c>
      <c r="C32" s="11"/>
      <c r="D32" s="11">
        <f>D14*D8</f>
        <v>31652.8031864</v>
      </c>
      <c r="E32" s="11"/>
      <c r="F32" s="11">
        <f>F14*F8</f>
        <v>32700.194443837976</v>
      </c>
      <c r="G32" s="11"/>
      <c r="H32" s="11">
        <f>H14*H8</f>
        <v>33782.243877984569</v>
      </c>
      <c r="I32" s="11"/>
      <c r="J32" s="11">
        <f>J14*J8</f>
        <v>34900.098327907086</v>
      </c>
      <c r="K32" s="11"/>
      <c r="L32" s="11">
        <f>L14*L8</f>
        <v>36054.942581577525</v>
      </c>
      <c r="M32" s="11"/>
      <c r="N32" s="11">
        <f>N14*N8</f>
        <v>37248.000631601928</v>
      </c>
      <c r="O32" s="11"/>
      <c r="P32" s="11">
        <f>P14*P8</f>
        <v>38480.536972501635</v>
      </c>
      <c r="Q32" s="11"/>
      <c r="R32" s="11">
        <f>R14*R8</f>
        <v>39753.857940921713</v>
      </c>
    </row>
    <row r="33" spans="1:22" x14ac:dyDescent="0.25">
      <c r="A33" s="12" t="s">
        <v>62</v>
      </c>
      <c r="B33" s="11">
        <f>B15*B9</f>
        <v>24440</v>
      </c>
      <c r="C33" s="11"/>
      <c r="D33" s="11">
        <f>D15*D9</f>
        <v>25248.7196</v>
      </c>
      <c r="E33" s="11"/>
      <c r="F33" s="11">
        <f>F15*F9</f>
        <v>26084.199731563996</v>
      </c>
      <c r="G33" s="11"/>
      <c r="H33" s="11">
        <f>H15*H9</f>
        <v>26947.325900681451</v>
      </c>
      <c r="I33" s="11"/>
      <c r="J33" s="11">
        <f>J15*J9</f>
        <v>27839.012914734998</v>
      </c>
      <c r="K33" s="11"/>
      <c r="L33" s="11">
        <f>L15*L9</f>
        <v>28760.205852083578</v>
      </c>
      <c r="M33" s="11"/>
      <c r="N33" s="11">
        <f>N15*N9</f>
        <v>29711.881063729026</v>
      </c>
      <c r="O33" s="11"/>
      <c r="P33" s="11">
        <f>P15*P9</f>
        <v>30695.04720812782</v>
      </c>
      <c r="Q33" s="11"/>
      <c r="R33" s="11">
        <f>R15*R9</f>
        <v>31710.746320244773</v>
      </c>
    </row>
    <row r="34" spans="1:22" x14ac:dyDescent="0.25">
      <c r="A34" s="12" t="s">
        <v>63</v>
      </c>
      <c r="B34" s="11">
        <f>B16*B10</f>
        <v>11808</v>
      </c>
      <c r="C34" s="11"/>
      <c r="D34" s="11">
        <f>D16*D10</f>
        <v>12198.726719999999</v>
      </c>
      <c r="E34" s="11"/>
      <c r="F34" s="11">
        <f>F16*F10</f>
        <v>12602.382587164797</v>
      </c>
      <c r="G34" s="11"/>
      <c r="H34" s="11">
        <f>H16*H10</f>
        <v>13019.395426974079</v>
      </c>
      <c r="I34" s="11"/>
      <c r="J34" s="11">
        <f>J16*J10</f>
        <v>13450.20722165265</v>
      </c>
      <c r="K34" s="11"/>
      <c r="L34" s="11">
        <f>L16*L10</f>
        <v>13895.274578617136</v>
      </c>
      <c r="M34" s="11"/>
      <c r="N34" s="11">
        <f>N16*N10</f>
        <v>14355.069214423578</v>
      </c>
      <c r="O34" s="11"/>
      <c r="P34" s="11">
        <f>P16*P10</f>
        <v>14830.078454728855</v>
      </c>
      <c r="Q34" s="11"/>
      <c r="R34" s="11">
        <f>R16*R10</f>
        <v>15320.805750795833</v>
      </c>
    </row>
    <row r="35" spans="1:22" ht="15.75" thickBot="1" x14ac:dyDescent="0.3">
      <c r="A35" s="12" t="s">
        <v>30</v>
      </c>
      <c r="B35" s="10">
        <f>SUM(B32:B34)</f>
        <v>66886.960000000006</v>
      </c>
      <c r="C35" s="11"/>
      <c r="D35" s="10">
        <f>SUM(D32:D34)</f>
        <v>69100.249506399996</v>
      </c>
      <c r="E35" s="11"/>
      <c r="F35" s="10">
        <f>SUM(F32:F34)</f>
        <v>71386.776762566777</v>
      </c>
      <c r="G35" s="11"/>
      <c r="H35" s="10">
        <f>SUM(H32:H34)</f>
        <v>73748.965205640096</v>
      </c>
      <c r="I35" s="11"/>
      <c r="J35" s="10">
        <f>SUM(J32:J34)</f>
        <v>76189.318464294745</v>
      </c>
      <c r="K35" s="11"/>
      <c r="L35" s="10">
        <f>SUM(L32:L34)</f>
        <v>78710.423012278246</v>
      </c>
      <c r="M35" s="11"/>
      <c r="N35" s="10">
        <f>SUM(N32:N34)</f>
        <v>81314.950909754538</v>
      </c>
      <c r="O35" s="11"/>
      <c r="P35" s="10">
        <f>SUM(P32:P34)</f>
        <v>84005.662635358312</v>
      </c>
      <c r="Q35" s="11"/>
      <c r="R35" s="10">
        <f>SUM(R32:R34)</f>
        <v>86785.410011962318</v>
      </c>
    </row>
    <row r="36" spans="1:22" ht="15.75" thickTop="1" x14ac:dyDescent="0.25">
      <c r="A36" s="12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22" x14ac:dyDescent="0.25">
      <c r="A37" s="4" t="s">
        <v>3</v>
      </c>
      <c r="B37" s="5"/>
      <c r="C37" s="5"/>
      <c r="D37" s="5"/>
      <c r="E37" s="5"/>
      <c r="F37" s="5"/>
      <c r="H37" s="5"/>
      <c r="I37" s="11"/>
      <c r="J37" s="5"/>
      <c r="K37" s="11"/>
      <c r="L37" s="5"/>
      <c r="M37" s="11"/>
      <c r="N37" s="5"/>
      <c r="O37" s="11"/>
      <c r="P37" s="5"/>
      <c r="Q37" s="11"/>
      <c r="R37" s="5"/>
      <c r="S37" s="13"/>
    </row>
    <row r="38" spans="1:22" x14ac:dyDescent="0.25">
      <c r="A38" t="s">
        <v>125</v>
      </c>
      <c r="B38" s="33">
        <v>50000</v>
      </c>
      <c r="C38" s="33"/>
      <c r="D38" s="33">
        <f>B38+(B38*$T$38)</f>
        <v>51500</v>
      </c>
      <c r="E38" s="33"/>
      <c r="F38" s="33">
        <f>D38+(D38*$T$38)</f>
        <v>53045</v>
      </c>
      <c r="G38" s="33"/>
      <c r="H38" s="33">
        <f>F38+(F38*$T$38)</f>
        <v>54636.35</v>
      </c>
      <c r="I38" s="38"/>
      <c r="J38" s="33">
        <f>H38+(H38*$T$38)</f>
        <v>56275.440499999997</v>
      </c>
      <c r="K38" s="38"/>
      <c r="L38" s="33">
        <f>J38+(J38*$T$38)</f>
        <v>57963.703714999996</v>
      </c>
      <c r="M38" s="38"/>
      <c r="N38" s="33">
        <f>L38+(L38*$T$38)</f>
        <v>59702.614826449993</v>
      </c>
      <c r="O38" s="38"/>
      <c r="P38" s="33">
        <f>N38+(N38*$T$38)</f>
        <v>61493.693271243494</v>
      </c>
      <c r="Q38" s="38"/>
      <c r="R38" s="33">
        <f>P38+(P38*$T$38)</f>
        <v>63338.504069380797</v>
      </c>
      <c r="S38" s="15"/>
      <c r="T38" s="17">
        <v>0.03</v>
      </c>
      <c r="U38" t="s">
        <v>31</v>
      </c>
    </row>
    <row r="39" spans="1:22" x14ac:dyDescent="0.25">
      <c r="A39" t="s">
        <v>81</v>
      </c>
      <c r="B39" s="33">
        <v>33930</v>
      </c>
      <c r="C39" s="33"/>
      <c r="D39" s="33">
        <f>B39+(B39*$T$39)</f>
        <v>34947.9</v>
      </c>
      <c r="E39" s="33"/>
      <c r="F39" s="33">
        <f>D39+(D39*$T$39)</f>
        <v>35996.337</v>
      </c>
      <c r="G39" s="22"/>
      <c r="H39" s="33">
        <f>F39+(F39*$T$39)</f>
        <v>37076.22711</v>
      </c>
      <c r="I39" s="38"/>
      <c r="J39" s="33">
        <f>H39+(H39*$T$39)</f>
        <v>38188.513923300001</v>
      </c>
      <c r="K39" s="38"/>
      <c r="L39" s="33">
        <f>J39+(J39*$T$39)</f>
        <v>39334.169340999004</v>
      </c>
      <c r="M39" s="38"/>
      <c r="N39" s="33">
        <f>L39+(L39*$T$39)</f>
        <v>40514.194421228975</v>
      </c>
      <c r="O39" s="38"/>
      <c r="P39" s="33">
        <f>N39+(N39*$T$39)</f>
        <v>41729.620253865847</v>
      </c>
      <c r="Q39" s="38"/>
      <c r="R39" s="33">
        <f>$B$39</f>
        <v>33930</v>
      </c>
      <c r="T39" s="17">
        <v>0.03</v>
      </c>
      <c r="U39" t="s">
        <v>31</v>
      </c>
      <c r="V39" s="25"/>
    </row>
    <row r="40" spans="1:22" x14ac:dyDescent="0.25">
      <c r="A40" t="s">
        <v>14</v>
      </c>
      <c r="B40" s="33">
        <v>1000</v>
      </c>
      <c r="C40" s="33"/>
      <c r="D40" s="33">
        <f>B40+(B40*$T$40)</f>
        <v>1030</v>
      </c>
      <c r="E40" s="33"/>
      <c r="F40" s="33">
        <f t="shared" ref="F40:H40" si="24">D40+(D40*$T$40)</f>
        <v>1060.9000000000001</v>
      </c>
      <c r="G40" s="33"/>
      <c r="H40" s="33">
        <f t="shared" si="24"/>
        <v>1092.7270000000001</v>
      </c>
      <c r="I40" s="38"/>
      <c r="J40" s="33">
        <f t="shared" ref="J40" si="25">H40+(H40*$T$40)</f>
        <v>1125.50881</v>
      </c>
      <c r="K40" s="38"/>
      <c r="L40" s="33">
        <f t="shared" ref="L40" si="26">J40+(J40*$T$40)</f>
        <v>1159.2740742999999</v>
      </c>
      <c r="M40" s="38"/>
      <c r="N40" s="33">
        <f t="shared" ref="N40" si="27">L40+(L40*$T$40)</f>
        <v>1194.0522965289999</v>
      </c>
      <c r="O40" s="38"/>
      <c r="P40" s="33">
        <f t="shared" ref="P40" si="28">N40+(N40*$T$40)</f>
        <v>1229.87386542487</v>
      </c>
      <c r="Q40" s="38"/>
      <c r="R40" s="33">
        <f>P40+(P40*$T$40)</f>
        <v>1266.7700813876161</v>
      </c>
      <c r="T40" s="21">
        <v>0.03</v>
      </c>
      <c r="U40" t="s">
        <v>31</v>
      </c>
    </row>
    <row r="41" spans="1:22" x14ac:dyDescent="0.25">
      <c r="A41" s="22" t="s">
        <v>80</v>
      </c>
      <c r="B41" s="33"/>
      <c r="C41" s="33"/>
      <c r="D41" s="33"/>
      <c r="E41" s="33"/>
      <c r="F41" s="33"/>
      <c r="G41" s="33"/>
      <c r="H41" s="33"/>
      <c r="I41" s="38"/>
      <c r="J41" s="33"/>
      <c r="K41" s="38"/>
      <c r="L41" s="33"/>
      <c r="M41" s="38"/>
      <c r="N41" s="33"/>
      <c r="O41" s="38"/>
      <c r="P41" s="33"/>
      <c r="Q41" s="38"/>
      <c r="R41" s="33"/>
      <c r="T41" s="21"/>
    </row>
    <row r="42" spans="1:22" x14ac:dyDescent="0.25">
      <c r="A42" s="22" t="s">
        <v>129</v>
      </c>
      <c r="B42" s="33">
        <f>190*12</f>
        <v>2280</v>
      </c>
      <c r="C42" s="33"/>
      <c r="D42" s="33">
        <f>B42+(B42*$T$42)</f>
        <v>2286.84</v>
      </c>
      <c r="E42" s="33"/>
      <c r="F42" s="33">
        <f>D42+(D42*$T$42)</f>
        <v>2293.7005200000003</v>
      </c>
      <c r="G42" s="33"/>
      <c r="H42" s="33">
        <f>F42+(F42*$T$42)</f>
        <v>2300.5816215600003</v>
      </c>
      <c r="I42" s="38"/>
      <c r="J42" s="33">
        <f>H42+(H42*$T$42)</f>
        <v>2307.4833664246803</v>
      </c>
      <c r="K42" s="38"/>
      <c r="L42" s="33">
        <f>J42+(J42*$T$42)</f>
        <v>2314.4058165239544</v>
      </c>
      <c r="M42" s="38"/>
      <c r="N42" s="33">
        <f>L42+(L42*$T$42)</f>
        <v>2321.3490339735263</v>
      </c>
      <c r="O42" s="38"/>
      <c r="P42" s="33">
        <f>N42+(N42*$T$42)</f>
        <v>2328.3130810754469</v>
      </c>
      <c r="Q42" s="38"/>
      <c r="R42" s="33">
        <f>P42+(P42*$T$42)</f>
        <v>2335.2980203186735</v>
      </c>
      <c r="T42" s="21">
        <f>AVERAGE(T8:T10)</f>
        <v>3.0000000000000005E-3</v>
      </c>
      <c r="U42" t="s">
        <v>151</v>
      </c>
    </row>
    <row r="43" spans="1:22" x14ac:dyDescent="0.25">
      <c r="A43" s="22" t="s">
        <v>130</v>
      </c>
      <c r="B43" s="95">
        <f>B29*$T$43</f>
        <v>572.62800000000004</v>
      </c>
      <c r="C43" s="95"/>
      <c r="D43" s="95">
        <f>D29*$T$43</f>
        <v>591.57626052000001</v>
      </c>
      <c r="E43" s="95"/>
      <c r="F43" s="95">
        <f>F29*$T$43</f>
        <v>611.15151898060674</v>
      </c>
      <c r="G43" s="95"/>
      <c r="H43" s="95">
        <f>H29*$T$43</f>
        <v>631.37452274367513</v>
      </c>
      <c r="I43" s="96"/>
      <c r="J43" s="95">
        <f>J29*$T$43</f>
        <v>652.26670570126328</v>
      </c>
      <c r="K43" s="96"/>
      <c r="L43" s="95">
        <f>L29*$T$43</f>
        <v>673.85021099291805</v>
      </c>
      <c r="M43" s="96"/>
      <c r="N43" s="95">
        <f>N29*$T$43</f>
        <v>696.1479144746736</v>
      </c>
      <c r="O43" s="96"/>
      <c r="P43" s="95">
        <f>P29*$T$43</f>
        <v>719.18344896464066</v>
      </c>
      <c r="Q43" s="96"/>
      <c r="R43" s="95">
        <f>R29*$T$43</f>
        <v>742.98122929088061</v>
      </c>
      <c r="T43" s="94">
        <v>3.5000000000000001E-3</v>
      </c>
      <c r="U43" t="s">
        <v>150</v>
      </c>
    </row>
    <row r="44" spans="1:22" x14ac:dyDescent="0.25">
      <c r="A44" s="22" t="s">
        <v>131</v>
      </c>
      <c r="B44" s="33">
        <f>$G$3*12</f>
        <v>1920</v>
      </c>
      <c r="C44" s="33"/>
      <c r="D44" s="33">
        <f>$G$3*12</f>
        <v>1920</v>
      </c>
      <c r="E44" s="33"/>
      <c r="F44" s="33">
        <f>$G$3*12</f>
        <v>1920</v>
      </c>
      <c r="G44" s="33"/>
      <c r="H44" s="33">
        <f>$G$3*12</f>
        <v>1920</v>
      </c>
      <c r="I44" s="33"/>
      <c r="J44" s="33">
        <f>$G$3*12</f>
        <v>1920</v>
      </c>
      <c r="K44" s="38"/>
      <c r="L44" s="33">
        <f>$G$3*12</f>
        <v>1920</v>
      </c>
      <c r="M44" s="38"/>
      <c r="N44" s="33">
        <f>$G$3*12</f>
        <v>1920</v>
      </c>
      <c r="O44" s="38"/>
      <c r="P44" s="33">
        <f>$G$3*12</f>
        <v>1920</v>
      </c>
      <c r="Q44" s="38"/>
      <c r="R44" s="33">
        <f>$G$3*12</f>
        <v>1920</v>
      </c>
      <c r="T44" s="93">
        <v>160</v>
      </c>
      <c r="U44" t="s">
        <v>149</v>
      </c>
    </row>
    <row r="45" spans="1:22" x14ac:dyDescent="0.25">
      <c r="A45" t="s">
        <v>64</v>
      </c>
      <c r="B45" s="5">
        <v>3000</v>
      </c>
      <c r="C45" s="5"/>
      <c r="D45" s="5">
        <f>$B$45</f>
        <v>3000</v>
      </c>
      <c r="E45" s="5"/>
      <c r="F45" s="5">
        <f>$B$45</f>
        <v>3000</v>
      </c>
      <c r="G45" s="5"/>
      <c r="H45" s="5">
        <v>3600</v>
      </c>
      <c r="I45" s="11"/>
      <c r="J45" s="33">
        <v>3600</v>
      </c>
      <c r="K45" s="38"/>
      <c r="L45" s="33">
        <f>$J$45</f>
        <v>3600</v>
      </c>
      <c r="M45" s="38"/>
      <c r="N45" s="33">
        <f>$J$45</f>
        <v>3600</v>
      </c>
      <c r="O45" s="38"/>
      <c r="P45" s="33">
        <f>$J$45</f>
        <v>3600</v>
      </c>
      <c r="Q45" s="38"/>
      <c r="R45" s="33">
        <f>$J$45</f>
        <v>3600</v>
      </c>
      <c r="T45" s="60">
        <v>600</v>
      </c>
      <c r="U45" t="s">
        <v>99</v>
      </c>
    </row>
    <row r="46" spans="1:22" x14ac:dyDescent="0.25">
      <c r="B46" s="5"/>
      <c r="C46" s="5"/>
      <c r="D46" s="5"/>
      <c r="E46" s="5"/>
      <c r="F46" s="5"/>
      <c r="G46" s="5"/>
      <c r="H46" s="5"/>
      <c r="I46" s="11"/>
      <c r="J46" s="5"/>
      <c r="K46" s="11"/>
      <c r="L46" s="5"/>
      <c r="M46" s="11"/>
      <c r="N46" s="5"/>
      <c r="O46" s="11"/>
      <c r="P46" s="5"/>
      <c r="Q46" s="11"/>
      <c r="R46" s="5"/>
      <c r="T46" s="21"/>
    </row>
    <row r="47" spans="1:22" x14ac:dyDescent="0.25">
      <c r="A47" s="12" t="s">
        <v>28</v>
      </c>
      <c r="B47" s="24">
        <f>SUM(B38:B45)</f>
        <v>92702.627999999997</v>
      </c>
      <c r="C47" s="11"/>
      <c r="D47" s="24">
        <f>SUM(D38:D45)</f>
        <v>95276.31626051999</v>
      </c>
      <c r="E47" s="11"/>
      <c r="F47" s="24">
        <f>SUM(F38:F45)</f>
        <v>97927.089038980601</v>
      </c>
      <c r="G47" s="11"/>
      <c r="H47" s="24">
        <f>SUM(H38:H45)</f>
        <v>101257.26025430368</v>
      </c>
      <c r="I47" s="11"/>
      <c r="J47" s="24">
        <f>SUM(J38:J45)</f>
        <v>104069.21330542593</v>
      </c>
      <c r="K47" s="11"/>
      <c r="L47" s="24">
        <f>SUM(L38:L45)</f>
        <v>106965.40315781588</v>
      </c>
      <c r="M47" s="11"/>
      <c r="N47" s="24">
        <f>SUM(N38:N45)</f>
        <v>109948.35849265616</v>
      </c>
      <c r="O47" s="11"/>
      <c r="P47" s="24">
        <f>SUM(P38:P45)</f>
        <v>113020.68392057432</v>
      </c>
      <c r="Q47" s="11"/>
      <c r="R47" s="24">
        <f>SUM(R38:R45)</f>
        <v>107133.55340037796</v>
      </c>
      <c r="T47" s="3"/>
    </row>
    <row r="48" spans="1:22" x14ac:dyDescent="0.25">
      <c r="A48" s="9"/>
      <c r="B48" s="11"/>
      <c r="C48" s="11"/>
      <c r="D48" s="11"/>
      <c r="E48" s="11"/>
      <c r="F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T48" s="3"/>
    </row>
    <row r="49" spans="1:22" ht="15.75" thickBot="1" x14ac:dyDescent="0.3">
      <c r="A49" s="9" t="s">
        <v>21</v>
      </c>
      <c r="B49" s="34">
        <f>B29-B35-B47</f>
        <v>4018.4119999999966</v>
      </c>
      <c r="C49" s="35"/>
      <c r="D49" s="34">
        <f>D29-D35-D47</f>
        <v>4645.222953080025</v>
      </c>
      <c r="E49" s="35"/>
      <c r="F49" s="34">
        <f>F29-F35-F47</f>
        <v>5300.8539071974083</v>
      </c>
      <c r="G49" s="35"/>
      <c r="H49" s="34">
        <f>H29-H35-H47</f>
        <v>5386.4953239633905</v>
      </c>
      <c r="I49" s="35"/>
      <c r="J49" s="34">
        <f>J29-J35-J47</f>
        <v>6103.3841449259635</v>
      </c>
      <c r="K49" s="35"/>
      <c r="L49" s="34">
        <f>L29-L35-L47</f>
        <v>6852.8055421681638</v>
      </c>
      <c r="M49" s="35"/>
      <c r="N49" s="34">
        <f>N29-N35-N47</f>
        <v>7636.0947332103387</v>
      </c>
      <c r="O49" s="35"/>
      <c r="P49" s="34">
        <f>P29-P35-P47</f>
        <v>8454.6388625361433</v>
      </c>
      <c r="Q49" s="35"/>
      <c r="R49" s="34">
        <f>R29-R35-R47</f>
        <v>18361.38781362561</v>
      </c>
      <c r="T49" s="3"/>
    </row>
    <row r="50" spans="1:22" ht="15.75" thickTop="1" x14ac:dyDescent="0.25">
      <c r="A50" s="9"/>
      <c r="B50" s="11"/>
      <c r="C50" s="11"/>
      <c r="D50" s="11"/>
      <c r="E50" s="11"/>
      <c r="F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T50" s="3"/>
    </row>
    <row r="51" spans="1:22" x14ac:dyDescent="0.25">
      <c r="A51" s="12" t="s">
        <v>26</v>
      </c>
      <c r="B51" s="5">
        <f>B80*$T$51</f>
        <v>2.6456756756754749</v>
      </c>
      <c r="C51" s="5"/>
      <c r="D51" s="5">
        <f>D80*$T$51</f>
        <v>1011.574689340831</v>
      </c>
      <c r="E51" s="5"/>
      <c r="F51" s="5">
        <f>F80*$T$51</f>
        <v>3066.5121186728666</v>
      </c>
      <c r="G51" s="5"/>
      <c r="H51" s="5">
        <f>H80*$T$51</f>
        <v>6422.0577299207998</v>
      </c>
      <c r="I51" s="11"/>
      <c r="J51" s="5">
        <f t="shared" ref="J51:R51" si="29">J80*$T$51</f>
        <v>11399.972037202047</v>
      </c>
      <c r="K51" s="11"/>
      <c r="L51" s="5">
        <f t="shared" si="29"/>
        <v>18022.86879520677</v>
      </c>
      <c r="M51" s="11"/>
      <c r="N51" s="5">
        <f t="shared" si="29"/>
        <v>27122.642666026455</v>
      </c>
      <c r="O51" s="11"/>
      <c r="P51" s="5">
        <f t="shared" si="29"/>
        <v>39251.807946208508</v>
      </c>
      <c r="Q51" s="11"/>
      <c r="R51" s="5">
        <f t="shared" si="29"/>
        <v>55066.4580482741</v>
      </c>
      <c r="T51" s="82">
        <v>7.4999999999999997E-2</v>
      </c>
      <c r="U51" t="s">
        <v>25</v>
      </c>
    </row>
    <row r="52" spans="1:22" x14ac:dyDescent="0.25">
      <c r="A52" s="12" t="s">
        <v>104</v>
      </c>
      <c r="B52" s="5">
        <f>B68*$T$52</f>
        <v>4900</v>
      </c>
      <c r="C52" s="5"/>
      <c r="D52" s="5">
        <f>D68*$T$52</f>
        <v>4900</v>
      </c>
      <c r="E52" s="5"/>
      <c r="F52" s="5">
        <f>F68*$T$52</f>
        <v>4900</v>
      </c>
      <c r="G52" s="5"/>
      <c r="H52" s="5">
        <f>H68*$T$52</f>
        <v>4900</v>
      </c>
      <c r="I52" s="11"/>
      <c r="J52" s="5">
        <f>J68*$T$52</f>
        <v>4900</v>
      </c>
      <c r="K52" s="11"/>
      <c r="L52" s="5">
        <v>4900</v>
      </c>
      <c r="M52" s="11"/>
      <c r="N52" s="5">
        <v>4900</v>
      </c>
      <c r="O52" s="11"/>
      <c r="P52" s="5">
        <v>4900</v>
      </c>
      <c r="Q52" s="11"/>
      <c r="R52" s="5">
        <v>4900</v>
      </c>
      <c r="T52" s="61">
        <v>0.2</v>
      </c>
      <c r="U52" t="s">
        <v>106</v>
      </c>
    </row>
    <row r="53" spans="1:22" x14ac:dyDescent="0.25">
      <c r="A53" s="12" t="s">
        <v>105</v>
      </c>
      <c r="B53" s="5"/>
      <c r="C53" s="5"/>
      <c r="D53" s="5">
        <f>Mortgage!J20</f>
        <v>4904.8990053484986</v>
      </c>
      <c r="E53" s="5"/>
      <c r="F53" s="5">
        <f>Mortgage!J32</f>
        <v>4410.8800759072674</v>
      </c>
      <c r="G53" s="5"/>
      <c r="H53" s="5">
        <f>Mortgage!J44</f>
        <v>3875.8578189688387</v>
      </c>
      <c r="I53" s="11"/>
      <c r="J53" s="5">
        <f>Mortgage!J56</f>
        <v>3296.4289785734791</v>
      </c>
      <c r="K53" s="11"/>
      <c r="L53" s="5">
        <f>Mortgage!J68</f>
        <v>2668.9078301952563</v>
      </c>
      <c r="M53" s="11"/>
      <c r="N53" s="5">
        <f>Mortgage!J80</f>
        <v>1989.3027359903585</v>
      </c>
      <c r="O53" s="11"/>
      <c r="P53" s="5">
        <f>Mortgage!J92</f>
        <v>1253.290754142583</v>
      </c>
      <c r="Q53" s="11"/>
      <c r="R53" s="5">
        <f>Mortgage!J104</f>
        <v>456.19014079702271</v>
      </c>
      <c r="T53" s="61"/>
    </row>
    <row r="54" spans="1:22" x14ac:dyDescent="0.25">
      <c r="A54" s="12"/>
      <c r="B54" s="5"/>
      <c r="C54" s="5"/>
      <c r="D54" s="5"/>
      <c r="E54" s="5"/>
      <c r="F54" s="5"/>
      <c r="G54" s="5"/>
      <c r="H54" s="5"/>
      <c r="I54" s="11"/>
      <c r="J54" s="5"/>
      <c r="K54" s="11"/>
      <c r="L54" s="5"/>
      <c r="M54" s="11"/>
      <c r="N54" s="5"/>
      <c r="O54" s="11"/>
      <c r="P54" s="5"/>
      <c r="Q54" s="11"/>
      <c r="R54" s="5"/>
      <c r="T54" s="13"/>
    </row>
    <row r="55" spans="1:22" x14ac:dyDescent="0.25">
      <c r="A55" s="12" t="s">
        <v>23</v>
      </c>
      <c r="B55" s="5">
        <f>B49-(SUM(B51:B51))</f>
        <v>4015.766324324321</v>
      </c>
      <c r="C55" s="5"/>
      <c r="D55" s="5">
        <f>D49-(SUM(D51:D51))</f>
        <v>3633.6482637391941</v>
      </c>
      <c r="E55" s="5"/>
      <c r="F55" s="5">
        <f>F49-(SUM(F51:F51))</f>
        <v>2234.3417885245417</v>
      </c>
      <c r="G55" s="5"/>
      <c r="H55" s="5">
        <f>H49-(SUM(H51:H51))</f>
        <v>-1035.5624059574093</v>
      </c>
      <c r="I55" s="11"/>
      <c r="J55" s="5">
        <f>J49-(SUM(J51:J51))</f>
        <v>-5296.5878922760839</v>
      </c>
      <c r="K55" s="11"/>
      <c r="L55" s="5">
        <f>L49-(SUM(L51:L51))</f>
        <v>-11170.063253038606</v>
      </c>
      <c r="M55" s="11"/>
      <c r="N55" s="5">
        <f>N49-(SUM(N51:N51))</f>
        <v>-19486.547932816116</v>
      </c>
      <c r="O55" s="11"/>
      <c r="P55" s="5">
        <f>P49-(SUM(P51:P51))</f>
        <v>-30797.169083672365</v>
      </c>
      <c r="Q55" s="11"/>
      <c r="R55" s="5">
        <f>R49-(SUM(R51:R51))</f>
        <v>-36705.07023464849</v>
      </c>
      <c r="T55" s="13"/>
    </row>
    <row r="56" spans="1:22" x14ac:dyDescent="0.25">
      <c r="A56" s="12" t="s">
        <v>22</v>
      </c>
      <c r="B56" s="5">
        <f>IF(B55&lt;0,0,$T$56*B55)</f>
        <v>923.62625459459389</v>
      </c>
      <c r="C56" s="5"/>
      <c r="D56" s="5">
        <f>IF(D55&lt;0,0,$T$56*D55)</f>
        <v>835.73910066001474</v>
      </c>
      <c r="E56" s="5"/>
      <c r="F56" s="5">
        <f>IF(F55&lt;0,0,$T$56*F55)</f>
        <v>513.89861136064462</v>
      </c>
      <c r="G56" s="5"/>
      <c r="H56" s="5">
        <f>IF(H55&lt;0,0,$T$56*H55)</f>
        <v>0</v>
      </c>
      <c r="I56" s="11"/>
      <c r="J56" s="5">
        <f>IF(J55&lt;0,0,$T$56*J55)</f>
        <v>0</v>
      </c>
      <c r="K56" s="11"/>
      <c r="L56" s="5">
        <f>IF(L55&lt;0,0,$T$56*L55)</f>
        <v>0</v>
      </c>
      <c r="M56" s="11"/>
      <c r="N56" s="5">
        <f>IF(N55&lt;0,0,$T$56*N55)</f>
        <v>0</v>
      </c>
      <c r="O56" s="11"/>
      <c r="P56" s="5">
        <f>IF(P55&lt;0,0,$T$56*P55)</f>
        <v>0</v>
      </c>
      <c r="Q56" s="11"/>
      <c r="R56" s="5">
        <f>IF(R55&lt;0,0,$T$56*R55)</f>
        <v>0</v>
      </c>
      <c r="T56" s="18">
        <v>0.23</v>
      </c>
      <c r="U56" t="s">
        <v>27</v>
      </c>
    </row>
    <row r="57" spans="1:22" x14ac:dyDescent="0.25">
      <c r="A57" s="9"/>
      <c r="B57" s="5"/>
      <c r="C57" s="5"/>
      <c r="D57" s="5"/>
      <c r="E57" s="5"/>
      <c r="F57" s="5"/>
      <c r="H57" s="5"/>
      <c r="I57" s="11"/>
      <c r="J57" s="5"/>
      <c r="K57" s="11"/>
      <c r="L57" s="5"/>
      <c r="M57" s="11"/>
      <c r="N57" s="5"/>
      <c r="O57" s="11"/>
      <c r="P57" s="5"/>
      <c r="Q57" s="11"/>
      <c r="R57" s="5"/>
    </row>
    <row r="58" spans="1:22" ht="15.75" thickBot="1" x14ac:dyDescent="0.3">
      <c r="A58" s="9" t="s">
        <v>24</v>
      </c>
      <c r="B58" s="34">
        <f>B55-B56</f>
        <v>3092.1400697297272</v>
      </c>
      <c r="C58" s="35"/>
      <c r="D58" s="34">
        <f t="shared" ref="D58:H58" si="30">D55-D56</f>
        <v>2797.9091630791795</v>
      </c>
      <c r="E58" s="35"/>
      <c r="F58" s="34">
        <f t="shared" si="30"/>
        <v>1720.443177163897</v>
      </c>
      <c r="G58" s="35"/>
      <c r="H58" s="34">
        <f t="shared" si="30"/>
        <v>-1035.5624059574093</v>
      </c>
      <c r="I58" s="35"/>
      <c r="J58" s="34">
        <f t="shared" ref="J58:R58" si="31">J55-J56</f>
        <v>-5296.5878922760839</v>
      </c>
      <c r="K58" s="35"/>
      <c r="L58" s="34">
        <f t="shared" si="31"/>
        <v>-11170.063253038606</v>
      </c>
      <c r="M58" s="35"/>
      <c r="N58" s="34">
        <f t="shared" si="31"/>
        <v>-19486.547932816116</v>
      </c>
      <c r="O58" s="35"/>
      <c r="P58" s="34">
        <f t="shared" si="31"/>
        <v>-30797.169083672365</v>
      </c>
      <c r="Q58" s="35"/>
      <c r="R58" s="34">
        <f t="shared" si="31"/>
        <v>-36705.07023464849</v>
      </c>
      <c r="T58" s="15"/>
    </row>
    <row r="59" spans="1:22" ht="16.5" thickTop="1" thickBot="1" x14ac:dyDescent="0.3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9"/>
      <c r="T59" s="30"/>
      <c r="U59" s="29"/>
      <c r="V59" s="29"/>
    </row>
    <row r="60" spans="1:22" ht="15.75" thickTop="1" x14ac:dyDescent="0.25">
      <c r="A60" s="9"/>
      <c r="B60" s="11"/>
      <c r="C60" s="11"/>
      <c r="D60" s="11"/>
      <c r="E60" s="11"/>
      <c r="F60" s="11"/>
      <c r="T60" s="15"/>
    </row>
    <row r="61" spans="1:22" ht="15.75" x14ac:dyDescent="0.25">
      <c r="A61" s="50" t="s">
        <v>4</v>
      </c>
      <c r="B61" s="5"/>
      <c r="C61" s="5"/>
      <c r="D61" s="5"/>
      <c r="E61" s="5"/>
      <c r="F61" s="5"/>
      <c r="T61" s="15"/>
    </row>
    <row r="62" spans="1:22" x14ac:dyDescent="0.25">
      <c r="B62" s="5"/>
      <c r="C62" s="5"/>
      <c r="D62" s="5"/>
      <c r="E62" s="5"/>
      <c r="F62" s="5"/>
    </row>
    <row r="63" spans="1:22" x14ac:dyDescent="0.25">
      <c r="A63" s="4" t="s">
        <v>5</v>
      </c>
      <c r="B63" s="5"/>
      <c r="D63" s="5"/>
      <c r="E63" s="5"/>
      <c r="F63" s="5"/>
      <c r="O63" s="39"/>
      <c r="T63" s="3"/>
    </row>
    <row r="64" spans="1:22" x14ac:dyDescent="0.25">
      <c r="A64" s="22" t="s">
        <v>19</v>
      </c>
      <c r="B64" s="33">
        <v>395.39</v>
      </c>
      <c r="C64" s="22"/>
      <c r="D64" s="33">
        <v>19491.740000000002</v>
      </c>
      <c r="E64" s="33"/>
      <c r="F64" s="33">
        <v>53155.7</v>
      </c>
      <c r="G64" s="33"/>
      <c r="H64" s="33">
        <v>101211.92</v>
      </c>
      <c r="I64" s="38"/>
      <c r="J64" s="33">
        <v>167151.44</v>
      </c>
      <c r="K64" s="38"/>
      <c r="L64" s="33">
        <v>249149.39</v>
      </c>
      <c r="M64" s="38"/>
      <c r="N64" s="33">
        <v>355854.65</v>
      </c>
      <c r="O64" s="38"/>
      <c r="P64" s="33">
        <v>491639.9</v>
      </c>
      <c r="Q64" s="38"/>
      <c r="R64" s="33">
        <v>670655.73</v>
      </c>
      <c r="T64" s="17"/>
    </row>
    <row r="65" spans="1:26" x14ac:dyDescent="0.25">
      <c r="A65" t="s">
        <v>20</v>
      </c>
      <c r="B65" s="5">
        <f>$T$65</f>
        <v>1000</v>
      </c>
      <c r="C65" s="5"/>
      <c r="D65" s="5">
        <f>$T$65</f>
        <v>1000</v>
      </c>
      <c r="E65" s="5"/>
      <c r="F65" s="5">
        <f>$T$65</f>
        <v>1000</v>
      </c>
      <c r="G65" s="5"/>
      <c r="H65" s="5">
        <f>$T$65</f>
        <v>1000</v>
      </c>
      <c r="I65" s="11"/>
      <c r="J65" s="5">
        <f t="shared" ref="J65:R65" si="32">$T$65</f>
        <v>1000</v>
      </c>
      <c r="K65" s="11"/>
      <c r="L65" s="5">
        <f t="shared" si="32"/>
        <v>1000</v>
      </c>
      <c r="M65" s="11"/>
      <c r="N65" s="5">
        <f t="shared" si="32"/>
        <v>1000</v>
      </c>
      <c r="O65" s="11"/>
      <c r="P65" s="5">
        <f t="shared" si="32"/>
        <v>1000</v>
      </c>
      <c r="Q65" s="11"/>
      <c r="R65" s="5">
        <f t="shared" si="32"/>
        <v>1000</v>
      </c>
      <c r="T65" s="5">
        <v>1000</v>
      </c>
      <c r="U65" t="s">
        <v>34</v>
      </c>
    </row>
    <row r="66" spans="1:26" x14ac:dyDescent="0.25">
      <c r="A66" s="22" t="s">
        <v>82</v>
      </c>
      <c r="B66" s="33">
        <f>(B28/360)*B18</f>
        <v>2400</v>
      </c>
      <c r="C66" s="5"/>
      <c r="D66" s="33">
        <f>(D27/360)*D18</f>
        <v>4476.7233333333334</v>
      </c>
      <c r="E66" s="5"/>
      <c r="F66" s="33">
        <f>(F27/360)*F18</f>
        <v>4624.8581084333337</v>
      </c>
      <c r="G66" s="5"/>
      <c r="H66" s="33">
        <f>(H27/360)*H18</f>
        <v>4777.8946632413927</v>
      </c>
      <c r="I66" s="38"/>
      <c r="J66" s="33">
        <f>(J27/360)*J18</f>
        <v>4935.9951976480497</v>
      </c>
      <c r="K66" s="38"/>
      <c r="L66" s="33">
        <f>(L27/360)*L18</f>
        <v>5099.3272787382239</v>
      </c>
      <c r="M66" s="38"/>
      <c r="N66" s="33">
        <f>(N27/360)*N18</f>
        <v>5268.0640183916721</v>
      </c>
      <c r="O66" s="38"/>
      <c r="P66" s="33">
        <f>(P27/360)*P18</f>
        <v>5442.3842567602533</v>
      </c>
      <c r="Q66" s="38"/>
      <c r="R66" s="33">
        <f>(R27/360)*R18</f>
        <v>5622.4727518164491</v>
      </c>
    </row>
    <row r="67" spans="1:26" x14ac:dyDescent="0.25">
      <c r="A67" s="22" t="s">
        <v>83</v>
      </c>
      <c r="B67" s="33">
        <f>(B35/360)*B20</f>
        <v>2229.5653333333335</v>
      </c>
      <c r="C67" s="5"/>
      <c r="D67" s="33">
        <f>(D35/360)*D20</f>
        <v>2303.3416502133332</v>
      </c>
      <c r="E67" s="5"/>
      <c r="F67" s="33">
        <f>(F35/360)*F20</f>
        <v>2379.5592254188928</v>
      </c>
      <c r="G67" s="5"/>
      <c r="H67" s="33">
        <f>(H35/360)*H20</f>
        <v>2458.2988401880029</v>
      </c>
      <c r="I67" s="38"/>
      <c r="J67" s="33">
        <f>(J35/360)*J20</f>
        <v>2539.6439488098249</v>
      </c>
      <c r="K67" s="38"/>
      <c r="L67" s="33">
        <f>(L35/360)*L20</f>
        <v>2623.6807670759417</v>
      </c>
      <c r="M67" s="38"/>
      <c r="N67" s="33">
        <f>(N35/360)*N20</f>
        <v>2710.4983636584848</v>
      </c>
      <c r="O67" s="38"/>
      <c r="P67" s="33">
        <f>(P35/360)*P20</f>
        <v>2800.1887545119439</v>
      </c>
      <c r="Q67" s="38"/>
      <c r="R67" s="33">
        <f>(R35/360)*R20</f>
        <v>2892.8470003987441</v>
      </c>
    </row>
    <row r="68" spans="1:26" x14ac:dyDescent="0.25">
      <c r="A68" s="22" t="s">
        <v>103</v>
      </c>
      <c r="B68" s="33">
        <v>24500</v>
      </c>
      <c r="C68" s="33"/>
      <c r="D68" s="33">
        <v>24500</v>
      </c>
      <c r="E68" s="33"/>
      <c r="F68" s="33">
        <v>24500</v>
      </c>
      <c r="G68" s="33"/>
      <c r="H68" s="33">
        <v>24500</v>
      </c>
      <c r="I68" s="38"/>
      <c r="J68" s="33">
        <v>24500</v>
      </c>
      <c r="K68" s="38"/>
      <c r="L68" s="33">
        <v>24500</v>
      </c>
      <c r="M68" s="38"/>
      <c r="N68" s="33">
        <v>24500</v>
      </c>
      <c r="O68" s="38"/>
      <c r="P68" s="33">
        <v>24500</v>
      </c>
      <c r="Q68" s="38"/>
      <c r="R68" s="33">
        <v>24500</v>
      </c>
    </row>
    <row r="69" spans="1:26" x14ac:dyDescent="0.25">
      <c r="A69" s="22" t="s">
        <v>122</v>
      </c>
      <c r="B69" s="33">
        <f>B52</f>
        <v>4900</v>
      </c>
      <c r="C69" s="33"/>
      <c r="D69" s="33">
        <f>B69+D52</f>
        <v>9800</v>
      </c>
      <c r="E69" s="33"/>
      <c r="F69" s="33">
        <f>D69+F52</f>
        <v>14700</v>
      </c>
      <c r="G69" s="33"/>
      <c r="H69" s="33">
        <f>F69+H52</f>
        <v>19600</v>
      </c>
      <c r="I69" s="38"/>
      <c r="J69" s="33">
        <f>H69+J52</f>
        <v>24500</v>
      </c>
      <c r="K69" s="38"/>
      <c r="L69" s="33">
        <f>J69+L52</f>
        <v>29400</v>
      </c>
      <c r="M69" s="38"/>
      <c r="N69" s="33">
        <f>L69+N52</f>
        <v>34300</v>
      </c>
      <c r="O69" s="38"/>
      <c r="P69" s="33">
        <f>N69+P52</f>
        <v>39200</v>
      </c>
      <c r="Q69" s="38"/>
      <c r="R69" s="33">
        <f>P69+R52</f>
        <v>44100</v>
      </c>
    </row>
    <row r="70" spans="1:26" x14ac:dyDescent="0.25">
      <c r="A70" s="22"/>
      <c r="B70" s="33"/>
      <c r="C70" s="33"/>
      <c r="D70" s="33"/>
      <c r="E70" s="33"/>
      <c r="F70" s="33"/>
      <c r="G70" s="33"/>
      <c r="H70" s="33"/>
      <c r="I70" s="38"/>
      <c r="J70" s="33"/>
      <c r="K70" s="38"/>
      <c r="L70" s="33"/>
      <c r="M70" s="38"/>
      <c r="N70" s="33"/>
      <c r="O70" s="38"/>
      <c r="P70" s="33"/>
      <c r="Q70" s="38"/>
      <c r="R70" s="33"/>
    </row>
    <row r="71" spans="1:26" ht="15.75" thickBot="1" x14ac:dyDescent="0.3">
      <c r="A71" s="4" t="s">
        <v>6</v>
      </c>
      <c r="B71" s="34">
        <f>SUM(B64:B68)-B69</f>
        <v>25624.955333333332</v>
      </c>
      <c r="C71" s="35"/>
      <c r="D71" s="34">
        <f>SUM(D64:D68)-D69</f>
        <v>41971.804983546666</v>
      </c>
      <c r="E71" s="35"/>
      <c r="F71" s="34">
        <f>SUM(F64:F68)-F69</f>
        <v>70960.11733385222</v>
      </c>
      <c r="G71" s="35"/>
      <c r="H71" s="34">
        <f>SUM(H64:H68)-H69</f>
        <v>114348.1135034294</v>
      </c>
      <c r="I71" s="35"/>
      <c r="J71" s="34">
        <f>SUM(J64:J68)-J69</f>
        <v>175627.07914645787</v>
      </c>
      <c r="K71" s="35"/>
      <c r="L71" s="34">
        <f>SUM(L64:L68)-L69</f>
        <v>252972.39804581419</v>
      </c>
      <c r="M71" s="35"/>
      <c r="N71" s="34">
        <f>SUM(N64:N68)-N69</f>
        <v>355033.21238205017</v>
      </c>
      <c r="O71" s="35"/>
      <c r="P71" s="34">
        <f>SUM(P64:P68)-P69</f>
        <v>486182.47301127226</v>
      </c>
      <c r="Q71" s="35"/>
      <c r="R71" s="34">
        <f>SUM(R64:R68)-R69</f>
        <v>660571.04975221527</v>
      </c>
    </row>
    <row r="72" spans="1:26" ht="15.75" thickTop="1" x14ac:dyDescent="0.25">
      <c r="B72" s="5"/>
      <c r="C72" s="5"/>
      <c r="D72" s="5"/>
      <c r="E72" s="5"/>
      <c r="F72" s="5"/>
      <c r="I72" s="39"/>
      <c r="K72" s="39"/>
      <c r="M72" s="39"/>
      <c r="O72" s="39"/>
      <c r="Q72" s="39"/>
    </row>
    <row r="73" spans="1:26" x14ac:dyDescent="0.25">
      <c r="A73" s="4" t="s">
        <v>7</v>
      </c>
      <c r="B73" s="5"/>
      <c r="C73" s="5"/>
      <c r="D73" s="5"/>
      <c r="E73" s="5"/>
      <c r="F73" s="5"/>
      <c r="I73" s="39"/>
      <c r="K73" s="39"/>
      <c r="M73" s="39"/>
      <c r="O73" s="39"/>
      <c r="Q73" s="39"/>
      <c r="Y73" s="5"/>
    </row>
    <row r="74" spans="1:26" x14ac:dyDescent="0.25">
      <c r="A74" s="4"/>
      <c r="B74" s="5"/>
      <c r="C74" s="5"/>
      <c r="D74" s="5"/>
      <c r="E74" s="5"/>
      <c r="F74" s="5"/>
      <c r="I74" s="39"/>
      <c r="K74" s="39"/>
      <c r="M74" s="39"/>
      <c r="O74" s="39"/>
      <c r="Q74" s="39"/>
      <c r="Y74" s="5"/>
    </row>
    <row r="75" spans="1:26" x14ac:dyDescent="0.25">
      <c r="A75" s="22" t="s">
        <v>36</v>
      </c>
      <c r="B75" s="33">
        <f>(B35/360)*B21</f>
        <v>5573.9133333333339</v>
      </c>
      <c r="C75" s="33"/>
      <c r="D75" s="33">
        <f>(D35/360)*D21</f>
        <v>5758.354125533333</v>
      </c>
      <c r="E75" s="33"/>
      <c r="F75" s="33">
        <f>(F35/360)*F21</f>
        <v>5948.8980635472317</v>
      </c>
      <c r="G75" s="33"/>
      <c r="H75" s="33">
        <f>(H35/360)*H21</f>
        <v>6145.7471004700083</v>
      </c>
      <c r="I75" s="38"/>
      <c r="J75" s="33">
        <f>(J35/360)*J21</f>
        <v>6349.1098720245618</v>
      </c>
      <c r="K75" s="38"/>
      <c r="L75" s="33">
        <f>(L35/360)*L21</f>
        <v>6559.2019176898539</v>
      </c>
      <c r="M75" s="38"/>
      <c r="N75" s="33">
        <f>(N35/360)*N21</f>
        <v>6776.2459091462115</v>
      </c>
      <c r="O75" s="38"/>
      <c r="P75" s="33">
        <f>(P35/360)*P21</f>
        <v>7000.4718862798591</v>
      </c>
      <c r="Q75" s="38"/>
      <c r="R75" s="33">
        <f>(R35/360)*R21</f>
        <v>7232.1175009968601</v>
      </c>
      <c r="Y75" s="5"/>
      <c r="Z75" s="14"/>
    </row>
    <row r="76" spans="1:26" x14ac:dyDescent="0.25">
      <c r="A76" s="23" t="s">
        <v>15</v>
      </c>
      <c r="B76" s="5">
        <f>B56</f>
        <v>923.62625459459389</v>
      </c>
      <c r="C76" s="5"/>
      <c r="D76" s="5">
        <f>D56</f>
        <v>835.73910066001474</v>
      </c>
      <c r="E76" s="5"/>
      <c r="F76" s="5">
        <f>F56</f>
        <v>513.89861136064462</v>
      </c>
      <c r="G76" s="5"/>
      <c r="H76" s="5">
        <f>H56</f>
        <v>0</v>
      </c>
      <c r="I76" s="11"/>
      <c r="J76" s="5">
        <f>J56</f>
        <v>0</v>
      </c>
      <c r="K76" s="11"/>
      <c r="L76" s="5">
        <f>L56</f>
        <v>0</v>
      </c>
      <c r="M76" s="11"/>
      <c r="N76" s="5">
        <f>N56</f>
        <v>0</v>
      </c>
      <c r="O76" s="11"/>
      <c r="P76" s="5">
        <f>P56</f>
        <v>0</v>
      </c>
      <c r="Q76" s="11"/>
      <c r="R76" s="5">
        <f>R56</f>
        <v>0</v>
      </c>
      <c r="Y76" s="5"/>
    </row>
    <row r="77" spans="1:26" x14ac:dyDescent="0.25">
      <c r="A77" s="16"/>
      <c r="B77" s="5"/>
      <c r="C77" s="5"/>
      <c r="D77" s="5"/>
      <c r="E77" s="5"/>
      <c r="F77" s="5"/>
      <c r="I77" s="39"/>
      <c r="K77" s="39"/>
      <c r="M77" s="39"/>
      <c r="O77" s="39"/>
      <c r="Q77" s="39"/>
    </row>
    <row r="78" spans="1:26" ht="15.75" thickBot="1" x14ac:dyDescent="0.3">
      <c r="A78" s="4" t="s">
        <v>8</v>
      </c>
      <c r="B78" s="34">
        <f>SUM(B75:B76)</f>
        <v>6497.5395879279276</v>
      </c>
      <c r="C78" s="35"/>
      <c r="D78" s="34">
        <f>SUM(D75:D76)</f>
        <v>6594.0932261933476</v>
      </c>
      <c r="E78" s="35"/>
      <c r="F78" s="34">
        <f>SUM(F75:F76)</f>
        <v>6462.796674907876</v>
      </c>
      <c r="G78" s="35"/>
      <c r="H78" s="34">
        <f>SUM(H75:H76)</f>
        <v>6145.7471004700083</v>
      </c>
      <c r="I78" s="35"/>
      <c r="J78" s="34">
        <f>SUM(J75:J76)</f>
        <v>6349.1098720245618</v>
      </c>
      <c r="K78" s="35"/>
      <c r="L78" s="34">
        <f>SUM(L75:L76)</f>
        <v>6559.2019176898539</v>
      </c>
      <c r="M78" s="35"/>
      <c r="N78" s="34">
        <f>SUM(N75:N76)</f>
        <v>6776.2459091462115</v>
      </c>
      <c r="O78" s="35"/>
      <c r="P78" s="34">
        <f>SUM(P75:P76)</f>
        <v>7000.4718862798591</v>
      </c>
      <c r="Q78" s="35"/>
      <c r="R78" s="34">
        <f>SUM(R75:R76)</f>
        <v>7232.1175009968601</v>
      </c>
      <c r="Y78" s="14"/>
    </row>
    <row r="79" spans="1:26" ht="15.75" thickTop="1" x14ac:dyDescent="0.25">
      <c r="A79" s="16"/>
      <c r="B79" s="5"/>
      <c r="C79" s="5"/>
      <c r="D79" s="5"/>
      <c r="E79" s="5"/>
      <c r="F79" s="5"/>
      <c r="I79" s="39"/>
      <c r="K79" s="39"/>
      <c r="M79" s="39"/>
      <c r="O79" s="39"/>
      <c r="Q79" s="39"/>
    </row>
    <row r="80" spans="1:26" x14ac:dyDescent="0.25">
      <c r="A80" s="16" t="s">
        <v>16</v>
      </c>
      <c r="B80" s="95">
        <v>35.275675675673</v>
      </c>
      <c r="C80" s="33"/>
      <c r="D80" s="33">
        <v>13487.662524544414</v>
      </c>
      <c r="E80" s="33"/>
      <c r="F80" s="33">
        <v>40886.828248971557</v>
      </c>
      <c r="G80" s="22"/>
      <c r="H80" s="33">
        <v>85627.436398944003</v>
      </c>
      <c r="I80" s="38"/>
      <c r="J80" s="33">
        <v>151999.62716269397</v>
      </c>
      <c r="K80" s="38"/>
      <c r="L80" s="33">
        <v>240304.91726942363</v>
      </c>
      <c r="M80" s="38"/>
      <c r="N80" s="33">
        <v>361635.2355470194</v>
      </c>
      <c r="O80" s="38"/>
      <c r="P80" s="33">
        <v>523357.43928278016</v>
      </c>
      <c r="Q80" s="38"/>
      <c r="R80" s="33">
        <v>734219.44064365467</v>
      </c>
    </row>
    <row r="81" spans="1:28" x14ac:dyDescent="0.25">
      <c r="A81" s="16" t="s">
        <v>124</v>
      </c>
      <c r="B81" s="7">
        <v>16000</v>
      </c>
      <c r="C81" s="5"/>
      <c r="D81" s="7">
        <f>$B$81</f>
        <v>16000</v>
      </c>
      <c r="E81" s="5"/>
      <c r="F81" s="7">
        <f>$B$81</f>
        <v>16000</v>
      </c>
      <c r="H81" s="7">
        <f>$B$81</f>
        <v>16000</v>
      </c>
      <c r="I81" s="39"/>
      <c r="J81" s="7">
        <f>$B$81</f>
        <v>16000</v>
      </c>
      <c r="K81" s="39"/>
      <c r="L81" s="7">
        <f>$B$81</f>
        <v>16000</v>
      </c>
      <c r="M81" s="39"/>
      <c r="N81" s="7">
        <f>$B$81</f>
        <v>16000</v>
      </c>
      <c r="O81" s="39"/>
      <c r="P81" s="7">
        <f>$B$81</f>
        <v>16000</v>
      </c>
      <c r="Q81" s="39"/>
      <c r="R81" s="7">
        <f>$B$81</f>
        <v>16000</v>
      </c>
    </row>
    <row r="82" spans="1:28" x14ac:dyDescent="0.25">
      <c r="A82" s="23" t="s">
        <v>17</v>
      </c>
      <c r="B82" s="31">
        <f>B58</f>
        <v>3092.1400697297272</v>
      </c>
      <c r="C82" s="7"/>
      <c r="D82" s="31">
        <f>B82+D58</f>
        <v>5890.0492328089067</v>
      </c>
      <c r="E82" s="31"/>
      <c r="F82" s="31">
        <f>D82+F58</f>
        <v>7610.4924099728032</v>
      </c>
      <c r="G82" s="31"/>
      <c r="H82" s="31">
        <f>F82+H58</f>
        <v>6574.9300040153939</v>
      </c>
      <c r="I82" s="40"/>
      <c r="J82" s="31">
        <f>H82+J58</f>
        <v>1278.34211173931</v>
      </c>
      <c r="K82" s="40"/>
      <c r="L82" s="31">
        <f>J82+L58</f>
        <v>-9891.7211412992965</v>
      </c>
      <c r="M82" s="40"/>
      <c r="N82" s="31">
        <f>L82+N58</f>
        <v>-29378.269074115415</v>
      </c>
      <c r="O82" s="40"/>
      <c r="P82" s="31">
        <f>N82+P58</f>
        <v>-60175.438157787779</v>
      </c>
      <c r="Q82" s="40"/>
      <c r="R82" s="31">
        <f>P82+R58</f>
        <v>-96880.50839243627</v>
      </c>
    </row>
    <row r="83" spans="1:28" x14ac:dyDescent="0.25">
      <c r="A83" s="16"/>
      <c r="B83" s="5"/>
      <c r="C83" s="5"/>
      <c r="D83" s="5"/>
      <c r="E83" s="5"/>
      <c r="F83" s="5"/>
      <c r="I83" s="39"/>
      <c r="K83" s="39"/>
      <c r="M83" s="39"/>
      <c r="O83" s="39"/>
      <c r="Q83" s="39"/>
    </row>
    <row r="84" spans="1:28" ht="15.75" thickBot="1" x14ac:dyDescent="0.3">
      <c r="A84" s="4" t="s">
        <v>9</v>
      </c>
      <c r="B84" s="34">
        <f>B78+(SUM(B80:B82))</f>
        <v>25624.955333333328</v>
      </c>
      <c r="C84" s="35"/>
      <c r="D84" s="34">
        <f>D78+(SUM(D80:D82))</f>
        <v>41971.804983546674</v>
      </c>
      <c r="E84" s="35"/>
      <c r="F84" s="34">
        <f>F78+(SUM(F80:F82))</f>
        <v>70960.117333852235</v>
      </c>
      <c r="G84" s="35"/>
      <c r="H84" s="34">
        <f>H78+(SUM(H80:H82))</f>
        <v>114348.1135034294</v>
      </c>
      <c r="I84" s="35"/>
      <c r="J84" s="34">
        <f>J78+(SUM(J80:J82))</f>
        <v>175627.07914645784</v>
      </c>
      <c r="K84" s="35"/>
      <c r="L84" s="34">
        <f>L78+(SUM(L80:L82))</f>
        <v>252972.39804581419</v>
      </c>
      <c r="M84" s="35"/>
      <c r="N84" s="34">
        <f>N78+(SUM(N80:N82))</f>
        <v>355033.21238205017</v>
      </c>
      <c r="O84" s="35"/>
      <c r="P84" s="34">
        <f>P78+(SUM(P80:P82))</f>
        <v>486182.47301127226</v>
      </c>
      <c r="Q84" s="35"/>
      <c r="R84" s="34">
        <f>R78+(SUM(R80:R82))</f>
        <v>660571.04975221527</v>
      </c>
    </row>
    <row r="85" spans="1:28" ht="15.75" thickTop="1" x14ac:dyDescent="0.25">
      <c r="I85" s="39"/>
      <c r="K85" s="39"/>
      <c r="M85" s="39"/>
      <c r="O85" s="39"/>
      <c r="Q85" s="39"/>
    </row>
    <row r="86" spans="1:28" x14ac:dyDescent="0.25">
      <c r="A86" t="s">
        <v>18</v>
      </c>
      <c r="B86" s="5">
        <f>B71-B84</f>
        <v>0</v>
      </c>
      <c r="C86" s="5" t="s">
        <v>35</v>
      </c>
      <c r="D86" s="5">
        <f>D71-D84</f>
        <v>0</v>
      </c>
      <c r="E86" s="5"/>
      <c r="F86" s="5">
        <f>F71-F84</f>
        <v>0</v>
      </c>
      <c r="G86" s="5"/>
      <c r="H86" s="5">
        <f>H71-H84</f>
        <v>0</v>
      </c>
      <c r="I86" s="11"/>
      <c r="J86" s="5">
        <f>J71-J84</f>
        <v>0</v>
      </c>
      <c r="K86" s="11"/>
      <c r="L86" s="5">
        <f>L71-L84</f>
        <v>0</v>
      </c>
      <c r="M86" s="11"/>
      <c r="N86" s="5">
        <f>N71-N84</f>
        <v>0</v>
      </c>
      <c r="O86" s="11"/>
      <c r="P86" s="5">
        <f>P71-P84</f>
        <v>0</v>
      </c>
      <c r="Q86" s="11"/>
      <c r="R86" s="5">
        <f>R71-R84</f>
        <v>0</v>
      </c>
    </row>
    <row r="87" spans="1:28" ht="15.75" thickBot="1" x14ac:dyDescent="0.3">
      <c r="A87" s="27"/>
      <c r="B87" s="28"/>
      <c r="C87" s="28"/>
      <c r="D87" s="28"/>
      <c r="E87" s="28"/>
      <c r="F87" s="28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</row>
    <row r="88" spans="1:28" ht="15.75" thickTop="1" x14ac:dyDescent="0.25">
      <c r="A88" s="9"/>
      <c r="B88" s="11"/>
      <c r="C88" s="11"/>
      <c r="D88" s="11"/>
      <c r="E88" s="11"/>
      <c r="F88" s="11"/>
      <c r="T88" s="15"/>
    </row>
    <row r="89" spans="1:28" ht="18.75" x14ac:dyDescent="0.3">
      <c r="A89" s="51" t="s">
        <v>37</v>
      </c>
      <c r="B89" s="52">
        <f>B24</f>
        <v>2013</v>
      </c>
      <c r="C89" s="52"/>
      <c r="D89" s="52">
        <f>D24</f>
        <v>2014</v>
      </c>
      <c r="E89" s="52"/>
      <c r="F89" s="52">
        <f>F24</f>
        <v>2015</v>
      </c>
      <c r="G89" s="52"/>
      <c r="H89" s="52">
        <f>H24</f>
        <v>2016</v>
      </c>
      <c r="I89" s="52"/>
      <c r="J89" s="52">
        <f>J24</f>
        <v>2017</v>
      </c>
      <c r="K89" s="52"/>
      <c r="L89" s="52">
        <f>L24</f>
        <v>2018</v>
      </c>
      <c r="M89" s="52"/>
      <c r="N89" s="52">
        <f>N24</f>
        <v>2019</v>
      </c>
      <c r="O89" s="52"/>
      <c r="P89" s="52">
        <f>P24</f>
        <v>2020</v>
      </c>
      <c r="Q89" s="52"/>
      <c r="R89" s="52">
        <f>R24</f>
        <v>2021</v>
      </c>
    </row>
    <row r="91" spans="1:28" x14ac:dyDescent="0.25">
      <c r="A91" t="s">
        <v>86</v>
      </c>
      <c r="B91" s="14">
        <f>B11</f>
        <v>5.5</v>
      </c>
      <c r="C91" s="57">
        <f>C8</f>
        <v>0.6284855568542328</v>
      </c>
      <c r="D91" s="14">
        <f>D11</f>
        <v>5.665</v>
      </c>
      <c r="F91" s="14">
        <f>F11</f>
        <v>5.8349500000000001</v>
      </c>
      <c r="H91" s="14">
        <f>H11</f>
        <v>6.0099985</v>
      </c>
      <c r="J91" s="14">
        <f>J11</f>
        <v>6.1902984549999998</v>
      </c>
      <c r="L91" s="14">
        <f>L11</f>
        <v>6.3760074086499996</v>
      </c>
      <c r="N91" s="14">
        <f>N11</f>
        <v>6.5672876309094992</v>
      </c>
      <c r="P91" s="14">
        <f>P11</f>
        <v>6.7643062598367845</v>
      </c>
      <c r="R91" s="14">
        <f>R11</f>
        <v>6.9672354476318876</v>
      </c>
      <c r="S91" s="9"/>
      <c r="T91" s="11"/>
      <c r="U91" s="11"/>
      <c r="V91" s="11"/>
      <c r="W91" s="11"/>
      <c r="X91" s="11"/>
      <c r="AB91" s="15"/>
    </row>
    <row r="92" spans="1:28" x14ac:dyDescent="0.25">
      <c r="A92" t="s">
        <v>85</v>
      </c>
      <c r="B92" s="14">
        <f>B12</f>
        <v>8</v>
      </c>
      <c r="C92" s="57">
        <f>C9</f>
        <v>0.27133077308398729</v>
      </c>
      <c r="D92" s="14">
        <f>D12</f>
        <v>8.24</v>
      </c>
      <c r="F92" s="14">
        <f>F12</f>
        <v>8.4871999999999996</v>
      </c>
      <c r="H92" s="14">
        <f>H12</f>
        <v>8.741816</v>
      </c>
      <c r="J92" s="14">
        <f>J12</f>
        <v>9.0040704799999993</v>
      </c>
      <c r="L92" s="14">
        <f>L12</f>
        <v>9.2741925943999988</v>
      </c>
      <c r="N92" s="14">
        <f>N12</f>
        <v>9.5524183722319993</v>
      </c>
      <c r="P92" s="14">
        <f>P12</f>
        <v>9.8389909233989599</v>
      </c>
      <c r="R92" s="14">
        <f>R12</f>
        <v>10.134160651100929</v>
      </c>
    </row>
    <row r="93" spans="1:28" x14ac:dyDescent="0.25">
      <c r="A93" t="s">
        <v>84</v>
      </c>
      <c r="B93" s="14">
        <f>B13</f>
        <v>12</v>
      </c>
      <c r="C93" s="57">
        <f>C10</f>
        <v>0.10018367006177993</v>
      </c>
      <c r="D93" s="14">
        <f>D13</f>
        <v>12.36</v>
      </c>
      <c r="F93" s="14">
        <f>F13</f>
        <v>12.730799999999999</v>
      </c>
      <c r="H93" s="14">
        <f>H13</f>
        <v>13.112723999999998</v>
      </c>
      <c r="J93" s="14">
        <f>J13</f>
        <v>13.506105719999999</v>
      </c>
      <c r="L93" s="14">
        <f>L13</f>
        <v>13.911288891599998</v>
      </c>
      <c r="N93" s="14">
        <f>N13</f>
        <v>14.328627558347998</v>
      </c>
      <c r="P93" s="14">
        <f>P13</f>
        <v>14.758486385098438</v>
      </c>
      <c r="R93" s="14">
        <f>R13</f>
        <v>15.201240976651391</v>
      </c>
    </row>
    <row r="94" spans="1:28" x14ac:dyDescent="0.25">
      <c r="T94" t="s">
        <v>92</v>
      </c>
    </row>
    <row r="95" spans="1:28" x14ac:dyDescent="0.25">
      <c r="A95" t="s">
        <v>121</v>
      </c>
      <c r="B95" s="14">
        <f>(B91*$C$91)+(B92*$C$92)+(B93*$C$93)</f>
        <v>6.8295207881115374</v>
      </c>
      <c r="D95" s="14">
        <f>(D91*$C$91)+(D92*$C$92)+(D93*$C$93)</f>
        <v>7.0344064117548832</v>
      </c>
      <c r="F95" s="14">
        <f>(F91*$C$91)+(F92*$C$92)+(F93*$C$93)</f>
        <v>7.2454386041075303</v>
      </c>
      <c r="H95" s="14">
        <f>(H91*$C$91)+(H92*$C$92)+(H93*$C$93)</f>
        <v>7.4628017622307565</v>
      </c>
      <c r="J95" s="14">
        <f>(J91*$C$91)+(J92*$C$92)+(J93*$C$93)</f>
        <v>7.6866858150976789</v>
      </c>
      <c r="L95" s="14">
        <f>(L91*$C$91)+(L92*$C$92)+(L93*$C$93)</f>
        <v>7.9172863895506085</v>
      </c>
      <c r="N95" s="14">
        <f>(N91*$C$91)+(N92*$C$92)+(N93*$C$93)</f>
        <v>8.1548049812371275</v>
      </c>
      <c r="P95" s="14">
        <f>(P91*$C$91)+(P92*$C$92)+(P93*$C$93)</f>
        <v>8.3994491306742418</v>
      </c>
      <c r="R95" s="14">
        <f>(R91*$C$91)+(R92*$C$92)+(R93*$C$93)</f>
        <v>8.6514326045944685</v>
      </c>
    </row>
    <row r="97" spans="1:18" x14ac:dyDescent="0.25">
      <c r="A97" s="4" t="s">
        <v>38</v>
      </c>
    </row>
    <row r="98" spans="1:18" x14ac:dyDescent="0.25">
      <c r="A98" t="s">
        <v>89</v>
      </c>
      <c r="B98" s="14">
        <f>B14</f>
        <v>2.0350000000000001</v>
      </c>
      <c r="C98" s="57">
        <f>C8</f>
        <v>0.6284855568542328</v>
      </c>
      <c r="D98" s="14">
        <f>D14</f>
        <v>2.09605</v>
      </c>
      <c r="F98" s="14">
        <f>F14</f>
        <v>2.1589315</v>
      </c>
      <c r="H98" s="14">
        <f>H14</f>
        <v>2.2236994449999998</v>
      </c>
      <c r="J98" s="14">
        <f>J14</f>
        <v>2.29041042835</v>
      </c>
      <c r="L98" s="14">
        <f>L14</f>
        <v>2.3591227412004998</v>
      </c>
      <c r="N98" s="14">
        <f>N14</f>
        <v>2.4298964234365146</v>
      </c>
      <c r="P98" s="14">
        <f>P14</f>
        <v>2.5027933161396101</v>
      </c>
      <c r="R98" s="14">
        <f>R14</f>
        <v>2.5778771156237985</v>
      </c>
    </row>
    <row r="99" spans="1:18" x14ac:dyDescent="0.25">
      <c r="A99" t="s">
        <v>90</v>
      </c>
      <c r="B99" s="14">
        <f>B15</f>
        <v>3.76</v>
      </c>
      <c r="C99" s="57">
        <f>C9</f>
        <v>0.27133077308398729</v>
      </c>
      <c r="D99" s="14">
        <f>D15</f>
        <v>3.8727999999999998</v>
      </c>
      <c r="F99" s="14">
        <f>F15</f>
        <v>3.9889839999999994</v>
      </c>
      <c r="H99" s="14">
        <f>H15</f>
        <v>4.1086535199999998</v>
      </c>
      <c r="J99" s="14">
        <f>J15</f>
        <v>4.2319131255999993</v>
      </c>
      <c r="L99" s="14">
        <f>L15</f>
        <v>4.3588705193679989</v>
      </c>
      <c r="N99" s="14">
        <f>N15</f>
        <v>4.4896366349490391</v>
      </c>
      <c r="P99" s="14">
        <f>P15</f>
        <v>4.6243257339975106</v>
      </c>
      <c r="R99" s="14">
        <f>R15</f>
        <v>4.7630555060174364</v>
      </c>
    </row>
    <row r="100" spans="1:18" x14ac:dyDescent="0.25">
      <c r="A100" t="s">
        <v>91</v>
      </c>
      <c r="B100" s="14">
        <f>B16</f>
        <v>4.92</v>
      </c>
      <c r="C100" s="57">
        <f>C10</f>
        <v>0.10018367006177993</v>
      </c>
      <c r="D100" s="14">
        <f>D16</f>
        <v>5.0675999999999997</v>
      </c>
      <c r="F100" s="14">
        <f>F16</f>
        <v>5.2196279999999993</v>
      </c>
      <c r="H100" s="14">
        <f>H16</f>
        <v>5.3762168399999988</v>
      </c>
      <c r="J100" s="14">
        <f>J16</f>
        <v>5.5375033451999993</v>
      </c>
      <c r="L100" s="14">
        <f>L16</f>
        <v>5.7036284455559985</v>
      </c>
      <c r="N100" s="14">
        <f>N16</f>
        <v>5.8747372989226792</v>
      </c>
      <c r="P100" s="14">
        <f>P16</f>
        <v>6.0509794178903595</v>
      </c>
      <c r="R100" s="14">
        <f>R16</f>
        <v>6.2325088004270697</v>
      </c>
    </row>
    <row r="101" spans="1:18" x14ac:dyDescent="0.25">
      <c r="A101" t="s">
        <v>39</v>
      </c>
      <c r="B101" s="5">
        <f>B38/(SUM(B8:B10))</f>
        <v>2.0871597929537486</v>
      </c>
      <c r="D101" s="5">
        <f>D38/(SUM(D8:D10))</f>
        <v>2.1433445530831117</v>
      </c>
      <c r="F101" s="5">
        <f>F38/(SUM(F8:F10))</f>
        <v>2.2010417643824574</v>
      </c>
      <c r="H101" s="5">
        <f>H38/(SUM(H8:H10))</f>
        <v>2.2602921408912575</v>
      </c>
      <c r="J101" s="5">
        <f>J38/(SUM(J8:J10))</f>
        <v>2.3211374926400752</v>
      </c>
      <c r="L101" s="5">
        <f>L38/(SUM(L8:L10))</f>
        <v>2.3836207551538156</v>
      </c>
      <c r="N101" s="5">
        <f>N38/(SUM(N8:N10))</f>
        <v>2.4477860197491825</v>
      </c>
      <c r="P101" s="5">
        <f>P38/(SUM(P8:P10))</f>
        <v>2.5136785646477149</v>
      </c>
      <c r="R101" s="5">
        <f>R38/(SUM(R8:R10))</f>
        <v>2.5813448869263671</v>
      </c>
    </row>
    <row r="102" spans="1:18" x14ac:dyDescent="0.25">
      <c r="B102" s="5"/>
      <c r="D102" s="5"/>
      <c r="F102" s="5"/>
      <c r="H102" s="5"/>
      <c r="J102" s="5"/>
      <c r="L102" s="5"/>
      <c r="N102" s="5"/>
      <c r="P102" s="5"/>
      <c r="R102" s="5"/>
    </row>
    <row r="103" spans="1:18" x14ac:dyDescent="0.25">
      <c r="A103" t="s">
        <v>88</v>
      </c>
      <c r="B103" s="5">
        <f>B95-((B98*$C$98)+(B99*$C$99)+(B100*$C$100)+$B$101)</f>
        <v>1.9502855234596757</v>
      </c>
      <c r="D103" s="5">
        <f>D95-((D98*$C$98)+(D99*$C$99)+(D100*$C$100)+$B$101)</f>
        <v>2.0714088829520776</v>
      </c>
      <c r="F103" s="5">
        <f>F95-((F98*$C$98)+(F99*$C$99)+(F100*$C$100)+$B$101)</f>
        <v>2.1961659432292535</v>
      </c>
      <c r="H103" s="5">
        <f>H95-((H98*$C$98)+(H99*$C$99)+(H100*$C$100)+$B$101)</f>
        <v>2.3246657153147439</v>
      </c>
      <c r="J103" s="5">
        <f>J95-((J98*$C$98)+(J99*$C$99)+(J100*$C$100)+$B$101)</f>
        <v>2.4570204805627984</v>
      </c>
      <c r="L103" s="5">
        <f>L95-((L98*$C$98)+(L99*$C$99)+(L100*$C$100)+$B$101)</f>
        <v>2.5933458887682947</v>
      </c>
      <c r="N103" s="5">
        <f>N95-((N98*$C$98)+(N99*$C$99)+(N100*$C$100)+$B$101)</f>
        <v>2.7337610592199564</v>
      </c>
      <c r="P103" s="5">
        <f>P95-((P98*$C$98)+(P99*$C$99)+(P100*$C$100)+$B$101)</f>
        <v>2.8783886847851683</v>
      </c>
      <c r="R103" s="5">
        <f>R95-((R98*$C$98)+(R99*$C$99)+(R100*$C$100)+$B$101)</f>
        <v>3.0273551391173346</v>
      </c>
    </row>
    <row r="104" spans="1:18" x14ac:dyDescent="0.25">
      <c r="B104" s="5"/>
      <c r="D104" s="5"/>
      <c r="F104" s="5"/>
      <c r="H104" s="5"/>
      <c r="J104" s="5"/>
      <c r="L104" s="5"/>
      <c r="N104" s="5"/>
      <c r="P104" s="5"/>
      <c r="R104" s="5"/>
    </row>
    <row r="105" spans="1:18" x14ac:dyDescent="0.25">
      <c r="A105" s="4" t="s">
        <v>40</v>
      </c>
    </row>
    <row r="106" spans="1:18" x14ac:dyDescent="0.25">
      <c r="A106" t="s">
        <v>87</v>
      </c>
      <c r="B106" s="14">
        <f>B39</f>
        <v>33930</v>
      </c>
      <c r="D106" s="14">
        <f>D39</f>
        <v>34947.9</v>
      </c>
      <c r="F106" s="14">
        <f>F39</f>
        <v>35996.337</v>
      </c>
      <c r="H106" s="14">
        <f>H39</f>
        <v>37076.22711</v>
      </c>
      <c r="J106" s="14">
        <f>J39</f>
        <v>38188.513923300001</v>
      </c>
      <c r="L106" s="14">
        <f>L39</f>
        <v>39334.169340999004</v>
      </c>
      <c r="N106" s="14">
        <f>N39</f>
        <v>40514.194421228975</v>
      </c>
      <c r="P106" s="14">
        <f>P39</f>
        <v>41729.620253865847</v>
      </c>
      <c r="R106" s="14">
        <f>R39</f>
        <v>33930</v>
      </c>
    </row>
    <row r="107" spans="1:18" x14ac:dyDescent="0.25">
      <c r="A107" t="s">
        <v>41</v>
      </c>
      <c r="B107" s="14">
        <f>B40</f>
        <v>1000</v>
      </c>
      <c r="D107" s="14">
        <f>D40</f>
        <v>1030</v>
      </c>
      <c r="F107" s="14">
        <f>F40</f>
        <v>1060.9000000000001</v>
      </c>
      <c r="H107" s="14">
        <f>H40</f>
        <v>1092.7270000000001</v>
      </c>
      <c r="J107" s="14">
        <f>J40</f>
        <v>1125.50881</v>
      </c>
      <c r="L107" s="14">
        <f>L40</f>
        <v>1159.2740742999999</v>
      </c>
      <c r="N107" s="14">
        <f>N40</f>
        <v>1194.0522965289999</v>
      </c>
      <c r="P107" s="14">
        <f>P40</f>
        <v>1229.87386542487</v>
      </c>
      <c r="R107" s="14">
        <f>R40</f>
        <v>1266.7700813876161</v>
      </c>
    </row>
    <row r="108" spans="1:18" x14ac:dyDescent="0.25">
      <c r="A108" t="s">
        <v>80</v>
      </c>
      <c r="B108" s="14">
        <f>B41</f>
        <v>0</v>
      </c>
      <c r="D108" s="14">
        <f>D41</f>
        <v>0</v>
      </c>
      <c r="F108" s="14">
        <f>F41</f>
        <v>0</v>
      </c>
      <c r="H108" s="14">
        <f>H41</f>
        <v>0</v>
      </c>
      <c r="J108" s="14">
        <f>J41</f>
        <v>0</v>
      </c>
      <c r="L108" s="14">
        <f>L41</f>
        <v>0</v>
      </c>
      <c r="N108" s="14">
        <f>N41</f>
        <v>0</v>
      </c>
      <c r="P108" s="14">
        <f>P41</f>
        <v>0</v>
      </c>
      <c r="R108" s="14">
        <f>R41</f>
        <v>0</v>
      </c>
    </row>
    <row r="109" spans="1:18" x14ac:dyDescent="0.25">
      <c r="A109" t="s">
        <v>64</v>
      </c>
      <c r="B109" s="14">
        <f>B45</f>
        <v>3000</v>
      </c>
      <c r="D109" s="14">
        <f>D45</f>
        <v>3000</v>
      </c>
      <c r="F109" s="14">
        <f>F45</f>
        <v>3000</v>
      </c>
      <c r="H109" s="14">
        <f>H45</f>
        <v>3600</v>
      </c>
      <c r="J109" s="14">
        <f>J45</f>
        <v>3600</v>
      </c>
      <c r="L109" s="14">
        <f>L45</f>
        <v>3600</v>
      </c>
      <c r="N109" s="14">
        <f>N45</f>
        <v>3600</v>
      </c>
      <c r="P109" s="14">
        <f>P45</f>
        <v>3600</v>
      </c>
      <c r="R109" s="14">
        <f>R45</f>
        <v>3600</v>
      </c>
    </row>
    <row r="110" spans="1:18" x14ac:dyDescent="0.25">
      <c r="A110" t="s">
        <v>42</v>
      </c>
      <c r="B110" s="14">
        <f>B51</f>
        <v>2.6456756756754749</v>
      </c>
      <c r="D110" s="14">
        <f>D51</f>
        <v>1011.574689340831</v>
      </c>
      <c r="F110" s="14">
        <f>F51</f>
        <v>3066.5121186728666</v>
      </c>
      <c r="H110" s="14">
        <f>H51</f>
        <v>6422.0577299207998</v>
      </c>
      <c r="J110" s="14">
        <f>J51</f>
        <v>11399.972037202047</v>
      </c>
      <c r="L110" s="14">
        <f>L51</f>
        <v>18022.86879520677</v>
      </c>
      <c r="N110" s="14">
        <f>N51</f>
        <v>27122.642666026455</v>
      </c>
      <c r="P110" s="14">
        <f>P51</f>
        <v>39251.807946208508</v>
      </c>
      <c r="R110" s="14">
        <f>R51</f>
        <v>55066.4580482741</v>
      </c>
    </row>
    <row r="112" spans="1:18" x14ac:dyDescent="0.25">
      <c r="A112" s="1" t="s">
        <v>43</v>
      </c>
      <c r="B112" s="36">
        <f>(SUM(B106:B110)/(B103))</f>
        <v>19449.790925169615</v>
      </c>
      <c r="D112" s="36">
        <f>(SUM(D106:D110)/(D103))</f>
        <v>19305.44713719179</v>
      </c>
      <c r="F112" s="36">
        <f>(SUM(F106:F110)/(F103))</f>
        <v>19635.924713076776</v>
      </c>
      <c r="H112" s="36">
        <f>(SUM(H106:H110)/(H103))</f>
        <v>20730.297488555712</v>
      </c>
      <c r="J112" s="36">
        <f>(SUM(J106:J110)/(J103))</f>
        <v>22105.633713749521</v>
      </c>
      <c r="L112" s="36">
        <f>(SUM(L106:L110)/(L103))</f>
        <v>23952.189516843748</v>
      </c>
      <c r="N112" s="36">
        <f>(SUM(N106:N110)/(N103))</f>
        <v>26494.959806198887</v>
      </c>
      <c r="P112" s="36">
        <f>(SUM(P106:P110)/(P103))</f>
        <v>29812.270496715017</v>
      </c>
      <c r="R112" s="36">
        <f>(SUM(R106:R110)/(R103))</f>
        <v>31005.027100001484</v>
      </c>
    </row>
    <row r="113" spans="1:22" x14ac:dyDescent="0.25">
      <c r="A113" t="s">
        <v>183</v>
      </c>
      <c r="B113" s="6">
        <f>B112/360</f>
        <v>54.027197014360041</v>
      </c>
      <c r="D113" s="6">
        <f>D112/360</f>
        <v>53.626242047754971</v>
      </c>
      <c r="F113" s="6">
        <f>F112/360</f>
        <v>54.544235314102153</v>
      </c>
      <c r="H113" s="6">
        <f>H112/360</f>
        <v>57.584159690432536</v>
      </c>
      <c r="J113" s="6">
        <f>J112/360</f>
        <v>61.40453809374867</v>
      </c>
      <c r="L113" s="6">
        <f>L112/360</f>
        <v>66.533859769010405</v>
      </c>
      <c r="N113" s="6">
        <f>N112/360</f>
        <v>73.597110572774682</v>
      </c>
      <c r="P113" s="6">
        <f>P112/360</f>
        <v>82.811862490875043</v>
      </c>
      <c r="R113" s="6">
        <f>R112/360</f>
        <v>86.125075277781903</v>
      </c>
    </row>
    <row r="114" spans="1:22" x14ac:dyDescent="0.25">
      <c r="A114" t="s">
        <v>184</v>
      </c>
      <c r="B114" s="6">
        <f>B112/52</f>
        <v>374.03444086864641</v>
      </c>
      <c r="C114" s="8"/>
      <c r="D114" s="6">
        <f>D112/52</f>
        <v>371.25859879214983</v>
      </c>
      <c r="F114" s="6">
        <f>F112/52</f>
        <v>377.61393678993801</v>
      </c>
      <c r="H114" s="6">
        <f>H112/52</f>
        <v>398.65956708760984</v>
      </c>
      <c r="J114" s="6">
        <f>J112/52</f>
        <v>425.10834064902923</v>
      </c>
      <c r="L114" s="6">
        <f>L112/52</f>
        <v>460.61902917007205</v>
      </c>
      <c r="N114" s="6">
        <f>N112/52</f>
        <v>509.51845781151707</v>
      </c>
      <c r="P114" s="6">
        <f>P112/52</f>
        <v>573.31289416759648</v>
      </c>
      <c r="R114" s="6">
        <f>R112/52</f>
        <v>596.25052115387473</v>
      </c>
    </row>
    <row r="115" spans="1:22" ht="15.75" thickBot="1" x14ac:dyDescent="0.3">
      <c r="A115" s="27"/>
      <c r="B115" s="28"/>
      <c r="C115" s="28"/>
      <c r="D115" s="28"/>
      <c r="E115" s="28"/>
      <c r="F115" s="28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</row>
    <row r="116" spans="1:22" ht="15.75" thickTop="1" x14ac:dyDescent="0.25">
      <c r="A116" s="9"/>
      <c r="B116" s="11"/>
      <c r="C116" s="11"/>
      <c r="D116" s="11"/>
      <c r="E116" s="11"/>
      <c r="F116" s="11"/>
      <c r="T116" s="15"/>
    </row>
    <row r="117" spans="1:22" ht="18.75" x14ac:dyDescent="0.3">
      <c r="A117" s="51" t="s">
        <v>65</v>
      </c>
      <c r="B117" s="54">
        <f>B24</f>
        <v>2013</v>
      </c>
      <c r="C117" s="54"/>
      <c r="D117" s="54">
        <f>D24</f>
        <v>2014</v>
      </c>
      <c r="E117" s="54"/>
      <c r="F117" s="54">
        <f>F24</f>
        <v>2015</v>
      </c>
      <c r="G117" s="54"/>
      <c r="H117" s="54">
        <f>H24</f>
        <v>2016</v>
      </c>
      <c r="I117" s="54"/>
      <c r="J117" s="54">
        <f>J24</f>
        <v>2017</v>
      </c>
      <c r="K117" s="54"/>
      <c r="L117" s="54">
        <f>L24</f>
        <v>2018</v>
      </c>
      <c r="M117" s="54"/>
      <c r="N117" s="54">
        <f>N24</f>
        <v>2019</v>
      </c>
      <c r="O117" s="54"/>
      <c r="P117" s="54">
        <f>P24</f>
        <v>2020</v>
      </c>
      <c r="Q117" s="54"/>
      <c r="R117" s="54">
        <f>R24</f>
        <v>2021</v>
      </c>
    </row>
    <row r="118" spans="1:22" x14ac:dyDescent="0.25">
      <c r="A118" s="41"/>
      <c r="B118" s="42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</row>
    <row r="119" spans="1:22" x14ac:dyDescent="0.25">
      <c r="A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T119" s="44" t="s">
        <v>66</v>
      </c>
    </row>
    <row r="120" spans="1:22" x14ac:dyDescent="0.25">
      <c r="A120" s="42" t="s">
        <v>67</v>
      </c>
      <c r="B120" s="47">
        <f>B71/B78</f>
        <v>3.9437936447425566</v>
      </c>
      <c r="C120" s="47"/>
      <c r="D120" s="47">
        <f>D71/D78</f>
        <v>6.3650609028129015</v>
      </c>
      <c r="E120" s="47"/>
      <c r="F120" s="47">
        <f>F71/F78</f>
        <v>10.979784898596353</v>
      </c>
      <c r="G120" s="47"/>
      <c r="H120" s="47">
        <f>H71/H78</f>
        <v>18.606055803156039</v>
      </c>
      <c r="I120" s="47"/>
      <c r="J120" s="47">
        <f>J71/J78</f>
        <v>27.661685289193944</v>
      </c>
      <c r="K120" s="47"/>
      <c r="L120" s="47">
        <f>L71/L78</f>
        <v>38.567557641968563</v>
      </c>
      <c r="M120" s="47"/>
      <c r="N120" s="47">
        <f>N71/N78</f>
        <v>52.393791066945411</v>
      </c>
      <c r="O120" s="47"/>
      <c r="P120" s="47">
        <f>P71/P78</f>
        <v>69.449957218474864</v>
      </c>
      <c r="Q120" s="47"/>
      <c r="R120" s="47">
        <f>R71/R78</f>
        <v>91.338539461114053</v>
      </c>
      <c r="T120" s="47">
        <f t="shared" ref="T120:T127" si="33">AVERAGE(B120:R120)</f>
        <v>35.478469547444973</v>
      </c>
    </row>
    <row r="121" spans="1:22" x14ac:dyDescent="0.25">
      <c r="A121" s="42" t="s">
        <v>68</v>
      </c>
      <c r="B121" s="47">
        <f>(B64+B65+B66)/(B75+B76)</f>
        <v>0.58412726057900843</v>
      </c>
      <c r="C121" s="47"/>
      <c r="D121" s="47">
        <f>(D64+D65+D66)/(D75+D76)</f>
        <v>3.7864892831894617</v>
      </c>
      <c r="E121" s="47"/>
      <c r="F121" s="47">
        <f>(F64+F65+F66)/(F75+F76)</f>
        <v>9.0952200827625784</v>
      </c>
      <c r="G121" s="47"/>
      <c r="H121" s="47">
        <f>(H64+H65+H66)/(H75+H76)</f>
        <v>17.408756480568346</v>
      </c>
      <c r="I121" s="47"/>
      <c r="J121" s="47">
        <f>(J64+J65+J66)/(J75+J76)</f>
        <v>27.261685289193945</v>
      </c>
      <c r="K121" s="47"/>
      <c r="L121" s="47">
        <f>(L64+L65+L66)/(L75+L76)</f>
        <v>38.914599745792955</v>
      </c>
      <c r="M121" s="47"/>
      <c r="N121" s="47">
        <f>(N64+N65+N66)/(N75+N76)</f>
        <v>53.44001957331831</v>
      </c>
      <c r="O121" s="47"/>
      <c r="P121" s="47">
        <f>(P64+P65+P66)/(P75+P76)</f>
        <v>71.149815662133548</v>
      </c>
      <c r="Q121" s="47"/>
      <c r="R121" s="47">
        <f>(R64+R65+R66)/(R75+R76)</f>
        <v>93.648672419725187</v>
      </c>
      <c r="T121" s="47">
        <f t="shared" si="33"/>
        <v>35.032153977473705</v>
      </c>
    </row>
    <row r="122" spans="1:22" x14ac:dyDescent="0.25">
      <c r="A122" s="42" t="s">
        <v>69</v>
      </c>
      <c r="B122" s="47">
        <f>(B75+B76)/(B82)</f>
        <v>2.1013082982673077</v>
      </c>
      <c r="C122" s="47"/>
      <c r="D122" s="47">
        <f>(D75+D76)/(D82)</f>
        <v>1.1195310880362013</v>
      </c>
      <c r="E122" s="47"/>
      <c r="F122" s="47">
        <f>(F75+F76)/(F82)</f>
        <v>0.84919560085744461</v>
      </c>
      <c r="G122" s="47"/>
      <c r="H122" s="47">
        <f>(H75+H76)/(H82)</f>
        <v>0.93472433877116889</v>
      </c>
      <c r="I122" s="47"/>
      <c r="J122" s="47">
        <f>(J75+J76)/(J82)</f>
        <v>4.9666750502226469</v>
      </c>
      <c r="K122" s="47"/>
      <c r="L122" s="47">
        <f>(L75+L76)/(L82)</f>
        <v>-0.66310016467248389</v>
      </c>
      <c r="M122" s="47"/>
      <c r="N122" s="47">
        <f>(N75+N76)/(N82)</f>
        <v>-0.23065504274779147</v>
      </c>
      <c r="O122" s="47"/>
      <c r="P122" s="47">
        <f>(P75+P76)/(P82)</f>
        <v>-0.11633437330233835</v>
      </c>
      <c r="Q122" s="47"/>
      <c r="R122" s="47">
        <f>(R75+R76)/(R82)</f>
        <v>-7.4649871486032499E-2</v>
      </c>
      <c r="T122" s="47">
        <f t="shared" si="33"/>
        <v>0.98741054710512466</v>
      </c>
    </row>
    <row r="123" spans="1:22" x14ac:dyDescent="0.25">
      <c r="A123" s="42" t="s">
        <v>10</v>
      </c>
      <c r="B123" s="47">
        <f>B66/(B29/360)</f>
        <v>5.2809153586621687</v>
      </c>
      <c r="C123" s="47"/>
      <c r="D123" s="47">
        <f>D66/(D29/360)</f>
        <v>9.5349860642511359</v>
      </c>
      <c r="E123" s="47"/>
      <c r="F123" s="47">
        <f>F66/(F29/360)</f>
        <v>9.5349860642511377</v>
      </c>
      <c r="G123" s="47"/>
      <c r="H123" s="47">
        <f>H66/(H29/360)</f>
        <v>9.5349860642511377</v>
      </c>
      <c r="I123" s="47"/>
      <c r="J123" s="47">
        <f>J66/(J29/360)</f>
        <v>9.5349860642511359</v>
      </c>
      <c r="K123" s="47"/>
      <c r="L123" s="47">
        <f>L66/(L29/360)</f>
        <v>9.5349860642511377</v>
      </c>
      <c r="M123" s="47"/>
      <c r="N123" s="47">
        <f>N66/(N29/360)</f>
        <v>9.5349860642511395</v>
      </c>
      <c r="O123" s="47"/>
      <c r="P123" s="47">
        <f>P66/(P29/360)</f>
        <v>9.5349860642511395</v>
      </c>
      <c r="Q123" s="47"/>
      <c r="R123" s="47">
        <f>R66/(R29/360)</f>
        <v>9.5349860642511377</v>
      </c>
      <c r="T123" s="47">
        <f t="shared" si="33"/>
        <v>9.0623115414079187</v>
      </c>
    </row>
    <row r="124" spans="1:22" x14ac:dyDescent="0.25">
      <c r="A124" s="42" t="s">
        <v>70</v>
      </c>
      <c r="B124" s="47">
        <f>(B75+B76)/(B35/360)</f>
        <v>34.971155089931635</v>
      </c>
      <c r="C124" s="47"/>
      <c r="D124" s="47">
        <f>(D75+D76)/(D35/360)</f>
        <v>34.354051951863639</v>
      </c>
      <c r="E124" s="47"/>
      <c r="F124" s="47">
        <f>(F75+F76)/(F35/360)</f>
        <v>32.59156539179736</v>
      </c>
      <c r="G124" s="47"/>
      <c r="H124" s="47">
        <f>(H75+H76)/(H35/360)</f>
        <v>30</v>
      </c>
      <c r="I124" s="47"/>
      <c r="J124" s="47">
        <f>(J75+J76)/(J35/360)</f>
        <v>30</v>
      </c>
      <c r="K124" s="47"/>
      <c r="L124" s="47">
        <f>(L75+L76)/(L35/360)</f>
        <v>30</v>
      </c>
      <c r="M124" s="47"/>
      <c r="N124" s="47">
        <f>(N75+N76)/(N35/360)</f>
        <v>30</v>
      </c>
      <c r="O124" s="47"/>
      <c r="P124" s="47">
        <f>(P75+P76)/(P35/360)</f>
        <v>30</v>
      </c>
      <c r="Q124" s="47"/>
      <c r="R124" s="47">
        <f>(R75+R76)/(R35/360)</f>
        <v>30</v>
      </c>
      <c r="T124" s="47">
        <f t="shared" si="33"/>
        <v>31.324085825954739</v>
      </c>
    </row>
    <row r="125" spans="1:22" x14ac:dyDescent="0.25">
      <c r="A125" s="42" t="s">
        <v>71</v>
      </c>
      <c r="B125" s="47">
        <f>B35/B67</f>
        <v>30</v>
      </c>
      <c r="C125" s="47"/>
      <c r="D125" s="47">
        <f>D35/D67</f>
        <v>30</v>
      </c>
      <c r="E125" s="47"/>
      <c r="F125" s="47">
        <f>F35/F67</f>
        <v>29.999999999999996</v>
      </c>
      <c r="G125" s="47"/>
      <c r="H125" s="47">
        <f>H35/H67</f>
        <v>30.000000000000004</v>
      </c>
      <c r="I125" s="47"/>
      <c r="J125" s="47">
        <f>J35/J67</f>
        <v>30</v>
      </c>
      <c r="K125" s="47"/>
      <c r="L125" s="47">
        <f>L35/L67</f>
        <v>29.999999999999996</v>
      </c>
      <c r="M125" s="47"/>
      <c r="N125" s="47">
        <f>N35/N67</f>
        <v>29.999999999999996</v>
      </c>
      <c r="O125" s="47"/>
      <c r="P125" s="47">
        <f>P35/P67</f>
        <v>30</v>
      </c>
      <c r="Q125" s="47"/>
      <c r="R125" s="47">
        <f>R35/R67</f>
        <v>30</v>
      </c>
      <c r="T125" s="47">
        <f t="shared" si="33"/>
        <v>30</v>
      </c>
    </row>
    <row r="126" spans="1:22" x14ac:dyDescent="0.25">
      <c r="A126" s="42" t="s">
        <v>72</v>
      </c>
      <c r="B126" s="48">
        <f>B58/B71</f>
        <v>0.12066909110695792</v>
      </c>
      <c r="C126" s="48"/>
      <c r="D126" s="48">
        <f>D58/D71</f>
        <v>6.66616354520847E-2</v>
      </c>
      <c r="E126" s="48"/>
      <c r="F126" s="48">
        <f>F58/F71</f>
        <v>2.4245213252249553E-2</v>
      </c>
      <c r="G126" s="48"/>
      <c r="H126" s="48">
        <f>H58/H71</f>
        <v>-9.056226414494821E-3</v>
      </c>
      <c r="I126" s="48"/>
      <c r="J126" s="48">
        <f>J58/J71</f>
        <v>-3.0158150542714347E-2</v>
      </c>
      <c r="K126" s="48"/>
      <c r="L126" s="48">
        <f>L58/L71</f>
        <v>-4.4155264919517698E-2</v>
      </c>
      <c r="M126" s="48"/>
      <c r="N126" s="48">
        <f>N58/N71</f>
        <v>-5.4886549351463775E-2</v>
      </c>
      <c r="O126" s="48"/>
      <c r="P126" s="48">
        <f>P58/P71</f>
        <v>-6.3344877269893532E-2</v>
      </c>
      <c r="Q126" s="48"/>
      <c r="R126" s="48">
        <f>R58/R71</f>
        <v>-5.5565665871092615E-2</v>
      </c>
      <c r="S126" s="48"/>
      <c r="T126" s="48">
        <f t="shared" si="33"/>
        <v>-5.0656438397649606E-3</v>
      </c>
    </row>
    <row r="127" spans="1:22" x14ac:dyDescent="0.25">
      <c r="A127" s="42" t="s">
        <v>73</v>
      </c>
      <c r="B127" s="48">
        <f>B58/(B82)</f>
        <v>1</v>
      </c>
      <c r="C127" s="48"/>
      <c r="D127" s="48">
        <f>D58/(D82)</f>
        <v>0.47502305201358802</v>
      </c>
      <c r="E127" s="48"/>
      <c r="F127" s="48">
        <f>F58/(F82)</f>
        <v>0.22606200551615097</v>
      </c>
      <c r="G127" s="48"/>
      <c r="H127" s="48">
        <f>H58/(H82)</f>
        <v>-0.15750166242453958</v>
      </c>
      <c r="I127" s="48"/>
      <c r="J127" s="48">
        <f>J58/(J82)</f>
        <v>-4.1433258308838434</v>
      </c>
      <c r="K127" s="48"/>
      <c r="L127" s="48">
        <f>L58/(L82)</f>
        <v>1.1292335371649385</v>
      </c>
      <c r="M127" s="48"/>
      <c r="N127" s="48">
        <f>N58/(N82)</f>
        <v>0.66329802765627577</v>
      </c>
      <c r="O127" s="48"/>
      <c r="P127" s="48">
        <f>P58/(P82)</f>
        <v>0.51178969404291175</v>
      </c>
      <c r="Q127" s="48"/>
      <c r="R127" s="48">
        <f>R58/(R82)</f>
        <v>0.3788695047508045</v>
      </c>
      <c r="S127" s="48"/>
      <c r="T127" s="48">
        <f t="shared" si="33"/>
        <v>9.2720364262540711E-3</v>
      </c>
    </row>
    <row r="128" spans="1:22" x14ac:dyDescent="0.25">
      <c r="A128" s="42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T128" s="45"/>
    </row>
    <row r="129" spans="1:22" x14ac:dyDescent="0.25">
      <c r="A129" s="42" t="s">
        <v>74</v>
      </c>
      <c r="B129" s="48">
        <f>B132*B133*B134</f>
        <v>1</v>
      </c>
      <c r="C129" s="48"/>
      <c r="D129" s="48">
        <f>D132*D133*D134</f>
        <v>0.47502305201358802</v>
      </c>
      <c r="E129" s="48"/>
      <c r="F129" s="48">
        <f>F132*F133*F134</f>
        <v>0.22606200551615094</v>
      </c>
      <c r="G129" s="48"/>
      <c r="H129" s="48">
        <f>H132*H133*H134</f>
        <v>-0.15750166242453956</v>
      </c>
      <c r="I129" s="48"/>
      <c r="J129" s="48">
        <f t="shared" ref="J129:R129" si="34">J132*J133*J134</f>
        <v>-4.1433258308838434</v>
      </c>
      <c r="K129" s="48"/>
      <c r="L129" s="48">
        <f t="shared" si="34"/>
        <v>1.1292335371649385</v>
      </c>
      <c r="M129" s="48"/>
      <c r="N129" s="48">
        <f t="shared" si="34"/>
        <v>0.66329802765627566</v>
      </c>
      <c r="O129" s="48"/>
      <c r="P129" s="48">
        <f t="shared" si="34"/>
        <v>0.51178969404291175</v>
      </c>
      <c r="Q129" s="48"/>
      <c r="R129" s="48">
        <f t="shared" si="34"/>
        <v>0.37886950475080455</v>
      </c>
      <c r="S129" s="48"/>
      <c r="T129" s="48">
        <f>AVERAGE(B129:R129)</f>
        <v>9.2720364262540156E-3</v>
      </c>
    </row>
    <row r="130" spans="1:22" x14ac:dyDescent="0.25">
      <c r="A130" s="42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T130" s="45"/>
    </row>
    <row r="131" spans="1:22" ht="15.75" x14ac:dyDescent="0.25">
      <c r="A131" s="49" t="s">
        <v>75</v>
      </c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T131" s="45"/>
    </row>
    <row r="132" spans="1:22" x14ac:dyDescent="0.25">
      <c r="A132" s="42" t="s">
        <v>76</v>
      </c>
      <c r="B132" s="47">
        <f>B58/B29</f>
        <v>1.8899687483067619E-2</v>
      </c>
      <c r="C132" s="47"/>
      <c r="D132" s="47">
        <f>D58/D29</f>
        <v>1.6553541317174028E-2</v>
      </c>
      <c r="E132" s="47"/>
      <c r="F132" s="47">
        <f>F58/F29</f>
        <v>9.8527958011419368E-3</v>
      </c>
      <c r="G132" s="47"/>
      <c r="H132" s="47">
        <f>H58/H29</f>
        <v>-5.7405997395976512E-3</v>
      </c>
      <c r="I132" s="47"/>
      <c r="J132" s="47">
        <f>J58/J29</f>
        <v>-2.8420977892832513E-2</v>
      </c>
      <c r="K132" s="47"/>
      <c r="L132" s="47">
        <f>L58/L29</f>
        <v>-5.8017673286810033E-2</v>
      </c>
      <c r="M132" s="47"/>
      <c r="N132" s="47">
        <f>N58/N29</f>
        <v>-9.7971876876660063E-2</v>
      </c>
      <c r="O132" s="47"/>
      <c r="P132" s="47">
        <f>P58/P29</f>
        <v>-0.14987843775886572</v>
      </c>
      <c r="Q132" s="47"/>
      <c r="R132" s="47">
        <f>R58/R29</f>
        <v>-0.17290846761213935</v>
      </c>
      <c r="S132" s="47"/>
      <c r="T132" s="47">
        <f>AVERAGE(B132:R132)</f>
        <v>-5.1959112062835745E-2</v>
      </c>
    </row>
    <row r="133" spans="1:22" x14ac:dyDescent="0.25">
      <c r="A133" s="42" t="s">
        <v>77</v>
      </c>
      <c r="B133" s="47">
        <f>B71/B82</f>
        <v>8.2871263123514058</v>
      </c>
      <c r="C133" s="47"/>
      <c r="D133" s="47">
        <f>D71/D82</f>
        <v>7.1258835579428128</v>
      </c>
      <c r="E133" s="47"/>
      <c r="F133" s="47">
        <f>F71/F82</f>
        <v>9.3239850342490254</v>
      </c>
      <c r="G133" s="47"/>
      <c r="H133" s="47">
        <f>H71/H82</f>
        <v>17.391533207744498</v>
      </c>
      <c r="I133" s="47"/>
      <c r="J133" s="47">
        <f>J71/J82</f>
        <v>137.38660217295038</v>
      </c>
      <c r="K133" s="47"/>
      <c r="L133" s="47">
        <f>L71/L82</f>
        <v>-25.57415382340487</v>
      </c>
      <c r="M133" s="47"/>
      <c r="N133" s="47">
        <f>N71/N82</f>
        <v>-12.084892118265151</v>
      </c>
      <c r="O133" s="47"/>
      <c r="P133" s="47">
        <f>P71/P82</f>
        <v>-8.0794172488854823</v>
      </c>
      <c r="Q133" s="47"/>
      <c r="R133" s="47">
        <f>R71/R82</f>
        <v>-6.8184102324940721</v>
      </c>
      <c r="S133" s="47"/>
      <c r="T133" s="47">
        <f>AVERAGE(B133:R133)</f>
        <v>14.106472984687619</v>
      </c>
    </row>
    <row r="134" spans="1:22" x14ac:dyDescent="0.25">
      <c r="A134" s="42" t="s">
        <v>78</v>
      </c>
      <c r="B134" s="47">
        <f>B29/B71</f>
        <v>6.3847135681511302</v>
      </c>
      <c r="C134" s="47"/>
      <c r="D134" s="47">
        <f>D29/D71</f>
        <v>4.0270316891603333</v>
      </c>
      <c r="E134" s="47"/>
      <c r="F134" s="47">
        <f>F29/F71</f>
        <v>2.4607445177580494</v>
      </c>
      <c r="G134" s="47"/>
      <c r="H134" s="47">
        <f>H29/H71</f>
        <v>1.577574961728573</v>
      </c>
      <c r="I134" s="47"/>
      <c r="J134" s="47">
        <f>J29/J71</f>
        <v>1.0611229021194211</v>
      </c>
      <c r="K134" s="47"/>
      <c r="L134" s="47">
        <f>L29/L71</f>
        <v>0.7610657652752878</v>
      </c>
      <c r="M134" s="47"/>
      <c r="N134" s="47">
        <f>N29/N71</f>
        <v>0.56022759899314989</v>
      </c>
      <c r="O134" s="47"/>
      <c r="P134" s="47">
        <f>P29/P71</f>
        <v>0.42264169694513987</v>
      </c>
      <c r="Q134" s="47"/>
      <c r="R134" s="47">
        <f>R29/R71</f>
        <v>0.32135884747839571</v>
      </c>
      <c r="S134" s="47"/>
      <c r="T134" s="47">
        <f>AVERAGE(B134:R134)</f>
        <v>1.9529423941788311</v>
      </c>
    </row>
    <row r="136" spans="1:22" ht="15.75" thickBot="1" x14ac:dyDescent="0.3">
      <c r="A136" s="27"/>
      <c r="B136" s="28"/>
      <c r="C136" s="28"/>
      <c r="D136" s="28"/>
      <c r="E136" s="28"/>
      <c r="F136" s="28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30"/>
      <c r="U136" s="29"/>
      <c r="V136" s="29"/>
    </row>
    <row r="137" spans="1:22" ht="15.75" thickTop="1" x14ac:dyDescent="0.25"/>
    <row r="138" spans="1:22" ht="15.75" x14ac:dyDescent="0.25">
      <c r="A138" s="51" t="s">
        <v>132</v>
      </c>
    </row>
    <row r="140" spans="1:22" x14ac:dyDescent="0.25">
      <c r="A140" s="42" t="s">
        <v>180</v>
      </c>
      <c r="B140">
        <v>0.85</v>
      </c>
    </row>
    <row r="141" spans="1:22" x14ac:dyDescent="0.25">
      <c r="A141" s="42" t="s">
        <v>133</v>
      </c>
      <c r="B141" s="56">
        <v>1.7899999999999999E-2</v>
      </c>
    </row>
    <row r="142" spans="1:22" x14ac:dyDescent="0.25">
      <c r="A142" s="42" t="s">
        <v>134</v>
      </c>
      <c r="B142" s="56">
        <v>0.1</v>
      </c>
    </row>
    <row r="143" spans="1:22" x14ac:dyDescent="0.25">
      <c r="A143" s="42"/>
    </row>
    <row r="144" spans="1:22" x14ac:dyDescent="0.25">
      <c r="A144" s="42" t="s">
        <v>27</v>
      </c>
      <c r="B144" s="18">
        <f>T56</f>
        <v>0.23</v>
      </c>
    </row>
    <row r="145" spans="1:4" x14ac:dyDescent="0.25">
      <c r="A145" s="43"/>
      <c r="D145" s="4" t="s">
        <v>143</v>
      </c>
    </row>
    <row r="146" spans="1:4" x14ac:dyDescent="0.25">
      <c r="A146" s="42" t="s">
        <v>135</v>
      </c>
      <c r="B146" s="5">
        <f>Mortgage!C3</f>
        <v>64000</v>
      </c>
      <c r="D146" s="17">
        <f>B146/(B146+B148)</f>
        <v>0.99944912120228335</v>
      </c>
    </row>
    <row r="147" spans="1:4" x14ac:dyDescent="0.25">
      <c r="A147" s="42" t="s">
        <v>136</v>
      </c>
      <c r="B147" s="84">
        <f>Mortgage!$C$4</f>
        <v>0.08</v>
      </c>
    </row>
    <row r="148" spans="1:4" x14ac:dyDescent="0.25">
      <c r="A148" s="42" t="s">
        <v>137</v>
      </c>
      <c r="B148" s="14">
        <f>B80</f>
        <v>35.275675675673</v>
      </c>
      <c r="D148" s="128">
        <f>B148/(B146+B148)</f>
        <v>5.5087879771668967E-4</v>
      </c>
    </row>
    <row r="149" spans="1:4" x14ac:dyDescent="0.25">
      <c r="A149" s="42" t="s">
        <v>138</v>
      </c>
      <c r="B149" s="85">
        <f>$T$51</f>
        <v>7.4999999999999997E-2</v>
      </c>
    </row>
    <row r="151" spans="1:4" x14ac:dyDescent="0.25">
      <c r="A151" s="43" t="s">
        <v>139</v>
      </c>
      <c r="B151" s="86">
        <f>(D146*B147)+(D148*B149)</f>
        <v>7.999724560601143E-2</v>
      </c>
    </row>
    <row r="152" spans="1:4" x14ac:dyDescent="0.25">
      <c r="A152" s="42"/>
    </row>
    <row r="153" spans="1:4" x14ac:dyDescent="0.25">
      <c r="A153" s="43" t="s">
        <v>140</v>
      </c>
      <c r="B153" s="87">
        <f>B141+B140*(B142-B141)</f>
        <v>8.7684999999999999E-2</v>
      </c>
      <c r="D153" s="131" t="s">
        <v>148</v>
      </c>
    </row>
    <row r="154" spans="1:4" x14ac:dyDescent="0.25">
      <c r="A154" s="42"/>
      <c r="D154" s="132"/>
    </row>
    <row r="155" spans="1:4" x14ac:dyDescent="0.25">
      <c r="A155" s="43" t="s">
        <v>141</v>
      </c>
      <c r="B155" s="17">
        <v>0.8</v>
      </c>
      <c r="D155" s="57">
        <v>0.99</v>
      </c>
    </row>
    <row r="156" spans="1:4" x14ac:dyDescent="0.25">
      <c r="A156" s="43"/>
      <c r="D156" s="57"/>
    </row>
    <row r="157" spans="1:4" x14ac:dyDescent="0.25">
      <c r="A157" s="43" t="s">
        <v>142</v>
      </c>
      <c r="B157" s="17">
        <v>0.2</v>
      </c>
      <c r="D157" s="57">
        <f>1-D155</f>
        <v>1.0000000000000009E-2</v>
      </c>
    </row>
    <row r="158" spans="1:4" x14ac:dyDescent="0.25">
      <c r="A158" s="42"/>
    </row>
    <row r="159" spans="1:4" x14ac:dyDescent="0.25">
      <c r="A159" s="43" t="s">
        <v>132</v>
      </c>
      <c r="B159" s="87">
        <f>((B155*B151)*(1-B144))+(B157*B153)</f>
        <v>6.6815303293303041E-2</v>
      </c>
    </row>
    <row r="160" spans="1:4" ht="15.75" thickBot="1" x14ac:dyDescent="0.3">
      <c r="A160" s="27"/>
      <c r="B160" s="28"/>
      <c r="C160" s="28"/>
      <c r="D160" s="28"/>
    </row>
    <row r="161" spans="1:22" ht="15.75" thickTop="1" x14ac:dyDescent="0.25">
      <c r="A161" s="43"/>
      <c r="B161" s="123"/>
    </row>
    <row r="162" spans="1:22" ht="15.75" x14ac:dyDescent="0.25">
      <c r="A162" s="51" t="s">
        <v>147</v>
      </c>
    </row>
    <row r="164" spans="1:22" x14ac:dyDescent="0.25">
      <c r="A164" s="122" t="s">
        <v>144</v>
      </c>
      <c r="B164" s="90">
        <f>B140/(1+(1-B144)*(B155/B157))</f>
        <v>0.20833333333333331</v>
      </c>
    </row>
    <row r="165" spans="1:22" x14ac:dyDescent="0.25">
      <c r="A165" s="122"/>
      <c r="B165" s="89"/>
    </row>
    <row r="166" spans="1:22" x14ac:dyDescent="0.25">
      <c r="A166" s="122" t="s">
        <v>145</v>
      </c>
      <c r="B166" s="90">
        <f>(1+(1-B144)*(D155/D157))*B164</f>
        <v>16.089583333333319</v>
      </c>
    </row>
    <row r="167" spans="1:22" x14ac:dyDescent="0.25">
      <c r="A167" s="122"/>
      <c r="B167" s="91"/>
    </row>
    <row r="168" spans="1:22" x14ac:dyDescent="0.25">
      <c r="A168" s="122" t="s">
        <v>146</v>
      </c>
      <c r="B168" s="92">
        <f>(B166*(B142-B141)+B141)</f>
        <v>1.3388547916666655</v>
      </c>
    </row>
    <row r="169" spans="1:22" x14ac:dyDescent="0.25">
      <c r="A169" s="89"/>
      <c r="B169" s="89"/>
    </row>
    <row r="170" spans="1:22" x14ac:dyDescent="0.25">
      <c r="A170" s="88" t="s">
        <v>147</v>
      </c>
      <c r="B170" s="92">
        <f>((D155*B151)*(1-B144)+(D157*B168))</f>
        <v>7.4370448242129183E-2</v>
      </c>
    </row>
    <row r="173" spans="1:22" ht="15.75" thickBot="1" x14ac:dyDescent="0.3">
      <c r="A173" s="27"/>
      <c r="B173" s="28"/>
      <c r="C173" s="28"/>
      <c r="D173" s="28"/>
      <c r="E173" s="28"/>
      <c r="F173" s="28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30"/>
      <c r="U173" s="29"/>
      <c r="V173" s="29"/>
    </row>
    <row r="174" spans="1:22" ht="15.75" thickTop="1" x14ac:dyDescent="0.25"/>
    <row r="175" spans="1:22" ht="15.75" x14ac:dyDescent="0.25">
      <c r="A175" s="51" t="s">
        <v>152</v>
      </c>
    </row>
    <row r="177" spans="1:24" x14ac:dyDescent="0.25">
      <c r="A177" s="97" t="s">
        <v>153</v>
      </c>
      <c r="B177" s="98"/>
      <c r="C177" s="99"/>
      <c r="D177" s="43">
        <v>2013</v>
      </c>
      <c r="F177" s="43">
        <v>2014</v>
      </c>
      <c r="G177" s="43"/>
      <c r="H177" s="43">
        <v>2015</v>
      </c>
      <c r="I177" s="43"/>
      <c r="J177" s="43">
        <v>2016</v>
      </c>
      <c r="K177" s="43"/>
      <c r="L177" s="43">
        <v>2017</v>
      </c>
      <c r="M177" s="43"/>
      <c r="N177" s="43">
        <v>2018</v>
      </c>
      <c r="O177" s="43"/>
      <c r="P177" s="43">
        <v>2019</v>
      </c>
      <c r="Q177" s="43"/>
      <c r="R177" s="43">
        <v>2020</v>
      </c>
      <c r="S177" s="43"/>
      <c r="T177" s="43">
        <v>2021</v>
      </c>
      <c r="U177" s="43"/>
      <c r="V177" s="42"/>
      <c r="W177" s="42"/>
      <c r="X177" s="42"/>
    </row>
    <row r="178" spans="1:24" x14ac:dyDescent="0.25">
      <c r="A178" s="97" t="s">
        <v>154</v>
      </c>
      <c r="B178" s="98"/>
      <c r="C178" s="100">
        <v>0</v>
      </c>
      <c r="D178" s="100">
        <v>1</v>
      </c>
      <c r="F178" s="100">
        <v>2</v>
      </c>
      <c r="G178" s="102"/>
      <c r="H178" s="100">
        <v>3</v>
      </c>
      <c r="I178" s="102"/>
      <c r="J178" s="100">
        <v>4</v>
      </c>
      <c r="K178" s="102"/>
      <c r="L178" s="100">
        <v>5</v>
      </c>
      <c r="M178" s="102"/>
      <c r="N178" s="100">
        <v>6</v>
      </c>
      <c r="O178" s="102"/>
      <c r="P178" s="100">
        <v>7</v>
      </c>
      <c r="Q178" s="102"/>
      <c r="R178" s="100">
        <v>8</v>
      </c>
      <c r="S178" s="102"/>
      <c r="T178" s="100">
        <v>9</v>
      </c>
      <c r="U178" s="102"/>
      <c r="V178" s="42"/>
      <c r="W178" s="42"/>
      <c r="X178" s="42"/>
    </row>
    <row r="179" spans="1:24" x14ac:dyDescent="0.25">
      <c r="A179" s="101" t="s">
        <v>155</v>
      </c>
      <c r="B179" s="98"/>
      <c r="C179" s="102"/>
      <c r="D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42"/>
      <c r="W179" s="42"/>
    </row>
    <row r="180" spans="1:24" x14ac:dyDescent="0.25">
      <c r="A180" s="42" t="s">
        <v>156</v>
      </c>
      <c r="C180" s="103">
        <v>0</v>
      </c>
      <c r="D180" s="104">
        <f>B49-B52</f>
        <v>-881.58800000000338</v>
      </c>
      <c r="F180" s="104">
        <f>D49-D52</f>
        <v>-254.77704691997496</v>
      </c>
      <c r="G180" s="115"/>
      <c r="H180" s="104">
        <f>F49-F52</f>
        <v>400.85390719740826</v>
      </c>
      <c r="I180" s="115"/>
      <c r="J180" s="104">
        <f>H49-H52</f>
        <v>486.49532396339055</v>
      </c>
      <c r="K180" s="118"/>
      <c r="L180" s="104">
        <f>J49-J52</f>
        <v>1203.3841449259635</v>
      </c>
      <c r="M180" s="115"/>
      <c r="N180" s="104">
        <f>L49-L52</f>
        <v>1952.8055421681638</v>
      </c>
      <c r="O180" s="118"/>
      <c r="P180" s="104">
        <f>N49-N52</f>
        <v>2736.0947332103387</v>
      </c>
      <c r="Q180" s="115"/>
      <c r="R180" s="104">
        <f>P49-P52</f>
        <v>3554.6388625361433</v>
      </c>
      <c r="S180" s="118"/>
      <c r="T180" s="104">
        <f>R49-R52</f>
        <v>13461.38781362561</v>
      </c>
      <c r="U180" s="115"/>
      <c r="V180" s="42"/>
      <c r="W180" s="108">
        <v>0.23</v>
      </c>
      <c r="X180" s="42" t="s">
        <v>27</v>
      </c>
    </row>
    <row r="181" spans="1:24" x14ac:dyDescent="0.25">
      <c r="A181" s="42" t="s">
        <v>157</v>
      </c>
      <c r="C181" s="103">
        <v>0</v>
      </c>
      <c r="D181" s="103">
        <f>IF(D180&lt;0,0,D180*$T$56)</f>
        <v>0</v>
      </c>
      <c r="F181" s="103">
        <f>IF(F180&lt;0,0,F180*$T$56)</f>
        <v>0</v>
      </c>
      <c r="G181" s="116"/>
      <c r="H181" s="103">
        <f>IF(H180&lt;0,0,H180*$T$56)</f>
        <v>92.196398655403911</v>
      </c>
      <c r="I181" s="116"/>
      <c r="J181" s="103">
        <f>IF(J180&lt;0,0,J180*$T$56)</f>
        <v>111.89392451157983</v>
      </c>
      <c r="K181" s="116"/>
      <c r="L181" s="103">
        <f>IF(L180&lt;0,0,L180*$T$56)</f>
        <v>276.77835333297162</v>
      </c>
      <c r="M181" s="116"/>
      <c r="N181" s="103">
        <f>IF(N180&lt;0,0,N180*$T$56)</f>
        <v>449.14527469867772</v>
      </c>
      <c r="O181" s="116"/>
      <c r="P181" s="103">
        <f>IF(P180&lt;0,0,P180*$T$56)</f>
        <v>629.30178863837796</v>
      </c>
      <c r="Q181" s="116"/>
      <c r="R181" s="103">
        <f>IF(R180&lt;0,0,R180*$T$56)</f>
        <v>817.56693838331296</v>
      </c>
      <c r="S181" s="116"/>
      <c r="T181" s="103">
        <f>IF(T180&lt;0,0,T180*$T$56)</f>
        <v>3096.1191971338903</v>
      </c>
      <c r="U181" s="116"/>
      <c r="V181" s="42"/>
      <c r="W181" s="42"/>
      <c r="X181" s="42"/>
    </row>
    <row r="182" spans="1:24" x14ac:dyDescent="0.25">
      <c r="A182" s="42" t="s">
        <v>158</v>
      </c>
      <c r="C182" s="105">
        <v>0</v>
      </c>
      <c r="D182" s="106">
        <f>B52</f>
        <v>4900</v>
      </c>
      <c r="F182" s="106">
        <f>D52</f>
        <v>4900</v>
      </c>
      <c r="G182" s="115"/>
      <c r="H182" s="106">
        <f>F52</f>
        <v>4900</v>
      </c>
      <c r="I182" s="115"/>
      <c r="J182" s="106">
        <f>H52</f>
        <v>4900</v>
      </c>
      <c r="K182" s="115"/>
      <c r="L182" s="106">
        <f>J52</f>
        <v>4900</v>
      </c>
      <c r="M182" s="115"/>
      <c r="N182" s="106">
        <f>L52</f>
        <v>4900</v>
      </c>
      <c r="O182" s="115"/>
      <c r="P182" s="106">
        <f>N52</f>
        <v>4900</v>
      </c>
      <c r="Q182" s="115"/>
      <c r="R182" s="106">
        <f>P52</f>
        <v>4900</v>
      </c>
      <c r="S182" s="115"/>
      <c r="T182" s="106">
        <f>R52</f>
        <v>4900</v>
      </c>
      <c r="U182" s="115"/>
      <c r="V182" s="42"/>
      <c r="W182" s="42"/>
      <c r="X182" s="42"/>
    </row>
    <row r="183" spans="1:24" x14ac:dyDescent="0.25">
      <c r="A183" s="43" t="s">
        <v>159</v>
      </c>
      <c r="C183" s="103">
        <v>0</v>
      </c>
      <c r="D183" s="104">
        <f>D180-D181+D182</f>
        <v>4018.4119999999966</v>
      </c>
      <c r="F183" s="104">
        <f>F180-F181+F182</f>
        <v>4645.222953080025</v>
      </c>
      <c r="G183" s="115"/>
      <c r="H183" s="104">
        <f>H180-H181+H182</f>
        <v>5208.6575085420045</v>
      </c>
      <c r="I183" s="115"/>
      <c r="J183" s="104">
        <f>J180-J181+J182</f>
        <v>5274.6013994518107</v>
      </c>
      <c r="K183" s="115"/>
      <c r="L183" s="104">
        <f t="shared" ref="L183:T183" si="35">L180-L181+L182</f>
        <v>5826.6057915929923</v>
      </c>
      <c r="M183" s="115"/>
      <c r="N183" s="104">
        <f t="shared" si="35"/>
        <v>6403.6602674694859</v>
      </c>
      <c r="O183" s="115"/>
      <c r="P183" s="104">
        <f t="shared" si="35"/>
        <v>7006.792944571961</v>
      </c>
      <c r="Q183" s="115"/>
      <c r="R183" s="104">
        <f>R180-R181+R182</f>
        <v>7637.0719241528304</v>
      </c>
      <c r="S183" s="115"/>
      <c r="T183" s="104">
        <f t="shared" si="35"/>
        <v>15265.26861649172</v>
      </c>
      <c r="U183" s="115"/>
      <c r="V183" s="42"/>
      <c r="W183" s="42"/>
      <c r="X183" s="42"/>
    </row>
    <row r="184" spans="1:24" x14ac:dyDescent="0.25">
      <c r="A184" s="42"/>
      <c r="B184" s="42"/>
      <c r="C184" s="103"/>
      <c r="D184" s="104"/>
      <c r="F184" s="104"/>
      <c r="G184" s="115"/>
      <c r="H184" s="104"/>
      <c r="I184" s="115"/>
      <c r="J184" s="104"/>
      <c r="K184" s="115"/>
      <c r="L184" s="104"/>
      <c r="M184" s="115"/>
      <c r="N184" s="104"/>
      <c r="O184" s="115"/>
      <c r="P184" s="104"/>
      <c r="Q184" s="115"/>
      <c r="R184" s="104"/>
      <c r="S184" s="115"/>
      <c r="T184" s="104"/>
      <c r="U184" s="115"/>
      <c r="V184" s="42"/>
      <c r="W184" s="42"/>
      <c r="X184" s="42"/>
    </row>
    <row r="185" spans="1:24" x14ac:dyDescent="0.25">
      <c r="A185" s="43" t="s">
        <v>160</v>
      </c>
      <c r="B185" s="42"/>
      <c r="C185" s="103"/>
      <c r="D185" s="104"/>
      <c r="F185" s="104"/>
      <c r="G185" s="115"/>
      <c r="H185" s="104"/>
      <c r="I185" s="115"/>
      <c r="J185" s="104"/>
      <c r="K185" s="115"/>
      <c r="L185" s="104"/>
      <c r="M185" s="115"/>
      <c r="N185" s="104"/>
      <c r="O185" s="115"/>
      <c r="P185" s="104"/>
      <c r="Q185" s="115"/>
      <c r="R185" s="104"/>
      <c r="S185" s="115"/>
      <c r="T185" s="104"/>
      <c r="U185" s="115"/>
      <c r="V185" s="42"/>
      <c r="W185" s="42"/>
      <c r="X185" s="42"/>
    </row>
    <row r="186" spans="1:24" x14ac:dyDescent="0.25">
      <c r="A186" s="42" t="s">
        <v>179</v>
      </c>
      <c r="C186" s="103">
        <f>-B68</f>
        <v>-24500</v>
      </c>
      <c r="D186" s="103">
        <v>0</v>
      </c>
      <c r="F186" s="103">
        <v>0</v>
      </c>
      <c r="G186" s="116"/>
      <c r="H186" s="103">
        <v>0</v>
      </c>
      <c r="I186" s="116"/>
      <c r="J186" s="103">
        <f>X186*X187</f>
        <v>0</v>
      </c>
      <c r="K186" s="116"/>
      <c r="L186" s="103">
        <f>-J68</f>
        <v>-24500</v>
      </c>
      <c r="M186" s="116"/>
      <c r="N186" s="103">
        <f t="shared" ref="N186" si="36">Z186*Z188</f>
        <v>0</v>
      </c>
      <c r="O186" s="116"/>
      <c r="P186" s="103">
        <v>0</v>
      </c>
      <c r="Q186" s="116"/>
      <c r="R186" s="103">
        <f t="shared" ref="R186" si="37">AB186*AB188</f>
        <v>0</v>
      </c>
      <c r="S186" s="116"/>
      <c r="T186" s="103">
        <v>0</v>
      </c>
      <c r="U186" s="116"/>
      <c r="V186" s="42"/>
      <c r="W186" s="42" t="s">
        <v>161</v>
      </c>
      <c r="X186" s="103">
        <f>K127-K128</f>
        <v>0</v>
      </c>
    </row>
    <row r="187" spans="1:24" x14ac:dyDescent="0.25">
      <c r="A187" s="42" t="s">
        <v>178</v>
      </c>
      <c r="C187" s="103">
        <v>0</v>
      </c>
      <c r="D187" s="103">
        <v>0</v>
      </c>
      <c r="F187" s="103">
        <v>0</v>
      </c>
      <c r="G187" s="116"/>
      <c r="H187" s="103">
        <v>0</v>
      </c>
      <c r="I187" s="116"/>
      <c r="J187" s="103">
        <v>0</v>
      </c>
      <c r="K187" s="116"/>
      <c r="L187" s="103">
        <f>-L186*X187</f>
        <v>7350</v>
      </c>
      <c r="M187" s="116"/>
      <c r="N187" s="103">
        <v>0</v>
      </c>
      <c r="O187" s="116"/>
      <c r="P187" s="103">
        <v>0</v>
      </c>
      <c r="Q187" s="116"/>
      <c r="R187" s="103">
        <v>0</v>
      </c>
      <c r="S187" s="116"/>
      <c r="T187" s="103">
        <v>0</v>
      </c>
      <c r="U187" s="116"/>
      <c r="V187" s="42"/>
      <c r="W187" s="42" t="s">
        <v>163</v>
      </c>
      <c r="X187" s="108">
        <v>0.3</v>
      </c>
    </row>
    <row r="188" spans="1:24" x14ac:dyDescent="0.25">
      <c r="A188" s="42" t="s">
        <v>162</v>
      </c>
      <c r="C188" s="103">
        <v>0</v>
      </c>
      <c r="D188" s="103">
        <v>0</v>
      </c>
      <c r="F188" s="103">
        <v>0</v>
      </c>
      <c r="G188" s="116"/>
      <c r="H188" s="103">
        <v>0</v>
      </c>
      <c r="I188" s="116"/>
      <c r="J188" s="107">
        <f>-M117*(J186-X186)</f>
        <v>0</v>
      </c>
      <c r="K188" s="119"/>
      <c r="L188" s="103">
        <f>-(L187*$T$56)</f>
        <v>-1690.5</v>
      </c>
      <c r="M188" s="116"/>
      <c r="N188" s="107">
        <f>-O117*(N186-Z186)</f>
        <v>0</v>
      </c>
      <c r="O188" s="119"/>
      <c r="P188" s="103">
        <v>0</v>
      </c>
      <c r="Q188" s="116"/>
      <c r="R188" s="107">
        <f>-Q117*(R186-AB186)</f>
        <v>0</v>
      </c>
      <c r="S188" s="119"/>
      <c r="T188" s="103">
        <v>0</v>
      </c>
      <c r="U188" s="116"/>
      <c r="V188" s="42"/>
    </row>
    <row r="189" spans="1:24" x14ac:dyDescent="0.25">
      <c r="A189" s="42"/>
      <c r="B189" s="42"/>
      <c r="C189" s="103"/>
      <c r="D189" s="103"/>
      <c r="F189" s="103"/>
      <c r="G189" s="116"/>
      <c r="H189" s="103"/>
      <c r="I189" s="116"/>
      <c r="J189" s="107"/>
      <c r="K189" s="119"/>
      <c r="L189" s="103"/>
      <c r="M189" s="116"/>
      <c r="N189" s="107"/>
      <c r="O189" s="119"/>
      <c r="P189" s="103"/>
      <c r="Q189" s="116"/>
      <c r="R189" s="107"/>
      <c r="S189" s="119"/>
      <c r="T189" s="103"/>
      <c r="U189" s="116"/>
      <c r="V189" s="42"/>
      <c r="W189" s="42"/>
      <c r="X189" s="108"/>
    </row>
    <row r="190" spans="1:24" x14ac:dyDescent="0.25">
      <c r="A190" s="43" t="s">
        <v>164</v>
      </c>
      <c r="B190" s="42"/>
      <c r="C190" s="103"/>
      <c r="D190" s="42"/>
      <c r="F190" s="42"/>
      <c r="G190" s="117"/>
      <c r="H190" s="42"/>
      <c r="I190" s="117"/>
      <c r="J190" s="42"/>
      <c r="K190" s="117"/>
      <c r="L190" s="42"/>
      <c r="M190" s="117"/>
      <c r="N190" s="42"/>
      <c r="O190" s="117"/>
      <c r="P190" s="42"/>
      <c r="Q190" s="117"/>
      <c r="R190" s="42"/>
      <c r="S190" s="117"/>
      <c r="T190" s="42"/>
      <c r="U190" s="117"/>
      <c r="V190" s="42"/>
      <c r="W190" s="42"/>
      <c r="X190" s="42"/>
    </row>
    <row r="191" spans="1:24" x14ac:dyDescent="0.25">
      <c r="A191" s="109" t="s">
        <v>170</v>
      </c>
      <c r="C191" s="103">
        <v>0</v>
      </c>
      <c r="D191" s="103">
        <f>C191-B66</f>
        <v>-2400</v>
      </c>
      <c r="F191" s="103">
        <f>B66-D66</f>
        <v>-2076.7233333333334</v>
      </c>
      <c r="G191" s="116"/>
      <c r="H191" s="103">
        <f>D66-F66</f>
        <v>-148.1347751000003</v>
      </c>
      <c r="I191" s="116"/>
      <c r="J191" s="103">
        <f>F66-H66</f>
        <v>-153.03655480805901</v>
      </c>
      <c r="K191" s="116"/>
      <c r="L191" s="103">
        <f>H66-J66</f>
        <v>-158.10053440665706</v>
      </c>
      <c r="M191" s="116"/>
      <c r="N191" s="103">
        <f>J66-L66</f>
        <v>-163.33208109017414</v>
      </c>
      <c r="O191" s="116"/>
      <c r="P191" s="103">
        <f>L66-N66</f>
        <v>-168.73673965344824</v>
      </c>
      <c r="Q191" s="116"/>
      <c r="R191" s="103">
        <f>N66-P66</f>
        <v>-174.32023836858116</v>
      </c>
      <c r="S191" s="116"/>
      <c r="T191" s="103">
        <f>P66-R66</f>
        <v>-180.08849505619582</v>
      </c>
      <c r="U191" s="116"/>
      <c r="V191" s="42"/>
      <c r="W191" s="42"/>
      <c r="X191" s="42"/>
    </row>
    <row r="192" spans="1:24" x14ac:dyDescent="0.25">
      <c r="A192" s="109" t="s">
        <v>171</v>
      </c>
      <c r="C192" s="103">
        <v>0</v>
      </c>
      <c r="D192" s="103">
        <f>C192-B67</f>
        <v>-2229.5653333333335</v>
      </c>
      <c r="F192" s="103">
        <f>B67-D67</f>
        <v>-73.77631687999974</v>
      </c>
      <c r="G192" s="116"/>
      <c r="H192" s="103">
        <f>D67-F67</f>
        <v>-76.217575205559569</v>
      </c>
      <c r="I192" s="116"/>
      <c r="J192" s="103">
        <f>F67-H67</f>
        <v>-78.739614769110176</v>
      </c>
      <c r="K192" s="116"/>
      <c r="L192" s="103">
        <f>H67-J67</f>
        <v>-81.345108621821964</v>
      </c>
      <c r="M192" s="116"/>
      <c r="N192" s="103">
        <f>J67-L67</f>
        <v>-84.036818266116825</v>
      </c>
      <c r="O192" s="116"/>
      <c r="P192" s="103">
        <f>L67-N67</f>
        <v>-86.817596582543047</v>
      </c>
      <c r="Q192" s="116"/>
      <c r="R192" s="103">
        <f>N67-P67</f>
        <v>-89.690390853459121</v>
      </c>
      <c r="S192" s="116"/>
      <c r="T192" s="103">
        <f>P67-R67</f>
        <v>-92.658245886800159</v>
      </c>
      <c r="U192" s="116"/>
      <c r="V192" s="42"/>
      <c r="W192" s="42"/>
      <c r="X192" s="42"/>
    </row>
    <row r="193" spans="1:24" x14ac:dyDescent="0.25">
      <c r="A193" s="109" t="s">
        <v>173</v>
      </c>
      <c r="C193" s="103">
        <v>0</v>
      </c>
      <c r="D193" s="103">
        <f>B75-C193</f>
        <v>5573.9133333333339</v>
      </c>
      <c r="F193" s="103">
        <f>D75-B75</f>
        <v>184.44079219999912</v>
      </c>
      <c r="G193" s="116"/>
      <c r="H193" s="103">
        <f>F75-D75</f>
        <v>190.5439380138987</v>
      </c>
      <c r="I193" s="116"/>
      <c r="J193" s="103">
        <f>H75-F75</f>
        <v>196.84903692277658</v>
      </c>
      <c r="K193" s="116"/>
      <c r="L193" s="103">
        <f>J75-H75</f>
        <v>203.36277155455355</v>
      </c>
      <c r="M193" s="116"/>
      <c r="N193" s="103">
        <f>L75-J75</f>
        <v>210.09204566529206</v>
      </c>
      <c r="O193" s="116"/>
      <c r="P193" s="103">
        <f>N75-L75</f>
        <v>217.04399145635762</v>
      </c>
      <c r="Q193" s="116"/>
      <c r="R193" s="103">
        <f>P75-N75</f>
        <v>224.22597713364758</v>
      </c>
      <c r="S193" s="116"/>
      <c r="T193" s="103">
        <f>R75-P75</f>
        <v>231.64561471700108</v>
      </c>
      <c r="U193" s="116"/>
      <c r="V193" s="42"/>
      <c r="W193" s="42"/>
      <c r="X193" s="42"/>
    </row>
    <row r="194" spans="1:24" x14ac:dyDescent="0.25">
      <c r="A194" s="109" t="s">
        <v>172</v>
      </c>
      <c r="C194" s="103">
        <v>0</v>
      </c>
      <c r="D194" s="103">
        <f>D181-C194</f>
        <v>0</v>
      </c>
      <c r="F194" s="103">
        <f>F181-D181</f>
        <v>0</v>
      </c>
      <c r="G194" s="116"/>
      <c r="H194" s="103">
        <f>H181-F181</f>
        <v>92.196398655403911</v>
      </c>
      <c r="I194" s="116"/>
      <c r="J194" s="103">
        <f>J181-H181</f>
        <v>19.697525856175915</v>
      </c>
      <c r="K194" s="116"/>
      <c r="L194" s="103">
        <f>L181-J181</f>
        <v>164.88442882139179</v>
      </c>
      <c r="M194" s="116"/>
      <c r="N194" s="103">
        <f>N181-L181</f>
        <v>172.36692136570611</v>
      </c>
      <c r="O194" s="116"/>
      <c r="P194" s="103">
        <f>P181-N181</f>
        <v>180.15651393970023</v>
      </c>
      <c r="Q194" s="116"/>
      <c r="R194" s="103">
        <f>R181-P181</f>
        <v>188.265149744935</v>
      </c>
      <c r="S194" s="116"/>
      <c r="T194" s="103">
        <f>T181-R181</f>
        <v>2278.5522587505775</v>
      </c>
      <c r="U194" s="116"/>
      <c r="V194" s="42"/>
      <c r="W194" s="42"/>
      <c r="X194" s="42"/>
    </row>
    <row r="195" spans="1:24" x14ac:dyDescent="0.25">
      <c r="A195" s="109"/>
      <c r="B195" s="42"/>
      <c r="C195" s="103"/>
      <c r="D195" s="103"/>
      <c r="F195" s="103"/>
      <c r="G195" s="116"/>
      <c r="H195" s="103"/>
      <c r="I195" s="116"/>
      <c r="J195" s="103"/>
      <c r="K195" s="116"/>
      <c r="L195" s="103"/>
      <c r="M195" s="116"/>
      <c r="N195" s="103"/>
      <c r="O195" s="116"/>
      <c r="P195" s="103"/>
      <c r="Q195" s="116"/>
      <c r="R195" s="103"/>
      <c r="S195" s="116"/>
      <c r="T195" s="103"/>
      <c r="U195" s="116"/>
      <c r="V195" s="42"/>
      <c r="W195" s="42"/>
      <c r="X195" s="42"/>
    </row>
    <row r="196" spans="1:24" x14ac:dyDescent="0.25">
      <c r="A196" s="110" t="s">
        <v>165</v>
      </c>
      <c r="B196" s="42"/>
      <c r="C196" s="103"/>
      <c r="D196" s="103"/>
      <c r="F196" s="103"/>
      <c r="G196" s="116"/>
      <c r="H196" s="103"/>
      <c r="I196" s="116"/>
      <c r="J196" s="103"/>
      <c r="K196" s="116"/>
      <c r="L196" s="103"/>
      <c r="M196" s="116"/>
      <c r="N196" s="103"/>
      <c r="O196" s="116"/>
      <c r="P196" s="103"/>
      <c r="Q196" s="116"/>
      <c r="R196" s="103"/>
      <c r="S196" s="116"/>
      <c r="T196" s="103"/>
      <c r="U196" s="116"/>
      <c r="V196" s="42"/>
      <c r="W196" s="42"/>
      <c r="X196" s="42"/>
    </row>
    <row r="197" spans="1:24" x14ac:dyDescent="0.25">
      <c r="A197" s="109" t="s">
        <v>174</v>
      </c>
      <c r="C197" s="103">
        <v>0</v>
      </c>
      <c r="D197" s="103">
        <v>0</v>
      </c>
      <c r="F197" s="103">
        <v>0</v>
      </c>
      <c r="G197" s="116"/>
      <c r="H197" s="103">
        <v>0</v>
      </c>
      <c r="I197" s="116"/>
      <c r="J197" s="103">
        <f>K123</f>
        <v>0</v>
      </c>
      <c r="K197" s="116"/>
      <c r="L197" s="103">
        <v>0</v>
      </c>
      <c r="M197" s="116"/>
      <c r="N197" s="103">
        <f>M123</f>
        <v>0</v>
      </c>
      <c r="O197" s="116"/>
      <c r="P197" s="103">
        <v>0</v>
      </c>
      <c r="Q197" s="116"/>
      <c r="R197" s="103">
        <f>O123</f>
        <v>0</v>
      </c>
      <c r="S197" s="116"/>
      <c r="T197" s="103">
        <f>R66</f>
        <v>5622.4727518164491</v>
      </c>
      <c r="U197" s="116"/>
      <c r="V197" s="42"/>
      <c r="W197" s="42"/>
      <c r="X197" s="42"/>
    </row>
    <row r="198" spans="1:24" x14ac:dyDescent="0.25">
      <c r="A198" s="109" t="s">
        <v>175</v>
      </c>
      <c r="C198" s="103">
        <v>0</v>
      </c>
      <c r="D198" s="103">
        <v>0</v>
      </c>
      <c r="F198" s="103">
        <v>0</v>
      </c>
      <c r="G198" s="116"/>
      <c r="H198" s="103">
        <v>0</v>
      </c>
      <c r="I198" s="116"/>
      <c r="J198" s="103">
        <f>K124</f>
        <v>0</v>
      </c>
      <c r="K198" s="116"/>
      <c r="L198" s="103">
        <v>0</v>
      </c>
      <c r="M198" s="116"/>
      <c r="N198" s="103">
        <f>M124</f>
        <v>0</v>
      </c>
      <c r="O198" s="116"/>
      <c r="P198" s="103">
        <v>0</v>
      </c>
      <c r="Q198" s="116"/>
      <c r="R198" s="103">
        <f>O124</f>
        <v>0</v>
      </c>
      <c r="S198" s="116"/>
      <c r="T198" s="103">
        <f>R67</f>
        <v>2892.8470003987441</v>
      </c>
      <c r="U198" s="116"/>
      <c r="V198" s="42"/>
      <c r="W198" s="42"/>
      <c r="X198" s="42"/>
    </row>
    <row r="199" spans="1:24" x14ac:dyDescent="0.25">
      <c r="A199" s="109" t="s">
        <v>176</v>
      </c>
      <c r="C199" s="103">
        <v>0</v>
      </c>
      <c r="D199" s="103">
        <v>0</v>
      </c>
      <c r="F199" s="103">
        <v>0</v>
      </c>
      <c r="G199" s="116"/>
      <c r="H199" s="103">
        <v>0</v>
      </c>
      <c r="I199" s="116"/>
      <c r="J199" s="103">
        <f>-K132</f>
        <v>0</v>
      </c>
      <c r="K199" s="116"/>
      <c r="L199" s="103">
        <v>0</v>
      </c>
      <c r="M199" s="116"/>
      <c r="N199" s="103">
        <f>-M132</f>
        <v>0</v>
      </c>
      <c r="O199" s="116"/>
      <c r="P199" s="103">
        <v>0</v>
      </c>
      <c r="Q199" s="116"/>
      <c r="R199" s="103">
        <f>-O132</f>
        <v>0</v>
      </c>
      <c r="S199" s="116"/>
      <c r="T199" s="103">
        <f>-R75</f>
        <v>-7232.1175009968601</v>
      </c>
      <c r="U199" s="116"/>
      <c r="V199" s="42"/>
      <c r="W199" s="42"/>
      <c r="X199" s="42"/>
    </row>
    <row r="200" spans="1:24" x14ac:dyDescent="0.25">
      <c r="A200" s="109" t="s">
        <v>177</v>
      </c>
      <c r="C200" s="103">
        <v>0</v>
      </c>
      <c r="D200" s="103">
        <v>0</v>
      </c>
      <c r="F200" s="103">
        <v>0</v>
      </c>
      <c r="G200" s="116"/>
      <c r="H200" s="103">
        <v>0</v>
      </c>
      <c r="I200" s="116"/>
      <c r="J200" s="103">
        <v>0</v>
      </c>
      <c r="K200" s="116"/>
      <c r="L200" s="103">
        <v>0</v>
      </c>
      <c r="M200" s="116"/>
      <c r="N200" s="103">
        <v>0</v>
      </c>
      <c r="O200" s="116"/>
      <c r="P200" s="103">
        <v>0</v>
      </c>
      <c r="Q200" s="116"/>
      <c r="R200" s="103">
        <v>0</v>
      </c>
      <c r="S200" s="116"/>
      <c r="T200" s="103">
        <f>-T181</f>
        <v>-3096.1191971338903</v>
      </c>
      <c r="U200" s="116"/>
      <c r="V200" s="42"/>
      <c r="W200" s="42"/>
      <c r="X200" s="42"/>
    </row>
    <row r="201" spans="1:24" x14ac:dyDescent="0.25">
      <c r="A201" s="42"/>
      <c r="B201" s="42"/>
      <c r="C201" s="42"/>
      <c r="D201" s="42"/>
      <c r="F201" s="42"/>
      <c r="G201" s="117"/>
      <c r="H201" s="42"/>
      <c r="I201" s="117"/>
      <c r="J201" s="42"/>
      <c r="K201" s="117"/>
      <c r="L201" s="42"/>
      <c r="M201" s="117"/>
      <c r="N201" s="42"/>
      <c r="O201" s="117"/>
      <c r="P201" s="42"/>
      <c r="Q201" s="117"/>
      <c r="R201" s="42"/>
      <c r="S201" s="117"/>
      <c r="T201" s="42"/>
      <c r="U201" s="117"/>
      <c r="V201" s="42"/>
      <c r="W201" s="42"/>
      <c r="X201" s="42"/>
    </row>
    <row r="202" spans="1:24" ht="15.75" thickBot="1" x14ac:dyDescent="0.3">
      <c r="A202" s="42"/>
      <c r="B202" s="43" t="s">
        <v>166</v>
      </c>
      <c r="C202" s="111">
        <f>SUM(C183:C201)</f>
        <v>-24500</v>
      </c>
      <c r="D202" s="111">
        <f>SUM(D183:D201)</f>
        <v>4962.7599999999966</v>
      </c>
      <c r="F202" s="111">
        <f>SUM(F183:F201)</f>
        <v>2679.1640950666911</v>
      </c>
      <c r="G202" s="116"/>
      <c r="H202" s="111">
        <f t="shared" ref="H202" si="38">SUM(H183:H201)</f>
        <v>5267.0454949057466</v>
      </c>
      <c r="I202" s="116"/>
      <c r="J202" s="111">
        <f>SUM(J183:J201)</f>
        <v>5259.3717926535937</v>
      </c>
      <c r="K202" s="116"/>
      <c r="L202" s="111">
        <f>SUM(L183:L201)</f>
        <v>-12885.092651059544</v>
      </c>
      <c r="M202" s="116"/>
      <c r="N202" s="111">
        <f>SUM(N183:N201)</f>
        <v>6538.7503351441928</v>
      </c>
      <c r="O202" s="116"/>
      <c r="P202" s="111">
        <f>SUM(P183:P201)</f>
        <v>7148.4391137320272</v>
      </c>
      <c r="Q202" s="116"/>
      <c r="R202" s="111">
        <f>SUM(R183:R201)</f>
        <v>7785.5524218093733</v>
      </c>
      <c r="S202" s="116"/>
      <c r="T202" s="111">
        <f>SUM(T183:T201)</f>
        <v>15689.802803100747</v>
      </c>
      <c r="U202" s="116"/>
      <c r="V202" s="42"/>
      <c r="W202" s="42"/>
      <c r="X202" s="42"/>
    </row>
    <row r="203" spans="1:24" ht="15.75" thickTop="1" x14ac:dyDescent="0.25">
      <c r="A203" s="42"/>
      <c r="B203" s="43"/>
      <c r="C203" s="42"/>
      <c r="D203" s="42"/>
      <c r="F203" s="42"/>
      <c r="G203" s="117"/>
      <c r="H203" s="42"/>
      <c r="I203" s="117"/>
      <c r="J203" s="42"/>
      <c r="K203" s="42"/>
      <c r="L203" s="42"/>
      <c r="M203" s="117"/>
      <c r="N203" s="42"/>
      <c r="O203" s="117"/>
      <c r="P203" s="42"/>
      <c r="Q203" s="117"/>
      <c r="R203" s="42"/>
      <c r="S203" s="117"/>
      <c r="T203" s="42"/>
      <c r="U203" s="117"/>
      <c r="V203" s="42"/>
      <c r="W203" s="42"/>
      <c r="X203" s="42"/>
    </row>
    <row r="204" spans="1:24" x14ac:dyDescent="0.25">
      <c r="A204" s="42"/>
      <c r="B204" s="43" t="s">
        <v>167</v>
      </c>
      <c r="C204" s="121">
        <f>-PV($B$159,C178,0,C202)</f>
        <v>-24500</v>
      </c>
      <c r="D204" s="121">
        <f>-PV($B$159,D178,0,D202)</f>
        <v>4651.9392669750341</v>
      </c>
      <c r="F204" s="121">
        <f>-PV($B$159,F178,0,F202)</f>
        <v>2354.0779555827594</v>
      </c>
      <c r="G204" s="112"/>
      <c r="H204" s="121">
        <f>-PV($B$159,H178,0,H202)</f>
        <v>4338.0980007968319</v>
      </c>
      <c r="I204" s="112"/>
      <c r="J204" s="121">
        <f>-PV($B$159,J178,0,J202)</f>
        <v>4060.475786310546</v>
      </c>
      <c r="K204" s="112"/>
      <c r="L204" s="121">
        <f>-PV($B$159,L178,0,L202)</f>
        <v>-9324.8394046157973</v>
      </c>
      <c r="M204" s="112"/>
      <c r="N204" s="121">
        <f>-PV($B$159,N178,0,N202)</f>
        <v>4435.6710733317123</v>
      </c>
      <c r="O204" s="112"/>
      <c r="P204" s="121">
        <f>-PV($B$159,P178,0,P202)</f>
        <v>4545.5513037662104</v>
      </c>
      <c r="Q204" s="120"/>
      <c r="R204" s="121">
        <f>-PV($B$159,R178,0,R202)</f>
        <v>4640.6149807065658</v>
      </c>
      <c r="S204" s="120"/>
      <c r="T204" s="121">
        <f>-PV($B$159,T178,0,T202)</f>
        <v>8766.2601081500561</v>
      </c>
      <c r="U204" s="120"/>
      <c r="V204" s="42"/>
      <c r="W204" s="42"/>
      <c r="X204" s="42"/>
    </row>
    <row r="205" spans="1:24" x14ac:dyDescent="0.25">
      <c r="A205" s="42"/>
      <c r="B205" s="43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39"/>
      <c r="U205" s="39"/>
    </row>
    <row r="206" spans="1:24" x14ac:dyDescent="0.25">
      <c r="A206" s="42"/>
      <c r="B206" s="43" t="s">
        <v>168</v>
      </c>
      <c r="C206" s="113">
        <f>SUM(C204:T204)</f>
        <v>3967.8490710039159</v>
      </c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U206" s="39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</row>
    <row r="208" spans="1:24" x14ac:dyDescent="0.25">
      <c r="A208" s="42"/>
      <c r="B208" s="43" t="s">
        <v>169</v>
      </c>
      <c r="C208" s="114">
        <f>IRR(C202:T202,B159)</f>
        <v>9.5251773535361961E-2</v>
      </c>
      <c r="D208" s="42"/>
      <c r="E208" s="42"/>
      <c r="F208" s="42"/>
      <c r="G208" s="42"/>
      <c r="H208" s="42"/>
      <c r="I208" s="42"/>
      <c r="J208" s="42"/>
      <c r="K208" s="42"/>
      <c r="L208" s="42"/>
    </row>
    <row r="209" spans="1:15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</row>
  </sheetData>
  <mergeCells count="6">
    <mergeCell ref="D1:F1"/>
    <mergeCell ref="D153:D154"/>
    <mergeCell ref="D3:F3"/>
    <mergeCell ref="D2:F2"/>
    <mergeCell ref="D5:F5"/>
    <mergeCell ref="D4:F4"/>
  </mergeCells>
  <pageMargins left="0.7" right="0.7" top="0.75" bottom="0.75" header="0.3" footer="0.3"/>
  <pageSetup scale="36" fitToHeight="0" orientation="landscape" horizontalDpi="4294967293" verticalDpi="0" r:id="rId1"/>
  <rowBreaks count="2" manualBreakCount="2">
    <brk id="22" max="16383" man="1"/>
    <brk id="87" max="16383" man="1"/>
  </rowBreaks>
  <ignoredErrors>
    <ignoredError sqref="B128 B135:I135 B130:B131 E129 G129" evalError="1"/>
    <ignoredError sqref="B101 T42" formulaRange="1"/>
    <ignoredError sqref="C91:C93 C95:C10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0"/>
  <sheetViews>
    <sheetView zoomScaleNormal="100" workbookViewId="0">
      <selection activeCell="C5" sqref="C5"/>
    </sheetView>
  </sheetViews>
  <sheetFormatPr defaultRowHeight="15" x14ac:dyDescent="0.25"/>
  <cols>
    <col min="1" max="1" width="4" bestFit="1" customWidth="1"/>
    <col min="2" max="2" width="13.28515625" bestFit="1" customWidth="1"/>
    <col min="3" max="3" width="12.28515625" bestFit="1" customWidth="1"/>
    <col min="5" max="5" width="15.28515625" bestFit="1" customWidth="1"/>
    <col min="6" max="6" width="13.7109375" bestFit="1" customWidth="1"/>
    <col min="7" max="7" width="2.28515625" customWidth="1"/>
    <col min="8" max="8" width="16.85546875" bestFit="1" customWidth="1"/>
    <col min="10" max="10" width="11.5703125" bestFit="1" customWidth="1"/>
  </cols>
  <sheetData>
    <row r="1" spans="1:8" ht="15.75" x14ac:dyDescent="0.25">
      <c r="C1" s="133"/>
      <c r="D1" s="133"/>
      <c r="E1" s="133"/>
    </row>
    <row r="2" spans="1:8" ht="15.75" thickBot="1" x14ac:dyDescent="0.3"/>
    <row r="3" spans="1:8" ht="15.75" thickBot="1" x14ac:dyDescent="0.3">
      <c r="B3" s="62" t="s">
        <v>107</v>
      </c>
      <c r="C3" s="63">
        <v>64000</v>
      </c>
      <c r="E3" s="64" t="s">
        <v>108</v>
      </c>
      <c r="F3" s="65">
        <v>0</v>
      </c>
      <c r="H3" s="14"/>
    </row>
    <row r="4" spans="1:8" x14ac:dyDescent="0.25">
      <c r="B4" s="66" t="s">
        <v>109</v>
      </c>
      <c r="C4" s="67">
        <v>0.08</v>
      </c>
      <c r="H4" s="14"/>
    </row>
    <row r="5" spans="1:8" ht="15.75" thickBot="1" x14ac:dyDescent="0.3">
      <c r="B5" s="68" t="s">
        <v>110</v>
      </c>
      <c r="C5" s="69">
        <v>96</v>
      </c>
      <c r="H5" s="14"/>
    </row>
    <row r="6" spans="1:8" ht="15.75" thickBot="1" x14ac:dyDescent="0.3"/>
    <row r="7" spans="1:8" ht="15.75" thickBot="1" x14ac:dyDescent="0.3">
      <c r="B7" s="70" t="s">
        <v>111</v>
      </c>
      <c r="C7" s="70" t="s">
        <v>112</v>
      </c>
      <c r="D7" s="70" t="s">
        <v>113</v>
      </c>
      <c r="E7" s="70" t="s">
        <v>114</v>
      </c>
      <c r="F7" s="70" t="s">
        <v>115</v>
      </c>
    </row>
    <row r="8" spans="1:8" ht="15.75" thickBot="1" x14ac:dyDescent="0.3">
      <c r="F8" s="71">
        <f>C3</f>
        <v>64000</v>
      </c>
      <c r="H8" s="72" t="s">
        <v>116</v>
      </c>
    </row>
    <row r="9" spans="1:8" ht="15.75" thickBot="1" x14ac:dyDescent="0.3">
      <c r="A9">
        <v>1</v>
      </c>
      <c r="B9" s="73">
        <f>PMT($C$4/12,$C$5,-$C$3)</f>
        <v>904.74747229086745</v>
      </c>
      <c r="C9" s="74">
        <f>F8*($C$4/12)</f>
        <v>426.66666666666669</v>
      </c>
      <c r="D9" s="73">
        <f>B9-C9</f>
        <v>478.08080562420076</v>
      </c>
      <c r="E9" s="75">
        <f>$F$3</f>
        <v>0</v>
      </c>
      <c r="F9" s="75">
        <f>F8-D9-E9</f>
        <v>63521.919194375798</v>
      </c>
      <c r="H9" s="76">
        <f>SUMIF(C9:C402,"&gt;0")</f>
        <v>22855.757339923297</v>
      </c>
    </row>
    <row r="10" spans="1:8" x14ac:dyDescent="0.25">
      <c r="A10">
        <v>2</v>
      </c>
      <c r="B10" s="73">
        <f t="shared" ref="B10:B73" si="0">PMT($C$4/12,$C$5,-$C$3)</f>
        <v>904.74747229086745</v>
      </c>
      <c r="C10" s="74">
        <f t="shared" ref="C10:C73" si="1">F9*($C$4/12)</f>
        <v>423.47946129583869</v>
      </c>
      <c r="D10" s="73">
        <f t="shared" ref="D10:D73" si="2">B10-C10</f>
        <v>481.26801099502876</v>
      </c>
      <c r="E10" s="75">
        <f t="shared" ref="E10:E73" si="3">$F$3</f>
        <v>0</v>
      </c>
      <c r="F10" s="75">
        <f t="shared" ref="F10:F73" si="4">F9-D10-E10</f>
        <v>63040.651183380767</v>
      </c>
    </row>
    <row r="11" spans="1:8" ht="15.75" thickBot="1" x14ac:dyDescent="0.3">
      <c r="A11">
        <v>3</v>
      </c>
      <c r="B11" s="73">
        <f t="shared" si="0"/>
        <v>904.74747229086745</v>
      </c>
      <c r="C11" s="74">
        <f t="shared" si="1"/>
        <v>420.27100788920512</v>
      </c>
      <c r="D11" s="73">
        <f t="shared" si="2"/>
        <v>484.47646440166233</v>
      </c>
      <c r="E11" s="75">
        <f t="shared" si="3"/>
        <v>0</v>
      </c>
      <c r="F11" s="75">
        <f t="shared" si="4"/>
        <v>62556.174718979106</v>
      </c>
      <c r="H11" s="72" t="s">
        <v>117</v>
      </c>
    </row>
    <row r="12" spans="1:8" ht="15.75" thickBot="1" x14ac:dyDescent="0.3">
      <c r="A12">
        <v>4</v>
      </c>
      <c r="B12" s="73">
        <f t="shared" si="0"/>
        <v>904.74747229086745</v>
      </c>
      <c r="C12" s="74">
        <f t="shared" si="1"/>
        <v>417.04116479319407</v>
      </c>
      <c r="D12" s="73">
        <f t="shared" si="2"/>
        <v>487.70630749767338</v>
      </c>
      <c r="E12" s="75">
        <f t="shared" si="3"/>
        <v>0</v>
      </c>
      <c r="F12" s="75">
        <f t="shared" si="4"/>
        <v>62068.46841148143</v>
      </c>
      <c r="H12" s="77">
        <f>H9+C3</f>
        <v>86855.757339923293</v>
      </c>
    </row>
    <row r="13" spans="1:8" x14ac:dyDescent="0.25">
      <c r="A13">
        <v>5</v>
      </c>
      <c r="B13" s="73">
        <f t="shared" si="0"/>
        <v>904.74747229086745</v>
      </c>
      <c r="C13" s="74">
        <f t="shared" si="1"/>
        <v>413.78978940987622</v>
      </c>
      <c r="D13" s="73">
        <f t="shared" si="2"/>
        <v>490.95768288099123</v>
      </c>
      <c r="E13" s="75">
        <f t="shared" si="3"/>
        <v>0</v>
      </c>
      <c r="F13" s="75">
        <f t="shared" si="4"/>
        <v>61577.510728600442</v>
      </c>
    </row>
    <row r="14" spans="1:8" ht="15.75" thickBot="1" x14ac:dyDescent="0.3">
      <c r="A14">
        <v>6</v>
      </c>
      <c r="B14" s="73">
        <f t="shared" si="0"/>
        <v>904.74747229086745</v>
      </c>
      <c r="C14" s="74">
        <f t="shared" si="1"/>
        <v>410.51673819066963</v>
      </c>
      <c r="D14" s="73">
        <f t="shared" si="2"/>
        <v>494.23073410019782</v>
      </c>
      <c r="E14" s="75">
        <f t="shared" si="3"/>
        <v>0</v>
      </c>
      <c r="F14" s="75">
        <f t="shared" si="4"/>
        <v>61083.279994500248</v>
      </c>
      <c r="H14" s="72" t="s">
        <v>118</v>
      </c>
    </row>
    <row r="15" spans="1:8" ht="15.75" thickBot="1" x14ac:dyDescent="0.3">
      <c r="A15">
        <v>7</v>
      </c>
      <c r="B15" s="73">
        <f t="shared" si="0"/>
        <v>904.74747229086745</v>
      </c>
      <c r="C15" s="74">
        <f t="shared" si="1"/>
        <v>407.22186663000167</v>
      </c>
      <c r="D15" s="73">
        <f t="shared" si="2"/>
        <v>497.52560566086578</v>
      </c>
      <c r="E15" s="75">
        <f t="shared" si="3"/>
        <v>0</v>
      </c>
      <c r="F15" s="75">
        <f t="shared" si="4"/>
        <v>60585.754388839385</v>
      </c>
      <c r="H15" s="78">
        <f>COUNTIF(F9:F370,"&gt;-1")</f>
        <v>96</v>
      </c>
    </row>
    <row r="16" spans="1:8" x14ac:dyDescent="0.25">
      <c r="A16">
        <v>8</v>
      </c>
      <c r="B16" s="73">
        <f t="shared" si="0"/>
        <v>904.74747229086745</v>
      </c>
      <c r="C16" s="74">
        <f t="shared" si="1"/>
        <v>403.90502925892923</v>
      </c>
      <c r="D16" s="73">
        <f t="shared" si="2"/>
        <v>500.84244303193822</v>
      </c>
      <c r="E16" s="75">
        <f t="shared" si="3"/>
        <v>0</v>
      </c>
      <c r="F16" s="75">
        <f t="shared" si="4"/>
        <v>60084.911945807449</v>
      </c>
      <c r="H16" s="5"/>
    </row>
    <row r="17" spans="1:10" x14ac:dyDescent="0.25">
      <c r="A17">
        <v>9</v>
      </c>
      <c r="B17" s="73">
        <f t="shared" si="0"/>
        <v>904.74747229086745</v>
      </c>
      <c r="C17" s="74">
        <f t="shared" si="1"/>
        <v>400.56607963871636</v>
      </c>
      <c r="D17" s="73">
        <f t="shared" si="2"/>
        <v>504.18139265215109</v>
      </c>
      <c r="E17" s="75">
        <f t="shared" si="3"/>
        <v>0</v>
      </c>
      <c r="F17" s="75">
        <f t="shared" si="4"/>
        <v>59580.730553155299</v>
      </c>
      <c r="H17" s="5"/>
    </row>
    <row r="18" spans="1:10" x14ac:dyDescent="0.25">
      <c r="A18">
        <v>10</v>
      </c>
      <c r="B18" s="73">
        <f t="shared" si="0"/>
        <v>904.74747229086745</v>
      </c>
      <c r="C18" s="74">
        <f t="shared" si="1"/>
        <v>397.20487035436867</v>
      </c>
      <c r="D18" s="73">
        <f t="shared" si="2"/>
        <v>507.54260193649878</v>
      </c>
      <c r="E18" s="75">
        <f t="shared" si="3"/>
        <v>0</v>
      </c>
      <c r="F18" s="75">
        <f t="shared" si="4"/>
        <v>59073.187951218802</v>
      </c>
    </row>
    <row r="19" spans="1:10" ht="15.75" x14ac:dyDescent="0.25">
      <c r="A19">
        <v>11</v>
      </c>
      <c r="B19" s="73">
        <f t="shared" si="0"/>
        <v>904.74747229086745</v>
      </c>
      <c r="C19" s="74">
        <f t="shared" si="1"/>
        <v>393.82125300812538</v>
      </c>
      <c r="D19" s="73">
        <f t="shared" si="2"/>
        <v>510.92621928274207</v>
      </c>
      <c r="E19" s="75">
        <f t="shared" si="3"/>
        <v>0</v>
      </c>
      <c r="F19" s="75">
        <f t="shared" si="4"/>
        <v>58562.261731936058</v>
      </c>
      <c r="H19" s="79">
        <v>2013</v>
      </c>
    </row>
    <row r="20" spans="1:10" ht="15.75" x14ac:dyDescent="0.25">
      <c r="A20">
        <v>12</v>
      </c>
      <c r="B20" s="73">
        <f t="shared" si="0"/>
        <v>904.74747229086745</v>
      </c>
      <c r="C20" s="74">
        <f t="shared" si="1"/>
        <v>390.41507821290708</v>
      </c>
      <c r="D20" s="73">
        <f t="shared" si="2"/>
        <v>514.33239407796032</v>
      </c>
      <c r="E20" s="75">
        <f t="shared" si="3"/>
        <v>0</v>
      </c>
      <c r="F20" s="75">
        <f t="shared" si="4"/>
        <v>58047.929337858099</v>
      </c>
      <c r="H20" s="80" t="s">
        <v>119</v>
      </c>
      <c r="J20" s="5">
        <f>SUM(C9:C20)</f>
        <v>4904.8990053484986</v>
      </c>
    </row>
    <row r="21" spans="1:10" ht="15.75" x14ac:dyDescent="0.25">
      <c r="A21">
        <v>13</v>
      </c>
      <c r="B21" s="73">
        <f t="shared" si="0"/>
        <v>904.74747229086745</v>
      </c>
      <c r="C21" s="74">
        <f t="shared" si="1"/>
        <v>386.98619558572068</v>
      </c>
      <c r="D21" s="73">
        <f t="shared" si="2"/>
        <v>517.76127670514677</v>
      </c>
      <c r="E21" s="75">
        <f t="shared" si="3"/>
        <v>0</v>
      </c>
      <c r="F21" s="75">
        <f t="shared" si="4"/>
        <v>57530.168061152952</v>
      </c>
      <c r="H21" s="51" t="s">
        <v>120</v>
      </c>
      <c r="J21" s="14">
        <f>SUM(D9:D20)</f>
        <v>5952.0706621419104</v>
      </c>
    </row>
    <row r="22" spans="1:10" ht="15.75" x14ac:dyDescent="0.25">
      <c r="A22">
        <v>14</v>
      </c>
      <c r="B22" s="73">
        <f t="shared" si="0"/>
        <v>904.74747229086745</v>
      </c>
      <c r="C22" s="74">
        <f t="shared" si="1"/>
        <v>383.53445374101972</v>
      </c>
      <c r="D22" s="73">
        <f t="shared" si="2"/>
        <v>521.21301854984767</v>
      </c>
      <c r="E22" s="75">
        <f t="shared" si="3"/>
        <v>0</v>
      </c>
      <c r="F22" s="75">
        <f t="shared" si="4"/>
        <v>57008.955042603106</v>
      </c>
      <c r="H22" s="51"/>
    </row>
    <row r="23" spans="1:10" ht="15.75" x14ac:dyDescent="0.25">
      <c r="A23">
        <v>15</v>
      </c>
      <c r="B23" s="73">
        <f t="shared" si="0"/>
        <v>904.74747229086745</v>
      </c>
      <c r="C23" s="74">
        <f t="shared" si="1"/>
        <v>380.05970028402072</v>
      </c>
      <c r="D23" s="73">
        <f t="shared" si="2"/>
        <v>524.68777200684667</v>
      </c>
      <c r="E23" s="75">
        <f t="shared" si="3"/>
        <v>0</v>
      </c>
      <c r="F23" s="75">
        <f t="shared" si="4"/>
        <v>56484.267270596261</v>
      </c>
      <c r="H23" s="51"/>
    </row>
    <row r="24" spans="1:10" ht="15.75" x14ac:dyDescent="0.25">
      <c r="A24">
        <v>16</v>
      </c>
      <c r="B24" s="73">
        <f t="shared" si="0"/>
        <v>904.74747229086745</v>
      </c>
      <c r="C24" s="74">
        <f t="shared" si="1"/>
        <v>376.56178180397512</v>
      </c>
      <c r="D24" s="73">
        <f t="shared" si="2"/>
        <v>528.18569048689233</v>
      </c>
      <c r="E24" s="75">
        <f t="shared" si="3"/>
        <v>0</v>
      </c>
      <c r="F24" s="75">
        <f t="shared" si="4"/>
        <v>55956.08158010937</v>
      </c>
      <c r="H24" s="51"/>
    </row>
    <row r="25" spans="1:10" ht="15.75" x14ac:dyDescent="0.25">
      <c r="A25">
        <v>17</v>
      </c>
      <c r="B25" s="73">
        <f t="shared" si="0"/>
        <v>904.74747229086745</v>
      </c>
      <c r="C25" s="74">
        <f t="shared" si="1"/>
        <v>373.04054386739585</v>
      </c>
      <c r="D25" s="73">
        <f t="shared" si="2"/>
        <v>531.7069284234716</v>
      </c>
      <c r="E25" s="75">
        <f t="shared" si="3"/>
        <v>0</v>
      </c>
      <c r="F25" s="75">
        <f t="shared" si="4"/>
        <v>55424.374651685896</v>
      </c>
      <c r="H25" s="51"/>
    </row>
    <row r="26" spans="1:10" ht="15.75" x14ac:dyDescent="0.25">
      <c r="A26">
        <v>18</v>
      </c>
      <c r="B26" s="73">
        <f t="shared" si="0"/>
        <v>904.74747229086745</v>
      </c>
      <c r="C26" s="74">
        <f t="shared" si="1"/>
        <v>369.49583101123932</v>
      </c>
      <c r="D26" s="73">
        <f t="shared" si="2"/>
        <v>535.25164127962807</v>
      </c>
      <c r="E26" s="75">
        <f t="shared" si="3"/>
        <v>0</v>
      </c>
      <c r="F26" s="75">
        <f t="shared" si="4"/>
        <v>54889.123010406271</v>
      </c>
      <c r="H26" s="51"/>
    </row>
    <row r="27" spans="1:10" ht="15.75" x14ac:dyDescent="0.25">
      <c r="A27">
        <v>19</v>
      </c>
      <c r="B27" s="73">
        <f t="shared" si="0"/>
        <v>904.74747229086745</v>
      </c>
      <c r="C27" s="74">
        <f t="shared" si="1"/>
        <v>365.92748673604183</v>
      </c>
      <c r="D27" s="73">
        <f t="shared" si="2"/>
        <v>538.81998555482562</v>
      </c>
      <c r="E27" s="75">
        <f t="shared" si="3"/>
        <v>0</v>
      </c>
      <c r="F27" s="75">
        <f t="shared" si="4"/>
        <v>54350.303024851448</v>
      </c>
      <c r="H27" s="51"/>
    </row>
    <row r="28" spans="1:10" ht="15.75" x14ac:dyDescent="0.25">
      <c r="A28">
        <v>20</v>
      </c>
      <c r="B28" s="73">
        <f t="shared" si="0"/>
        <v>904.74747229086745</v>
      </c>
      <c r="C28" s="74">
        <f t="shared" si="1"/>
        <v>362.33535349900967</v>
      </c>
      <c r="D28" s="73">
        <f t="shared" si="2"/>
        <v>542.41211879185778</v>
      </c>
      <c r="E28" s="75">
        <f t="shared" si="3"/>
        <v>0</v>
      </c>
      <c r="F28" s="75">
        <f t="shared" si="4"/>
        <v>53807.890906059591</v>
      </c>
      <c r="H28" s="51"/>
    </row>
    <row r="29" spans="1:10" ht="15.75" x14ac:dyDescent="0.25">
      <c r="A29">
        <v>21</v>
      </c>
      <c r="B29" s="73">
        <f t="shared" si="0"/>
        <v>904.74747229086745</v>
      </c>
      <c r="C29" s="74">
        <f t="shared" si="1"/>
        <v>358.71927270706396</v>
      </c>
      <c r="D29" s="73">
        <f t="shared" si="2"/>
        <v>546.02819958380348</v>
      </c>
      <c r="E29" s="75">
        <f t="shared" si="3"/>
        <v>0</v>
      </c>
      <c r="F29" s="75">
        <f t="shared" si="4"/>
        <v>53261.862706475789</v>
      </c>
      <c r="H29" s="51"/>
    </row>
    <row r="30" spans="1:10" ht="15.75" x14ac:dyDescent="0.25">
      <c r="A30">
        <v>22</v>
      </c>
      <c r="B30" s="73">
        <f t="shared" si="0"/>
        <v>904.74747229086745</v>
      </c>
      <c r="C30" s="74">
        <f t="shared" si="1"/>
        <v>355.07908470983864</v>
      </c>
      <c r="D30" s="73">
        <f t="shared" si="2"/>
        <v>549.66838758102881</v>
      </c>
      <c r="E30" s="75">
        <f t="shared" si="3"/>
        <v>0</v>
      </c>
      <c r="F30" s="75">
        <f t="shared" si="4"/>
        <v>52712.194318894763</v>
      </c>
      <c r="H30" s="51"/>
    </row>
    <row r="31" spans="1:10" ht="15.75" x14ac:dyDescent="0.25">
      <c r="A31">
        <v>23</v>
      </c>
      <c r="B31" s="73">
        <f t="shared" si="0"/>
        <v>904.74747229086745</v>
      </c>
      <c r="C31" s="74">
        <f t="shared" si="1"/>
        <v>351.41462879263179</v>
      </c>
      <c r="D31" s="73">
        <f t="shared" si="2"/>
        <v>553.33284349823566</v>
      </c>
      <c r="E31" s="75">
        <f t="shared" si="3"/>
        <v>0</v>
      </c>
      <c r="F31" s="75">
        <f t="shared" si="4"/>
        <v>52158.86147539653</v>
      </c>
      <c r="H31" s="79">
        <v>2014</v>
      </c>
    </row>
    <row r="32" spans="1:10" ht="15.75" x14ac:dyDescent="0.25">
      <c r="A32">
        <v>24</v>
      </c>
      <c r="B32" s="73">
        <f t="shared" si="0"/>
        <v>904.74747229086745</v>
      </c>
      <c r="C32" s="74">
        <f t="shared" si="1"/>
        <v>347.72574316931025</v>
      </c>
      <c r="D32" s="73">
        <f t="shared" si="2"/>
        <v>557.0217291215572</v>
      </c>
      <c r="E32" s="75">
        <f t="shared" si="3"/>
        <v>0</v>
      </c>
      <c r="F32" s="75">
        <f t="shared" si="4"/>
        <v>51601.839746274971</v>
      </c>
      <c r="H32" s="80" t="s">
        <v>119</v>
      </c>
      <c r="J32" s="5">
        <f>SUM(C21:C32)</f>
        <v>4410.8800759072674</v>
      </c>
    </row>
    <row r="33" spans="1:10" ht="15.75" x14ac:dyDescent="0.25">
      <c r="A33">
        <v>25</v>
      </c>
      <c r="B33" s="73">
        <f t="shared" si="0"/>
        <v>904.74747229086745</v>
      </c>
      <c r="C33" s="74">
        <f t="shared" si="1"/>
        <v>344.01226497516649</v>
      </c>
      <c r="D33" s="73">
        <f t="shared" si="2"/>
        <v>560.73520731570102</v>
      </c>
      <c r="E33" s="75">
        <f t="shared" si="3"/>
        <v>0</v>
      </c>
      <c r="F33" s="75">
        <f t="shared" si="4"/>
        <v>51041.104538959269</v>
      </c>
      <c r="H33" s="51" t="s">
        <v>120</v>
      </c>
      <c r="J33" s="14">
        <f>SUM(D21:D32)</f>
        <v>6446.0895915831425</v>
      </c>
    </row>
    <row r="34" spans="1:10" ht="15.75" x14ac:dyDescent="0.25">
      <c r="A34">
        <v>26</v>
      </c>
      <c r="B34" s="73">
        <f t="shared" si="0"/>
        <v>904.74747229086745</v>
      </c>
      <c r="C34" s="74">
        <f t="shared" si="1"/>
        <v>340.27403025972848</v>
      </c>
      <c r="D34" s="73">
        <f t="shared" si="2"/>
        <v>564.47344203113903</v>
      </c>
      <c r="E34" s="75">
        <f t="shared" si="3"/>
        <v>0</v>
      </c>
      <c r="F34" s="75">
        <f t="shared" si="4"/>
        <v>50476.631096928133</v>
      </c>
      <c r="H34" s="51"/>
    </row>
    <row r="35" spans="1:10" ht="15.75" x14ac:dyDescent="0.25">
      <c r="A35">
        <v>27</v>
      </c>
      <c r="B35" s="73">
        <f t="shared" si="0"/>
        <v>904.74747229086745</v>
      </c>
      <c r="C35" s="74">
        <f t="shared" si="1"/>
        <v>336.51087397952091</v>
      </c>
      <c r="D35" s="73">
        <f t="shared" si="2"/>
        <v>568.2365983113466</v>
      </c>
      <c r="E35" s="75">
        <f t="shared" si="3"/>
        <v>0</v>
      </c>
      <c r="F35" s="75">
        <f t="shared" si="4"/>
        <v>49908.394498616784</v>
      </c>
      <c r="H35" s="51"/>
    </row>
    <row r="36" spans="1:10" ht="15.75" x14ac:dyDescent="0.25">
      <c r="A36">
        <v>28</v>
      </c>
      <c r="B36" s="73">
        <f t="shared" si="0"/>
        <v>904.74747229086745</v>
      </c>
      <c r="C36" s="74">
        <f t="shared" si="1"/>
        <v>332.72262999077856</v>
      </c>
      <c r="D36" s="73">
        <f t="shared" si="2"/>
        <v>572.02484230008895</v>
      </c>
      <c r="E36" s="75">
        <f t="shared" si="3"/>
        <v>0</v>
      </c>
      <c r="F36" s="75">
        <f t="shared" si="4"/>
        <v>49336.369656316696</v>
      </c>
      <c r="H36" s="51"/>
    </row>
    <row r="37" spans="1:10" ht="15.75" x14ac:dyDescent="0.25">
      <c r="A37">
        <v>29</v>
      </c>
      <c r="B37" s="73">
        <f t="shared" si="0"/>
        <v>904.74747229086745</v>
      </c>
      <c r="C37" s="74">
        <f t="shared" si="1"/>
        <v>328.90913104211131</v>
      </c>
      <c r="D37" s="73">
        <f t="shared" si="2"/>
        <v>575.83834124875614</v>
      </c>
      <c r="E37" s="75">
        <f t="shared" si="3"/>
        <v>0</v>
      </c>
      <c r="F37" s="75">
        <f t="shared" si="4"/>
        <v>48760.531315067943</v>
      </c>
      <c r="H37" s="51"/>
    </row>
    <row r="38" spans="1:10" ht="15.75" x14ac:dyDescent="0.25">
      <c r="A38">
        <v>30</v>
      </c>
      <c r="B38" s="73">
        <f t="shared" si="0"/>
        <v>904.74747229086745</v>
      </c>
      <c r="C38" s="74">
        <f t="shared" si="1"/>
        <v>325.07020876711965</v>
      </c>
      <c r="D38" s="73">
        <f t="shared" si="2"/>
        <v>579.6772635237478</v>
      </c>
      <c r="E38" s="75">
        <f t="shared" si="3"/>
        <v>0</v>
      </c>
      <c r="F38" s="75">
        <f t="shared" si="4"/>
        <v>48180.854051544193</v>
      </c>
      <c r="H38" s="51"/>
    </row>
    <row r="39" spans="1:10" ht="15.75" x14ac:dyDescent="0.25">
      <c r="A39">
        <v>31</v>
      </c>
      <c r="B39" s="73">
        <f t="shared" si="0"/>
        <v>904.74747229086745</v>
      </c>
      <c r="C39" s="74">
        <f t="shared" si="1"/>
        <v>321.20569367696129</v>
      </c>
      <c r="D39" s="73">
        <f t="shared" si="2"/>
        <v>583.54177861390622</v>
      </c>
      <c r="E39" s="75">
        <f t="shared" si="3"/>
        <v>0</v>
      </c>
      <c r="F39" s="75">
        <f t="shared" si="4"/>
        <v>47597.312272930285</v>
      </c>
      <c r="H39" s="51"/>
    </row>
    <row r="40" spans="1:10" ht="15.75" x14ac:dyDescent="0.25">
      <c r="A40">
        <v>32</v>
      </c>
      <c r="B40" s="73">
        <f t="shared" si="0"/>
        <v>904.74747229086745</v>
      </c>
      <c r="C40" s="74">
        <f t="shared" si="1"/>
        <v>317.31541515286858</v>
      </c>
      <c r="D40" s="73">
        <f t="shared" si="2"/>
        <v>587.43205713799887</v>
      </c>
      <c r="E40" s="75">
        <f t="shared" si="3"/>
        <v>0</v>
      </c>
      <c r="F40" s="75">
        <f t="shared" si="4"/>
        <v>47009.880215792284</v>
      </c>
      <c r="H40" s="51"/>
    </row>
    <row r="41" spans="1:10" ht="15.75" x14ac:dyDescent="0.25">
      <c r="A41">
        <v>33</v>
      </c>
      <c r="B41" s="73">
        <f t="shared" si="0"/>
        <v>904.74747229086745</v>
      </c>
      <c r="C41" s="74">
        <f t="shared" si="1"/>
        <v>313.39920143861525</v>
      </c>
      <c r="D41" s="73">
        <f t="shared" si="2"/>
        <v>591.3482708522522</v>
      </c>
      <c r="E41" s="75">
        <f t="shared" si="3"/>
        <v>0</v>
      </c>
      <c r="F41" s="75">
        <f t="shared" si="4"/>
        <v>46418.531944940034</v>
      </c>
      <c r="H41" s="51"/>
    </row>
    <row r="42" spans="1:10" ht="15.75" x14ac:dyDescent="0.25">
      <c r="A42">
        <v>34</v>
      </c>
      <c r="B42" s="73">
        <f t="shared" si="0"/>
        <v>904.74747229086745</v>
      </c>
      <c r="C42" s="74">
        <f t="shared" si="1"/>
        <v>309.45687963293358</v>
      </c>
      <c r="D42" s="73">
        <f t="shared" si="2"/>
        <v>595.29059265793387</v>
      </c>
      <c r="E42" s="75">
        <f t="shared" si="3"/>
        <v>0</v>
      </c>
      <c r="F42" s="75">
        <f t="shared" si="4"/>
        <v>45823.241352282101</v>
      </c>
      <c r="H42" s="51"/>
    </row>
    <row r="43" spans="1:10" ht="15.75" x14ac:dyDescent="0.25">
      <c r="A43">
        <v>35</v>
      </c>
      <c r="B43" s="73">
        <f t="shared" si="0"/>
        <v>904.74747229086745</v>
      </c>
      <c r="C43" s="74">
        <f t="shared" si="1"/>
        <v>305.48827568188068</v>
      </c>
      <c r="D43" s="73">
        <f t="shared" si="2"/>
        <v>599.25919660898671</v>
      </c>
      <c r="E43" s="75">
        <f t="shared" si="3"/>
        <v>0</v>
      </c>
      <c r="F43" s="75">
        <f t="shared" si="4"/>
        <v>45223.982155673111</v>
      </c>
      <c r="H43" s="79">
        <v>2015</v>
      </c>
    </row>
    <row r="44" spans="1:10" ht="15.75" x14ac:dyDescent="0.25">
      <c r="A44">
        <v>36</v>
      </c>
      <c r="B44" s="73">
        <f t="shared" si="0"/>
        <v>904.74747229086745</v>
      </c>
      <c r="C44" s="74">
        <f t="shared" si="1"/>
        <v>301.49321437115407</v>
      </c>
      <c r="D44" s="73">
        <f t="shared" si="2"/>
        <v>603.25425791971338</v>
      </c>
      <c r="E44" s="75">
        <f t="shared" si="3"/>
        <v>0</v>
      </c>
      <c r="F44" s="75">
        <f t="shared" si="4"/>
        <v>44620.727897753401</v>
      </c>
      <c r="H44" s="80" t="s">
        <v>119</v>
      </c>
      <c r="J44" s="5">
        <f>SUM(C33:C44)</f>
        <v>3875.8578189688387</v>
      </c>
    </row>
    <row r="45" spans="1:10" ht="15.75" x14ac:dyDescent="0.25">
      <c r="A45">
        <v>37</v>
      </c>
      <c r="B45" s="73">
        <f t="shared" si="0"/>
        <v>904.74747229086745</v>
      </c>
      <c r="C45" s="74">
        <f t="shared" si="1"/>
        <v>297.471519318356</v>
      </c>
      <c r="D45" s="73">
        <f t="shared" si="2"/>
        <v>607.2759529725115</v>
      </c>
      <c r="E45" s="75">
        <f t="shared" si="3"/>
        <v>0</v>
      </c>
      <c r="F45" s="75">
        <f t="shared" si="4"/>
        <v>44013.451944780893</v>
      </c>
      <c r="H45" s="51" t="s">
        <v>120</v>
      </c>
      <c r="J45" s="14">
        <f>SUM(D33:D44)</f>
        <v>6981.1118485215711</v>
      </c>
    </row>
    <row r="46" spans="1:10" ht="15.75" x14ac:dyDescent="0.25">
      <c r="A46">
        <v>38</v>
      </c>
      <c r="B46" s="73">
        <f t="shared" si="0"/>
        <v>904.74747229086745</v>
      </c>
      <c r="C46" s="74">
        <f t="shared" si="1"/>
        <v>293.42301296520594</v>
      </c>
      <c r="D46" s="73">
        <f t="shared" si="2"/>
        <v>611.32445932566156</v>
      </c>
      <c r="E46" s="75">
        <f t="shared" si="3"/>
        <v>0</v>
      </c>
      <c r="F46" s="75">
        <f t="shared" si="4"/>
        <v>43402.127485455232</v>
      </c>
      <c r="H46" s="51"/>
    </row>
    <row r="47" spans="1:10" ht="15.75" x14ac:dyDescent="0.25">
      <c r="A47">
        <v>39</v>
      </c>
      <c r="B47" s="73">
        <f t="shared" si="0"/>
        <v>904.74747229086745</v>
      </c>
      <c r="C47" s="74">
        <f t="shared" si="1"/>
        <v>289.34751656970155</v>
      </c>
      <c r="D47" s="73">
        <f t="shared" si="2"/>
        <v>615.39995572116595</v>
      </c>
      <c r="E47" s="75">
        <f t="shared" si="3"/>
        <v>0</v>
      </c>
      <c r="F47" s="75">
        <f t="shared" si="4"/>
        <v>42786.727529734068</v>
      </c>
      <c r="H47" s="51"/>
    </row>
    <row r="48" spans="1:10" ht="15.75" x14ac:dyDescent="0.25">
      <c r="A48">
        <v>40</v>
      </c>
      <c r="B48" s="73">
        <f t="shared" si="0"/>
        <v>904.74747229086745</v>
      </c>
      <c r="C48" s="74">
        <f t="shared" si="1"/>
        <v>285.24485019822714</v>
      </c>
      <c r="D48" s="73">
        <f t="shared" si="2"/>
        <v>619.50262209264031</v>
      </c>
      <c r="E48" s="75">
        <f t="shared" si="3"/>
        <v>0</v>
      </c>
      <c r="F48" s="75">
        <f t="shared" si="4"/>
        <v>42167.22490764143</v>
      </c>
      <c r="H48" s="51"/>
    </row>
    <row r="49" spans="1:10" ht="15.75" x14ac:dyDescent="0.25">
      <c r="A49">
        <v>41</v>
      </c>
      <c r="B49" s="73">
        <f t="shared" si="0"/>
        <v>904.74747229086745</v>
      </c>
      <c r="C49" s="74">
        <f t="shared" si="1"/>
        <v>281.11483271760954</v>
      </c>
      <c r="D49" s="73">
        <f t="shared" si="2"/>
        <v>623.63263957325785</v>
      </c>
      <c r="E49" s="75">
        <f t="shared" si="3"/>
        <v>0</v>
      </c>
      <c r="F49" s="75">
        <f t="shared" si="4"/>
        <v>41543.592268068169</v>
      </c>
      <c r="H49" s="51"/>
    </row>
    <row r="50" spans="1:10" ht="15.75" x14ac:dyDescent="0.25">
      <c r="A50">
        <v>42</v>
      </c>
      <c r="B50" s="73">
        <f t="shared" si="0"/>
        <v>904.74747229086745</v>
      </c>
      <c r="C50" s="74">
        <f t="shared" si="1"/>
        <v>276.95728178712113</v>
      </c>
      <c r="D50" s="73">
        <f t="shared" si="2"/>
        <v>627.79019050374632</v>
      </c>
      <c r="E50" s="75">
        <f t="shared" si="3"/>
        <v>0</v>
      </c>
      <c r="F50" s="75">
        <f t="shared" si="4"/>
        <v>40915.802077564425</v>
      </c>
      <c r="H50" s="51"/>
    </row>
    <row r="51" spans="1:10" ht="15.75" x14ac:dyDescent="0.25">
      <c r="A51">
        <v>43</v>
      </c>
      <c r="B51" s="73">
        <f t="shared" si="0"/>
        <v>904.74747229086745</v>
      </c>
      <c r="C51" s="74">
        <f t="shared" si="1"/>
        <v>272.77201385042952</v>
      </c>
      <c r="D51" s="73">
        <f t="shared" si="2"/>
        <v>631.97545844043793</v>
      </c>
      <c r="E51" s="75">
        <f t="shared" si="3"/>
        <v>0</v>
      </c>
      <c r="F51" s="75">
        <f t="shared" si="4"/>
        <v>40283.826619123989</v>
      </c>
      <c r="H51" s="51"/>
    </row>
    <row r="52" spans="1:10" ht="15.75" x14ac:dyDescent="0.25">
      <c r="A52">
        <v>44</v>
      </c>
      <c r="B52" s="73">
        <f t="shared" si="0"/>
        <v>904.74747229086745</v>
      </c>
      <c r="C52" s="74">
        <f t="shared" si="1"/>
        <v>268.55884412749327</v>
      </c>
      <c r="D52" s="73">
        <f t="shared" si="2"/>
        <v>636.18862816337423</v>
      </c>
      <c r="E52" s="75">
        <f t="shared" si="3"/>
        <v>0</v>
      </c>
      <c r="F52" s="75">
        <f t="shared" si="4"/>
        <v>39647.637990960618</v>
      </c>
      <c r="H52" s="51"/>
    </row>
    <row r="53" spans="1:10" ht="15.75" x14ac:dyDescent="0.25">
      <c r="A53">
        <v>45</v>
      </c>
      <c r="B53" s="73">
        <f t="shared" si="0"/>
        <v>904.74747229086745</v>
      </c>
      <c r="C53" s="74">
        <f t="shared" si="1"/>
        <v>264.31758660640412</v>
      </c>
      <c r="D53" s="73">
        <f t="shared" si="2"/>
        <v>640.42988568446333</v>
      </c>
      <c r="E53" s="75">
        <f t="shared" si="3"/>
        <v>0</v>
      </c>
      <c r="F53" s="75">
        <f t="shared" si="4"/>
        <v>39007.208105276157</v>
      </c>
      <c r="H53" s="51"/>
    </row>
    <row r="54" spans="1:10" ht="15.75" x14ac:dyDescent="0.25">
      <c r="A54">
        <v>46</v>
      </c>
      <c r="B54" s="73">
        <f t="shared" si="0"/>
        <v>904.74747229086745</v>
      </c>
      <c r="C54" s="74">
        <f t="shared" si="1"/>
        <v>260.0480540351744</v>
      </c>
      <c r="D54" s="73">
        <f t="shared" si="2"/>
        <v>644.69941825569299</v>
      </c>
      <c r="E54" s="75">
        <f t="shared" si="3"/>
        <v>0</v>
      </c>
      <c r="F54" s="75">
        <f t="shared" si="4"/>
        <v>38362.508687020461</v>
      </c>
      <c r="H54" s="51"/>
    </row>
    <row r="55" spans="1:10" ht="15.75" x14ac:dyDescent="0.25">
      <c r="A55">
        <v>47</v>
      </c>
      <c r="B55" s="73">
        <f t="shared" si="0"/>
        <v>904.74747229086745</v>
      </c>
      <c r="C55" s="74">
        <f t="shared" si="1"/>
        <v>255.75005791346976</v>
      </c>
      <c r="D55" s="73">
        <f t="shared" si="2"/>
        <v>648.99741437739772</v>
      </c>
      <c r="E55" s="75">
        <f t="shared" si="3"/>
        <v>0</v>
      </c>
      <c r="F55" s="75">
        <f t="shared" si="4"/>
        <v>37713.511272643067</v>
      </c>
      <c r="H55" s="79">
        <v>2016</v>
      </c>
    </row>
    <row r="56" spans="1:10" ht="15.75" x14ac:dyDescent="0.25">
      <c r="A56">
        <v>48</v>
      </c>
      <c r="B56" s="73">
        <f t="shared" si="0"/>
        <v>904.74747229086745</v>
      </c>
      <c r="C56" s="74">
        <f t="shared" si="1"/>
        <v>251.42340848428714</v>
      </c>
      <c r="D56" s="73">
        <f t="shared" si="2"/>
        <v>653.32406380658028</v>
      </c>
      <c r="E56" s="75">
        <f t="shared" si="3"/>
        <v>0</v>
      </c>
      <c r="F56" s="75">
        <f t="shared" si="4"/>
        <v>37060.187208836483</v>
      </c>
      <c r="H56" s="80" t="s">
        <v>119</v>
      </c>
      <c r="J56" s="5">
        <f>SUM(C45:C56)</f>
        <v>3296.4289785734791</v>
      </c>
    </row>
    <row r="57" spans="1:10" ht="15.75" x14ac:dyDescent="0.25">
      <c r="A57">
        <v>49</v>
      </c>
      <c r="B57" s="73">
        <f t="shared" si="0"/>
        <v>904.74747229086745</v>
      </c>
      <c r="C57" s="74">
        <f t="shared" si="1"/>
        <v>247.06791472557657</v>
      </c>
      <c r="D57" s="73">
        <f t="shared" si="2"/>
        <v>657.67955756529091</v>
      </c>
      <c r="E57" s="75">
        <f t="shared" si="3"/>
        <v>0</v>
      </c>
      <c r="F57" s="75">
        <f t="shared" si="4"/>
        <v>36402.507651271189</v>
      </c>
      <c r="H57" s="51" t="s">
        <v>120</v>
      </c>
      <c r="J57" s="14">
        <f>SUM(D45:D56)</f>
        <v>7560.5406889169299</v>
      </c>
    </row>
    <row r="58" spans="1:10" ht="15.75" x14ac:dyDescent="0.25">
      <c r="A58">
        <v>50</v>
      </c>
      <c r="B58" s="73">
        <f t="shared" si="0"/>
        <v>904.74747229086745</v>
      </c>
      <c r="C58" s="74">
        <f t="shared" si="1"/>
        <v>242.68338434180794</v>
      </c>
      <c r="D58" s="73">
        <f t="shared" si="2"/>
        <v>662.06408794905951</v>
      </c>
      <c r="E58" s="75">
        <f t="shared" si="3"/>
        <v>0</v>
      </c>
      <c r="F58" s="75">
        <f t="shared" si="4"/>
        <v>35740.443563322129</v>
      </c>
      <c r="H58" s="51"/>
    </row>
    <row r="59" spans="1:10" ht="15.75" x14ac:dyDescent="0.25">
      <c r="A59">
        <v>51</v>
      </c>
      <c r="B59" s="73">
        <f t="shared" si="0"/>
        <v>904.74747229086745</v>
      </c>
      <c r="C59" s="74">
        <f t="shared" si="1"/>
        <v>238.26962375548086</v>
      </c>
      <c r="D59" s="73">
        <f t="shared" si="2"/>
        <v>666.47784853538656</v>
      </c>
      <c r="E59" s="75">
        <f t="shared" si="3"/>
        <v>0</v>
      </c>
      <c r="F59" s="75">
        <f t="shared" si="4"/>
        <v>35073.96571478674</v>
      </c>
      <c r="H59" s="51"/>
    </row>
    <row r="60" spans="1:10" ht="15.75" x14ac:dyDescent="0.25">
      <c r="A60">
        <v>52</v>
      </c>
      <c r="B60" s="73">
        <f t="shared" si="0"/>
        <v>904.74747229086745</v>
      </c>
      <c r="C60" s="74">
        <f t="shared" si="1"/>
        <v>233.82643809857828</v>
      </c>
      <c r="D60" s="73">
        <f t="shared" si="2"/>
        <v>670.9210341922892</v>
      </c>
      <c r="E60" s="75">
        <f t="shared" si="3"/>
        <v>0</v>
      </c>
      <c r="F60" s="75">
        <f t="shared" si="4"/>
        <v>34403.044680594452</v>
      </c>
      <c r="H60" s="51"/>
    </row>
    <row r="61" spans="1:10" ht="15.75" x14ac:dyDescent="0.25">
      <c r="A61">
        <v>53</v>
      </c>
      <c r="B61" s="73">
        <f t="shared" si="0"/>
        <v>904.74747229086745</v>
      </c>
      <c r="C61" s="74">
        <f t="shared" si="1"/>
        <v>229.35363120396303</v>
      </c>
      <c r="D61" s="73">
        <f t="shared" si="2"/>
        <v>675.39384108690444</v>
      </c>
      <c r="E61" s="75">
        <f t="shared" si="3"/>
        <v>0</v>
      </c>
      <c r="F61" s="75">
        <f t="shared" si="4"/>
        <v>33727.650839507551</v>
      </c>
      <c r="H61" s="51"/>
    </row>
    <row r="62" spans="1:10" ht="15.75" x14ac:dyDescent="0.25">
      <c r="A62">
        <v>54</v>
      </c>
      <c r="B62" s="73">
        <f t="shared" si="0"/>
        <v>904.74747229086745</v>
      </c>
      <c r="C62" s="74">
        <f t="shared" si="1"/>
        <v>224.85100559671702</v>
      </c>
      <c r="D62" s="73">
        <f t="shared" si="2"/>
        <v>679.89646669415038</v>
      </c>
      <c r="E62" s="75">
        <f t="shared" si="3"/>
        <v>0</v>
      </c>
      <c r="F62" s="75">
        <f t="shared" si="4"/>
        <v>33047.754372813397</v>
      </c>
      <c r="H62" s="51"/>
    </row>
    <row r="63" spans="1:10" ht="15.75" x14ac:dyDescent="0.25">
      <c r="A63">
        <v>55</v>
      </c>
      <c r="B63" s="73">
        <f t="shared" si="0"/>
        <v>904.74747229086745</v>
      </c>
      <c r="C63" s="74">
        <f t="shared" si="1"/>
        <v>220.31836248542265</v>
      </c>
      <c r="D63" s="73">
        <f t="shared" si="2"/>
        <v>684.4291098054448</v>
      </c>
      <c r="E63" s="75">
        <f t="shared" si="3"/>
        <v>0</v>
      </c>
      <c r="F63" s="75">
        <f t="shared" si="4"/>
        <v>32363.325263007951</v>
      </c>
      <c r="H63" s="51"/>
    </row>
    <row r="64" spans="1:10" ht="15.75" x14ac:dyDescent="0.25">
      <c r="A64">
        <v>56</v>
      </c>
      <c r="B64" s="73">
        <f t="shared" si="0"/>
        <v>904.74747229086745</v>
      </c>
      <c r="C64" s="74">
        <f t="shared" si="1"/>
        <v>215.75550175338637</v>
      </c>
      <c r="D64" s="73">
        <f t="shared" si="2"/>
        <v>688.99197053748105</v>
      </c>
      <c r="E64" s="75">
        <f t="shared" si="3"/>
        <v>0</v>
      </c>
      <c r="F64" s="75">
        <f t="shared" si="4"/>
        <v>31674.33329247047</v>
      </c>
      <c r="H64" s="51"/>
    </row>
    <row r="65" spans="1:10" ht="15.75" x14ac:dyDescent="0.25">
      <c r="A65">
        <v>57</v>
      </c>
      <c r="B65" s="73">
        <f t="shared" si="0"/>
        <v>904.74747229086745</v>
      </c>
      <c r="C65" s="74">
        <f t="shared" si="1"/>
        <v>211.16222194980315</v>
      </c>
      <c r="D65" s="73">
        <f t="shared" si="2"/>
        <v>693.58525034106424</v>
      </c>
      <c r="E65" s="75">
        <f t="shared" si="3"/>
        <v>0</v>
      </c>
      <c r="F65" s="75">
        <f t="shared" si="4"/>
        <v>30980.748042129406</v>
      </c>
      <c r="H65" s="51"/>
    </row>
    <row r="66" spans="1:10" ht="15.75" x14ac:dyDescent="0.25">
      <c r="A66">
        <v>58</v>
      </c>
      <c r="B66" s="73">
        <f t="shared" si="0"/>
        <v>904.74747229086745</v>
      </c>
      <c r="C66" s="74">
        <f t="shared" si="1"/>
        <v>206.53832028086271</v>
      </c>
      <c r="D66" s="73">
        <f t="shared" si="2"/>
        <v>698.2091520100048</v>
      </c>
      <c r="E66" s="75">
        <f t="shared" si="3"/>
        <v>0</v>
      </c>
      <c r="F66" s="75">
        <f t="shared" si="4"/>
        <v>30282.538890119402</v>
      </c>
      <c r="H66" s="51"/>
    </row>
    <row r="67" spans="1:10" ht="15.75" x14ac:dyDescent="0.25">
      <c r="A67">
        <v>59</v>
      </c>
      <c r="B67" s="73">
        <f t="shared" si="0"/>
        <v>904.74747229086745</v>
      </c>
      <c r="C67" s="74">
        <f t="shared" si="1"/>
        <v>201.88359260079602</v>
      </c>
      <c r="D67" s="73">
        <f t="shared" si="2"/>
        <v>702.86387969007137</v>
      </c>
      <c r="E67" s="75">
        <f t="shared" si="3"/>
        <v>0</v>
      </c>
      <c r="F67" s="75">
        <f t="shared" si="4"/>
        <v>29579.675010429331</v>
      </c>
      <c r="H67" s="79">
        <v>2017</v>
      </c>
    </row>
    <row r="68" spans="1:10" ht="15.75" x14ac:dyDescent="0.25">
      <c r="A68">
        <v>60</v>
      </c>
      <c r="B68" s="73">
        <f t="shared" si="0"/>
        <v>904.74747229086745</v>
      </c>
      <c r="C68" s="74">
        <f t="shared" si="1"/>
        <v>197.19783340286222</v>
      </c>
      <c r="D68" s="73">
        <f t="shared" si="2"/>
        <v>707.54963888800523</v>
      </c>
      <c r="E68" s="75">
        <f t="shared" si="3"/>
        <v>0</v>
      </c>
      <c r="F68" s="75">
        <f t="shared" si="4"/>
        <v>28872.125371541326</v>
      </c>
      <c r="H68" s="80" t="s">
        <v>119</v>
      </c>
      <c r="J68" s="5">
        <f>SUM(C57:C68)</f>
        <v>2668.9078301952563</v>
      </c>
    </row>
    <row r="69" spans="1:10" ht="15.75" x14ac:dyDescent="0.25">
      <c r="A69">
        <v>61</v>
      </c>
      <c r="B69" s="73">
        <f t="shared" si="0"/>
        <v>904.74747229086745</v>
      </c>
      <c r="C69" s="74">
        <f t="shared" si="1"/>
        <v>192.48083581027552</v>
      </c>
      <c r="D69" s="73">
        <f t="shared" si="2"/>
        <v>712.26663648059196</v>
      </c>
      <c r="E69" s="75">
        <f t="shared" si="3"/>
        <v>0</v>
      </c>
      <c r="F69" s="75">
        <f t="shared" si="4"/>
        <v>28159.858735060734</v>
      </c>
      <c r="H69" s="51" t="s">
        <v>120</v>
      </c>
      <c r="J69" s="14">
        <f>SUM(D57:D68)</f>
        <v>8188.0618372951531</v>
      </c>
    </row>
    <row r="70" spans="1:10" ht="15.75" x14ac:dyDescent="0.25">
      <c r="A70">
        <v>62</v>
      </c>
      <c r="B70" s="73">
        <f t="shared" si="0"/>
        <v>904.74747229086745</v>
      </c>
      <c r="C70" s="74">
        <f t="shared" si="1"/>
        <v>187.73239156707157</v>
      </c>
      <c r="D70" s="73">
        <f t="shared" si="2"/>
        <v>717.0150807237959</v>
      </c>
      <c r="E70" s="75">
        <f t="shared" si="3"/>
        <v>0</v>
      </c>
      <c r="F70" s="75">
        <f t="shared" si="4"/>
        <v>27442.843654336939</v>
      </c>
      <c r="H70" s="51"/>
    </row>
    <row r="71" spans="1:10" ht="15.75" x14ac:dyDescent="0.25">
      <c r="A71">
        <v>63</v>
      </c>
      <c r="B71" s="73">
        <f t="shared" si="0"/>
        <v>904.74747229086745</v>
      </c>
      <c r="C71" s="74">
        <f t="shared" si="1"/>
        <v>182.95229102891292</v>
      </c>
      <c r="D71" s="73">
        <f t="shared" si="2"/>
        <v>721.79518126195455</v>
      </c>
      <c r="E71" s="75">
        <f t="shared" si="3"/>
        <v>0</v>
      </c>
      <c r="F71" s="75">
        <f t="shared" si="4"/>
        <v>26721.048473074985</v>
      </c>
      <c r="H71" s="51"/>
    </row>
    <row r="72" spans="1:10" ht="15.75" x14ac:dyDescent="0.25">
      <c r="A72">
        <v>64</v>
      </c>
      <c r="B72" s="73">
        <f t="shared" si="0"/>
        <v>904.74747229086745</v>
      </c>
      <c r="C72" s="74">
        <f t="shared" si="1"/>
        <v>178.14032315383324</v>
      </c>
      <c r="D72" s="73">
        <f t="shared" si="2"/>
        <v>726.60714913703418</v>
      </c>
      <c r="E72" s="75">
        <f t="shared" si="3"/>
        <v>0</v>
      </c>
      <c r="F72" s="75">
        <f t="shared" si="4"/>
        <v>25994.44132393795</v>
      </c>
      <c r="H72" s="51"/>
    </row>
    <row r="73" spans="1:10" ht="15.75" x14ac:dyDescent="0.25">
      <c r="A73">
        <v>65</v>
      </c>
      <c r="B73" s="73">
        <f t="shared" si="0"/>
        <v>904.74747229086745</v>
      </c>
      <c r="C73" s="74">
        <f t="shared" si="1"/>
        <v>173.29627549291968</v>
      </c>
      <c r="D73" s="73">
        <f t="shared" si="2"/>
        <v>731.45119679794777</v>
      </c>
      <c r="E73" s="75">
        <f t="shared" si="3"/>
        <v>0</v>
      </c>
      <c r="F73" s="75">
        <f t="shared" si="4"/>
        <v>25262.990127140001</v>
      </c>
      <c r="H73" s="51"/>
    </row>
    <row r="74" spans="1:10" ht="15.75" x14ac:dyDescent="0.25">
      <c r="A74">
        <v>66</v>
      </c>
      <c r="B74" s="73">
        <f t="shared" ref="B74:B137" si="5">PMT($C$4/12,$C$5,-$C$3)</f>
        <v>904.74747229086745</v>
      </c>
      <c r="C74" s="74">
        <f t="shared" ref="C74:C137" si="6">F73*($C$4/12)</f>
        <v>168.41993418093335</v>
      </c>
      <c r="D74" s="73">
        <f t="shared" ref="D74:D137" si="7">B74-C74</f>
        <v>736.32753810993404</v>
      </c>
      <c r="E74" s="75">
        <f t="shared" ref="E74:E137" si="8">$F$3</f>
        <v>0</v>
      </c>
      <c r="F74" s="75">
        <f t="shared" ref="F74:F137" si="9">F73-D74-E74</f>
        <v>24526.662589030067</v>
      </c>
      <c r="H74" s="51"/>
    </row>
    <row r="75" spans="1:10" ht="15.75" x14ac:dyDescent="0.25">
      <c r="A75">
        <v>67</v>
      </c>
      <c r="B75" s="73">
        <f t="shared" si="5"/>
        <v>904.74747229086745</v>
      </c>
      <c r="C75" s="74">
        <f t="shared" si="6"/>
        <v>163.51108392686712</v>
      </c>
      <c r="D75" s="73">
        <f t="shared" si="7"/>
        <v>741.23638836400028</v>
      </c>
      <c r="E75" s="75">
        <f t="shared" si="8"/>
        <v>0</v>
      </c>
      <c r="F75" s="75">
        <f t="shared" si="9"/>
        <v>23785.426200666068</v>
      </c>
      <c r="H75" s="51"/>
    </row>
    <row r="76" spans="1:10" ht="15.75" x14ac:dyDescent="0.25">
      <c r="A76">
        <v>68</v>
      </c>
      <c r="B76" s="73">
        <f t="shared" si="5"/>
        <v>904.74747229086745</v>
      </c>
      <c r="C76" s="74">
        <f t="shared" si="6"/>
        <v>158.56950800444048</v>
      </c>
      <c r="D76" s="73">
        <f t="shared" si="7"/>
        <v>746.17796428642691</v>
      </c>
      <c r="E76" s="75">
        <f t="shared" si="8"/>
        <v>0</v>
      </c>
      <c r="F76" s="75">
        <f t="shared" si="9"/>
        <v>23039.248236379641</v>
      </c>
      <c r="H76" s="51"/>
    </row>
    <row r="77" spans="1:10" ht="15.75" x14ac:dyDescent="0.25">
      <c r="A77">
        <v>69</v>
      </c>
      <c r="B77" s="73">
        <f t="shared" si="5"/>
        <v>904.74747229086745</v>
      </c>
      <c r="C77" s="74">
        <f t="shared" si="6"/>
        <v>153.59498824253095</v>
      </c>
      <c r="D77" s="73">
        <f t="shared" si="7"/>
        <v>751.15248404833653</v>
      </c>
      <c r="E77" s="75">
        <f t="shared" si="8"/>
        <v>0</v>
      </c>
      <c r="F77" s="75">
        <f t="shared" si="9"/>
        <v>22288.095752331305</v>
      </c>
      <c r="H77" s="51"/>
    </row>
    <row r="78" spans="1:10" ht="15.75" x14ac:dyDescent="0.25">
      <c r="A78">
        <v>70</v>
      </c>
      <c r="B78" s="73">
        <f t="shared" si="5"/>
        <v>904.74747229086745</v>
      </c>
      <c r="C78" s="74">
        <f t="shared" si="6"/>
        <v>148.58730501554203</v>
      </c>
      <c r="D78" s="73">
        <f t="shared" si="7"/>
        <v>756.16016727532542</v>
      </c>
      <c r="E78" s="75">
        <f t="shared" si="8"/>
        <v>0</v>
      </c>
      <c r="F78" s="75">
        <f t="shared" si="9"/>
        <v>21531.93558505598</v>
      </c>
      <c r="H78" s="51"/>
    </row>
    <row r="79" spans="1:10" ht="15.75" x14ac:dyDescent="0.25">
      <c r="A79">
        <v>71</v>
      </c>
      <c r="B79" s="73">
        <f t="shared" si="5"/>
        <v>904.74747229086745</v>
      </c>
      <c r="C79" s="74">
        <f t="shared" si="6"/>
        <v>143.54623723370653</v>
      </c>
      <c r="D79" s="73">
        <f t="shared" si="7"/>
        <v>761.20123505716094</v>
      </c>
      <c r="E79" s="75">
        <f t="shared" si="8"/>
        <v>0</v>
      </c>
      <c r="F79" s="75">
        <f t="shared" si="9"/>
        <v>20770.73434999882</v>
      </c>
      <c r="H79" s="79">
        <v>2018</v>
      </c>
    </row>
    <row r="80" spans="1:10" ht="15.75" x14ac:dyDescent="0.25">
      <c r="A80">
        <v>72</v>
      </c>
      <c r="B80" s="73">
        <f t="shared" si="5"/>
        <v>904.74747229086745</v>
      </c>
      <c r="C80" s="74">
        <f t="shared" si="6"/>
        <v>138.47156233332547</v>
      </c>
      <c r="D80" s="73">
        <f t="shared" si="7"/>
        <v>766.27590995754201</v>
      </c>
      <c r="E80" s="75">
        <f t="shared" si="8"/>
        <v>0</v>
      </c>
      <c r="F80" s="75">
        <f t="shared" si="9"/>
        <v>20004.458440041279</v>
      </c>
      <c r="H80" s="80" t="s">
        <v>119</v>
      </c>
      <c r="J80" s="5">
        <f>SUM(C69:C80)</f>
        <v>1989.3027359903585</v>
      </c>
    </row>
    <row r="81" spans="1:10" ht="15.75" x14ac:dyDescent="0.25">
      <c r="A81">
        <v>73</v>
      </c>
      <c r="B81" s="73">
        <f t="shared" si="5"/>
        <v>904.74747229086745</v>
      </c>
      <c r="C81" s="74">
        <f t="shared" si="6"/>
        <v>133.36305626694187</v>
      </c>
      <c r="D81" s="73">
        <f t="shared" si="7"/>
        <v>771.38441602392561</v>
      </c>
      <c r="E81" s="75">
        <f t="shared" si="8"/>
        <v>0</v>
      </c>
      <c r="F81" s="75">
        <f t="shared" si="9"/>
        <v>19233.074024017355</v>
      </c>
      <c r="H81" s="51" t="s">
        <v>120</v>
      </c>
      <c r="J81" s="14">
        <f>SUM(D69:D80)</f>
        <v>8867.6669315000509</v>
      </c>
    </row>
    <row r="82" spans="1:10" x14ac:dyDescent="0.25">
      <c r="A82">
        <v>74</v>
      </c>
      <c r="B82" s="73">
        <f t="shared" si="5"/>
        <v>904.74747229086745</v>
      </c>
      <c r="C82" s="74">
        <f t="shared" si="6"/>
        <v>128.22049349344903</v>
      </c>
      <c r="D82" s="73">
        <f t="shared" si="7"/>
        <v>776.52697879741845</v>
      </c>
      <c r="E82" s="75">
        <f t="shared" si="8"/>
        <v>0</v>
      </c>
      <c r="F82" s="75">
        <f t="shared" si="9"/>
        <v>18456.547045219937</v>
      </c>
    </row>
    <row r="83" spans="1:10" x14ac:dyDescent="0.25">
      <c r="A83">
        <v>75</v>
      </c>
      <c r="B83" s="73">
        <f t="shared" si="5"/>
        <v>904.74747229086745</v>
      </c>
      <c r="C83" s="74">
        <f t="shared" si="6"/>
        <v>123.04364696813292</v>
      </c>
      <c r="D83" s="73">
        <f t="shared" si="7"/>
        <v>781.70382532273447</v>
      </c>
      <c r="E83" s="75">
        <f t="shared" si="8"/>
        <v>0</v>
      </c>
      <c r="F83" s="75">
        <f t="shared" si="9"/>
        <v>17674.843219897204</v>
      </c>
    </row>
    <row r="84" spans="1:10" x14ac:dyDescent="0.25">
      <c r="A84">
        <v>76</v>
      </c>
      <c r="B84" s="73">
        <f t="shared" si="5"/>
        <v>904.74747229086745</v>
      </c>
      <c r="C84" s="74">
        <f t="shared" si="6"/>
        <v>117.83228813264803</v>
      </c>
      <c r="D84" s="73">
        <f t="shared" si="7"/>
        <v>786.9151841582194</v>
      </c>
      <c r="E84" s="75">
        <f t="shared" si="8"/>
        <v>0</v>
      </c>
      <c r="F84" s="75">
        <f t="shared" si="9"/>
        <v>16887.928035738983</v>
      </c>
    </row>
    <row r="85" spans="1:10" x14ac:dyDescent="0.25">
      <c r="A85">
        <v>77</v>
      </c>
      <c r="B85" s="73">
        <f t="shared" si="5"/>
        <v>904.74747229086745</v>
      </c>
      <c r="C85" s="74">
        <f t="shared" si="6"/>
        <v>112.58618690492656</v>
      </c>
      <c r="D85" s="73">
        <f t="shared" si="7"/>
        <v>792.16128538594091</v>
      </c>
      <c r="E85" s="75">
        <f t="shared" si="8"/>
        <v>0</v>
      </c>
      <c r="F85" s="75">
        <f t="shared" si="9"/>
        <v>16095.766750353043</v>
      </c>
    </row>
    <row r="86" spans="1:10" x14ac:dyDescent="0.25">
      <c r="A86">
        <v>78</v>
      </c>
      <c r="B86" s="73">
        <f t="shared" si="5"/>
        <v>904.74747229086745</v>
      </c>
      <c r="C86" s="74">
        <f t="shared" si="6"/>
        <v>107.30511166902029</v>
      </c>
      <c r="D86" s="73">
        <f t="shared" si="7"/>
        <v>797.44236062184711</v>
      </c>
      <c r="E86" s="75">
        <f t="shared" si="8"/>
        <v>0</v>
      </c>
      <c r="F86" s="75">
        <f t="shared" si="9"/>
        <v>15298.324389731195</v>
      </c>
    </row>
    <row r="87" spans="1:10" x14ac:dyDescent="0.25">
      <c r="A87">
        <v>79</v>
      </c>
      <c r="B87" s="73">
        <f t="shared" si="5"/>
        <v>904.74747229086745</v>
      </c>
      <c r="C87" s="74">
        <f t="shared" si="6"/>
        <v>101.98882926487464</v>
      </c>
      <c r="D87" s="73">
        <f t="shared" si="7"/>
        <v>802.7586430259928</v>
      </c>
      <c r="E87" s="75">
        <f t="shared" si="8"/>
        <v>0</v>
      </c>
      <c r="F87" s="75">
        <f t="shared" si="9"/>
        <v>14495.565746705202</v>
      </c>
    </row>
    <row r="88" spans="1:10" x14ac:dyDescent="0.25">
      <c r="A88">
        <v>80</v>
      </c>
      <c r="B88" s="73">
        <f t="shared" si="5"/>
        <v>904.74747229086745</v>
      </c>
      <c r="C88" s="74">
        <f t="shared" si="6"/>
        <v>96.637104978034685</v>
      </c>
      <c r="D88" s="73">
        <f t="shared" si="7"/>
        <v>808.11036731283275</v>
      </c>
      <c r="E88" s="75">
        <f t="shared" si="8"/>
        <v>0</v>
      </c>
      <c r="F88" s="75">
        <f t="shared" si="9"/>
        <v>13687.45537939237</v>
      </c>
    </row>
    <row r="89" spans="1:10" x14ac:dyDescent="0.25">
      <c r="A89">
        <v>81</v>
      </c>
      <c r="B89" s="73">
        <f t="shared" si="5"/>
        <v>904.74747229086745</v>
      </c>
      <c r="C89" s="74">
        <f t="shared" si="6"/>
        <v>91.249702529282473</v>
      </c>
      <c r="D89" s="73">
        <f t="shared" si="7"/>
        <v>813.497769761585</v>
      </c>
      <c r="E89" s="75">
        <f t="shared" si="8"/>
        <v>0</v>
      </c>
      <c r="F89" s="75">
        <f t="shared" si="9"/>
        <v>12873.957609630785</v>
      </c>
    </row>
    <row r="90" spans="1:10" x14ac:dyDescent="0.25">
      <c r="A90">
        <v>82</v>
      </c>
      <c r="B90" s="73">
        <f t="shared" si="5"/>
        <v>904.74747229086745</v>
      </c>
      <c r="C90" s="74">
        <f t="shared" si="6"/>
        <v>85.826384064205243</v>
      </c>
      <c r="D90" s="73">
        <f t="shared" si="7"/>
        <v>818.92108822666216</v>
      </c>
      <c r="E90" s="75">
        <f t="shared" si="8"/>
        <v>0</v>
      </c>
      <c r="F90" s="75">
        <f t="shared" si="9"/>
        <v>12055.036521404123</v>
      </c>
    </row>
    <row r="91" spans="1:10" ht="15.75" x14ac:dyDescent="0.25">
      <c r="A91">
        <v>83</v>
      </c>
      <c r="B91" s="73">
        <f t="shared" si="5"/>
        <v>904.74747229086745</v>
      </c>
      <c r="C91" s="74">
        <f t="shared" si="6"/>
        <v>80.366910142694152</v>
      </c>
      <c r="D91" s="73">
        <f t="shared" si="7"/>
        <v>824.38056214817334</v>
      </c>
      <c r="E91" s="75">
        <f t="shared" si="8"/>
        <v>0</v>
      </c>
      <c r="F91" s="75">
        <f t="shared" si="9"/>
        <v>11230.65595925595</v>
      </c>
      <c r="H91" s="81">
        <v>2019</v>
      </c>
    </row>
    <row r="92" spans="1:10" ht="15.75" x14ac:dyDescent="0.25">
      <c r="A92">
        <v>84</v>
      </c>
      <c r="B92" s="73">
        <f t="shared" si="5"/>
        <v>904.74747229086745</v>
      </c>
      <c r="C92" s="74">
        <f t="shared" si="6"/>
        <v>74.871039728373006</v>
      </c>
      <c r="D92" s="73">
        <f t="shared" si="7"/>
        <v>829.87643256249441</v>
      </c>
      <c r="E92" s="75">
        <f t="shared" si="8"/>
        <v>0</v>
      </c>
      <c r="F92" s="75">
        <f t="shared" si="9"/>
        <v>10400.779526693455</v>
      </c>
      <c r="H92" s="80" t="s">
        <v>119</v>
      </c>
      <c r="J92" s="5">
        <f>SUM(C81:C92)</f>
        <v>1253.290754142583</v>
      </c>
    </row>
    <row r="93" spans="1:10" ht="15.75" x14ac:dyDescent="0.25">
      <c r="A93">
        <v>85</v>
      </c>
      <c r="B93" s="73">
        <f t="shared" si="5"/>
        <v>904.74747229086745</v>
      </c>
      <c r="C93" s="74">
        <f t="shared" si="6"/>
        <v>69.338530177956372</v>
      </c>
      <c r="D93" s="73">
        <f t="shared" si="7"/>
        <v>835.40894211291106</v>
      </c>
      <c r="E93" s="75">
        <f t="shared" si="8"/>
        <v>0</v>
      </c>
      <c r="F93" s="75">
        <f t="shared" si="9"/>
        <v>9565.3705845805453</v>
      </c>
      <c r="H93" s="51" t="s">
        <v>120</v>
      </c>
      <c r="J93" s="14">
        <f>SUM(D81:D92)</f>
        <v>9603.6789133478269</v>
      </c>
    </row>
    <row r="94" spans="1:10" ht="15.75" x14ac:dyDescent="0.25">
      <c r="A94">
        <v>86</v>
      </c>
      <c r="B94" s="73">
        <f t="shared" si="5"/>
        <v>904.74747229086745</v>
      </c>
      <c r="C94" s="74">
        <f t="shared" si="6"/>
        <v>63.76913723053697</v>
      </c>
      <c r="D94" s="73">
        <f t="shared" si="7"/>
        <v>840.97833506033044</v>
      </c>
      <c r="E94" s="75">
        <f t="shared" si="8"/>
        <v>0</v>
      </c>
      <c r="F94" s="75">
        <f t="shared" si="9"/>
        <v>8724.392249520215</v>
      </c>
      <c r="H94" s="51"/>
      <c r="J94" s="14"/>
    </row>
    <row r="95" spans="1:10" ht="15.75" x14ac:dyDescent="0.25">
      <c r="A95">
        <v>87</v>
      </c>
      <c r="B95" s="73">
        <f t="shared" si="5"/>
        <v>904.74747229086745</v>
      </c>
      <c r="C95" s="74">
        <f t="shared" si="6"/>
        <v>58.162614996801437</v>
      </c>
      <c r="D95" s="73">
        <f t="shared" si="7"/>
        <v>846.58485729406607</v>
      </c>
      <c r="E95" s="75">
        <f t="shared" si="8"/>
        <v>0</v>
      </c>
      <c r="F95" s="75">
        <f t="shared" si="9"/>
        <v>7877.8073922261492</v>
      </c>
      <c r="H95" s="51"/>
    </row>
    <row r="96" spans="1:10" ht="15.75" x14ac:dyDescent="0.25">
      <c r="A96">
        <v>88</v>
      </c>
      <c r="B96" s="73">
        <f t="shared" si="5"/>
        <v>904.74747229086745</v>
      </c>
      <c r="C96" s="74">
        <f t="shared" si="6"/>
        <v>52.518715948174332</v>
      </c>
      <c r="D96" s="73">
        <f t="shared" si="7"/>
        <v>852.22875634269315</v>
      </c>
      <c r="E96" s="75">
        <f t="shared" si="8"/>
        <v>0</v>
      </c>
      <c r="F96" s="75">
        <f t="shared" si="9"/>
        <v>7025.5786358834557</v>
      </c>
      <c r="H96" s="51"/>
    </row>
    <row r="97" spans="1:10" ht="15.75" x14ac:dyDescent="0.25">
      <c r="A97">
        <v>89</v>
      </c>
      <c r="B97" s="73">
        <f t="shared" si="5"/>
        <v>904.74747229086745</v>
      </c>
      <c r="C97" s="74">
        <f t="shared" si="6"/>
        <v>46.837190905889706</v>
      </c>
      <c r="D97" s="73">
        <f t="shared" si="7"/>
        <v>857.91028138497779</v>
      </c>
      <c r="E97" s="75">
        <f t="shared" si="8"/>
        <v>0</v>
      </c>
      <c r="F97" s="75">
        <f t="shared" si="9"/>
        <v>6167.668354498478</v>
      </c>
      <c r="H97" s="51"/>
    </row>
    <row r="98" spans="1:10" ht="15.75" x14ac:dyDescent="0.25">
      <c r="A98">
        <v>90</v>
      </c>
      <c r="B98" s="73">
        <f t="shared" si="5"/>
        <v>904.74747229086745</v>
      </c>
      <c r="C98" s="74">
        <f t="shared" si="6"/>
        <v>41.117789029989858</v>
      </c>
      <c r="D98" s="73">
        <f t="shared" si="7"/>
        <v>863.62968326087764</v>
      </c>
      <c r="E98" s="75">
        <f t="shared" si="8"/>
        <v>0</v>
      </c>
      <c r="F98" s="75">
        <f t="shared" si="9"/>
        <v>5304.0386712376003</v>
      </c>
      <c r="H98" s="51"/>
    </row>
    <row r="99" spans="1:10" ht="15.75" x14ac:dyDescent="0.25">
      <c r="A99">
        <v>91</v>
      </c>
      <c r="B99" s="73">
        <f t="shared" si="5"/>
        <v>904.74747229086745</v>
      </c>
      <c r="C99" s="74">
        <f t="shared" si="6"/>
        <v>35.360257808250672</v>
      </c>
      <c r="D99" s="73">
        <f t="shared" si="7"/>
        <v>869.38721448261674</v>
      </c>
      <c r="E99" s="75">
        <f t="shared" si="8"/>
        <v>0</v>
      </c>
      <c r="F99" s="75">
        <f t="shared" si="9"/>
        <v>4434.6514567549839</v>
      </c>
      <c r="H99" s="51"/>
    </row>
    <row r="100" spans="1:10" ht="15.75" x14ac:dyDescent="0.25">
      <c r="A100">
        <v>92</v>
      </c>
      <c r="B100" s="73">
        <f t="shared" si="5"/>
        <v>904.74747229086745</v>
      </c>
      <c r="C100" s="74">
        <f t="shared" si="6"/>
        <v>29.564343045033226</v>
      </c>
      <c r="D100" s="73">
        <f t="shared" si="7"/>
        <v>875.18312924583427</v>
      </c>
      <c r="E100" s="75">
        <f t="shared" si="8"/>
        <v>0</v>
      </c>
      <c r="F100" s="75">
        <f t="shared" si="9"/>
        <v>3559.4683275091497</v>
      </c>
      <c r="H100" s="51"/>
    </row>
    <row r="101" spans="1:10" ht="15.75" x14ac:dyDescent="0.25">
      <c r="A101">
        <v>93</v>
      </c>
      <c r="B101" s="73">
        <f t="shared" si="5"/>
        <v>904.74747229086745</v>
      </c>
      <c r="C101" s="74">
        <f t="shared" si="6"/>
        <v>23.729788850060999</v>
      </c>
      <c r="D101" s="73">
        <f t="shared" si="7"/>
        <v>881.01768344080642</v>
      </c>
      <c r="E101" s="75">
        <f t="shared" si="8"/>
        <v>0</v>
      </c>
      <c r="F101" s="75">
        <f t="shared" si="9"/>
        <v>2678.4506440683435</v>
      </c>
      <c r="H101" s="51"/>
    </row>
    <row r="102" spans="1:10" ht="15.75" x14ac:dyDescent="0.25">
      <c r="A102">
        <v>94</v>
      </c>
      <c r="B102" s="73">
        <f t="shared" si="5"/>
        <v>904.74747229086745</v>
      </c>
      <c r="C102" s="74">
        <f t="shared" si="6"/>
        <v>17.85633762712229</v>
      </c>
      <c r="D102" s="73">
        <f t="shared" si="7"/>
        <v>886.89113466374511</v>
      </c>
      <c r="E102" s="75">
        <f t="shared" si="8"/>
        <v>0</v>
      </c>
      <c r="F102" s="75">
        <f t="shared" si="9"/>
        <v>1791.5595094045984</v>
      </c>
      <c r="H102" s="51"/>
    </row>
    <row r="103" spans="1:10" ht="15.75" x14ac:dyDescent="0.25">
      <c r="A103">
        <v>95</v>
      </c>
      <c r="B103" s="73">
        <f t="shared" si="5"/>
        <v>904.74747229086745</v>
      </c>
      <c r="C103" s="74">
        <f t="shared" si="6"/>
        <v>11.943730062697323</v>
      </c>
      <c r="D103" s="73">
        <f t="shared" si="7"/>
        <v>892.80374222817011</v>
      </c>
      <c r="E103" s="75">
        <f t="shared" si="8"/>
        <v>0</v>
      </c>
      <c r="F103" s="75">
        <f t="shared" si="9"/>
        <v>898.75576717642832</v>
      </c>
      <c r="H103" s="81">
        <v>2020</v>
      </c>
    </row>
    <row r="104" spans="1:10" ht="15.75" x14ac:dyDescent="0.25">
      <c r="A104">
        <v>96</v>
      </c>
      <c r="B104" s="73">
        <f t="shared" si="5"/>
        <v>904.74747229086745</v>
      </c>
      <c r="C104" s="74">
        <f t="shared" si="6"/>
        <v>5.9917051145095224</v>
      </c>
      <c r="D104" s="73">
        <f t="shared" si="7"/>
        <v>898.75576717635795</v>
      </c>
      <c r="E104" s="75">
        <f t="shared" si="8"/>
        <v>0</v>
      </c>
      <c r="F104" s="75">
        <f t="shared" si="9"/>
        <v>7.0372152549680322E-11</v>
      </c>
      <c r="H104" s="80" t="s">
        <v>119</v>
      </c>
      <c r="J104" s="5">
        <f>SUM(C93:C104)</f>
        <v>456.19014079702271</v>
      </c>
    </row>
    <row r="105" spans="1:10" ht="15.75" x14ac:dyDescent="0.25">
      <c r="A105">
        <v>97</v>
      </c>
      <c r="B105" s="73">
        <f t="shared" si="5"/>
        <v>904.74747229086745</v>
      </c>
      <c r="C105" s="74">
        <f t="shared" si="6"/>
        <v>4.6914768366453551E-13</v>
      </c>
      <c r="D105" s="73">
        <f t="shared" si="7"/>
        <v>904.74747229086699</v>
      </c>
      <c r="E105" s="75">
        <f t="shared" si="8"/>
        <v>0</v>
      </c>
      <c r="F105" s="75">
        <f t="shared" si="9"/>
        <v>-904.74747229079662</v>
      </c>
      <c r="H105" s="51" t="s">
        <v>120</v>
      </c>
      <c r="J105" s="14">
        <f>SUM(D93:D104)</f>
        <v>10400.779526693386</v>
      </c>
    </row>
    <row r="106" spans="1:10" x14ac:dyDescent="0.25">
      <c r="A106">
        <v>98</v>
      </c>
      <c r="B106" s="73">
        <f t="shared" si="5"/>
        <v>904.74747229086745</v>
      </c>
      <c r="C106" s="74">
        <f t="shared" si="6"/>
        <v>-6.0316498152719777</v>
      </c>
      <c r="D106" s="73">
        <f t="shared" si="7"/>
        <v>910.77912210613943</v>
      </c>
      <c r="E106" s="75">
        <f t="shared" si="8"/>
        <v>0</v>
      </c>
      <c r="F106" s="75">
        <f t="shared" si="9"/>
        <v>-1815.5265943969362</v>
      </c>
    </row>
    <row r="107" spans="1:10" x14ac:dyDescent="0.25">
      <c r="A107">
        <v>99</v>
      </c>
      <c r="B107" s="73">
        <f t="shared" si="5"/>
        <v>904.74747229086745</v>
      </c>
      <c r="C107" s="74">
        <f t="shared" si="6"/>
        <v>-12.103510629312909</v>
      </c>
      <c r="D107" s="73">
        <f t="shared" si="7"/>
        <v>916.8509829201804</v>
      </c>
      <c r="E107" s="75">
        <f t="shared" si="8"/>
        <v>0</v>
      </c>
      <c r="F107" s="75">
        <f t="shared" si="9"/>
        <v>-2732.3775773171164</v>
      </c>
    </row>
    <row r="108" spans="1:10" x14ac:dyDescent="0.25">
      <c r="A108">
        <v>100</v>
      </c>
      <c r="B108" s="73">
        <f t="shared" si="5"/>
        <v>904.74747229086745</v>
      </c>
      <c r="C108" s="74">
        <f t="shared" si="6"/>
        <v>-18.215850515447443</v>
      </c>
      <c r="D108" s="73">
        <f t="shared" si="7"/>
        <v>922.96332280631486</v>
      </c>
      <c r="E108" s="75">
        <f t="shared" si="8"/>
        <v>0</v>
      </c>
      <c r="F108" s="75">
        <f t="shared" si="9"/>
        <v>-3655.3409001234313</v>
      </c>
    </row>
    <row r="109" spans="1:10" x14ac:dyDescent="0.25">
      <c r="A109">
        <v>101</v>
      </c>
      <c r="B109" s="73">
        <f t="shared" si="5"/>
        <v>904.74747229086745</v>
      </c>
      <c r="C109" s="74">
        <f t="shared" si="6"/>
        <v>-24.368939334156209</v>
      </c>
      <c r="D109" s="73">
        <f t="shared" si="7"/>
        <v>929.1164116250236</v>
      </c>
      <c r="E109" s="75">
        <f t="shared" si="8"/>
        <v>0</v>
      </c>
      <c r="F109" s="75">
        <f t="shared" si="9"/>
        <v>-4584.4573117484551</v>
      </c>
    </row>
    <row r="110" spans="1:10" x14ac:dyDescent="0.25">
      <c r="A110">
        <v>102</v>
      </c>
      <c r="B110" s="73">
        <f t="shared" si="5"/>
        <v>904.74747229086745</v>
      </c>
      <c r="C110" s="74">
        <f t="shared" si="6"/>
        <v>-30.563048744989704</v>
      </c>
      <c r="D110" s="73">
        <f t="shared" si="7"/>
        <v>935.31052103585716</v>
      </c>
      <c r="E110" s="75">
        <f t="shared" si="8"/>
        <v>0</v>
      </c>
      <c r="F110" s="75">
        <f t="shared" si="9"/>
        <v>-5519.7678327843123</v>
      </c>
    </row>
    <row r="111" spans="1:10" x14ac:dyDescent="0.25">
      <c r="A111">
        <v>103</v>
      </c>
      <c r="B111" s="73">
        <f t="shared" si="5"/>
        <v>904.74747229086745</v>
      </c>
      <c r="C111" s="74">
        <f t="shared" si="6"/>
        <v>-36.798452218562083</v>
      </c>
      <c r="D111" s="73">
        <f t="shared" si="7"/>
        <v>941.54592450942948</v>
      </c>
      <c r="E111" s="75">
        <f t="shared" si="8"/>
        <v>0</v>
      </c>
      <c r="F111" s="75">
        <f t="shared" si="9"/>
        <v>-6461.3137572937421</v>
      </c>
    </row>
    <row r="112" spans="1:10" x14ac:dyDescent="0.25">
      <c r="A112">
        <v>104</v>
      </c>
      <c r="B112" s="73">
        <f t="shared" si="5"/>
        <v>904.74747229086745</v>
      </c>
      <c r="C112" s="74">
        <f t="shared" si="6"/>
        <v>-43.07542504862495</v>
      </c>
      <c r="D112" s="73">
        <f t="shared" si="7"/>
        <v>947.82289733949244</v>
      </c>
      <c r="E112" s="75">
        <f t="shared" si="8"/>
        <v>0</v>
      </c>
      <c r="F112" s="75">
        <f t="shared" si="9"/>
        <v>-7409.1366546332347</v>
      </c>
    </row>
    <row r="113" spans="1:6" x14ac:dyDescent="0.25">
      <c r="A113">
        <v>105</v>
      </c>
      <c r="B113" s="73">
        <f t="shared" si="5"/>
        <v>904.74747229086745</v>
      </c>
      <c r="C113" s="74">
        <f t="shared" si="6"/>
        <v>-49.394244364221571</v>
      </c>
      <c r="D113" s="73">
        <f t="shared" si="7"/>
        <v>954.141716655089</v>
      </c>
      <c r="E113" s="75">
        <f t="shared" si="8"/>
        <v>0</v>
      </c>
      <c r="F113" s="75">
        <f t="shared" si="9"/>
        <v>-8363.2783712883229</v>
      </c>
    </row>
    <row r="114" spans="1:6" x14ac:dyDescent="0.25">
      <c r="A114">
        <v>106</v>
      </c>
      <c r="B114" s="73">
        <f t="shared" si="5"/>
        <v>904.74747229086745</v>
      </c>
      <c r="C114" s="74">
        <f t="shared" si="6"/>
        <v>-55.755189141922159</v>
      </c>
      <c r="D114" s="73">
        <f t="shared" si="7"/>
        <v>960.50266143278964</v>
      </c>
      <c r="E114" s="75">
        <f t="shared" si="8"/>
        <v>0</v>
      </c>
      <c r="F114" s="75">
        <f t="shared" si="9"/>
        <v>-9323.7810327211118</v>
      </c>
    </row>
    <row r="115" spans="1:6" x14ac:dyDescent="0.25">
      <c r="A115">
        <v>107</v>
      </c>
      <c r="B115" s="73">
        <f t="shared" si="5"/>
        <v>904.74747229086745</v>
      </c>
      <c r="C115" s="74">
        <f t="shared" si="6"/>
        <v>-62.15854021814075</v>
      </c>
      <c r="D115" s="73">
        <f t="shared" si="7"/>
        <v>966.90601250900818</v>
      </c>
      <c r="E115" s="75">
        <f t="shared" si="8"/>
        <v>0</v>
      </c>
      <c r="F115" s="75">
        <f t="shared" si="9"/>
        <v>-10290.687045230119</v>
      </c>
    </row>
    <row r="116" spans="1:6" x14ac:dyDescent="0.25">
      <c r="A116">
        <v>108</v>
      </c>
      <c r="B116" s="73">
        <f t="shared" si="5"/>
        <v>904.74747229086745</v>
      </c>
      <c r="C116" s="74">
        <f t="shared" si="6"/>
        <v>-68.604580301534128</v>
      </c>
      <c r="D116" s="73">
        <f t="shared" si="7"/>
        <v>973.35205259240161</v>
      </c>
      <c r="E116" s="75">
        <f t="shared" si="8"/>
        <v>0</v>
      </c>
      <c r="F116" s="75">
        <f t="shared" si="9"/>
        <v>-11264.03909782252</v>
      </c>
    </row>
    <row r="117" spans="1:6" x14ac:dyDescent="0.25">
      <c r="A117">
        <v>109</v>
      </c>
      <c r="B117" s="73">
        <f t="shared" si="5"/>
        <v>904.74747229086745</v>
      </c>
      <c r="C117" s="74">
        <f t="shared" si="6"/>
        <v>-75.09359398548348</v>
      </c>
      <c r="D117" s="73">
        <f t="shared" si="7"/>
        <v>979.84106627635094</v>
      </c>
      <c r="E117" s="75">
        <f t="shared" si="8"/>
        <v>0</v>
      </c>
      <c r="F117" s="75">
        <f t="shared" si="9"/>
        <v>-12243.880164098871</v>
      </c>
    </row>
    <row r="118" spans="1:6" x14ac:dyDescent="0.25">
      <c r="A118">
        <v>110</v>
      </c>
      <c r="B118" s="73">
        <f t="shared" si="5"/>
        <v>904.74747229086745</v>
      </c>
      <c r="C118" s="74">
        <f t="shared" si="6"/>
        <v>-81.625867760659148</v>
      </c>
      <c r="D118" s="73">
        <f t="shared" si="7"/>
        <v>986.37334005152661</v>
      </c>
      <c r="E118" s="75">
        <f t="shared" si="8"/>
        <v>0</v>
      </c>
      <c r="F118" s="75">
        <f t="shared" si="9"/>
        <v>-13230.253504150398</v>
      </c>
    </row>
    <row r="119" spans="1:6" x14ac:dyDescent="0.25">
      <c r="A119">
        <v>111</v>
      </c>
      <c r="B119" s="73">
        <f t="shared" si="5"/>
        <v>904.74747229086745</v>
      </c>
      <c r="C119" s="74">
        <f t="shared" si="6"/>
        <v>-88.201690027669329</v>
      </c>
      <c r="D119" s="73">
        <f t="shared" si="7"/>
        <v>992.94916231853676</v>
      </c>
      <c r="E119" s="75">
        <f t="shared" si="8"/>
        <v>0</v>
      </c>
      <c r="F119" s="75">
        <f t="shared" si="9"/>
        <v>-14223.202666468935</v>
      </c>
    </row>
    <row r="120" spans="1:6" x14ac:dyDescent="0.25">
      <c r="A120">
        <v>112</v>
      </c>
      <c r="B120" s="73">
        <f t="shared" si="5"/>
        <v>904.74747229086745</v>
      </c>
      <c r="C120" s="74">
        <f t="shared" si="6"/>
        <v>-94.8213511097929</v>
      </c>
      <c r="D120" s="73">
        <f t="shared" si="7"/>
        <v>999.56882340066034</v>
      </c>
      <c r="E120" s="75">
        <f t="shared" si="8"/>
        <v>0</v>
      </c>
      <c r="F120" s="75">
        <f t="shared" si="9"/>
        <v>-15222.771489869596</v>
      </c>
    </row>
    <row r="121" spans="1:6" x14ac:dyDescent="0.25">
      <c r="A121">
        <v>113</v>
      </c>
      <c r="B121" s="73">
        <f t="shared" si="5"/>
        <v>904.74747229086745</v>
      </c>
      <c r="C121" s="74">
        <f t="shared" si="6"/>
        <v>-101.4851432657973</v>
      </c>
      <c r="D121" s="73">
        <f t="shared" si="7"/>
        <v>1006.2326155566648</v>
      </c>
      <c r="E121" s="75">
        <f t="shared" si="8"/>
        <v>0</v>
      </c>
      <c r="F121" s="75">
        <f t="shared" si="9"/>
        <v>-16229.00410542626</v>
      </c>
    </row>
    <row r="122" spans="1:6" x14ac:dyDescent="0.25">
      <c r="A122">
        <v>114</v>
      </c>
      <c r="B122" s="73">
        <f t="shared" si="5"/>
        <v>904.74747229086745</v>
      </c>
      <c r="C122" s="74">
        <f t="shared" si="6"/>
        <v>-108.19336070284174</v>
      </c>
      <c r="D122" s="73">
        <f t="shared" si="7"/>
        <v>1012.9408329937091</v>
      </c>
      <c r="E122" s="75">
        <f t="shared" si="8"/>
        <v>0</v>
      </c>
      <c r="F122" s="75">
        <f t="shared" si="9"/>
        <v>-17241.944938419969</v>
      </c>
    </row>
    <row r="123" spans="1:6" x14ac:dyDescent="0.25">
      <c r="A123">
        <v>115</v>
      </c>
      <c r="B123" s="73">
        <f t="shared" si="5"/>
        <v>904.74747229086745</v>
      </c>
      <c r="C123" s="74">
        <f t="shared" si="6"/>
        <v>-114.94629958946646</v>
      </c>
      <c r="D123" s="73">
        <f t="shared" si="7"/>
        <v>1019.6937718803339</v>
      </c>
      <c r="E123" s="75">
        <f t="shared" si="8"/>
        <v>0</v>
      </c>
      <c r="F123" s="75">
        <f t="shared" si="9"/>
        <v>-18261.638710300304</v>
      </c>
    </row>
    <row r="124" spans="1:6" x14ac:dyDescent="0.25">
      <c r="A124">
        <v>116</v>
      </c>
      <c r="B124" s="73">
        <f t="shared" si="5"/>
        <v>904.74747229086745</v>
      </c>
      <c r="C124" s="74">
        <f t="shared" si="6"/>
        <v>-121.7442580686687</v>
      </c>
      <c r="D124" s="73">
        <f t="shared" si="7"/>
        <v>1026.4917303595362</v>
      </c>
      <c r="E124" s="75">
        <f t="shared" si="8"/>
        <v>0</v>
      </c>
      <c r="F124" s="75">
        <f t="shared" si="9"/>
        <v>-19288.130440659839</v>
      </c>
    </row>
    <row r="125" spans="1:6" x14ac:dyDescent="0.25">
      <c r="A125">
        <v>117</v>
      </c>
      <c r="B125" s="73">
        <f t="shared" si="5"/>
        <v>904.74747229086745</v>
      </c>
      <c r="C125" s="74">
        <f t="shared" si="6"/>
        <v>-128.5875362710656</v>
      </c>
      <c r="D125" s="73">
        <f t="shared" si="7"/>
        <v>1033.3350085619331</v>
      </c>
      <c r="E125" s="75">
        <f t="shared" si="8"/>
        <v>0</v>
      </c>
      <c r="F125" s="75">
        <f t="shared" si="9"/>
        <v>-20321.465449221774</v>
      </c>
    </row>
    <row r="126" spans="1:6" x14ac:dyDescent="0.25">
      <c r="A126">
        <v>118</v>
      </c>
      <c r="B126" s="73">
        <f t="shared" si="5"/>
        <v>904.74747229086745</v>
      </c>
      <c r="C126" s="74">
        <f t="shared" si="6"/>
        <v>-135.47643632814518</v>
      </c>
      <c r="D126" s="73">
        <f t="shared" si="7"/>
        <v>1040.2239086190127</v>
      </c>
      <c r="E126" s="75">
        <f t="shared" si="8"/>
        <v>0</v>
      </c>
      <c r="F126" s="75">
        <f t="shared" si="9"/>
        <v>-21361.689357840787</v>
      </c>
    </row>
    <row r="127" spans="1:6" x14ac:dyDescent="0.25">
      <c r="A127">
        <v>119</v>
      </c>
      <c r="B127" s="73">
        <f t="shared" si="5"/>
        <v>904.74747229086745</v>
      </c>
      <c r="C127" s="74">
        <f t="shared" si="6"/>
        <v>-142.41126238560526</v>
      </c>
      <c r="D127" s="73">
        <f t="shared" si="7"/>
        <v>1047.1587346764727</v>
      </c>
      <c r="E127" s="75">
        <f t="shared" si="8"/>
        <v>0</v>
      </c>
      <c r="F127" s="75">
        <f t="shared" si="9"/>
        <v>-22408.848092517259</v>
      </c>
    </row>
    <row r="128" spans="1:6" x14ac:dyDescent="0.25">
      <c r="A128">
        <v>120</v>
      </c>
      <c r="B128" s="73">
        <f t="shared" si="5"/>
        <v>904.74747229086745</v>
      </c>
      <c r="C128" s="74">
        <f t="shared" si="6"/>
        <v>-149.39232061678175</v>
      </c>
      <c r="D128" s="73">
        <f t="shared" si="7"/>
        <v>1054.1397929076493</v>
      </c>
      <c r="E128" s="75">
        <f t="shared" si="8"/>
        <v>0</v>
      </c>
      <c r="F128" s="75">
        <f t="shared" si="9"/>
        <v>-23462.987885424907</v>
      </c>
    </row>
    <row r="129" spans="1:6" x14ac:dyDescent="0.25">
      <c r="A129">
        <v>121</v>
      </c>
      <c r="B129" s="73">
        <f t="shared" si="5"/>
        <v>904.74747229086745</v>
      </c>
      <c r="C129" s="74">
        <f t="shared" si="6"/>
        <v>-156.41991923616607</v>
      </c>
      <c r="D129" s="73">
        <f t="shared" si="7"/>
        <v>1061.1673915270335</v>
      </c>
      <c r="E129" s="75">
        <f t="shared" si="8"/>
        <v>0</v>
      </c>
      <c r="F129" s="75">
        <f t="shared" si="9"/>
        <v>-24524.15527695194</v>
      </c>
    </row>
    <row r="130" spans="1:6" x14ac:dyDescent="0.25">
      <c r="A130">
        <v>122</v>
      </c>
      <c r="B130" s="73">
        <f t="shared" si="5"/>
        <v>904.74747229086745</v>
      </c>
      <c r="C130" s="74">
        <f t="shared" si="6"/>
        <v>-163.49436851301294</v>
      </c>
      <c r="D130" s="73">
        <f t="shared" si="7"/>
        <v>1068.2418408038805</v>
      </c>
      <c r="E130" s="75">
        <f t="shared" si="8"/>
        <v>0</v>
      </c>
      <c r="F130" s="75">
        <f t="shared" si="9"/>
        <v>-25592.39711775582</v>
      </c>
    </row>
    <row r="131" spans="1:6" x14ac:dyDescent="0.25">
      <c r="A131">
        <v>123</v>
      </c>
      <c r="B131" s="73">
        <f t="shared" si="5"/>
        <v>904.74747229086745</v>
      </c>
      <c r="C131" s="74">
        <f t="shared" si="6"/>
        <v>-170.6159807850388</v>
      </c>
      <c r="D131" s="73">
        <f t="shared" si="7"/>
        <v>1075.3634530759064</v>
      </c>
      <c r="E131" s="75">
        <f t="shared" si="8"/>
        <v>0</v>
      </c>
      <c r="F131" s="75">
        <f t="shared" si="9"/>
        <v>-26667.760570831728</v>
      </c>
    </row>
    <row r="132" spans="1:6" x14ac:dyDescent="0.25">
      <c r="A132">
        <v>124</v>
      </c>
      <c r="B132" s="73">
        <f t="shared" si="5"/>
        <v>904.74747229086745</v>
      </c>
      <c r="C132" s="74">
        <f t="shared" si="6"/>
        <v>-177.78507047221154</v>
      </c>
      <c r="D132" s="73">
        <f t="shared" si="7"/>
        <v>1082.5325427630789</v>
      </c>
      <c r="E132" s="75">
        <f t="shared" si="8"/>
        <v>0</v>
      </c>
      <c r="F132" s="75">
        <f t="shared" si="9"/>
        <v>-27750.293113594806</v>
      </c>
    </row>
    <row r="133" spans="1:6" x14ac:dyDescent="0.25">
      <c r="A133">
        <v>125</v>
      </c>
      <c r="B133" s="73">
        <f t="shared" si="5"/>
        <v>904.74747229086745</v>
      </c>
      <c r="C133" s="74">
        <f t="shared" si="6"/>
        <v>-185.00195409063204</v>
      </c>
      <c r="D133" s="73">
        <f t="shared" si="7"/>
        <v>1089.7494263814995</v>
      </c>
      <c r="E133" s="75">
        <f t="shared" si="8"/>
        <v>0</v>
      </c>
      <c r="F133" s="75">
        <f t="shared" si="9"/>
        <v>-28840.042539976304</v>
      </c>
    </row>
    <row r="134" spans="1:6" x14ac:dyDescent="0.25">
      <c r="A134">
        <v>126</v>
      </c>
      <c r="B134" s="73">
        <f t="shared" si="5"/>
        <v>904.74747229086745</v>
      </c>
      <c r="C134" s="74">
        <f t="shared" si="6"/>
        <v>-192.2669502665087</v>
      </c>
      <c r="D134" s="73">
        <f t="shared" si="7"/>
        <v>1097.0144225573761</v>
      </c>
      <c r="E134" s="75">
        <f t="shared" si="8"/>
        <v>0</v>
      </c>
      <c r="F134" s="75">
        <f t="shared" si="9"/>
        <v>-29937.056962533679</v>
      </c>
    </row>
    <row r="135" spans="1:6" x14ac:dyDescent="0.25">
      <c r="A135">
        <v>127</v>
      </c>
      <c r="B135" s="73">
        <f t="shared" si="5"/>
        <v>904.74747229086745</v>
      </c>
      <c r="C135" s="74">
        <f t="shared" si="6"/>
        <v>-199.58037975022455</v>
      </c>
      <c r="D135" s="73">
        <f t="shared" si="7"/>
        <v>1104.327852041092</v>
      </c>
      <c r="E135" s="75">
        <f t="shared" si="8"/>
        <v>0</v>
      </c>
      <c r="F135" s="75">
        <f t="shared" si="9"/>
        <v>-31041.384814574772</v>
      </c>
    </row>
    <row r="136" spans="1:6" x14ac:dyDescent="0.25">
      <c r="A136">
        <v>128</v>
      </c>
      <c r="B136" s="73">
        <f t="shared" si="5"/>
        <v>904.74747229086745</v>
      </c>
      <c r="C136" s="74">
        <f t="shared" si="6"/>
        <v>-206.94256543049849</v>
      </c>
      <c r="D136" s="73">
        <f t="shared" si="7"/>
        <v>1111.690037721366</v>
      </c>
      <c r="E136" s="75">
        <f t="shared" si="8"/>
        <v>0</v>
      </c>
      <c r="F136" s="75">
        <f t="shared" si="9"/>
        <v>-32153.074852296137</v>
      </c>
    </row>
    <row r="137" spans="1:6" x14ac:dyDescent="0.25">
      <c r="A137">
        <v>129</v>
      </c>
      <c r="B137" s="73">
        <f t="shared" si="5"/>
        <v>904.74747229086745</v>
      </c>
      <c r="C137" s="74">
        <f t="shared" si="6"/>
        <v>-214.35383234864094</v>
      </c>
      <c r="D137" s="73">
        <f t="shared" si="7"/>
        <v>1119.1013046395083</v>
      </c>
      <c r="E137" s="75">
        <f t="shared" si="8"/>
        <v>0</v>
      </c>
      <c r="F137" s="75">
        <f t="shared" si="9"/>
        <v>-33272.176156935646</v>
      </c>
    </row>
    <row r="138" spans="1:6" x14ac:dyDescent="0.25">
      <c r="A138">
        <v>130</v>
      </c>
      <c r="B138" s="73">
        <f t="shared" ref="B138:B201" si="10">PMT($C$4/12,$C$5,-$C$3)</f>
        <v>904.74747229086745</v>
      </c>
      <c r="C138" s="74">
        <f t="shared" ref="C138:C201" si="11">F137*($C$4/12)</f>
        <v>-221.81450771290432</v>
      </c>
      <c r="D138" s="73">
        <f t="shared" ref="D138:D201" si="12">B138-C138</f>
        <v>1126.5619800037719</v>
      </c>
      <c r="E138" s="75">
        <f t="shared" ref="E138:E201" si="13">$F$3</f>
        <v>0</v>
      </c>
      <c r="F138" s="75">
        <f t="shared" ref="F138:F201" si="14">F137-D138-E138</f>
        <v>-34398.738136939421</v>
      </c>
    </row>
    <row r="139" spans="1:6" x14ac:dyDescent="0.25">
      <c r="A139">
        <v>131</v>
      </c>
      <c r="B139" s="73">
        <f t="shared" si="10"/>
        <v>904.74747229086745</v>
      </c>
      <c r="C139" s="74">
        <f t="shared" si="11"/>
        <v>-229.32492091292949</v>
      </c>
      <c r="D139" s="73">
        <f t="shared" si="12"/>
        <v>1134.072393203797</v>
      </c>
      <c r="E139" s="75">
        <f t="shared" si="13"/>
        <v>0</v>
      </c>
      <c r="F139" s="75">
        <f t="shared" si="14"/>
        <v>-35532.810530143215</v>
      </c>
    </row>
    <row r="140" spans="1:6" x14ac:dyDescent="0.25">
      <c r="A140">
        <v>132</v>
      </c>
      <c r="B140" s="73">
        <f t="shared" si="10"/>
        <v>904.74747229086745</v>
      </c>
      <c r="C140" s="74">
        <f t="shared" si="11"/>
        <v>-236.88540353428812</v>
      </c>
      <c r="D140" s="73">
        <f t="shared" si="12"/>
        <v>1141.6328758251557</v>
      </c>
      <c r="E140" s="75">
        <f t="shared" si="13"/>
        <v>0</v>
      </c>
      <c r="F140" s="75">
        <f t="shared" si="14"/>
        <v>-36674.44340596837</v>
      </c>
    </row>
    <row r="141" spans="1:6" x14ac:dyDescent="0.25">
      <c r="A141">
        <v>133</v>
      </c>
      <c r="B141" s="73">
        <f t="shared" si="10"/>
        <v>904.74747229086745</v>
      </c>
      <c r="C141" s="74">
        <f t="shared" si="11"/>
        <v>-244.49628937312249</v>
      </c>
      <c r="D141" s="73">
        <f t="shared" si="12"/>
        <v>1149.24376166399</v>
      </c>
      <c r="E141" s="75">
        <f t="shared" si="13"/>
        <v>0</v>
      </c>
      <c r="F141" s="75">
        <f t="shared" si="14"/>
        <v>-37823.687167632357</v>
      </c>
    </row>
    <row r="142" spans="1:6" x14ac:dyDescent="0.25">
      <c r="A142">
        <v>134</v>
      </c>
      <c r="B142" s="73">
        <f t="shared" si="10"/>
        <v>904.74747229086745</v>
      </c>
      <c r="C142" s="74">
        <f t="shared" si="11"/>
        <v>-252.1579144508824</v>
      </c>
      <c r="D142" s="73">
        <f t="shared" si="12"/>
        <v>1156.9053867417499</v>
      </c>
      <c r="E142" s="75">
        <f t="shared" si="13"/>
        <v>0</v>
      </c>
      <c r="F142" s="75">
        <f t="shared" si="14"/>
        <v>-38980.59255437411</v>
      </c>
    </row>
    <row r="143" spans="1:6" x14ac:dyDescent="0.25">
      <c r="A143">
        <v>135</v>
      </c>
      <c r="B143" s="73">
        <f t="shared" si="10"/>
        <v>904.74747229086745</v>
      </c>
      <c r="C143" s="74">
        <f t="shared" si="11"/>
        <v>-259.87061702916077</v>
      </c>
      <c r="D143" s="73">
        <f t="shared" si="12"/>
        <v>1164.6180893200283</v>
      </c>
      <c r="E143" s="75">
        <f t="shared" si="13"/>
        <v>0</v>
      </c>
      <c r="F143" s="75">
        <f t="shared" si="14"/>
        <v>-40145.210643694139</v>
      </c>
    </row>
    <row r="144" spans="1:6" x14ac:dyDescent="0.25">
      <c r="A144">
        <v>136</v>
      </c>
      <c r="B144" s="73">
        <f t="shared" si="10"/>
        <v>904.74747229086745</v>
      </c>
      <c r="C144" s="74">
        <f t="shared" si="11"/>
        <v>-267.63473762462763</v>
      </c>
      <c r="D144" s="73">
        <f t="shared" si="12"/>
        <v>1172.382209915495</v>
      </c>
      <c r="E144" s="75">
        <f t="shared" si="13"/>
        <v>0</v>
      </c>
      <c r="F144" s="75">
        <f t="shared" si="14"/>
        <v>-41317.592853609633</v>
      </c>
    </row>
    <row r="145" spans="1:6" x14ac:dyDescent="0.25">
      <c r="A145">
        <v>137</v>
      </c>
      <c r="B145" s="73">
        <f t="shared" si="10"/>
        <v>904.74747229086745</v>
      </c>
      <c r="C145" s="74">
        <f t="shared" si="11"/>
        <v>-275.45061902406422</v>
      </c>
      <c r="D145" s="73">
        <f t="shared" si="12"/>
        <v>1180.1980913149316</v>
      </c>
      <c r="E145" s="75">
        <f t="shared" si="13"/>
        <v>0</v>
      </c>
      <c r="F145" s="75">
        <f t="shared" si="14"/>
        <v>-42497.790944924564</v>
      </c>
    </row>
    <row r="146" spans="1:6" x14ac:dyDescent="0.25">
      <c r="A146">
        <v>138</v>
      </c>
      <c r="B146" s="73">
        <f t="shared" si="10"/>
        <v>904.74747229086745</v>
      </c>
      <c r="C146" s="74">
        <f t="shared" si="11"/>
        <v>-283.31860629949711</v>
      </c>
      <c r="D146" s="73">
        <f t="shared" si="12"/>
        <v>1188.0660785903647</v>
      </c>
      <c r="E146" s="75">
        <f t="shared" si="13"/>
        <v>0</v>
      </c>
      <c r="F146" s="75">
        <f t="shared" si="14"/>
        <v>-43685.857023514931</v>
      </c>
    </row>
    <row r="147" spans="1:6" x14ac:dyDescent="0.25">
      <c r="A147">
        <v>139</v>
      </c>
      <c r="B147" s="73">
        <f t="shared" si="10"/>
        <v>904.74747229086745</v>
      </c>
      <c r="C147" s="74">
        <f t="shared" si="11"/>
        <v>-291.23904682343289</v>
      </c>
      <c r="D147" s="73">
        <f t="shared" si="12"/>
        <v>1195.9865191143003</v>
      </c>
      <c r="E147" s="75">
        <f t="shared" si="13"/>
        <v>0</v>
      </c>
      <c r="F147" s="75">
        <f t="shared" si="14"/>
        <v>-44881.843542629234</v>
      </c>
    </row>
    <row r="148" spans="1:6" x14ac:dyDescent="0.25">
      <c r="A148">
        <v>140</v>
      </c>
      <c r="B148" s="73">
        <f t="shared" si="10"/>
        <v>904.74747229086745</v>
      </c>
      <c r="C148" s="74">
        <f t="shared" si="11"/>
        <v>-299.21229028419492</v>
      </c>
      <c r="D148" s="73">
        <f t="shared" si="12"/>
        <v>1203.9597625750623</v>
      </c>
      <c r="E148" s="75">
        <f t="shared" si="13"/>
        <v>0</v>
      </c>
      <c r="F148" s="75">
        <f t="shared" si="14"/>
        <v>-46085.803305204296</v>
      </c>
    </row>
    <row r="149" spans="1:6" x14ac:dyDescent="0.25">
      <c r="A149">
        <v>141</v>
      </c>
      <c r="B149" s="73">
        <f t="shared" si="10"/>
        <v>904.74747229086745</v>
      </c>
      <c r="C149" s="74">
        <f t="shared" si="11"/>
        <v>-307.23868870136198</v>
      </c>
      <c r="D149" s="73">
        <f t="shared" si="12"/>
        <v>1211.9861609922295</v>
      </c>
      <c r="E149" s="75">
        <f t="shared" si="13"/>
        <v>0</v>
      </c>
      <c r="F149" s="75">
        <f t="shared" si="14"/>
        <v>-47297.789466196526</v>
      </c>
    </row>
    <row r="150" spans="1:6" x14ac:dyDescent="0.25">
      <c r="A150">
        <v>142</v>
      </c>
      <c r="B150" s="73">
        <f t="shared" si="10"/>
        <v>904.74747229086745</v>
      </c>
      <c r="C150" s="74">
        <f t="shared" si="11"/>
        <v>-315.31859644131021</v>
      </c>
      <c r="D150" s="73">
        <f t="shared" si="12"/>
        <v>1220.0660687321777</v>
      </c>
      <c r="E150" s="75">
        <f t="shared" si="13"/>
        <v>0</v>
      </c>
      <c r="F150" s="75">
        <f t="shared" si="14"/>
        <v>-48517.855534928705</v>
      </c>
    </row>
    <row r="151" spans="1:6" x14ac:dyDescent="0.25">
      <c r="A151">
        <v>143</v>
      </c>
      <c r="B151" s="73">
        <f t="shared" si="10"/>
        <v>904.74747229086745</v>
      </c>
      <c r="C151" s="74">
        <f t="shared" si="11"/>
        <v>-323.45237023285807</v>
      </c>
      <c r="D151" s="73">
        <f t="shared" si="12"/>
        <v>1228.1998425237255</v>
      </c>
      <c r="E151" s="75">
        <f t="shared" si="13"/>
        <v>0</v>
      </c>
      <c r="F151" s="75">
        <f t="shared" si="14"/>
        <v>-49746.055377452431</v>
      </c>
    </row>
    <row r="152" spans="1:6" x14ac:dyDescent="0.25">
      <c r="A152">
        <v>144</v>
      </c>
      <c r="B152" s="73">
        <f t="shared" si="10"/>
        <v>904.74747229086745</v>
      </c>
      <c r="C152" s="74">
        <f t="shared" si="11"/>
        <v>-331.64036918301622</v>
      </c>
      <c r="D152" s="73">
        <f t="shared" si="12"/>
        <v>1236.3878414738838</v>
      </c>
      <c r="E152" s="75">
        <f t="shared" si="13"/>
        <v>0</v>
      </c>
      <c r="F152" s="75">
        <f t="shared" si="14"/>
        <v>-50982.443218926317</v>
      </c>
    </row>
    <row r="153" spans="1:6" x14ac:dyDescent="0.25">
      <c r="A153">
        <v>145</v>
      </c>
      <c r="B153" s="73">
        <f t="shared" si="10"/>
        <v>904.74747229086745</v>
      </c>
      <c r="C153" s="74">
        <f t="shared" si="11"/>
        <v>-339.88295479284216</v>
      </c>
      <c r="D153" s="73">
        <f t="shared" si="12"/>
        <v>1244.6304270837095</v>
      </c>
      <c r="E153" s="75">
        <f t="shared" si="13"/>
        <v>0</v>
      </c>
      <c r="F153" s="75">
        <f t="shared" si="14"/>
        <v>-52227.073646010023</v>
      </c>
    </row>
    <row r="154" spans="1:6" x14ac:dyDescent="0.25">
      <c r="A154">
        <v>146</v>
      </c>
      <c r="B154" s="73">
        <f t="shared" si="10"/>
        <v>904.74747229086745</v>
      </c>
      <c r="C154" s="74">
        <f t="shared" si="11"/>
        <v>-348.1804909734002</v>
      </c>
      <c r="D154" s="73">
        <f t="shared" si="12"/>
        <v>1252.9279632642676</v>
      </c>
      <c r="E154" s="75">
        <f t="shared" si="13"/>
        <v>0</v>
      </c>
      <c r="F154" s="75">
        <f t="shared" si="14"/>
        <v>-53480.001609274288</v>
      </c>
    </row>
    <row r="155" spans="1:6" x14ac:dyDescent="0.25">
      <c r="A155">
        <v>147</v>
      </c>
      <c r="B155" s="73">
        <f t="shared" si="10"/>
        <v>904.74747229086745</v>
      </c>
      <c r="C155" s="74">
        <f t="shared" si="11"/>
        <v>-356.53334406182859</v>
      </c>
      <c r="D155" s="73">
        <f t="shared" si="12"/>
        <v>1261.2808163526961</v>
      </c>
      <c r="E155" s="75">
        <f t="shared" si="13"/>
        <v>0</v>
      </c>
      <c r="F155" s="75">
        <f t="shared" si="14"/>
        <v>-54741.282425626981</v>
      </c>
    </row>
    <row r="156" spans="1:6" x14ac:dyDescent="0.25">
      <c r="A156">
        <v>148</v>
      </c>
      <c r="B156" s="73">
        <f t="shared" si="10"/>
        <v>904.74747229086745</v>
      </c>
      <c r="C156" s="74">
        <f t="shared" si="11"/>
        <v>-364.94188283751322</v>
      </c>
      <c r="D156" s="73">
        <f t="shared" si="12"/>
        <v>1269.6893551283806</v>
      </c>
      <c r="E156" s="75">
        <f t="shared" si="13"/>
        <v>0</v>
      </c>
      <c r="F156" s="75">
        <f t="shared" si="14"/>
        <v>-56010.971780755361</v>
      </c>
    </row>
    <row r="157" spans="1:6" x14ac:dyDescent="0.25">
      <c r="A157">
        <v>149</v>
      </c>
      <c r="B157" s="73">
        <f t="shared" si="10"/>
        <v>904.74747229086745</v>
      </c>
      <c r="C157" s="74">
        <f t="shared" si="11"/>
        <v>-373.40647853836907</v>
      </c>
      <c r="D157" s="73">
        <f t="shared" si="12"/>
        <v>1278.1539508292365</v>
      </c>
      <c r="E157" s="75">
        <f t="shared" si="13"/>
        <v>0</v>
      </c>
      <c r="F157" s="75">
        <f t="shared" si="14"/>
        <v>-57289.125731584594</v>
      </c>
    </row>
    <row r="158" spans="1:6" x14ac:dyDescent="0.25">
      <c r="A158">
        <v>150</v>
      </c>
      <c r="B158" s="73">
        <f t="shared" si="10"/>
        <v>904.74747229086745</v>
      </c>
      <c r="C158" s="74">
        <f t="shared" si="11"/>
        <v>-381.92750487723066</v>
      </c>
      <c r="D158" s="73">
        <f t="shared" si="12"/>
        <v>1286.6749771680982</v>
      </c>
      <c r="E158" s="75">
        <f t="shared" si="13"/>
        <v>0</v>
      </c>
      <c r="F158" s="75">
        <f t="shared" si="14"/>
        <v>-58575.800708752693</v>
      </c>
    </row>
    <row r="159" spans="1:6" x14ac:dyDescent="0.25">
      <c r="A159">
        <v>151</v>
      </c>
      <c r="B159" s="73">
        <f t="shared" si="10"/>
        <v>904.74747229086745</v>
      </c>
      <c r="C159" s="74">
        <f t="shared" si="11"/>
        <v>-390.5053380583513</v>
      </c>
      <c r="D159" s="73">
        <f t="shared" si="12"/>
        <v>1295.2528103492186</v>
      </c>
      <c r="E159" s="75">
        <f t="shared" si="13"/>
        <v>0</v>
      </c>
      <c r="F159" s="75">
        <f t="shared" si="14"/>
        <v>-59871.053519101915</v>
      </c>
    </row>
    <row r="160" spans="1:6" x14ac:dyDescent="0.25">
      <c r="A160">
        <v>152</v>
      </c>
      <c r="B160" s="73">
        <f t="shared" si="10"/>
        <v>904.74747229086745</v>
      </c>
      <c r="C160" s="74">
        <f t="shared" si="11"/>
        <v>-399.1403567940128</v>
      </c>
      <c r="D160" s="73">
        <f t="shared" si="12"/>
        <v>1303.8878290848802</v>
      </c>
      <c r="E160" s="75">
        <f t="shared" si="13"/>
        <v>0</v>
      </c>
      <c r="F160" s="75">
        <f t="shared" si="14"/>
        <v>-61174.941348186796</v>
      </c>
    </row>
    <row r="161" spans="1:6" x14ac:dyDescent="0.25">
      <c r="A161">
        <v>153</v>
      </c>
      <c r="B161" s="73">
        <f t="shared" si="10"/>
        <v>904.74747229086745</v>
      </c>
      <c r="C161" s="74">
        <f t="shared" si="11"/>
        <v>-407.83294232124535</v>
      </c>
      <c r="D161" s="73">
        <f t="shared" si="12"/>
        <v>1312.5804146121127</v>
      </c>
      <c r="E161" s="75">
        <f t="shared" si="13"/>
        <v>0</v>
      </c>
      <c r="F161" s="75">
        <f t="shared" si="14"/>
        <v>-62487.521762798911</v>
      </c>
    </row>
    <row r="162" spans="1:6" x14ac:dyDescent="0.25">
      <c r="A162">
        <v>154</v>
      </c>
      <c r="B162" s="73">
        <f t="shared" si="10"/>
        <v>904.74747229086745</v>
      </c>
      <c r="C162" s="74">
        <f t="shared" si="11"/>
        <v>-416.58347841865941</v>
      </c>
      <c r="D162" s="73">
        <f t="shared" si="12"/>
        <v>1321.3309507095269</v>
      </c>
      <c r="E162" s="75">
        <f t="shared" si="13"/>
        <v>0</v>
      </c>
      <c r="F162" s="75">
        <f t="shared" si="14"/>
        <v>-63808.852713508437</v>
      </c>
    </row>
    <row r="163" spans="1:6" x14ac:dyDescent="0.25">
      <c r="A163">
        <v>155</v>
      </c>
      <c r="B163" s="73">
        <f t="shared" si="10"/>
        <v>904.74747229086745</v>
      </c>
      <c r="C163" s="74">
        <f t="shared" si="11"/>
        <v>-425.39235142338958</v>
      </c>
      <c r="D163" s="73">
        <f t="shared" si="12"/>
        <v>1330.1398237142571</v>
      </c>
      <c r="E163" s="75">
        <f t="shared" si="13"/>
        <v>0</v>
      </c>
      <c r="F163" s="75">
        <f t="shared" si="14"/>
        <v>-65138.992537222693</v>
      </c>
    </row>
    <row r="164" spans="1:6" x14ac:dyDescent="0.25">
      <c r="A164">
        <v>156</v>
      </c>
      <c r="B164" s="73">
        <f t="shared" si="10"/>
        <v>904.74747229086745</v>
      </c>
      <c r="C164" s="74">
        <f t="shared" si="11"/>
        <v>-434.25995024815131</v>
      </c>
      <c r="D164" s="73">
        <f t="shared" si="12"/>
        <v>1339.0074225390188</v>
      </c>
      <c r="E164" s="75">
        <f t="shared" si="13"/>
        <v>0</v>
      </c>
      <c r="F164" s="75">
        <f t="shared" si="14"/>
        <v>-66477.999959761713</v>
      </c>
    </row>
    <row r="165" spans="1:6" x14ac:dyDescent="0.25">
      <c r="A165">
        <v>157</v>
      </c>
      <c r="B165" s="73">
        <f t="shared" si="10"/>
        <v>904.74747229086745</v>
      </c>
      <c r="C165" s="74">
        <f t="shared" si="11"/>
        <v>-443.18666639841143</v>
      </c>
      <c r="D165" s="73">
        <f t="shared" si="12"/>
        <v>1347.9341386892788</v>
      </c>
      <c r="E165" s="75">
        <f t="shared" si="13"/>
        <v>0</v>
      </c>
      <c r="F165" s="75">
        <f t="shared" si="14"/>
        <v>-67825.934098450991</v>
      </c>
    </row>
    <row r="166" spans="1:6" x14ac:dyDescent="0.25">
      <c r="A166">
        <v>158</v>
      </c>
      <c r="B166" s="73">
        <f t="shared" si="10"/>
        <v>904.74747229086745</v>
      </c>
      <c r="C166" s="74">
        <f t="shared" si="11"/>
        <v>-452.1728939896733</v>
      </c>
      <c r="D166" s="73">
        <f t="shared" si="12"/>
        <v>1356.9203662805407</v>
      </c>
      <c r="E166" s="75">
        <f t="shared" si="13"/>
        <v>0</v>
      </c>
      <c r="F166" s="75">
        <f t="shared" si="14"/>
        <v>-69182.854464731528</v>
      </c>
    </row>
    <row r="167" spans="1:6" x14ac:dyDescent="0.25">
      <c r="A167">
        <v>159</v>
      </c>
      <c r="B167" s="73">
        <f t="shared" si="10"/>
        <v>904.74747229086745</v>
      </c>
      <c r="C167" s="74">
        <f t="shared" si="11"/>
        <v>-461.21902976487689</v>
      </c>
      <c r="D167" s="73">
        <f t="shared" si="12"/>
        <v>1365.9665020557443</v>
      </c>
      <c r="E167" s="75">
        <f t="shared" si="13"/>
        <v>0</v>
      </c>
      <c r="F167" s="75">
        <f t="shared" si="14"/>
        <v>-70548.820966787272</v>
      </c>
    </row>
    <row r="168" spans="1:6" x14ac:dyDescent="0.25">
      <c r="A168">
        <v>160</v>
      </c>
      <c r="B168" s="73">
        <f t="shared" si="10"/>
        <v>904.74747229086745</v>
      </c>
      <c r="C168" s="74">
        <f t="shared" si="11"/>
        <v>-470.32547311191519</v>
      </c>
      <c r="D168" s="73">
        <f t="shared" si="12"/>
        <v>1375.0729454027826</v>
      </c>
      <c r="E168" s="75">
        <f t="shared" si="13"/>
        <v>0</v>
      </c>
      <c r="F168" s="75">
        <f t="shared" si="14"/>
        <v>-71923.893912190062</v>
      </c>
    </row>
    <row r="169" spans="1:6" x14ac:dyDescent="0.25">
      <c r="A169">
        <v>161</v>
      </c>
      <c r="B169" s="73">
        <f t="shared" si="10"/>
        <v>904.74747229086745</v>
      </c>
      <c r="C169" s="74">
        <f t="shared" si="11"/>
        <v>-479.49262608126713</v>
      </c>
      <c r="D169" s="73">
        <f t="shared" si="12"/>
        <v>1384.2400983721345</v>
      </c>
      <c r="E169" s="75">
        <f t="shared" si="13"/>
        <v>0</v>
      </c>
      <c r="F169" s="75">
        <f t="shared" si="14"/>
        <v>-73308.134010562193</v>
      </c>
    </row>
    <row r="170" spans="1:6" x14ac:dyDescent="0.25">
      <c r="A170">
        <v>162</v>
      </c>
      <c r="B170" s="73">
        <f t="shared" si="10"/>
        <v>904.74747229086745</v>
      </c>
      <c r="C170" s="74">
        <f t="shared" si="11"/>
        <v>-488.72089340374799</v>
      </c>
      <c r="D170" s="73">
        <f t="shared" si="12"/>
        <v>1393.4683656946154</v>
      </c>
      <c r="E170" s="75">
        <f t="shared" si="13"/>
        <v>0</v>
      </c>
      <c r="F170" s="75">
        <f t="shared" si="14"/>
        <v>-74701.602376256807</v>
      </c>
    </row>
    <row r="171" spans="1:6" x14ac:dyDescent="0.25">
      <c r="A171">
        <v>163</v>
      </c>
      <c r="B171" s="73">
        <f t="shared" si="10"/>
        <v>904.74747229086745</v>
      </c>
      <c r="C171" s="74">
        <f t="shared" si="11"/>
        <v>-498.01068250837875</v>
      </c>
      <c r="D171" s="73">
        <f t="shared" si="12"/>
        <v>1402.7581547992463</v>
      </c>
      <c r="E171" s="75">
        <f t="shared" si="13"/>
        <v>0</v>
      </c>
      <c r="F171" s="75">
        <f t="shared" si="14"/>
        <v>-76104.360531056052</v>
      </c>
    </row>
    <row r="172" spans="1:6" x14ac:dyDescent="0.25">
      <c r="A172">
        <v>164</v>
      </c>
      <c r="B172" s="73">
        <f t="shared" si="10"/>
        <v>904.74747229086745</v>
      </c>
      <c r="C172" s="74">
        <f t="shared" si="11"/>
        <v>-507.36240354037369</v>
      </c>
      <c r="D172" s="73">
        <f t="shared" si="12"/>
        <v>1412.1098758312412</v>
      </c>
      <c r="E172" s="75">
        <f t="shared" si="13"/>
        <v>0</v>
      </c>
      <c r="F172" s="75">
        <f t="shared" si="14"/>
        <v>-77516.470406887296</v>
      </c>
    </row>
    <row r="173" spans="1:6" x14ac:dyDescent="0.25">
      <c r="A173">
        <v>165</v>
      </c>
      <c r="B173" s="73">
        <f t="shared" si="10"/>
        <v>904.74747229086745</v>
      </c>
      <c r="C173" s="74">
        <f t="shared" si="11"/>
        <v>-516.77646937924862</v>
      </c>
      <c r="D173" s="73">
        <f t="shared" si="12"/>
        <v>1421.5239416701161</v>
      </c>
      <c r="E173" s="75">
        <f t="shared" si="13"/>
        <v>0</v>
      </c>
      <c r="F173" s="75">
        <f t="shared" si="14"/>
        <v>-78937.994348557419</v>
      </c>
    </row>
    <row r="174" spans="1:6" x14ac:dyDescent="0.25">
      <c r="A174">
        <v>166</v>
      </c>
      <c r="B174" s="73">
        <f t="shared" si="10"/>
        <v>904.74747229086745</v>
      </c>
      <c r="C174" s="74">
        <f t="shared" si="11"/>
        <v>-526.25329565704953</v>
      </c>
      <c r="D174" s="73">
        <f t="shared" si="12"/>
        <v>1431.000767947917</v>
      </c>
      <c r="E174" s="75">
        <f t="shared" si="13"/>
        <v>0</v>
      </c>
      <c r="F174" s="75">
        <f t="shared" si="14"/>
        <v>-80368.995116505335</v>
      </c>
    </row>
    <row r="175" spans="1:6" x14ac:dyDescent="0.25">
      <c r="A175">
        <v>167</v>
      </c>
      <c r="B175" s="73">
        <f t="shared" si="10"/>
        <v>904.74747229086745</v>
      </c>
      <c r="C175" s="74">
        <f t="shared" si="11"/>
        <v>-535.79330077670227</v>
      </c>
      <c r="D175" s="73">
        <f t="shared" si="12"/>
        <v>1440.5407730675697</v>
      </c>
      <c r="E175" s="75">
        <f t="shared" si="13"/>
        <v>0</v>
      </c>
      <c r="F175" s="75">
        <f t="shared" si="14"/>
        <v>-81809.5358895729</v>
      </c>
    </row>
    <row r="176" spans="1:6" x14ac:dyDescent="0.25">
      <c r="A176">
        <v>168</v>
      </c>
      <c r="B176" s="73">
        <f t="shared" si="10"/>
        <v>904.74747229086745</v>
      </c>
      <c r="C176" s="74">
        <f t="shared" si="11"/>
        <v>-545.39690593048601</v>
      </c>
      <c r="D176" s="73">
        <f t="shared" si="12"/>
        <v>1450.1443782213535</v>
      </c>
      <c r="E176" s="75">
        <f t="shared" si="13"/>
        <v>0</v>
      </c>
      <c r="F176" s="75">
        <f t="shared" si="14"/>
        <v>-83259.680267794247</v>
      </c>
    </row>
    <row r="177" spans="1:6" x14ac:dyDescent="0.25">
      <c r="A177">
        <v>169</v>
      </c>
      <c r="B177" s="73">
        <f t="shared" si="10"/>
        <v>904.74747229086745</v>
      </c>
      <c r="C177" s="74">
        <f t="shared" si="11"/>
        <v>-555.06453511862833</v>
      </c>
      <c r="D177" s="73">
        <f t="shared" si="12"/>
        <v>1459.8120074094959</v>
      </c>
      <c r="E177" s="75">
        <f t="shared" si="13"/>
        <v>0</v>
      </c>
      <c r="F177" s="75">
        <f t="shared" si="14"/>
        <v>-84719.492275203738</v>
      </c>
    </row>
    <row r="178" spans="1:6" x14ac:dyDescent="0.25">
      <c r="A178">
        <v>170</v>
      </c>
      <c r="B178" s="73">
        <f t="shared" si="10"/>
        <v>904.74747229086745</v>
      </c>
      <c r="C178" s="74">
        <f t="shared" si="11"/>
        <v>-564.79661516802491</v>
      </c>
      <c r="D178" s="73">
        <f t="shared" si="12"/>
        <v>1469.5440874588924</v>
      </c>
      <c r="E178" s="75">
        <f t="shared" si="13"/>
        <v>0</v>
      </c>
      <c r="F178" s="75">
        <f t="shared" si="14"/>
        <v>-86189.036362662635</v>
      </c>
    </row>
    <row r="179" spans="1:6" x14ac:dyDescent="0.25">
      <c r="A179">
        <v>171</v>
      </c>
      <c r="B179" s="73">
        <f t="shared" si="10"/>
        <v>904.74747229086745</v>
      </c>
      <c r="C179" s="74">
        <f t="shared" si="11"/>
        <v>-574.59357575108424</v>
      </c>
      <c r="D179" s="73">
        <f t="shared" si="12"/>
        <v>1479.3410480419516</v>
      </c>
      <c r="E179" s="75">
        <f t="shared" si="13"/>
        <v>0</v>
      </c>
      <c r="F179" s="75">
        <f t="shared" si="14"/>
        <v>-87668.37741070459</v>
      </c>
    </row>
    <row r="180" spans="1:6" x14ac:dyDescent="0.25">
      <c r="A180">
        <v>172</v>
      </c>
      <c r="B180" s="73">
        <f t="shared" si="10"/>
        <v>904.74747229086745</v>
      </c>
      <c r="C180" s="74">
        <f t="shared" si="11"/>
        <v>-584.45584940469735</v>
      </c>
      <c r="D180" s="73">
        <f t="shared" si="12"/>
        <v>1489.2033216955647</v>
      </c>
      <c r="E180" s="75">
        <f t="shared" si="13"/>
        <v>0</v>
      </c>
      <c r="F180" s="75">
        <f t="shared" si="14"/>
        <v>-89157.580732400151</v>
      </c>
    </row>
    <row r="181" spans="1:6" x14ac:dyDescent="0.25">
      <c r="A181">
        <v>173</v>
      </c>
      <c r="B181" s="73">
        <f t="shared" si="10"/>
        <v>904.74747229086745</v>
      </c>
      <c r="C181" s="74">
        <f t="shared" si="11"/>
        <v>-594.38387154933434</v>
      </c>
      <c r="D181" s="73">
        <f t="shared" si="12"/>
        <v>1499.1313438402017</v>
      </c>
      <c r="E181" s="75">
        <f t="shared" si="13"/>
        <v>0</v>
      </c>
      <c r="F181" s="75">
        <f t="shared" si="14"/>
        <v>-90656.71207624035</v>
      </c>
    </row>
    <row r="182" spans="1:6" x14ac:dyDescent="0.25">
      <c r="A182">
        <v>174</v>
      </c>
      <c r="B182" s="73">
        <f t="shared" si="10"/>
        <v>904.74747229086745</v>
      </c>
      <c r="C182" s="74">
        <f t="shared" si="11"/>
        <v>-604.37808050826902</v>
      </c>
      <c r="D182" s="73">
        <f t="shared" si="12"/>
        <v>1509.1255527991366</v>
      </c>
      <c r="E182" s="75">
        <f t="shared" si="13"/>
        <v>0</v>
      </c>
      <c r="F182" s="75">
        <f t="shared" si="14"/>
        <v>-92165.837629039481</v>
      </c>
    </row>
    <row r="183" spans="1:6" x14ac:dyDescent="0.25">
      <c r="A183">
        <v>175</v>
      </c>
      <c r="B183" s="73">
        <f t="shared" si="10"/>
        <v>904.74747229086745</v>
      </c>
      <c r="C183" s="74">
        <f t="shared" si="11"/>
        <v>-614.43891752692991</v>
      </c>
      <c r="D183" s="73">
        <f t="shared" si="12"/>
        <v>1519.1863898177974</v>
      </c>
      <c r="E183" s="75">
        <f t="shared" si="13"/>
        <v>0</v>
      </c>
      <c r="F183" s="75">
        <f t="shared" si="14"/>
        <v>-93685.024018857279</v>
      </c>
    </row>
    <row r="184" spans="1:6" x14ac:dyDescent="0.25">
      <c r="A184">
        <v>176</v>
      </c>
      <c r="B184" s="73">
        <f t="shared" si="10"/>
        <v>904.74747229086745</v>
      </c>
      <c r="C184" s="74">
        <f t="shared" si="11"/>
        <v>-624.5668267923819</v>
      </c>
      <c r="D184" s="73">
        <f t="shared" si="12"/>
        <v>1529.3142990832494</v>
      </c>
      <c r="E184" s="75">
        <f t="shared" si="13"/>
        <v>0</v>
      </c>
      <c r="F184" s="75">
        <f t="shared" si="14"/>
        <v>-95214.338317940535</v>
      </c>
    </row>
    <row r="185" spans="1:6" x14ac:dyDescent="0.25">
      <c r="A185">
        <v>177</v>
      </c>
      <c r="B185" s="73">
        <f t="shared" si="10"/>
        <v>904.74747229086745</v>
      </c>
      <c r="C185" s="74">
        <f t="shared" si="11"/>
        <v>-634.76225545293698</v>
      </c>
      <c r="D185" s="73">
        <f t="shared" si="12"/>
        <v>1539.5097277438044</v>
      </c>
      <c r="E185" s="75">
        <f t="shared" si="13"/>
        <v>0</v>
      </c>
      <c r="F185" s="75">
        <f t="shared" si="14"/>
        <v>-96753.848045684339</v>
      </c>
    </row>
    <row r="186" spans="1:6" x14ac:dyDescent="0.25">
      <c r="A186">
        <v>178</v>
      </c>
      <c r="B186" s="73">
        <f t="shared" si="10"/>
        <v>904.74747229086745</v>
      </c>
      <c r="C186" s="74">
        <f t="shared" si="11"/>
        <v>-645.02565363789563</v>
      </c>
      <c r="D186" s="73">
        <f t="shared" si="12"/>
        <v>1549.773125928763</v>
      </c>
      <c r="E186" s="75">
        <f t="shared" si="13"/>
        <v>0</v>
      </c>
      <c r="F186" s="75">
        <f t="shared" si="14"/>
        <v>-98303.621171613107</v>
      </c>
    </row>
    <row r="187" spans="1:6" x14ac:dyDescent="0.25">
      <c r="A187">
        <v>179</v>
      </c>
      <c r="B187" s="73">
        <f t="shared" si="10"/>
        <v>904.74747229086745</v>
      </c>
      <c r="C187" s="74">
        <f t="shared" si="11"/>
        <v>-655.35747447742074</v>
      </c>
      <c r="D187" s="73">
        <f t="shared" si="12"/>
        <v>1560.1049467682883</v>
      </c>
      <c r="E187" s="75">
        <f t="shared" si="13"/>
        <v>0</v>
      </c>
      <c r="F187" s="75">
        <f t="shared" si="14"/>
        <v>-99863.726118381397</v>
      </c>
    </row>
    <row r="188" spans="1:6" x14ac:dyDescent="0.25">
      <c r="A188">
        <v>180</v>
      </c>
      <c r="B188" s="73">
        <f t="shared" si="10"/>
        <v>904.74747229086745</v>
      </c>
      <c r="C188" s="74">
        <f t="shared" si="11"/>
        <v>-665.75817412254264</v>
      </c>
      <c r="D188" s="73">
        <f t="shared" si="12"/>
        <v>1570.50564641341</v>
      </c>
      <c r="E188" s="75">
        <f t="shared" si="13"/>
        <v>0</v>
      </c>
      <c r="F188" s="75">
        <f t="shared" si="14"/>
        <v>-101434.23176479481</v>
      </c>
    </row>
    <row r="189" spans="1:6" x14ac:dyDescent="0.25">
      <c r="A189">
        <v>181</v>
      </c>
      <c r="B189" s="73">
        <f t="shared" si="10"/>
        <v>904.74747229086745</v>
      </c>
      <c r="C189" s="74">
        <f t="shared" si="11"/>
        <v>-676.22821176529874</v>
      </c>
      <c r="D189" s="73">
        <f t="shared" si="12"/>
        <v>1580.9756840561663</v>
      </c>
      <c r="E189" s="75">
        <f t="shared" si="13"/>
        <v>0</v>
      </c>
      <c r="F189" s="75">
        <f t="shared" si="14"/>
        <v>-103015.20744885097</v>
      </c>
    </row>
    <row r="190" spans="1:6" x14ac:dyDescent="0.25">
      <c r="A190">
        <v>182</v>
      </c>
      <c r="B190" s="73">
        <f t="shared" si="10"/>
        <v>904.74747229086745</v>
      </c>
      <c r="C190" s="74">
        <f t="shared" si="11"/>
        <v>-686.76804965900646</v>
      </c>
      <c r="D190" s="73">
        <f t="shared" si="12"/>
        <v>1591.5155219498738</v>
      </c>
      <c r="E190" s="75">
        <f t="shared" si="13"/>
        <v>0</v>
      </c>
      <c r="F190" s="75">
        <f t="shared" si="14"/>
        <v>-104606.72297080084</v>
      </c>
    </row>
    <row r="191" spans="1:6" x14ac:dyDescent="0.25">
      <c r="A191">
        <v>183</v>
      </c>
      <c r="B191" s="73">
        <f t="shared" si="10"/>
        <v>904.74747229086745</v>
      </c>
      <c r="C191" s="74">
        <f t="shared" si="11"/>
        <v>-697.37815313867225</v>
      </c>
      <c r="D191" s="73">
        <f t="shared" si="12"/>
        <v>1602.1256254295397</v>
      </c>
      <c r="E191" s="75">
        <f t="shared" si="13"/>
        <v>0</v>
      </c>
      <c r="F191" s="75">
        <f t="shared" si="14"/>
        <v>-106208.84859623038</v>
      </c>
    </row>
    <row r="192" spans="1:6" x14ac:dyDescent="0.25">
      <c r="A192">
        <v>184</v>
      </c>
      <c r="B192" s="73">
        <f t="shared" si="10"/>
        <v>904.74747229086745</v>
      </c>
      <c r="C192" s="74">
        <f t="shared" si="11"/>
        <v>-708.05899064153596</v>
      </c>
      <c r="D192" s="73">
        <f t="shared" si="12"/>
        <v>1612.8064629324035</v>
      </c>
      <c r="E192" s="75">
        <f t="shared" si="13"/>
        <v>0</v>
      </c>
      <c r="F192" s="75">
        <f t="shared" si="14"/>
        <v>-107821.65505916279</v>
      </c>
    </row>
    <row r="193" spans="1:6" x14ac:dyDescent="0.25">
      <c r="A193">
        <v>185</v>
      </c>
      <c r="B193" s="73">
        <f t="shared" si="10"/>
        <v>904.74747229086745</v>
      </c>
      <c r="C193" s="74">
        <f t="shared" si="11"/>
        <v>-718.81103372775192</v>
      </c>
      <c r="D193" s="73">
        <f t="shared" si="12"/>
        <v>1623.5585060186195</v>
      </c>
      <c r="E193" s="75">
        <f t="shared" si="13"/>
        <v>0</v>
      </c>
      <c r="F193" s="75">
        <f t="shared" si="14"/>
        <v>-109445.2135651814</v>
      </c>
    </row>
    <row r="194" spans="1:6" x14ac:dyDescent="0.25">
      <c r="A194">
        <v>186</v>
      </c>
      <c r="B194" s="73">
        <f t="shared" si="10"/>
        <v>904.74747229086745</v>
      </c>
      <c r="C194" s="74">
        <f t="shared" si="11"/>
        <v>-729.6347571012094</v>
      </c>
      <c r="D194" s="73">
        <f t="shared" si="12"/>
        <v>1634.3822293920769</v>
      </c>
      <c r="E194" s="75">
        <f t="shared" si="13"/>
        <v>0</v>
      </c>
      <c r="F194" s="75">
        <f t="shared" si="14"/>
        <v>-111079.59579457348</v>
      </c>
    </row>
    <row r="195" spans="1:6" x14ac:dyDescent="0.25">
      <c r="A195">
        <v>187</v>
      </c>
      <c r="B195" s="73">
        <f t="shared" si="10"/>
        <v>904.74747229086745</v>
      </c>
      <c r="C195" s="74">
        <f t="shared" si="11"/>
        <v>-740.53063863048999</v>
      </c>
      <c r="D195" s="73">
        <f t="shared" si="12"/>
        <v>1645.2781109213574</v>
      </c>
      <c r="E195" s="75">
        <f t="shared" si="13"/>
        <v>0</v>
      </c>
      <c r="F195" s="75">
        <f t="shared" si="14"/>
        <v>-112724.87390549484</v>
      </c>
    </row>
    <row r="196" spans="1:6" x14ac:dyDescent="0.25">
      <c r="A196">
        <v>188</v>
      </c>
      <c r="B196" s="73">
        <f t="shared" si="10"/>
        <v>904.74747229086745</v>
      </c>
      <c r="C196" s="74">
        <f t="shared" si="11"/>
        <v>-751.49915936996558</v>
      </c>
      <c r="D196" s="73">
        <f t="shared" si="12"/>
        <v>1656.2466316608329</v>
      </c>
      <c r="E196" s="75">
        <f t="shared" si="13"/>
        <v>0</v>
      </c>
      <c r="F196" s="75">
        <f t="shared" si="14"/>
        <v>-114381.12053715567</v>
      </c>
    </row>
    <row r="197" spans="1:6" x14ac:dyDescent="0.25">
      <c r="A197">
        <v>189</v>
      </c>
      <c r="B197" s="73">
        <f t="shared" si="10"/>
        <v>904.74747229086745</v>
      </c>
      <c r="C197" s="74">
        <f t="shared" si="11"/>
        <v>-762.54080358103784</v>
      </c>
      <c r="D197" s="73">
        <f t="shared" si="12"/>
        <v>1667.2882758719052</v>
      </c>
      <c r="E197" s="75">
        <f t="shared" si="13"/>
        <v>0</v>
      </c>
      <c r="F197" s="75">
        <f t="shared" si="14"/>
        <v>-116048.40881302758</v>
      </c>
    </row>
    <row r="198" spans="1:6" x14ac:dyDescent="0.25">
      <c r="A198">
        <v>190</v>
      </c>
      <c r="B198" s="73">
        <f t="shared" si="10"/>
        <v>904.74747229086745</v>
      </c>
      <c r="C198" s="74">
        <f t="shared" si="11"/>
        <v>-773.65605875351719</v>
      </c>
      <c r="D198" s="73">
        <f t="shared" si="12"/>
        <v>1678.4035310443846</v>
      </c>
      <c r="E198" s="75">
        <f t="shared" si="13"/>
        <v>0</v>
      </c>
      <c r="F198" s="75">
        <f t="shared" si="14"/>
        <v>-117726.81234407196</v>
      </c>
    </row>
    <row r="199" spans="1:6" x14ac:dyDescent="0.25">
      <c r="A199">
        <v>191</v>
      </c>
      <c r="B199" s="73">
        <f t="shared" si="10"/>
        <v>904.74747229086745</v>
      </c>
      <c r="C199" s="74">
        <f t="shared" si="11"/>
        <v>-784.84541562714651</v>
      </c>
      <c r="D199" s="73">
        <f t="shared" si="12"/>
        <v>1689.592887918014</v>
      </c>
      <c r="E199" s="75">
        <f t="shared" si="13"/>
        <v>0</v>
      </c>
      <c r="F199" s="75">
        <f t="shared" si="14"/>
        <v>-119416.40523198998</v>
      </c>
    </row>
    <row r="200" spans="1:6" x14ac:dyDescent="0.25">
      <c r="A200">
        <v>192</v>
      </c>
      <c r="B200" s="73">
        <f t="shared" si="10"/>
        <v>904.74747229086745</v>
      </c>
      <c r="C200" s="74">
        <f t="shared" si="11"/>
        <v>-796.10936821326652</v>
      </c>
      <c r="D200" s="73">
        <f t="shared" si="12"/>
        <v>1700.856840504134</v>
      </c>
      <c r="E200" s="75">
        <f t="shared" si="13"/>
        <v>0</v>
      </c>
      <c r="F200" s="75">
        <f t="shared" si="14"/>
        <v>-121117.26207249411</v>
      </c>
    </row>
    <row r="201" spans="1:6" x14ac:dyDescent="0.25">
      <c r="A201">
        <v>193</v>
      </c>
      <c r="B201" s="73">
        <f t="shared" si="10"/>
        <v>904.74747229086745</v>
      </c>
      <c r="C201" s="74">
        <f t="shared" si="11"/>
        <v>-807.44841381662741</v>
      </c>
      <c r="D201" s="73">
        <f t="shared" si="12"/>
        <v>1712.195886107495</v>
      </c>
      <c r="E201" s="75">
        <f t="shared" si="13"/>
        <v>0</v>
      </c>
      <c r="F201" s="75">
        <f t="shared" si="14"/>
        <v>-122829.4579586016</v>
      </c>
    </row>
    <row r="202" spans="1:6" x14ac:dyDescent="0.25">
      <c r="A202">
        <v>194</v>
      </c>
      <c r="B202" s="73">
        <f t="shared" ref="B202:B265" si="15">PMT($C$4/12,$C$5,-$C$3)</f>
        <v>904.74747229086745</v>
      </c>
      <c r="C202" s="74">
        <f t="shared" ref="C202:C265" si="16">F201*($C$4/12)</f>
        <v>-818.86305305734413</v>
      </c>
      <c r="D202" s="73">
        <f t="shared" ref="D202:D265" si="17">B202-C202</f>
        <v>1723.6105253482115</v>
      </c>
      <c r="E202" s="75">
        <f t="shared" ref="E202:E265" si="18">$F$3</f>
        <v>0</v>
      </c>
      <c r="F202" s="75">
        <f t="shared" ref="F202:F265" si="19">F201-D202-E202</f>
        <v>-124553.06848394981</v>
      </c>
    </row>
    <row r="203" spans="1:6" x14ac:dyDescent="0.25">
      <c r="A203">
        <v>195</v>
      </c>
      <c r="B203" s="73">
        <f t="shared" si="15"/>
        <v>904.74747229086745</v>
      </c>
      <c r="C203" s="74">
        <f t="shared" si="16"/>
        <v>-830.35378989299886</v>
      </c>
      <c r="D203" s="73">
        <f t="shared" si="17"/>
        <v>1735.1012621838663</v>
      </c>
      <c r="E203" s="75">
        <f t="shared" si="18"/>
        <v>0</v>
      </c>
      <c r="F203" s="75">
        <f t="shared" si="19"/>
        <v>-126288.16974613367</v>
      </c>
    </row>
    <row r="204" spans="1:6" x14ac:dyDescent="0.25">
      <c r="A204">
        <v>196</v>
      </c>
      <c r="B204" s="73">
        <f t="shared" si="15"/>
        <v>904.74747229086745</v>
      </c>
      <c r="C204" s="74">
        <f t="shared" si="16"/>
        <v>-841.92113164089119</v>
      </c>
      <c r="D204" s="73">
        <f t="shared" si="17"/>
        <v>1746.6686039317588</v>
      </c>
      <c r="E204" s="75">
        <f t="shared" si="18"/>
        <v>0</v>
      </c>
      <c r="F204" s="75">
        <f t="shared" si="19"/>
        <v>-128034.83835006543</v>
      </c>
    </row>
    <row r="205" spans="1:6" x14ac:dyDescent="0.25">
      <c r="A205">
        <v>197</v>
      </c>
      <c r="B205" s="73">
        <f t="shared" si="15"/>
        <v>904.74747229086745</v>
      </c>
      <c r="C205" s="74">
        <f t="shared" si="16"/>
        <v>-853.56558900043626</v>
      </c>
      <c r="D205" s="73">
        <f t="shared" si="17"/>
        <v>1758.3130612913037</v>
      </c>
      <c r="E205" s="75">
        <f t="shared" si="18"/>
        <v>0</v>
      </c>
      <c r="F205" s="75">
        <f t="shared" si="19"/>
        <v>-129793.15141135674</v>
      </c>
    </row>
    <row r="206" spans="1:6" x14ac:dyDescent="0.25">
      <c r="A206">
        <v>198</v>
      </c>
      <c r="B206" s="73">
        <f t="shared" si="15"/>
        <v>904.74747229086745</v>
      </c>
      <c r="C206" s="74">
        <f t="shared" si="16"/>
        <v>-865.2876760757116</v>
      </c>
      <c r="D206" s="73">
        <f t="shared" si="17"/>
        <v>1770.0351483665791</v>
      </c>
      <c r="E206" s="75">
        <f t="shared" si="18"/>
        <v>0</v>
      </c>
      <c r="F206" s="75">
        <f t="shared" si="19"/>
        <v>-131563.18655972331</v>
      </c>
    </row>
    <row r="207" spans="1:6" x14ac:dyDescent="0.25">
      <c r="A207">
        <v>199</v>
      </c>
      <c r="B207" s="73">
        <f t="shared" si="15"/>
        <v>904.74747229086745</v>
      </c>
      <c r="C207" s="74">
        <f t="shared" si="16"/>
        <v>-877.08791039815549</v>
      </c>
      <c r="D207" s="73">
        <f t="shared" si="17"/>
        <v>1781.8353826890229</v>
      </c>
      <c r="E207" s="75">
        <f t="shared" si="18"/>
        <v>0</v>
      </c>
      <c r="F207" s="75">
        <f t="shared" si="19"/>
        <v>-133345.02194241234</v>
      </c>
    </row>
    <row r="208" spans="1:6" x14ac:dyDescent="0.25">
      <c r="A208">
        <v>200</v>
      </c>
      <c r="B208" s="73">
        <f t="shared" si="15"/>
        <v>904.74747229086745</v>
      </c>
      <c r="C208" s="74">
        <f t="shared" si="16"/>
        <v>-888.96681294941561</v>
      </c>
      <c r="D208" s="73">
        <f t="shared" si="17"/>
        <v>1793.7142852402831</v>
      </c>
      <c r="E208" s="75">
        <f t="shared" si="18"/>
        <v>0</v>
      </c>
      <c r="F208" s="75">
        <f t="shared" si="19"/>
        <v>-135138.73622765261</v>
      </c>
    </row>
    <row r="209" spans="1:6" x14ac:dyDescent="0.25">
      <c r="A209">
        <v>201</v>
      </c>
      <c r="B209" s="73">
        <f t="shared" si="15"/>
        <v>904.74747229086745</v>
      </c>
      <c r="C209" s="74">
        <f t="shared" si="16"/>
        <v>-900.92490818435078</v>
      </c>
      <c r="D209" s="73">
        <f t="shared" si="17"/>
        <v>1805.6723804752182</v>
      </c>
      <c r="E209" s="75">
        <f t="shared" si="18"/>
        <v>0</v>
      </c>
      <c r="F209" s="75">
        <f t="shared" si="19"/>
        <v>-136944.40860812782</v>
      </c>
    </row>
    <row r="210" spans="1:6" x14ac:dyDescent="0.25">
      <c r="A210">
        <v>202</v>
      </c>
      <c r="B210" s="73">
        <f t="shared" si="15"/>
        <v>904.74747229086745</v>
      </c>
      <c r="C210" s="74">
        <f t="shared" si="16"/>
        <v>-912.96272405418551</v>
      </c>
      <c r="D210" s="73">
        <f t="shared" si="17"/>
        <v>1817.710196345053</v>
      </c>
      <c r="E210" s="75">
        <f t="shared" si="18"/>
        <v>0</v>
      </c>
      <c r="F210" s="75">
        <f t="shared" si="19"/>
        <v>-138762.11880447288</v>
      </c>
    </row>
    <row r="211" spans="1:6" x14ac:dyDescent="0.25">
      <c r="A211">
        <v>203</v>
      </c>
      <c r="B211" s="73">
        <f t="shared" si="15"/>
        <v>904.74747229086745</v>
      </c>
      <c r="C211" s="74">
        <f t="shared" si="16"/>
        <v>-925.08079202981924</v>
      </c>
      <c r="D211" s="73">
        <f t="shared" si="17"/>
        <v>1829.8282643206867</v>
      </c>
      <c r="E211" s="75">
        <f t="shared" si="18"/>
        <v>0</v>
      </c>
      <c r="F211" s="75">
        <f t="shared" si="19"/>
        <v>-140591.94706879355</v>
      </c>
    </row>
    <row r="212" spans="1:6" x14ac:dyDescent="0.25">
      <c r="A212">
        <v>204</v>
      </c>
      <c r="B212" s="73">
        <f t="shared" si="15"/>
        <v>904.74747229086745</v>
      </c>
      <c r="C212" s="74">
        <f t="shared" si="16"/>
        <v>-937.27964712529047</v>
      </c>
      <c r="D212" s="73">
        <f t="shared" si="17"/>
        <v>1842.0271194161578</v>
      </c>
      <c r="E212" s="75">
        <f t="shared" si="18"/>
        <v>0</v>
      </c>
      <c r="F212" s="75">
        <f t="shared" si="19"/>
        <v>-142433.97418820972</v>
      </c>
    </row>
    <row r="213" spans="1:6" x14ac:dyDescent="0.25">
      <c r="A213">
        <v>205</v>
      </c>
      <c r="B213" s="73">
        <f t="shared" si="15"/>
        <v>904.74747229086745</v>
      </c>
      <c r="C213" s="74">
        <f t="shared" si="16"/>
        <v>-949.55982792139821</v>
      </c>
      <c r="D213" s="73">
        <f t="shared" si="17"/>
        <v>1854.3073002122655</v>
      </c>
      <c r="E213" s="75">
        <f t="shared" si="18"/>
        <v>0</v>
      </c>
      <c r="F213" s="75">
        <f t="shared" si="19"/>
        <v>-144288.28148842198</v>
      </c>
    </row>
    <row r="214" spans="1:6" x14ac:dyDescent="0.25">
      <c r="A214">
        <v>206</v>
      </c>
      <c r="B214" s="73">
        <f t="shared" si="15"/>
        <v>904.74747229086745</v>
      </c>
      <c r="C214" s="74">
        <f t="shared" si="16"/>
        <v>-961.92187658948001</v>
      </c>
      <c r="D214" s="73">
        <f t="shared" si="17"/>
        <v>1866.6693488803476</v>
      </c>
      <c r="E214" s="75">
        <f t="shared" si="18"/>
        <v>0</v>
      </c>
      <c r="F214" s="75">
        <f t="shared" si="19"/>
        <v>-146154.95083730234</v>
      </c>
    </row>
    <row r="215" spans="1:6" x14ac:dyDescent="0.25">
      <c r="A215">
        <v>207</v>
      </c>
      <c r="B215" s="73">
        <f t="shared" si="15"/>
        <v>904.74747229086745</v>
      </c>
      <c r="C215" s="74">
        <f t="shared" si="16"/>
        <v>-974.36633891534905</v>
      </c>
      <c r="D215" s="73">
        <f t="shared" si="17"/>
        <v>1879.1138112062165</v>
      </c>
      <c r="E215" s="75">
        <f t="shared" si="18"/>
        <v>0</v>
      </c>
      <c r="F215" s="75">
        <f t="shared" si="19"/>
        <v>-148034.06464850856</v>
      </c>
    </row>
    <row r="216" spans="1:6" x14ac:dyDescent="0.25">
      <c r="A216">
        <v>208</v>
      </c>
      <c r="B216" s="73">
        <f t="shared" si="15"/>
        <v>904.74747229086745</v>
      </c>
      <c r="C216" s="74">
        <f t="shared" si="16"/>
        <v>-986.89376432339043</v>
      </c>
      <c r="D216" s="73">
        <f t="shared" si="17"/>
        <v>1891.6412366142579</v>
      </c>
      <c r="E216" s="75">
        <f t="shared" si="18"/>
        <v>0</v>
      </c>
      <c r="F216" s="75">
        <f t="shared" si="19"/>
        <v>-149925.70588512282</v>
      </c>
    </row>
    <row r="217" spans="1:6" x14ac:dyDescent="0.25">
      <c r="A217">
        <v>209</v>
      </c>
      <c r="B217" s="73">
        <f t="shared" si="15"/>
        <v>904.74747229086745</v>
      </c>
      <c r="C217" s="74">
        <f t="shared" si="16"/>
        <v>-999.50470590081886</v>
      </c>
      <c r="D217" s="73">
        <f t="shared" si="17"/>
        <v>1904.2521781916862</v>
      </c>
      <c r="E217" s="75">
        <f t="shared" si="18"/>
        <v>0</v>
      </c>
      <c r="F217" s="75">
        <f t="shared" si="19"/>
        <v>-151829.95806331449</v>
      </c>
    </row>
    <row r="218" spans="1:6" x14ac:dyDescent="0.25">
      <c r="A218">
        <v>210</v>
      </c>
      <c r="B218" s="73">
        <f t="shared" si="15"/>
        <v>904.74747229086745</v>
      </c>
      <c r="C218" s="74">
        <f t="shared" si="16"/>
        <v>-1012.1997204220967</v>
      </c>
      <c r="D218" s="73">
        <f t="shared" si="17"/>
        <v>1916.9471927129641</v>
      </c>
      <c r="E218" s="75">
        <f t="shared" si="18"/>
        <v>0</v>
      </c>
      <c r="F218" s="75">
        <f t="shared" si="19"/>
        <v>-153746.90525602747</v>
      </c>
    </row>
    <row r="219" spans="1:6" x14ac:dyDescent="0.25">
      <c r="A219">
        <v>211</v>
      </c>
      <c r="B219" s="73">
        <f t="shared" si="15"/>
        <v>904.74747229086745</v>
      </c>
      <c r="C219" s="74">
        <f t="shared" si="16"/>
        <v>-1024.9793683735165</v>
      </c>
      <c r="D219" s="73">
        <f t="shared" si="17"/>
        <v>1929.7268406643839</v>
      </c>
      <c r="E219" s="75">
        <f t="shared" si="18"/>
        <v>0</v>
      </c>
      <c r="F219" s="75">
        <f t="shared" si="19"/>
        <v>-155676.63209669184</v>
      </c>
    </row>
    <row r="220" spans="1:6" x14ac:dyDescent="0.25">
      <c r="A220">
        <v>212</v>
      </c>
      <c r="B220" s="73">
        <f t="shared" si="15"/>
        <v>904.74747229086745</v>
      </c>
      <c r="C220" s="74">
        <f t="shared" si="16"/>
        <v>-1037.8442139779456</v>
      </c>
      <c r="D220" s="73">
        <f t="shared" si="17"/>
        <v>1942.5916862688132</v>
      </c>
      <c r="E220" s="75">
        <f t="shared" si="18"/>
        <v>0</v>
      </c>
      <c r="F220" s="75">
        <f t="shared" si="19"/>
        <v>-157619.22378296065</v>
      </c>
    </row>
    <row r="221" spans="1:6" x14ac:dyDescent="0.25">
      <c r="A221">
        <v>213</v>
      </c>
      <c r="B221" s="73">
        <f t="shared" si="15"/>
        <v>904.74747229086745</v>
      </c>
      <c r="C221" s="74">
        <f t="shared" si="16"/>
        <v>-1050.7948252197377</v>
      </c>
      <c r="D221" s="73">
        <f t="shared" si="17"/>
        <v>1955.5422975106053</v>
      </c>
      <c r="E221" s="75">
        <f t="shared" si="18"/>
        <v>0</v>
      </c>
      <c r="F221" s="75">
        <f t="shared" si="19"/>
        <v>-159574.76608047125</v>
      </c>
    </row>
    <row r="222" spans="1:6" x14ac:dyDescent="0.25">
      <c r="A222">
        <v>214</v>
      </c>
      <c r="B222" s="73">
        <f t="shared" si="15"/>
        <v>904.74747229086745</v>
      </c>
      <c r="C222" s="74">
        <f t="shared" si="16"/>
        <v>-1063.8317738698083</v>
      </c>
      <c r="D222" s="73">
        <f t="shared" si="17"/>
        <v>1968.5792461606757</v>
      </c>
      <c r="E222" s="75">
        <f t="shared" si="18"/>
        <v>0</v>
      </c>
      <c r="F222" s="75">
        <f t="shared" si="19"/>
        <v>-161543.34532663191</v>
      </c>
    </row>
    <row r="223" spans="1:6" x14ac:dyDescent="0.25">
      <c r="A223">
        <v>215</v>
      </c>
      <c r="B223" s="73">
        <f t="shared" si="15"/>
        <v>904.74747229086745</v>
      </c>
      <c r="C223" s="74">
        <f t="shared" si="16"/>
        <v>-1076.9556355108796</v>
      </c>
      <c r="D223" s="73">
        <f t="shared" si="17"/>
        <v>1981.7031078017471</v>
      </c>
      <c r="E223" s="75">
        <f t="shared" si="18"/>
        <v>0</v>
      </c>
      <c r="F223" s="75">
        <f t="shared" si="19"/>
        <v>-163525.04843443367</v>
      </c>
    </row>
    <row r="224" spans="1:6" x14ac:dyDescent="0.25">
      <c r="A224">
        <v>216</v>
      </c>
      <c r="B224" s="73">
        <f t="shared" si="15"/>
        <v>904.74747229086745</v>
      </c>
      <c r="C224" s="74">
        <f t="shared" si="16"/>
        <v>-1090.1669895628913</v>
      </c>
      <c r="D224" s="73">
        <f t="shared" si="17"/>
        <v>1994.9144618537589</v>
      </c>
      <c r="E224" s="75">
        <f t="shared" si="18"/>
        <v>0</v>
      </c>
      <c r="F224" s="75">
        <f t="shared" si="19"/>
        <v>-165519.96289628744</v>
      </c>
    </row>
    <row r="225" spans="1:6" x14ac:dyDescent="0.25">
      <c r="A225">
        <v>217</v>
      </c>
      <c r="B225" s="73">
        <f t="shared" si="15"/>
        <v>904.74747229086745</v>
      </c>
      <c r="C225" s="74">
        <f t="shared" si="16"/>
        <v>-1103.466419308583</v>
      </c>
      <c r="D225" s="73">
        <f t="shared" si="17"/>
        <v>2008.2138915994506</v>
      </c>
      <c r="E225" s="75">
        <f t="shared" si="18"/>
        <v>0</v>
      </c>
      <c r="F225" s="75">
        <f t="shared" si="19"/>
        <v>-167528.17678788688</v>
      </c>
    </row>
    <row r="226" spans="1:6" x14ac:dyDescent="0.25">
      <c r="A226">
        <v>218</v>
      </c>
      <c r="B226" s="73">
        <f t="shared" si="15"/>
        <v>904.74747229086745</v>
      </c>
      <c r="C226" s="74">
        <f t="shared" si="16"/>
        <v>-1116.8545119192461</v>
      </c>
      <c r="D226" s="73">
        <f t="shared" si="17"/>
        <v>2021.6019842101136</v>
      </c>
      <c r="E226" s="75">
        <f t="shared" si="18"/>
        <v>0</v>
      </c>
      <c r="F226" s="75">
        <f t="shared" si="19"/>
        <v>-169549.77877209699</v>
      </c>
    </row>
    <row r="227" spans="1:6" x14ac:dyDescent="0.25">
      <c r="A227">
        <v>219</v>
      </c>
      <c r="B227" s="73">
        <f t="shared" si="15"/>
        <v>904.74747229086745</v>
      </c>
      <c r="C227" s="74">
        <f t="shared" si="16"/>
        <v>-1130.3318584806466</v>
      </c>
      <c r="D227" s="73">
        <f t="shared" si="17"/>
        <v>2035.0793307715139</v>
      </c>
      <c r="E227" s="75">
        <f t="shared" si="18"/>
        <v>0</v>
      </c>
      <c r="F227" s="75">
        <f t="shared" si="19"/>
        <v>-171584.85810286851</v>
      </c>
    </row>
    <row r="228" spans="1:6" x14ac:dyDescent="0.25">
      <c r="A228">
        <v>220</v>
      </c>
      <c r="B228" s="73">
        <f t="shared" si="15"/>
        <v>904.74747229086745</v>
      </c>
      <c r="C228" s="74">
        <f t="shared" si="16"/>
        <v>-1143.8990540191235</v>
      </c>
      <c r="D228" s="73">
        <f t="shared" si="17"/>
        <v>2048.6465263099908</v>
      </c>
      <c r="E228" s="75">
        <f t="shared" si="18"/>
        <v>0</v>
      </c>
      <c r="F228" s="75">
        <f t="shared" si="19"/>
        <v>-173633.5046291785</v>
      </c>
    </row>
    <row r="229" spans="1:6" x14ac:dyDescent="0.25">
      <c r="A229">
        <v>221</v>
      </c>
      <c r="B229" s="73">
        <f t="shared" si="15"/>
        <v>904.74747229086745</v>
      </c>
      <c r="C229" s="74">
        <f t="shared" si="16"/>
        <v>-1157.5566975278566</v>
      </c>
      <c r="D229" s="73">
        <f t="shared" si="17"/>
        <v>2062.3041698187239</v>
      </c>
      <c r="E229" s="75">
        <f t="shared" si="18"/>
        <v>0</v>
      </c>
      <c r="F229" s="75">
        <f t="shared" si="19"/>
        <v>-175695.80879899723</v>
      </c>
    </row>
    <row r="230" spans="1:6" x14ac:dyDescent="0.25">
      <c r="A230">
        <v>222</v>
      </c>
      <c r="B230" s="73">
        <f t="shared" si="15"/>
        <v>904.74747229086745</v>
      </c>
      <c r="C230" s="74">
        <f t="shared" si="16"/>
        <v>-1171.305391993315</v>
      </c>
      <c r="D230" s="73">
        <f t="shared" si="17"/>
        <v>2076.0528642841823</v>
      </c>
      <c r="E230" s="75">
        <f t="shared" si="18"/>
        <v>0</v>
      </c>
      <c r="F230" s="75">
        <f t="shared" si="19"/>
        <v>-177771.86166328142</v>
      </c>
    </row>
    <row r="231" spans="1:6" x14ac:dyDescent="0.25">
      <c r="A231">
        <v>223</v>
      </c>
      <c r="B231" s="73">
        <f t="shared" si="15"/>
        <v>904.74747229086745</v>
      </c>
      <c r="C231" s="74">
        <f t="shared" si="16"/>
        <v>-1185.1457444218763</v>
      </c>
      <c r="D231" s="73">
        <f t="shared" si="17"/>
        <v>2089.8932167127437</v>
      </c>
      <c r="E231" s="75">
        <f t="shared" si="18"/>
        <v>0</v>
      </c>
      <c r="F231" s="75">
        <f t="shared" si="19"/>
        <v>-179861.75487999417</v>
      </c>
    </row>
    <row r="232" spans="1:6" x14ac:dyDescent="0.25">
      <c r="A232">
        <v>224</v>
      </c>
      <c r="B232" s="73">
        <f t="shared" si="15"/>
        <v>904.74747229086745</v>
      </c>
      <c r="C232" s="74">
        <f t="shared" si="16"/>
        <v>-1199.0783658666278</v>
      </c>
      <c r="D232" s="73">
        <f t="shared" si="17"/>
        <v>2103.8258381574951</v>
      </c>
      <c r="E232" s="75">
        <f t="shared" si="18"/>
        <v>0</v>
      </c>
      <c r="F232" s="75">
        <f t="shared" si="19"/>
        <v>-181965.58071815167</v>
      </c>
    </row>
    <row r="233" spans="1:6" x14ac:dyDescent="0.25">
      <c r="A233">
        <v>225</v>
      </c>
      <c r="B233" s="73">
        <f t="shared" si="15"/>
        <v>904.74747229086745</v>
      </c>
      <c r="C233" s="74">
        <f t="shared" si="16"/>
        <v>-1213.1038714543445</v>
      </c>
      <c r="D233" s="73">
        <f t="shared" si="17"/>
        <v>2117.851343745212</v>
      </c>
      <c r="E233" s="75">
        <f t="shared" si="18"/>
        <v>0</v>
      </c>
      <c r="F233" s="75">
        <f t="shared" si="19"/>
        <v>-184083.43206189689</v>
      </c>
    </row>
    <row r="234" spans="1:6" x14ac:dyDescent="0.25">
      <c r="A234">
        <v>226</v>
      </c>
      <c r="B234" s="73">
        <f t="shared" si="15"/>
        <v>904.74747229086745</v>
      </c>
      <c r="C234" s="74">
        <f t="shared" si="16"/>
        <v>-1227.222880412646</v>
      </c>
      <c r="D234" s="73">
        <f t="shared" si="17"/>
        <v>2131.9703527035135</v>
      </c>
      <c r="E234" s="75">
        <f t="shared" si="18"/>
        <v>0</v>
      </c>
      <c r="F234" s="75">
        <f t="shared" si="19"/>
        <v>-186215.40241460039</v>
      </c>
    </row>
    <row r="235" spans="1:6" x14ac:dyDescent="0.25">
      <c r="A235">
        <v>227</v>
      </c>
      <c r="B235" s="73">
        <f t="shared" si="15"/>
        <v>904.74747229086745</v>
      </c>
      <c r="C235" s="74">
        <f t="shared" si="16"/>
        <v>-1241.4360160973361</v>
      </c>
      <c r="D235" s="73">
        <f t="shared" si="17"/>
        <v>2146.1834883882034</v>
      </c>
      <c r="E235" s="75">
        <f t="shared" si="18"/>
        <v>0</v>
      </c>
      <c r="F235" s="75">
        <f t="shared" si="19"/>
        <v>-188361.58590298859</v>
      </c>
    </row>
    <row r="236" spans="1:6" x14ac:dyDescent="0.25">
      <c r="A236">
        <v>228</v>
      </c>
      <c r="B236" s="73">
        <f t="shared" si="15"/>
        <v>904.74747229086745</v>
      </c>
      <c r="C236" s="74">
        <f t="shared" si="16"/>
        <v>-1255.743906019924</v>
      </c>
      <c r="D236" s="73">
        <f t="shared" si="17"/>
        <v>2160.4913783107913</v>
      </c>
      <c r="E236" s="75">
        <f t="shared" si="18"/>
        <v>0</v>
      </c>
      <c r="F236" s="75">
        <f t="shared" si="19"/>
        <v>-190522.0772812994</v>
      </c>
    </row>
    <row r="237" spans="1:6" x14ac:dyDescent="0.25">
      <c r="A237">
        <v>229</v>
      </c>
      <c r="B237" s="73">
        <f t="shared" si="15"/>
        <v>904.74747229086745</v>
      </c>
      <c r="C237" s="74">
        <f t="shared" si="16"/>
        <v>-1270.1471818753294</v>
      </c>
      <c r="D237" s="73">
        <f t="shared" si="17"/>
        <v>2174.8946541661967</v>
      </c>
      <c r="E237" s="75">
        <f t="shared" si="18"/>
        <v>0</v>
      </c>
      <c r="F237" s="75">
        <f t="shared" si="19"/>
        <v>-192696.97193546558</v>
      </c>
    </row>
    <row r="238" spans="1:6" x14ac:dyDescent="0.25">
      <c r="A238">
        <v>230</v>
      </c>
      <c r="B238" s="73">
        <f t="shared" si="15"/>
        <v>904.74747229086745</v>
      </c>
      <c r="C238" s="74">
        <f t="shared" si="16"/>
        <v>-1284.6464795697707</v>
      </c>
      <c r="D238" s="73">
        <f t="shared" si="17"/>
        <v>2189.393951860638</v>
      </c>
      <c r="E238" s="75">
        <f t="shared" si="18"/>
        <v>0</v>
      </c>
      <c r="F238" s="75">
        <f t="shared" si="19"/>
        <v>-194886.36588732622</v>
      </c>
    </row>
    <row r="239" spans="1:6" x14ac:dyDescent="0.25">
      <c r="A239">
        <v>231</v>
      </c>
      <c r="B239" s="73">
        <f t="shared" si="15"/>
        <v>904.74747229086745</v>
      </c>
      <c r="C239" s="74">
        <f t="shared" si="16"/>
        <v>-1299.2424392488415</v>
      </c>
      <c r="D239" s="73">
        <f t="shared" si="17"/>
        <v>2203.9899115397088</v>
      </c>
      <c r="E239" s="75">
        <f t="shared" si="18"/>
        <v>0</v>
      </c>
      <c r="F239" s="75">
        <f t="shared" si="19"/>
        <v>-197090.35579886593</v>
      </c>
    </row>
    <row r="240" spans="1:6" x14ac:dyDescent="0.25">
      <c r="A240">
        <v>232</v>
      </c>
      <c r="B240" s="73">
        <f t="shared" si="15"/>
        <v>904.74747229086745</v>
      </c>
      <c r="C240" s="74">
        <f t="shared" si="16"/>
        <v>-1313.9357053257729</v>
      </c>
      <c r="D240" s="73">
        <f t="shared" si="17"/>
        <v>2218.6831776166405</v>
      </c>
      <c r="E240" s="75">
        <f t="shared" si="18"/>
        <v>0</v>
      </c>
      <c r="F240" s="75">
        <f t="shared" si="19"/>
        <v>-199309.03897648258</v>
      </c>
    </row>
    <row r="241" spans="1:6" x14ac:dyDescent="0.25">
      <c r="A241">
        <v>233</v>
      </c>
      <c r="B241" s="73">
        <f t="shared" si="15"/>
        <v>904.74747229086745</v>
      </c>
      <c r="C241" s="74">
        <f t="shared" si="16"/>
        <v>-1328.7269265098839</v>
      </c>
      <c r="D241" s="73">
        <f t="shared" si="17"/>
        <v>2233.4743988007513</v>
      </c>
      <c r="E241" s="75">
        <f t="shared" si="18"/>
        <v>0</v>
      </c>
      <c r="F241" s="75">
        <f t="shared" si="19"/>
        <v>-201542.51337528334</v>
      </c>
    </row>
    <row r="242" spans="1:6" x14ac:dyDescent="0.25">
      <c r="A242">
        <v>234</v>
      </c>
      <c r="B242" s="73">
        <f t="shared" si="15"/>
        <v>904.74747229086745</v>
      </c>
      <c r="C242" s="74">
        <f t="shared" si="16"/>
        <v>-1343.6167558352224</v>
      </c>
      <c r="D242" s="73">
        <f t="shared" si="17"/>
        <v>2248.36422812609</v>
      </c>
      <c r="E242" s="75">
        <f t="shared" si="18"/>
        <v>0</v>
      </c>
      <c r="F242" s="75">
        <f t="shared" si="19"/>
        <v>-203790.87760340943</v>
      </c>
    </row>
    <row r="243" spans="1:6" x14ac:dyDescent="0.25">
      <c r="A243">
        <v>235</v>
      </c>
      <c r="B243" s="73">
        <f t="shared" si="15"/>
        <v>904.74747229086745</v>
      </c>
      <c r="C243" s="74">
        <f t="shared" si="16"/>
        <v>-1358.6058506893962</v>
      </c>
      <c r="D243" s="73">
        <f t="shared" si="17"/>
        <v>2263.3533229802638</v>
      </c>
      <c r="E243" s="75">
        <f t="shared" si="18"/>
        <v>0</v>
      </c>
      <c r="F243" s="75">
        <f t="shared" si="19"/>
        <v>-206054.23092638969</v>
      </c>
    </row>
    <row r="244" spans="1:6" x14ac:dyDescent="0.25">
      <c r="A244">
        <v>236</v>
      </c>
      <c r="B244" s="73">
        <f t="shared" si="15"/>
        <v>904.74747229086745</v>
      </c>
      <c r="C244" s="74">
        <f t="shared" si="16"/>
        <v>-1373.694872842598</v>
      </c>
      <c r="D244" s="73">
        <f t="shared" si="17"/>
        <v>2278.4423451334656</v>
      </c>
      <c r="E244" s="75">
        <f t="shared" si="18"/>
        <v>0</v>
      </c>
      <c r="F244" s="75">
        <f t="shared" si="19"/>
        <v>-208332.67327152315</v>
      </c>
    </row>
    <row r="245" spans="1:6" x14ac:dyDescent="0.25">
      <c r="A245">
        <v>237</v>
      </c>
      <c r="B245" s="73">
        <f t="shared" si="15"/>
        <v>904.74747229086745</v>
      </c>
      <c r="C245" s="74">
        <f t="shared" si="16"/>
        <v>-1388.8844884768212</v>
      </c>
      <c r="D245" s="73">
        <f t="shared" si="17"/>
        <v>2293.6319607676887</v>
      </c>
      <c r="E245" s="75">
        <f t="shared" si="18"/>
        <v>0</v>
      </c>
      <c r="F245" s="75">
        <f t="shared" si="19"/>
        <v>-210626.30523229085</v>
      </c>
    </row>
    <row r="246" spans="1:6" x14ac:dyDescent="0.25">
      <c r="A246">
        <v>238</v>
      </c>
      <c r="B246" s="73">
        <f t="shared" si="15"/>
        <v>904.74747229086745</v>
      </c>
      <c r="C246" s="74">
        <f t="shared" si="16"/>
        <v>-1404.1753682152723</v>
      </c>
      <c r="D246" s="73">
        <f t="shared" si="17"/>
        <v>2308.9228405061399</v>
      </c>
      <c r="E246" s="75">
        <f t="shared" si="18"/>
        <v>0</v>
      </c>
      <c r="F246" s="75">
        <f t="shared" si="19"/>
        <v>-212935.22807279698</v>
      </c>
    </row>
    <row r="247" spans="1:6" x14ac:dyDescent="0.25">
      <c r="A247">
        <v>239</v>
      </c>
      <c r="B247" s="73">
        <f t="shared" si="15"/>
        <v>904.74747229086745</v>
      </c>
      <c r="C247" s="74">
        <f t="shared" si="16"/>
        <v>-1419.5681871519798</v>
      </c>
      <c r="D247" s="73">
        <f t="shared" si="17"/>
        <v>2324.3156594428474</v>
      </c>
      <c r="E247" s="75">
        <f t="shared" si="18"/>
        <v>0</v>
      </c>
      <c r="F247" s="75">
        <f t="shared" si="19"/>
        <v>-215259.54373223984</v>
      </c>
    </row>
    <row r="248" spans="1:6" x14ac:dyDescent="0.25">
      <c r="A248">
        <v>240</v>
      </c>
      <c r="B248" s="73">
        <f t="shared" si="15"/>
        <v>904.74747229086745</v>
      </c>
      <c r="C248" s="74">
        <f t="shared" si="16"/>
        <v>-1435.063624881599</v>
      </c>
      <c r="D248" s="73">
        <f t="shared" si="17"/>
        <v>2339.8110971724664</v>
      </c>
      <c r="E248" s="75">
        <f t="shared" si="18"/>
        <v>0</v>
      </c>
      <c r="F248" s="75">
        <f t="shared" si="19"/>
        <v>-217599.3548294123</v>
      </c>
    </row>
    <row r="249" spans="1:6" x14ac:dyDescent="0.25">
      <c r="A249">
        <v>241</v>
      </c>
      <c r="B249" s="73">
        <f t="shared" si="15"/>
        <v>904.74747229086745</v>
      </c>
      <c r="C249" s="74">
        <f t="shared" si="16"/>
        <v>-1450.6623655294154</v>
      </c>
      <c r="D249" s="73">
        <f t="shared" si="17"/>
        <v>2355.409837820283</v>
      </c>
      <c r="E249" s="75">
        <f t="shared" si="18"/>
        <v>0</v>
      </c>
      <c r="F249" s="75">
        <f t="shared" si="19"/>
        <v>-219954.76466723258</v>
      </c>
    </row>
    <row r="250" spans="1:6" x14ac:dyDescent="0.25">
      <c r="A250">
        <v>242</v>
      </c>
      <c r="B250" s="73">
        <f t="shared" si="15"/>
        <v>904.74747229086745</v>
      </c>
      <c r="C250" s="74">
        <f t="shared" si="16"/>
        <v>-1466.3650977815507</v>
      </c>
      <c r="D250" s="73">
        <f t="shared" si="17"/>
        <v>2371.1125700724183</v>
      </c>
      <c r="E250" s="75">
        <f t="shared" si="18"/>
        <v>0</v>
      </c>
      <c r="F250" s="75">
        <f t="shared" si="19"/>
        <v>-222325.87723730499</v>
      </c>
    </row>
    <row r="251" spans="1:6" x14ac:dyDescent="0.25">
      <c r="A251">
        <v>243</v>
      </c>
      <c r="B251" s="73">
        <f t="shared" si="15"/>
        <v>904.74747229086745</v>
      </c>
      <c r="C251" s="74">
        <f t="shared" si="16"/>
        <v>-1482.1725149153667</v>
      </c>
      <c r="D251" s="73">
        <f t="shared" si="17"/>
        <v>2386.9199872062341</v>
      </c>
      <c r="E251" s="75">
        <f t="shared" si="18"/>
        <v>0</v>
      </c>
      <c r="F251" s="75">
        <f t="shared" si="19"/>
        <v>-224712.79722451122</v>
      </c>
    </row>
    <row r="252" spans="1:6" x14ac:dyDescent="0.25">
      <c r="A252">
        <v>244</v>
      </c>
      <c r="B252" s="73">
        <f t="shared" si="15"/>
        <v>904.74747229086745</v>
      </c>
      <c r="C252" s="74">
        <f t="shared" si="16"/>
        <v>-1498.0853148300748</v>
      </c>
      <c r="D252" s="73">
        <f t="shared" si="17"/>
        <v>2402.8327871209422</v>
      </c>
      <c r="E252" s="75">
        <f t="shared" si="18"/>
        <v>0</v>
      </c>
      <c r="F252" s="75">
        <f t="shared" si="19"/>
        <v>-227115.63001163217</v>
      </c>
    </row>
    <row r="253" spans="1:6" x14ac:dyDescent="0.25">
      <c r="A253">
        <v>245</v>
      </c>
      <c r="B253" s="73">
        <f t="shared" si="15"/>
        <v>904.74747229086745</v>
      </c>
      <c r="C253" s="74">
        <f t="shared" si="16"/>
        <v>-1514.1042000775478</v>
      </c>
      <c r="D253" s="73">
        <f t="shared" si="17"/>
        <v>2418.8516723684152</v>
      </c>
      <c r="E253" s="75">
        <f t="shared" si="18"/>
        <v>0</v>
      </c>
      <c r="F253" s="75">
        <f t="shared" si="19"/>
        <v>-229534.48168400058</v>
      </c>
    </row>
    <row r="254" spans="1:6" x14ac:dyDescent="0.25">
      <c r="A254">
        <v>246</v>
      </c>
      <c r="B254" s="73">
        <f t="shared" si="15"/>
        <v>904.74747229086745</v>
      </c>
      <c r="C254" s="74">
        <f t="shared" si="16"/>
        <v>-1530.2298778933373</v>
      </c>
      <c r="D254" s="73">
        <f t="shared" si="17"/>
        <v>2434.9773501842046</v>
      </c>
      <c r="E254" s="75">
        <f t="shared" si="18"/>
        <v>0</v>
      </c>
      <c r="F254" s="75">
        <f t="shared" si="19"/>
        <v>-231969.45903418478</v>
      </c>
    </row>
    <row r="255" spans="1:6" x14ac:dyDescent="0.25">
      <c r="A255">
        <v>247</v>
      </c>
      <c r="B255" s="73">
        <f t="shared" si="15"/>
        <v>904.74747229086745</v>
      </c>
      <c r="C255" s="74">
        <f t="shared" si="16"/>
        <v>-1546.4630602278987</v>
      </c>
      <c r="D255" s="73">
        <f t="shared" si="17"/>
        <v>2451.2105325187663</v>
      </c>
      <c r="E255" s="75">
        <f t="shared" si="18"/>
        <v>0</v>
      </c>
      <c r="F255" s="75">
        <f t="shared" si="19"/>
        <v>-234420.66956670355</v>
      </c>
    </row>
    <row r="256" spans="1:6" x14ac:dyDescent="0.25">
      <c r="A256">
        <v>248</v>
      </c>
      <c r="B256" s="73">
        <f t="shared" si="15"/>
        <v>904.74747229086745</v>
      </c>
      <c r="C256" s="74">
        <f t="shared" si="16"/>
        <v>-1562.8044637780238</v>
      </c>
      <c r="D256" s="73">
        <f t="shared" si="17"/>
        <v>2467.5519360688913</v>
      </c>
      <c r="E256" s="75">
        <f t="shared" si="18"/>
        <v>0</v>
      </c>
      <c r="F256" s="75">
        <f t="shared" si="19"/>
        <v>-236888.22150277245</v>
      </c>
    </row>
    <row r="257" spans="1:6" x14ac:dyDescent="0.25">
      <c r="A257">
        <v>249</v>
      </c>
      <c r="B257" s="73">
        <f t="shared" si="15"/>
        <v>904.74747229086745</v>
      </c>
      <c r="C257" s="74">
        <f t="shared" si="16"/>
        <v>-1579.2548100184831</v>
      </c>
      <c r="D257" s="73">
        <f t="shared" si="17"/>
        <v>2484.0022823093504</v>
      </c>
      <c r="E257" s="75">
        <f t="shared" si="18"/>
        <v>0</v>
      </c>
      <c r="F257" s="75">
        <f t="shared" si="19"/>
        <v>-239372.22378508179</v>
      </c>
    </row>
    <row r="258" spans="1:6" x14ac:dyDescent="0.25">
      <c r="A258">
        <v>250</v>
      </c>
      <c r="B258" s="73">
        <f t="shared" si="15"/>
        <v>904.74747229086745</v>
      </c>
      <c r="C258" s="74">
        <f t="shared" si="16"/>
        <v>-1595.8148252338788</v>
      </c>
      <c r="D258" s="73">
        <f t="shared" si="17"/>
        <v>2500.5622975247461</v>
      </c>
      <c r="E258" s="75">
        <f t="shared" si="18"/>
        <v>0</v>
      </c>
      <c r="F258" s="75">
        <f t="shared" si="19"/>
        <v>-241872.78608260653</v>
      </c>
    </row>
    <row r="259" spans="1:6" x14ac:dyDescent="0.25">
      <c r="A259">
        <v>251</v>
      </c>
      <c r="B259" s="73">
        <f t="shared" si="15"/>
        <v>904.74747229086745</v>
      </c>
      <c r="C259" s="74">
        <f t="shared" si="16"/>
        <v>-1612.4852405507104</v>
      </c>
      <c r="D259" s="73">
        <f t="shared" si="17"/>
        <v>2517.2327128415777</v>
      </c>
      <c r="E259" s="75">
        <f t="shared" si="18"/>
        <v>0</v>
      </c>
      <c r="F259" s="75">
        <f t="shared" si="19"/>
        <v>-244390.01879544809</v>
      </c>
    </row>
    <row r="260" spans="1:6" x14ac:dyDescent="0.25">
      <c r="A260">
        <v>252</v>
      </c>
      <c r="B260" s="73">
        <f t="shared" si="15"/>
        <v>904.74747229086745</v>
      </c>
      <c r="C260" s="74">
        <f t="shared" si="16"/>
        <v>-1629.2667919696542</v>
      </c>
      <c r="D260" s="73">
        <f t="shared" si="17"/>
        <v>2534.0142642605215</v>
      </c>
      <c r="E260" s="75">
        <f t="shared" si="18"/>
        <v>0</v>
      </c>
      <c r="F260" s="75">
        <f t="shared" si="19"/>
        <v>-246924.03305970863</v>
      </c>
    </row>
    <row r="261" spans="1:6" x14ac:dyDescent="0.25">
      <c r="A261">
        <v>253</v>
      </c>
      <c r="B261" s="73">
        <f t="shared" si="15"/>
        <v>904.74747229086745</v>
      </c>
      <c r="C261" s="74">
        <f t="shared" si="16"/>
        <v>-1646.1602203980576</v>
      </c>
      <c r="D261" s="73">
        <f t="shared" si="17"/>
        <v>2550.9076926889252</v>
      </c>
      <c r="E261" s="75">
        <f t="shared" si="18"/>
        <v>0</v>
      </c>
      <c r="F261" s="75">
        <f t="shared" si="19"/>
        <v>-249474.94075239755</v>
      </c>
    </row>
    <row r="262" spans="1:6" x14ac:dyDescent="0.25">
      <c r="A262">
        <v>254</v>
      </c>
      <c r="B262" s="73">
        <f t="shared" si="15"/>
        <v>904.74747229086745</v>
      </c>
      <c r="C262" s="74">
        <f t="shared" si="16"/>
        <v>-1663.1662716826504</v>
      </c>
      <c r="D262" s="73">
        <f t="shared" si="17"/>
        <v>2567.9137439735177</v>
      </c>
      <c r="E262" s="75">
        <f t="shared" si="18"/>
        <v>0</v>
      </c>
      <c r="F262" s="75">
        <f t="shared" si="19"/>
        <v>-252042.85449637106</v>
      </c>
    </row>
    <row r="263" spans="1:6" x14ac:dyDescent="0.25">
      <c r="A263">
        <v>255</v>
      </c>
      <c r="B263" s="73">
        <f t="shared" si="15"/>
        <v>904.74747229086745</v>
      </c>
      <c r="C263" s="74">
        <f t="shared" si="16"/>
        <v>-1680.2856966424738</v>
      </c>
      <c r="D263" s="73">
        <f t="shared" si="17"/>
        <v>2585.0331689333411</v>
      </c>
      <c r="E263" s="75">
        <f t="shared" si="18"/>
        <v>0</v>
      </c>
      <c r="F263" s="75">
        <f t="shared" si="19"/>
        <v>-254627.88766530441</v>
      </c>
    </row>
    <row r="264" spans="1:6" x14ac:dyDescent="0.25">
      <c r="A264">
        <v>256</v>
      </c>
      <c r="B264" s="73">
        <f t="shared" si="15"/>
        <v>904.74747229086745</v>
      </c>
      <c r="C264" s="74">
        <f t="shared" si="16"/>
        <v>-1697.5192511020296</v>
      </c>
      <c r="D264" s="73">
        <f t="shared" si="17"/>
        <v>2602.2667233928969</v>
      </c>
      <c r="E264" s="75">
        <f t="shared" si="18"/>
        <v>0</v>
      </c>
      <c r="F264" s="75">
        <f t="shared" si="19"/>
        <v>-257230.15438869732</v>
      </c>
    </row>
    <row r="265" spans="1:6" x14ac:dyDescent="0.25">
      <c r="A265">
        <v>257</v>
      </c>
      <c r="B265" s="73">
        <f t="shared" si="15"/>
        <v>904.74747229086745</v>
      </c>
      <c r="C265" s="74">
        <f t="shared" si="16"/>
        <v>-1714.8676959246488</v>
      </c>
      <c r="D265" s="73">
        <f t="shared" si="17"/>
        <v>2619.6151682155164</v>
      </c>
      <c r="E265" s="75">
        <f t="shared" si="18"/>
        <v>0</v>
      </c>
      <c r="F265" s="75">
        <f t="shared" si="19"/>
        <v>-259849.76955691283</v>
      </c>
    </row>
    <row r="266" spans="1:6" x14ac:dyDescent="0.25">
      <c r="A266">
        <v>258</v>
      </c>
      <c r="B266" s="73">
        <f t="shared" ref="B266:B329" si="20">PMT($C$4/12,$C$5,-$C$3)</f>
        <v>904.74747229086745</v>
      </c>
      <c r="C266" s="74">
        <f t="shared" ref="C266:C329" si="21">F265*($C$4/12)</f>
        <v>-1732.3317970460855</v>
      </c>
      <c r="D266" s="73">
        <f t="shared" ref="D266:D329" si="22">B266-C266</f>
        <v>2637.0792693369531</v>
      </c>
      <c r="E266" s="75">
        <f t="shared" ref="E266:E329" si="23">$F$3</f>
        <v>0</v>
      </c>
      <c r="F266" s="75">
        <f t="shared" ref="F266:F329" si="24">F265-D266-E266</f>
        <v>-262486.84882624977</v>
      </c>
    </row>
    <row r="267" spans="1:6" x14ac:dyDescent="0.25">
      <c r="A267">
        <v>259</v>
      </c>
      <c r="B267" s="73">
        <f t="shared" si="20"/>
        <v>904.74747229086745</v>
      </c>
      <c r="C267" s="74">
        <f t="shared" si="21"/>
        <v>-1749.9123255083318</v>
      </c>
      <c r="D267" s="73">
        <f t="shared" si="22"/>
        <v>2654.6597977991992</v>
      </c>
      <c r="E267" s="75">
        <f t="shared" si="23"/>
        <v>0</v>
      </c>
      <c r="F267" s="75">
        <f t="shared" si="24"/>
        <v>-265141.50862404896</v>
      </c>
    </row>
    <row r="268" spans="1:6" x14ac:dyDescent="0.25">
      <c r="A268">
        <v>260</v>
      </c>
      <c r="B268" s="73">
        <f t="shared" si="20"/>
        <v>904.74747229086745</v>
      </c>
      <c r="C268" s="74">
        <f t="shared" si="21"/>
        <v>-1767.61005749366</v>
      </c>
      <c r="D268" s="73">
        <f t="shared" si="22"/>
        <v>2672.3575297845273</v>
      </c>
      <c r="E268" s="75">
        <f t="shared" si="23"/>
        <v>0</v>
      </c>
      <c r="F268" s="75">
        <f t="shared" si="24"/>
        <v>-267813.86615383351</v>
      </c>
    </row>
    <row r="269" spans="1:6" x14ac:dyDescent="0.25">
      <c r="A269">
        <v>261</v>
      </c>
      <c r="B269" s="73">
        <f t="shared" si="20"/>
        <v>904.74747229086745</v>
      </c>
      <c r="C269" s="74">
        <f t="shared" si="21"/>
        <v>-1785.4257743588903</v>
      </c>
      <c r="D269" s="73">
        <f t="shared" si="22"/>
        <v>2690.1732466497579</v>
      </c>
      <c r="E269" s="75">
        <f t="shared" si="23"/>
        <v>0</v>
      </c>
      <c r="F269" s="75">
        <f t="shared" si="24"/>
        <v>-270504.03940048325</v>
      </c>
    </row>
    <row r="270" spans="1:6" x14ac:dyDescent="0.25">
      <c r="A270">
        <v>262</v>
      </c>
      <c r="B270" s="73">
        <f t="shared" si="20"/>
        <v>904.74747229086745</v>
      </c>
      <c r="C270" s="74">
        <f t="shared" si="21"/>
        <v>-1803.3602626698885</v>
      </c>
      <c r="D270" s="73">
        <f t="shared" si="22"/>
        <v>2708.1077349607558</v>
      </c>
      <c r="E270" s="75">
        <f t="shared" si="23"/>
        <v>0</v>
      </c>
      <c r="F270" s="75">
        <f t="shared" si="24"/>
        <v>-273212.14713544399</v>
      </c>
    </row>
    <row r="271" spans="1:6" x14ac:dyDescent="0.25">
      <c r="A271">
        <v>263</v>
      </c>
      <c r="B271" s="73">
        <f t="shared" si="20"/>
        <v>904.74747229086745</v>
      </c>
      <c r="C271" s="74">
        <f t="shared" si="21"/>
        <v>-1821.4143142362934</v>
      </c>
      <c r="D271" s="73">
        <f t="shared" si="22"/>
        <v>2726.161786527161</v>
      </c>
      <c r="E271" s="75">
        <f t="shared" si="23"/>
        <v>0</v>
      </c>
      <c r="F271" s="75">
        <f t="shared" si="24"/>
        <v>-275938.30892197113</v>
      </c>
    </row>
    <row r="272" spans="1:6" x14ac:dyDescent="0.25">
      <c r="A272">
        <v>264</v>
      </c>
      <c r="B272" s="73">
        <f t="shared" si="20"/>
        <v>904.74747229086745</v>
      </c>
      <c r="C272" s="74">
        <f t="shared" si="21"/>
        <v>-1839.5887261464743</v>
      </c>
      <c r="D272" s="73">
        <f t="shared" si="22"/>
        <v>2744.3361984373419</v>
      </c>
      <c r="E272" s="75">
        <f t="shared" si="23"/>
        <v>0</v>
      </c>
      <c r="F272" s="75">
        <f t="shared" si="24"/>
        <v>-278682.64512040844</v>
      </c>
    </row>
    <row r="273" spans="1:6" x14ac:dyDescent="0.25">
      <c r="A273">
        <v>265</v>
      </c>
      <c r="B273" s="73">
        <f t="shared" si="20"/>
        <v>904.74747229086745</v>
      </c>
      <c r="C273" s="74">
        <f t="shared" si="21"/>
        <v>-1857.8843008027231</v>
      </c>
      <c r="D273" s="73">
        <f t="shared" si="22"/>
        <v>2762.6317730935907</v>
      </c>
      <c r="E273" s="75">
        <f t="shared" si="23"/>
        <v>0</v>
      </c>
      <c r="F273" s="75">
        <f t="shared" si="24"/>
        <v>-281445.27689350204</v>
      </c>
    </row>
    <row r="274" spans="1:6" x14ac:dyDescent="0.25">
      <c r="A274">
        <v>266</v>
      </c>
      <c r="B274" s="73">
        <f t="shared" si="20"/>
        <v>904.74747229086745</v>
      </c>
      <c r="C274" s="74">
        <f t="shared" si="21"/>
        <v>-1876.3018459566804</v>
      </c>
      <c r="D274" s="73">
        <f t="shared" si="22"/>
        <v>2781.0493182475479</v>
      </c>
      <c r="E274" s="75">
        <f t="shared" si="23"/>
        <v>0</v>
      </c>
      <c r="F274" s="75">
        <f t="shared" si="24"/>
        <v>-284226.32621174958</v>
      </c>
    </row>
    <row r="275" spans="1:6" x14ac:dyDescent="0.25">
      <c r="A275">
        <v>267</v>
      </c>
      <c r="B275" s="73">
        <f t="shared" si="20"/>
        <v>904.74747229086745</v>
      </c>
      <c r="C275" s="74">
        <f t="shared" si="21"/>
        <v>-1894.8421747449972</v>
      </c>
      <c r="D275" s="73">
        <f t="shared" si="22"/>
        <v>2799.5896470358648</v>
      </c>
      <c r="E275" s="75">
        <f t="shared" si="23"/>
        <v>0</v>
      </c>
      <c r="F275" s="75">
        <f t="shared" si="24"/>
        <v>-287025.91585878545</v>
      </c>
    </row>
    <row r="276" spans="1:6" x14ac:dyDescent="0.25">
      <c r="A276">
        <v>268</v>
      </c>
      <c r="B276" s="73">
        <f t="shared" si="20"/>
        <v>904.74747229086745</v>
      </c>
      <c r="C276" s="74">
        <f t="shared" si="21"/>
        <v>-1913.5061057252365</v>
      </c>
      <c r="D276" s="73">
        <f t="shared" si="22"/>
        <v>2818.2535780161038</v>
      </c>
      <c r="E276" s="75">
        <f t="shared" si="23"/>
        <v>0</v>
      </c>
      <c r="F276" s="75">
        <f t="shared" si="24"/>
        <v>-289844.16943680157</v>
      </c>
    </row>
    <row r="277" spans="1:6" x14ac:dyDescent="0.25">
      <c r="A277">
        <v>269</v>
      </c>
      <c r="B277" s="73">
        <f t="shared" si="20"/>
        <v>904.74747229086745</v>
      </c>
      <c r="C277" s="74">
        <f t="shared" si="21"/>
        <v>-1932.2944629120107</v>
      </c>
      <c r="D277" s="73">
        <f t="shared" si="22"/>
        <v>2837.041935202878</v>
      </c>
      <c r="E277" s="75">
        <f t="shared" si="23"/>
        <v>0</v>
      </c>
      <c r="F277" s="75">
        <f t="shared" si="24"/>
        <v>-292681.21137200447</v>
      </c>
    </row>
    <row r="278" spans="1:6" x14ac:dyDescent="0.25">
      <c r="A278">
        <v>270</v>
      </c>
      <c r="B278" s="73">
        <f t="shared" si="20"/>
        <v>904.74747229086745</v>
      </c>
      <c r="C278" s="74">
        <f t="shared" si="21"/>
        <v>-1951.2080758133632</v>
      </c>
      <c r="D278" s="73">
        <f t="shared" si="22"/>
        <v>2855.9555481042307</v>
      </c>
      <c r="E278" s="75">
        <f t="shared" si="23"/>
        <v>0</v>
      </c>
      <c r="F278" s="75">
        <f t="shared" si="24"/>
        <v>-295537.16692010872</v>
      </c>
    </row>
    <row r="279" spans="1:6" x14ac:dyDescent="0.25">
      <c r="A279">
        <v>271</v>
      </c>
      <c r="B279" s="73">
        <f t="shared" si="20"/>
        <v>904.74747229086745</v>
      </c>
      <c r="C279" s="74">
        <f t="shared" si="21"/>
        <v>-1970.2477794673916</v>
      </c>
      <c r="D279" s="73">
        <f t="shared" si="22"/>
        <v>2874.9952517582592</v>
      </c>
      <c r="E279" s="75">
        <f t="shared" si="23"/>
        <v>0</v>
      </c>
      <c r="F279" s="75">
        <f t="shared" si="24"/>
        <v>-298412.16217186698</v>
      </c>
    </row>
    <row r="280" spans="1:6" x14ac:dyDescent="0.25">
      <c r="A280">
        <v>272</v>
      </c>
      <c r="B280" s="73">
        <f t="shared" si="20"/>
        <v>904.74747229086745</v>
      </c>
      <c r="C280" s="74">
        <f t="shared" si="21"/>
        <v>-1989.4144144791132</v>
      </c>
      <c r="D280" s="73">
        <f t="shared" si="22"/>
        <v>2894.1618867699808</v>
      </c>
      <c r="E280" s="75">
        <f t="shared" si="23"/>
        <v>0</v>
      </c>
      <c r="F280" s="75">
        <f t="shared" si="24"/>
        <v>-301306.32405863696</v>
      </c>
    </row>
    <row r="281" spans="1:6" x14ac:dyDescent="0.25">
      <c r="A281">
        <v>273</v>
      </c>
      <c r="B281" s="73">
        <f t="shared" si="20"/>
        <v>904.74747229086745</v>
      </c>
      <c r="C281" s="74">
        <f t="shared" si="21"/>
        <v>-2008.7088270575798</v>
      </c>
      <c r="D281" s="73">
        <f t="shared" si="22"/>
        <v>2913.4562993484474</v>
      </c>
      <c r="E281" s="75">
        <f t="shared" si="23"/>
        <v>0</v>
      </c>
      <c r="F281" s="75">
        <f t="shared" si="24"/>
        <v>-304219.78035798541</v>
      </c>
    </row>
    <row r="282" spans="1:6" x14ac:dyDescent="0.25">
      <c r="A282">
        <v>274</v>
      </c>
      <c r="B282" s="73">
        <f t="shared" si="20"/>
        <v>904.74747229086745</v>
      </c>
      <c r="C282" s="74">
        <f t="shared" si="21"/>
        <v>-2028.1318690532362</v>
      </c>
      <c r="D282" s="73">
        <f t="shared" si="22"/>
        <v>2932.8793413441035</v>
      </c>
      <c r="E282" s="75">
        <f t="shared" si="23"/>
        <v>0</v>
      </c>
      <c r="F282" s="75">
        <f t="shared" si="24"/>
        <v>-307152.65969932952</v>
      </c>
    </row>
    <row r="283" spans="1:6" x14ac:dyDescent="0.25">
      <c r="A283">
        <v>275</v>
      </c>
      <c r="B283" s="73">
        <f t="shared" si="20"/>
        <v>904.74747229086745</v>
      </c>
      <c r="C283" s="74">
        <f t="shared" si="21"/>
        <v>-2047.6843979955304</v>
      </c>
      <c r="D283" s="73">
        <f t="shared" si="22"/>
        <v>2952.431870286398</v>
      </c>
      <c r="E283" s="75">
        <f t="shared" si="23"/>
        <v>0</v>
      </c>
      <c r="F283" s="75">
        <f t="shared" si="24"/>
        <v>-310105.09156961594</v>
      </c>
    </row>
    <row r="284" spans="1:6" x14ac:dyDescent="0.25">
      <c r="A284">
        <v>276</v>
      </c>
      <c r="B284" s="73">
        <f t="shared" si="20"/>
        <v>904.74747229086745</v>
      </c>
      <c r="C284" s="74">
        <f t="shared" si="21"/>
        <v>-2067.3672771307729</v>
      </c>
      <c r="D284" s="73">
        <f t="shared" si="22"/>
        <v>2972.1147494216402</v>
      </c>
      <c r="E284" s="75">
        <f t="shared" si="23"/>
        <v>0</v>
      </c>
      <c r="F284" s="75">
        <f t="shared" si="24"/>
        <v>-313077.20631903759</v>
      </c>
    </row>
    <row r="285" spans="1:6" x14ac:dyDescent="0.25">
      <c r="A285">
        <v>277</v>
      </c>
      <c r="B285" s="73">
        <f t="shared" si="20"/>
        <v>904.74747229086745</v>
      </c>
      <c r="C285" s="74">
        <f t="shared" si="21"/>
        <v>-2087.1813754602508</v>
      </c>
      <c r="D285" s="73">
        <f t="shared" si="22"/>
        <v>2991.9288477511182</v>
      </c>
      <c r="E285" s="75">
        <f t="shared" si="23"/>
        <v>0</v>
      </c>
      <c r="F285" s="75">
        <f t="shared" si="24"/>
        <v>-316069.13516678871</v>
      </c>
    </row>
    <row r="286" spans="1:6" x14ac:dyDescent="0.25">
      <c r="A286">
        <v>278</v>
      </c>
      <c r="B286" s="73">
        <f t="shared" si="20"/>
        <v>904.74747229086745</v>
      </c>
      <c r="C286" s="74">
        <f t="shared" si="21"/>
        <v>-2107.1275677785916</v>
      </c>
      <c r="D286" s="73">
        <f t="shared" si="22"/>
        <v>3011.8750400694589</v>
      </c>
      <c r="E286" s="75">
        <f t="shared" si="23"/>
        <v>0</v>
      </c>
      <c r="F286" s="75">
        <f t="shared" si="24"/>
        <v>-319081.01020685816</v>
      </c>
    </row>
    <row r="287" spans="1:6" x14ac:dyDescent="0.25">
      <c r="A287">
        <v>279</v>
      </c>
      <c r="B287" s="73">
        <f t="shared" si="20"/>
        <v>904.74747229086745</v>
      </c>
      <c r="C287" s="74">
        <f t="shared" si="21"/>
        <v>-2127.206734712388</v>
      </c>
      <c r="D287" s="73">
        <f t="shared" si="22"/>
        <v>3031.9542070032553</v>
      </c>
      <c r="E287" s="75">
        <f t="shared" si="23"/>
        <v>0</v>
      </c>
      <c r="F287" s="75">
        <f t="shared" si="24"/>
        <v>-322112.96441386139</v>
      </c>
    </row>
    <row r="288" spans="1:6" x14ac:dyDescent="0.25">
      <c r="A288">
        <v>280</v>
      </c>
      <c r="B288" s="73">
        <f t="shared" si="20"/>
        <v>904.74747229086745</v>
      </c>
      <c r="C288" s="74">
        <f t="shared" si="21"/>
        <v>-2147.4197627590761</v>
      </c>
      <c r="D288" s="73">
        <f t="shared" si="22"/>
        <v>3052.1672350499434</v>
      </c>
      <c r="E288" s="75">
        <f t="shared" si="23"/>
        <v>0</v>
      </c>
      <c r="F288" s="75">
        <f t="shared" si="24"/>
        <v>-325165.13164891134</v>
      </c>
    </row>
    <row r="289" spans="1:6" x14ac:dyDescent="0.25">
      <c r="A289">
        <v>281</v>
      </c>
      <c r="B289" s="73">
        <f t="shared" si="20"/>
        <v>904.74747229086745</v>
      </c>
      <c r="C289" s="74">
        <f t="shared" si="21"/>
        <v>-2167.7675443260759</v>
      </c>
      <c r="D289" s="73">
        <f t="shared" si="22"/>
        <v>3072.5150166169433</v>
      </c>
      <c r="E289" s="75">
        <f t="shared" si="23"/>
        <v>0</v>
      </c>
      <c r="F289" s="75">
        <f t="shared" si="24"/>
        <v>-328237.6466655283</v>
      </c>
    </row>
    <row r="290" spans="1:6" x14ac:dyDescent="0.25">
      <c r="A290">
        <v>282</v>
      </c>
      <c r="B290" s="73">
        <f t="shared" si="20"/>
        <v>904.74747229086745</v>
      </c>
      <c r="C290" s="74">
        <f t="shared" si="21"/>
        <v>-2188.2509777701889</v>
      </c>
      <c r="D290" s="73">
        <f t="shared" si="22"/>
        <v>3092.9984500610562</v>
      </c>
      <c r="E290" s="75">
        <f t="shared" si="23"/>
        <v>0</v>
      </c>
      <c r="F290" s="75">
        <f t="shared" si="24"/>
        <v>-331330.64511558937</v>
      </c>
    </row>
    <row r="291" spans="1:6" x14ac:dyDescent="0.25">
      <c r="A291">
        <v>283</v>
      </c>
      <c r="B291" s="73">
        <f t="shared" si="20"/>
        <v>904.74747229086745</v>
      </c>
      <c r="C291" s="74">
        <f t="shared" si="21"/>
        <v>-2208.8709674372626</v>
      </c>
      <c r="D291" s="73">
        <f t="shared" si="22"/>
        <v>3113.6184397281299</v>
      </c>
      <c r="E291" s="75">
        <f t="shared" si="23"/>
        <v>0</v>
      </c>
      <c r="F291" s="75">
        <f t="shared" si="24"/>
        <v>-334444.26355531748</v>
      </c>
    </row>
    <row r="292" spans="1:6" x14ac:dyDescent="0.25">
      <c r="A292">
        <v>284</v>
      </c>
      <c r="B292" s="73">
        <f t="shared" si="20"/>
        <v>904.74747229086745</v>
      </c>
      <c r="C292" s="74">
        <f t="shared" si="21"/>
        <v>-2229.6284237021168</v>
      </c>
      <c r="D292" s="73">
        <f t="shared" si="22"/>
        <v>3134.3758959929842</v>
      </c>
      <c r="E292" s="75">
        <f t="shared" si="23"/>
        <v>0</v>
      </c>
      <c r="F292" s="75">
        <f t="shared" si="24"/>
        <v>-337578.63945131045</v>
      </c>
    </row>
    <row r="293" spans="1:6" x14ac:dyDescent="0.25">
      <c r="A293">
        <v>285</v>
      </c>
      <c r="B293" s="73">
        <f t="shared" si="20"/>
        <v>904.74747229086745</v>
      </c>
      <c r="C293" s="74">
        <f t="shared" si="21"/>
        <v>-2250.5242630087364</v>
      </c>
      <c r="D293" s="73">
        <f t="shared" si="22"/>
        <v>3155.2717352996037</v>
      </c>
      <c r="E293" s="75">
        <f t="shared" si="23"/>
        <v>0</v>
      </c>
      <c r="F293" s="75">
        <f t="shared" si="24"/>
        <v>-340733.91118661006</v>
      </c>
    </row>
    <row r="294" spans="1:6" x14ac:dyDescent="0.25">
      <c r="A294">
        <v>286</v>
      </c>
      <c r="B294" s="73">
        <f t="shared" si="20"/>
        <v>904.74747229086745</v>
      </c>
      <c r="C294" s="74">
        <f t="shared" si="21"/>
        <v>-2271.5594079107341</v>
      </c>
      <c r="D294" s="73">
        <f t="shared" si="22"/>
        <v>3176.3068802016014</v>
      </c>
      <c r="E294" s="75">
        <f t="shared" si="23"/>
        <v>0</v>
      </c>
      <c r="F294" s="75">
        <f t="shared" si="24"/>
        <v>-343910.21806681168</v>
      </c>
    </row>
    <row r="295" spans="1:6" x14ac:dyDescent="0.25">
      <c r="A295">
        <v>287</v>
      </c>
      <c r="B295" s="73">
        <f t="shared" si="20"/>
        <v>904.74747229086745</v>
      </c>
      <c r="C295" s="74">
        <f t="shared" si="21"/>
        <v>-2292.7347871120778</v>
      </c>
      <c r="D295" s="73">
        <f t="shared" si="22"/>
        <v>3197.4822594029451</v>
      </c>
      <c r="E295" s="75">
        <f t="shared" si="23"/>
        <v>0</v>
      </c>
      <c r="F295" s="75">
        <f t="shared" si="24"/>
        <v>-347107.7003262146</v>
      </c>
    </row>
    <row r="296" spans="1:6" x14ac:dyDescent="0.25">
      <c r="A296">
        <v>288</v>
      </c>
      <c r="B296" s="73">
        <f t="shared" si="20"/>
        <v>904.74747229086745</v>
      </c>
      <c r="C296" s="74">
        <f t="shared" si="21"/>
        <v>-2314.0513355080975</v>
      </c>
      <c r="D296" s="73">
        <f t="shared" si="22"/>
        <v>3218.7988077989648</v>
      </c>
      <c r="E296" s="75">
        <f t="shared" si="23"/>
        <v>0</v>
      </c>
      <c r="F296" s="75">
        <f t="shared" si="24"/>
        <v>-350326.49913401355</v>
      </c>
    </row>
    <row r="297" spans="1:6" x14ac:dyDescent="0.25">
      <c r="A297">
        <v>289</v>
      </c>
      <c r="B297" s="73">
        <f t="shared" si="20"/>
        <v>904.74747229086745</v>
      </c>
      <c r="C297" s="74">
        <f t="shared" si="21"/>
        <v>-2335.509994226757</v>
      </c>
      <c r="D297" s="73">
        <f t="shared" si="22"/>
        <v>3240.2574665176244</v>
      </c>
      <c r="E297" s="75">
        <f t="shared" si="23"/>
        <v>0</v>
      </c>
      <c r="F297" s="75">
        <f t="shared" si="24"/>
        <v>-353566.75660053117</v>
      </c>
    </row>
    <row r="298" spans="1:6" x14ac:dyDescent="0.25">
      <c r="A298">
        <v>290</v>
      </c>
      <c r="B298" s="73">
        <f t="shared" si="20"/>
        <v>904.74747229086745</v>
      </c>
      <c r="C298" s="74">
        <f t="shared" si="21"/>
        <v>-2357.1117106702081</v>
      </c>
      <c r="D298" s="73">
        <f t="shared" si="22"/>
        <v>3261.8591829610755</v>
      </c>
      <c r="E298" s="75">
        <f t="shared" si="23"/>
        <v>0</v>
      </c>
      <c r="F298" s="75">
        <f t="shared" si="24"/>
        <v>-356828.61578349222</v>
      </c>
    </row>
    <row r="299" spans="1:6" x14ac:dyDescent="0.25">
      <c r="A299">
        <v>291</v>
      </c>
      <c r="B299" s="73">
        <f t="shared" si="20"/>
        <v>904.74747229086745</v>
      </c>
      <c r="C299" s="74">
        <f t="shared" si="21"/>
        <v>-2378.8574385566149</v>
      </c>
      <c r="D299" s="73">
        <f t="shared" si="22"/>
        <v>3283.6049108474822</v>
      </c>
      <c r="E299" s="75">
        <f t="shared" si="23"/>
        <v>0</v>
      </c>
      <c r="F299" s="75">
        <f t="shared" si="24"/>
        <v>-360112.22069433972</v>
      </c>
    </row>
    <row r="300" spans="1:6" x14ac:dyDescent="0.25">
      <c r="A300">
        <v>292</v>
      </c>
      <c r="B300" s="73">
        <f t="shared" si="20"/>
        <v>904.74747229086745</v>
      </c>
      <c r="C300" s="74">
        <f t="shared" si="21"/>
        <v>-2400.748137962265</v>
      </c>
      <c r="D300" s="73">
        <f t="shared" si="22"/>
        <v>3305.4956102531323</v>
      </c>
      <c r="E300" s="75">
        <f t="shared" si="23"/>
        <v>0</v>
      </c>
      <c r="F300" s="75">
        <f t="shared" si="24"/>
        <v>-363417.71630459285</v>
      </c>
    </row>
    <row r="301" spans="1:6" x14ac:dyDescent="0.25">
      <c r="A301">
        <v>293</v>
      </c>
      <c r="B301" s="73">
        <f t="shared" si="20"/>
        <v>904.74747229086745</v>
      </c>
      <c r="C301" s="74">
        <f t="shared" si="21"/>
        <v>-2422.7847753639526</v>
      </c>
      <c r="D301" s="73">
        <f t="shared" si="22"/>
        <v>3327.5322476548199</v>
      </c>
      <c r="E301" s="75">
        <f t="shared" si="23"/>
        <v>0</v>
      </c>
      <c r="F301" s="75">
        <f t="shared" si="24"/>
        <v>-366745.24855224765</v>
      </c>
    </row>
    <row r="302" spans="1:6" x14ac:dyDescent="0.25">
      <c r="A302">
        <v>294</v>
      </c>
      <c r="B302" s="73">
        <f t="shared" si="20"/>
        <v>904.74747229086745</v>
      </c>
      <c r="C302" s="74">
        <f t="shared" si="21"/>
        <v>-2444.9683236816513</v>
      </c>
      <c r="D302" s="73">
        <f t="shared" si="22"/>
        <v>3349.7157959725187</v>
      </c>
      <c r="E302" s="75">
        <f t="shared" si="23"/>
        <v>0</v>
      </c>
      <c r="F302" s="75">
        <f t="shared" si="24"/>
        <v>-370094.96434822015</v>
      </c>
    </row>
    <row r="303" spans="1:6" x14ac:dyDescent="0.25">
      <c r="A303">
        <v>295</v>
      </c>
      <c r="B303" s="73">
        <f t="shared" si="20"/>
        <v>904.74747229086745</v>
      </c>
      <c r="C303" s="74">
        <f t="shared" si="21"/>
        <v>-2467.2997623214678</v>
      </c>
      <c r="D303" s="73">
        <f t="shared" si="22"/>
        <v>3372.0472346123352</v>
      </c>
      <c r="E303" s="75">
        <f t="shared" si="23"/>
        <v>0</v>
      </c>
      <c r="F303" s="75">
        <f t="shared" si="24"/>
        <v>-373467.01158283249</v>
      </c>
    </row>
    <row r="304" spans="1:6" x14ac:dyDescent="0.25">
      <c r="A304">
        <v>296</v>
      </c>
      <c r="B304" s="73">
        <f t="shared" si="20"/>
        <v>904.74747229086745</v>
      </c>
      <c r="C304" s="74">
        <f t="shared" si="21"/>
        <v>-2489.7800772188834</v>
      </c>
      <c r="D304" s="73">
        <f t="shared" si="22"/>
        <v>3394.5275495097508</v>
      </c>
      <c r="E304" s="75">
        <f t="shared" si="23"/>
        <v>0</v>
      </c>
      <c r="F304" s="75">
        <f t="shared" si="24"/>
        <v>-376861.53913234227</v>
      </c>
    </row>
    <row r="305" spans="1:6" x14ac:dyDescent="0.25">
      <c r="A305">
        <v>297</v>
      </c>
      <c r="B305" s="73">
        <f t="shared" si="20"/>
        <v>904.74747229086745</v>
      </c>
      <c r="C305" s="74">
        <f t="shared" si="21"/>
        <v>-2512.4102608822818</v>
      </c>
      <c r="D305" s="73">
        <f t="shared" si="22"/>
        <v>3417.1577331731492</v>
      </c>
      <c r="E305" s="75">
        <f t="shared" si="23"/>
        <v>0</v>
      </c>
      <c r="F305" s="75">
        <f t="shared" si="24"/>
        <v>-380278.69686551543</v>
      </c>
    </row>
    <row r="306" spans="1:6" x14ac:dyDescent="0.25">
      <c r="A306">
        <v>298</v>
      </c>
      <c r="B306" s="73">
        <f t="shared" si="20"/>
        <v>904.74747229086745</v>
      </c>
      <c r="C306" s="74">
        <f t="shared" si="21"/>
        <v>-2535.1913124367697</v>
      </c>
      <c r="D306" s="73">
        <f t="shared" si="22"/>
        <v>3439.9387847276371</v>
      </c>
      <c r="E306" s="75">
        <f t="shared" si="23"/>
        <v>0</v>
      </c>
      <c r="F306" s="75">
        <f t="shared" si="24"/>
        <v>-383718.63565024309</v>
      </c>
    </row>
    <row r="307" spans="1:6" x14ac:dyDescent="0.25">
      <c r="A307">
        <v>299</v>
      </c>
      <c r="B307" s="73">
        <f t="shared" si="20"/>
        <v>904.74747229086745</v>
      </c>
      <c r="C307" s="74">
        <f t="shared" si="21"/>
        <v>-2558.1242376682876</v>
      </c>
      <c r="D307" s="73">
        <f t="shared" si="22"/>
        <v>3462.8717099591549</v>
      </c>
      <c r="E307" s="75">
        <f t="shared" si="23"/>
        <v>0</v>
      </c>
      <c r="F307" s="75">
        <f t="shared" si="24"/>
        <v>-387181.50736020226</v>
      </c>
    </row>
    <row r="308" spans="1:6" x14ac:dyDescent="0.25">
      <c r="A308">
        <v>300</v>
      </c>
      <c r="B308" s="73">
        <f t="shared" si="20"/>
        <v>904.74747229086745</v>
      </c>
      <c r="C308" s="74">
        <f t="shared" si="21"/>
        <v>-2581.2100490680155</v>
      </c>
      <c r="D308" s="73">
        <f t="shared" si="22"/>
        <v>3485.9575213588828</v>
      </c>
      <c r="E308" s="75">
        <f t="shared" si="23"/>
        <v>0</v>
      </c>
      <c r="F308" s="75">
        <f t="shared" si="24"/>
        <v>-390667.46488156111</v>
      </c>
    </row>
    <row r="309" spans="1:6" x14ac:dyDescent="0.25">
      <c r="A309">
        <v>301</v>
      </c>
      <c r="B309" s="73">
        <f t="shared" si="20"/>
        <v>904.74747229086745</v>
      </c>
      <c r="C309" s="74">
        <f t="shared" si="21"/>
        <v>-2604.4497658770742</v>
      </c>
      <c r="D309" s="73">
        <f t="shared" si="22"/>
        <v>3509.1972381679416</v>
      </c>
      <c r="E309" s="75">
        <f t="shared" si="23"/>
        <v>0</v>
      </c>
      <c r="F309" s="75">
        <f t="shared" si="24"/>
        <v>-394176.66211972904</v>
      </c>
    </row>
    <row r="310" spans="1:6" x14ac:dyDescent="0.25">
      <c r="A310">
        <v>302</v>
      </c>
      <c r="B310" s="73">
        <f t="shared" si="20"/>
        <v>904.74747229086745</v>
      </c>
      <c r="C310" s="74">
        <f t="shared" si="21"/>
        <v>-2627.8444141315272</v>
      </c>
      <c r="D310" s="73">
        <f t="shared" si="22"/>
        <v>3532.5918864223945</v>
      </c>
      <c r="E310" s="75">
        <f t="shared" si="23"/>
        <v>0</v>
      </c>
      <c r="F310" s="75">
        <f t="shared" si="24"/>
        <v>-397709.25400615146</v>
      </c>
    </row>
    <row r="311" spans="1:6" x14ac:dyDescent="0.25">
      <c r="A311">
        <v>303</v>
      </c>
      <c r="B311" s="73">
        <f t="shared" si="20"/>
        <v>904.74747229086745</v>
      </c>
      <c r="C311" s="74">
        <f t="shared" si="21"/>
        <v>-2651.3950267076766</v>
      </c>
      <c r="D311" s="73">
        <f t="shared" si="22"/>
        <v>3556.1424989985439</v>
      </c>
      <c r="E311" s="75">
        <f t="shared" si="23"/>
        <v>0</v>
      </c>
      <c r="F311" s="75">
        <f t="shared" si="24"/>
        <v>-401265.39650515001</v>
      </c>
    </row>
    <row r="312" spans="1:6" x14ac:dyDescent="0.25">
      <c r="A312">
        <v>304</v>
      </c>
      <c r="B312" s="73">
        <f t="shared" si="20"/>
        <v>904.74747229086745</v>
      </c>
      <c r="C312" s="74">
        <f t="shared" si="21"/>
        <v>-2675.102643367667</v>
      </c>
      <c r="D312" s="73">
        <f t="shared" si="22"/>
        <v>3579.8501156585344</v>
      </c>
      <c r="E312" s="75">
        <f t="shared" si="23"/>
        <v>0</v>
      </c>
      <c r="F312" s="75">
        <f t="shared" si="24"/>
        <v>-404845.24662080855</v>
      </c>
    </row>
    <row r="313" spans="1:6" x14ac:dyDescent="0.25">
      <c r="A313">
        <v>305</v>
      </c>
      <c r="B313" s="73">
        <f t="shared" si="20"/>
        <v>904.74747229086745</v>
      </c>
      <c r="C313" s="74">
        <f t="shared" si="21"/>
        <v>-2698.9683108053905</v>
      </c>
      <c r="D313" s="73">
        <f t="shared" si="22"/>
        <v>3603.7157830962578</v>
      </c>
      <c r="E313" s="75">
        <f t="shared" si="23"/>
        <v>0</v>
      </c>
      <c r="F313" s="75">
        <f t="shared" si="24"/>
        <v>-408448.96240390482</v>
      </c>
    </row>
    <row r="314" spans="1:6" x14ac:dyDescent="0.25">
      <c r="A314">
        <v>306</v>
      </c>
      <c r="B314" s="73">
        <f t="shared" si="20"/>
        <v>904.74747229086745</v>
      </c>
      <c r="C314" s="74">
        <f t="shared" si="21"/>
        <v>-2722.9930826926989</v>
      </c>
      <c r="D314" s="73">
        <f t="shared" si="22"/>
        <v>3627.7405549835662</v>
      </c>
      <c r="E314" s="75">
        <f t="shared" si="23"/>
        <v>0</v>
      </c>
      <c r="F314" s="75">
        <f t="shared" si="24"/>
        <v>-412076.70295888837</v>
      </c>
    </row>
    <row r="315" spans="1:6" x14ac:dyDescent="0.25">
      <c r="A315">
        <v>307</v>
      </c>
      <c r="B315" s="73">
        <f t="shared" si="20"/>
        <v>904.74747229086745</v>
      </c>
      <c r="C315" s="74">
        <f t="shared" si="21"/>
        <v>-2747.1780197259227</v>
      </c>
      <c r="D315" s="73">
        <f t="shared" si="22"/>
        <v>3651.92549201679</v>
      </c>
      <c r="E315" s="75">
        <f t="shared" si="23"/>
        <v>0</v>
      </c>
      <c r="F315" s="75">
        <f t="shared" si="24"/>
        <v>-415728.62845090515</v>
      </c>
    </row>
    <row r="316" spans="1:6" x14ac:dyDescent="0.25">
      <c r="A316">
        <v>308</v>
      </c>
      <c r="B316" s="73">
        <f t="shared" si="20"/>
        <v>904.74747229086745</v>
      </c>
      <c r="C316" s="74">
        <f t="shared" si="21"/>
        <v>-2771.5241896727011</v>
      </c>
      <c r="D316" s="73">
        <f t="shared" si="22"/>
        <v>3676.2716619635685</v>
      </c>
      <c r="E316" s="75">
        <f t="shared" si="23"/>
        <v>0</v>
      </c>
      <c r="F316" s="75">
        <f t="shared" si="24"/>
        <v>-419404.90011286869</v>
      </c>
    </row>
    <row r="317" spans="1:6" x14ac:dyDescent="0.25">
      <c r="A317">
        <v>309</v>
      </c>
      <c r="B317" s="73">
        <f t="shared" si="20"/>
        <v>904.74747229086745</v>
      </c>
      <c r="C317" s="74">
        <f t="shared" si="21"/>
        <v>-2796.0326674191247</v>
      </c>
      <c r="D317" s="73">
        <f t="shared" si="22"/>
        <v>3700.780139709992</v>
      </c>
      <c r="E317" s="75">
        <f t="shared" si="23"/>
        <v>0</v>
      </c>
      <c r="F317" s="75">
        <f t="shared" si="24"/>
        <v>-423105.68025257869</v>
      </c>
    </row>
    <row r="318" spans="1:6" x14ac:dyDescent="0.25">
      <c r="A318">
        <v>310</v>
      </c>
      <c r="B318" s="73">
        <f t="shared" si="20"/>
        <v>904.74747229086745</v>
      </c>
      <c r="C318" s="74">
        <f t="shared" si="21"/>
        <v>-2820.7045350171916</v>
      </c>
      <c r="D318" s="73">
        <f t="shared" si="22"/>
        <v>3725.4520073080589</v>
      </c>
      <c r="E318" s="75">
        <f t="shared" si="23"/>
        <v>0</v>
      </c>
      <c r="F318" s="75">
        <f t="shared" si="24"/>
        <v>-426831.13225988677</v>
      </c>
    </row>
    <row r="319" spans="1:6" x14ac:dyDescent="0.25">
      <c r="A319">
        <v>311</v>
      </c>
      <c r="B319" s="73">
        <f t="shared" si="20"/>
        <v>904.74747229086745</v>
      </c>
      <c r="C319" s="74">
        <f t="shared" si="21"/>
        <v>-2845.5408817325788</v>
      </c>
      <c r="D319" s="73">
        <f t="shared" si="22"/>
        <v>3750.2883540234461</v>
      </c>
      <c r="E319" s="75">
        <f t="shared" si="23"/>
        <v>0</v>
      </c>
      <c r="F319" s="75">
        <f t="shared" si="24"/>
        <v>-430581.42061391019</v>
      </c>
    </row>
    <row r="320" spans="1:6" x14ac:dyDescent="0.25">
      <c r="A320">
        <v>312</v>
      </c>
      <c r="B320" s="73">
        <f t="shared" si="20"/>
        <v>904.74747229086745</v>
      </c>
      <c r="C320" s="74">
        <f t="shared" si="21"/>
        <v>-2870.542804092735</v>
      </c>
      <c r="D320" s="73">
        <f t="shared" si="22"/>
        <v>3775.2902763836023</v>
      </c>
      <c r="E320" s="75">
        <f t="shared" si="23"/>
        <v>0</v>
      </c>
      <c r="F320" s="75">
        <f t="shared" si="24"/>
        <v>-434356.71089029376</v>
      </c>
    </row>
    <row r="321" spans="1:6" x14ac:dyDescent="0.25">
      <c r="A321">
        <v>313</v>
      </c>
      <c r="B321" s="73">
        <f t="shared" si="20"/>
        <v>904.74747229086745</v>
      </c>
      <c r="C321" s="74">
        <f t="shared" si="21"/>
        <v>-2895.7114059352921</v>
      </c>
      <c r="D321" s="73">
        <f t="shared" si="22"/>
        <v>3800.4588782261594</v>
      </c>
      <c r="E321" s="75">
        <f t="shared" si="23"/>
        <v>0</v>
      </c>
      <c r="F321" s="75">
        <f t="shared" si="24"/>
        <v>-438157.16976851993</v>
      </c>
    </row>
    <row r="322" spans="1:6" x14ac:dyDescent="0.25">
      <c r="A322">
        <v>314</v>
      </c>
      <c r="B322" s="73">
        <f t="shared" si="20"/>
        <v>904.74747229086745</v>
      </c>
      <c r="C322" s="74">
        <f t="shared" si="21"/>
        <v>-2921.0477984567997</v>
      </c>
      <c r="D322" s="73">
        <f t="shared" si="22"/>
        <v>3825.795270747667</v>
      </c>
      <c r="E322" s="75">
        <f t="shared" si="23"/>
        <v>0</v>
      </c>
      <c r="F322" s="75">
        <f t="shared" si="24"/>
        <v>-441982.96503926761</v>
      </c>
    </row>
    <row r="323" spans="1:6" x14ac:dyDescent="0.25">
      <c r="A323">
        <v>315</v>
      </c>
      <c r="B323" s="73">
        <f t="shared" si="20"/>
        <v>904.74747229086745</v>
      </c>
      <c r="C323" s="74">
        <f t="shared" si="21"/>
        <v>-2946.5531002617845</v>
      </c>
      <c r="D323" s="73">
        <f t="shared" si="22"/>
        <v>3851.3005725526518</v>
      </c>
      <c r="E323" s="75">
        <f t="shared" si="23"/>
        <v>0</v>
      </c>
      <c r="F323" s="75">
        <f t="shared" si="24"/>
        <v>-445834.26561182027</v>
      </c>
    </row>
    <row r="324" spans="1:6" x14ac:dyDescent="0.25">
      <c r="A324">
        <v>316</v>
      </c>
      <c r="B324" s="73">
        <f t="shared" si="20"/>
        <v>904.74747229086745</v>
      </c>
      <c r="C324" s="74">
        <f t="shared" si="21"/>
        <v>-2972.2284374121355</v>
      </c>
      <c r="D324" s="73">
        <f t="shared" si="22"/>
        <v>3876.9759097030028</v>
      </c>
      <c r="E324" s="75">
        <f t="shared" si="23"/>
        <v>0</v>
      </c>
      <c r="F324" s="75">
        <f t="shared" si="24"/>
        <v>-449711.24152152328</v>
      </c>
    </row>
    <row r="325" spans="1:6" x14ac:dyDescent="0.25">
      <c r="A325">
        <v>317</v>
      </c>
      <c r="B325" s="73">
        <f t="shared" si="20"/>
        <v>904.74747229086745</v>
      </c>
      <c r="C325" s="74">
        <f t="shared" si="21"/>
        <v>-2998.0749434768222</v>
      </c>
      <c r="D325" s="73">
        <f t="shared" si="22"/>
        <v>3902.8224157676896</v>
      </c>
      <c r="E325" s="75">
        <f t="shared" si="23"/>
        <v>0</v>
      </c>
      <c r="F325" s="75">
        <f t="shared" si="24"/>
        <v>-453614.06393729098</v>
      </c>
    </row>
    <row r="326" spans="1:6" x14ac:dyDescent="0.25">
      <c r="A326">
        <v>318</v>
      </c>
      <c r="B326" s="73">
        <f t="shared" si="20"/>
        <v>904.74747229086745</v>
      </c>
      <c r="C326" s="74">
        <f t="shared" si="21"/>
        <v>-3024.09375958194</v>
      </c>
      <c r="D326" s="73">
        <f t="shared" si="22"/>
        <v>3928.8412318728074</v>
      </c>
      <c r="E326" s="75">
        <f t="shared" si="23"/>
        <v>0</v>
      </c>
      <c r="F326" s="75">
        <f t="shared" si="24"/>
        <v>-457542.90516916377</v>
      </c>
    </row>
    <row r="327" spans="1:6" x14ac:dyDescent="0.25">
      <c r="A327">
        <v>319</v>
      </c>
      <c r="B327" s="73">
        <f t="shared" si="20"/>
        <v>904.74747229086745</v>
      </c>
      <c r="C327" s="74">
        <f t="shared" si="21"/>
        <v>-3050.2860344610922</v>
      </c>
      <c r="D327" s="73">
        <f t="shared" si="22"/>
        <v>3955.0335067519595</v>
      </c>
      <c r="E327" s="75">
        <f t="shared" si="23"/>
        <v>0</v>
      </c>
      <c r="F327" s="75">
        <f t="shared" si="24"/>
        <v>-461497.93867591571</v>
      </c>
    </row>
    <row r="328" spans="1:6" x14ac:dyDescent="0.25">
      <c r="A328">
        <v>320</v>
      </c>
      <c r="B328" s="73">
        <f t="shared" si="20"/>
        <v>904.74747229086745</v>
      </c>
      <c r="C328" s="74">
        <f t="shared" si="21"/>
        <v>-3076.6529245061047</v>
      </c>
      <c r="D328" s="73">
        <f t="shared" si="22"/>
        <v>3981.400396796972</v>
      </c>
      <c r="E328" s="75">
        <f t="shared" si="23"/>
        <v>0</v>
      </c>
      <c r="F328" s="75">
        <f t="shared" si="24"/>
        <v>-465479.3390727127</v>
      </c>
    </row>
    <row r="329" spans="1:6" x14ac:dyDescent="0.25">
      <c r="A329">
        <v>321</v>
      </c>
      <c r="B329" s="73">
        <f t="shared" si="20"/>
        <v>904.74747229086745</v>
      </c>
      <c r="C329" s="74">
        <f t="shared" si="21"/>
        <v>-3103.1955938180849</v>
      </c>
      <c r="D329" s="73">
        <f t="shared" si="22"/>
        <v>4007.9430661089523</v>
      </c>
      <c r="E329" s="75">
        <f t="shared" si="23"/>
        <v>0</v>
      </c>
      <c r="F329" s="75">
        <f t="shared" si="24"/>
        <v>-469487.28213882167</v>
      </c>
    </row>
    <row r="330" spans="1:6" x14ac:dyDescent="0.25">
      <c r="A330">
        <v>322</v>
      </c>
      <c r="B330" s="73">
        <f t="shared" ref="B330:B370" si="25">PMT($C$4/12,$C$5,-$C$3)</f>
        <v>904.74747229086745</v>
      </c>
      <c r="C330" s="74">
        <f t="shared" ref="C330:C370" si="26">F329*($C$4/12)</f>
        <v>-3129.9152142588114</v>
      </c>
      <c r="D330" s="73">
        <f t="shared" ref="D330:D370" si="27">B330-C330</f>
        <v>4034.6626865496787</v>
      </c>
      <c r="E330" s="75">
        <f t="shared" ref="E330:E370" si="28">$F$3</f>
        <v>0</v>
      </c>
      <c r="F330" s="75">
        <f t="shared" ref="F330:F369" si="29">F329-D330-E330</f>
        <v>-473521.94482537132</v>
      </c>
    </row>
    <row r="331" spans="1:6" x14ac:dyDescent="0.25">
      <c r="A331">
        <v>323</v>
      </c>
      <c r="B331" s="73">
        <f t="shared" si="25"/>
        <v>904.74747229086745</v>
      </c>
      <c r="C331" s="74">
        <f t="shared" si="26"/>
        <v>-3156.8129655024759</v>
      </c>
      <c r="D331" s="73">
        <f t="shared" si="27"/>
        <v>4061.5604377933432</v>
      </c>
      <c r="E331" s="75">
        <f t="shared" si="28"/>
        <v>0</v>
      </c>
      <c r="F331" s="75">
        <f t="shared" si="29"/>
        <v>-477583.50526316464</v>
      </c>
    </row>
    <row r="332" spans="1:6" x14ac:dyDescent="0.25">
      <c r="A332">
        <v>324</v>
      </c>
      <c r="B332" s="73">
        <f t="shared" si="25"/>
        <v>904.74747229086745</v>
      </c>
      <c r="C332" s="74">
        <f t="shared" si="26"/>
        <v>-3183.8900350877643</v>
      </c>
      <c r="D332" s="73">
        <f t="shared" si="27"/>
        <v>4088.6375073786317</v>
      </c>
      <c r="E332" s="75">
        <f t="shared" si="28"/>
        <v>0</v>
      </c>
      <c r="F332" s="75">
        <f t="shared" si="29"/>
        <v>-481672.14277054329</v>
      </c>
    </row>
    <row r="333" spans="1:6" x14ac:dyDescent="0.25">
      <c r="A333">
        <v>325</v>
      </c>
      <c r="B333" s="73">
        <f t="shared" si="25"/>
        <v>904.74747229086745</v>
      </c>
      <c r="C333" s="74">
        <f t="shared" si="26"/>
        <v>-3211.1476184702888</v>
      </c>
      <c r="D333" s="73">
        <f t="shared" si="27"/>
        <v>4115.8950907611561</v>
      </c>
      <c r="E333" s="75">
        <f t="shared" si="28"/>
        <v>0</v>
      </c>
      <c r="F333" s="75">
        <f t="shared" si="29"/>
        <v>-485788.03786130442</v>
      </c>
    </row>
    <row r="334" spans="1:6" x14ac:dyDescent="0.25">
      <c r="A334">
        <v>326</v>
      </c>
      <c r="B334" s="73">
        <f t="shared" si="25"/>
        <v>904.74747229086745</v>
      </c>
      <c r="C334" s="74">
        <f t="shared" si="26"/>
        <v>-3238.5869190753629</v>
      </c>
      <c r="D334" s="73">
        <f t="shared" si="27"/>
        <v>4143.3343913662302</v>
      </c>
      <c r="E334" s="75">
        <f t="shared" si="28"/>
        <v>0</v>
      </c>
      <c r="F334" s="75">
        <f t="shared" si="29"/>
        <v>-489931.37225267064</v>
      </c>
    </row>
    <row r="335" spans="1:6" x14ac:dyDescent="0.25">
      <c r="A335">
        <v>327</v>
      </c>
      <c r="B335" s="73">
        <f t="shared" si="25"/>
        <v>904.74747229086745</v>
      </c>
      <c r="C335" s="74">
        <f t="shared" si="26"/>
        <v>-3266.2091483511376</v>
      </c>
      <c r="D335" s="73">
        <f t="shared" si="27"/>
        <v>4170.956620642005</v>
      </c>
      <c r="E335" s="75">
        <f t="shared" si="28"/>
        <v>0</v>
      </c>
      <c r="F335" s="75">
        <f t="shared" si="29"/>
        <v>-494102.32887331262</v>
      </c>
    </row>
    <row r="336" spans="1:6" x14ac:dyDescent="0.25">
      <c r="A336">
        <v>328</v>
      </c>
      <c r="B336" s="73">
        <f t="shared" si="25"/>
        <v>904.74747229086745</v>
      </c>
      <c r="C336" s="74">
        <f t="shared" si="26"/>
        <v>-3294.0155258220843</v>
      </c>
      <c r="D336" s="73">
        <f t="shared" si="27"/>
        <v>4198.7629981129521</v>
      </c>
      <c r="E336" s="75">
        <f t="shared" si="28"/>
        <v>0</v>
      </c>
      <c r="F336" s="75">
        <f t="shared" si="29"/>
        <v>-498301.09187142557</v>
      </c>
    </row>
    <row r="337" spans="1:6" x14ac:dyDescent="0.25">
      <c r="A337">
        <v>329</v>
      </c>
      <c r="B337" s="73">
        <f t="shared" si="25"/>
        <v>904.74747229086745</v>
      </c>
      <c r="C337" s="74">
        <f t="shared" si="26"/>
        <v>-3322.0072791428374</v>
      </c>
      <c r="D337" s="73">
        <f t="shared" si="27"/>
        <v>4226.7547514337048</v>
      </c>
      <c r="E337" s="75">
        <f t="shared" si="28"/>
        <v>0</v>
      </c>
      <c r="F337" s="75">
        <f t="shared" si="29"/>
        <v>-502527.84662285924</v>
      </c>
    </row>
    <row r="338" spans="1:6" x14ac:dyDescent="0.25">
      <c r="A338">
        <v>330</v>
      </c>
      <c r="B338" s="73">
        <f t="shared" si="25"/>
        <v>904.74747229086745</v>
      </c>
      <c r="C338" s="74">
        <f t="shared" si="26"/>
        <v>-3350.1856441523951</v>
      </c>
      <c r="D338" s="73">
        <f t="shared" si="27"/>
        <v>4254.9331164432624</v>
      </c>
      <c r="E338" s="75">
        <f t="shared" si="28"/>
        <v>0</v>
      </c>
      <c r="F338" s="75">
        <f t="shared" si="29"/>
        <v>-506782.77973930252</v>
      </c>
    </row>
    <row r="339" spans="1:6" x14ac:dyDescent="0.25">
      <c r="A339">
        <v>331</v>
      </c>
      <c r="B339" s="73">
        <f t="shared" si="25"/>
        <v>904.74747229086745</v>
      </c>
      <c r="C339" s="74">
        <f t="shared" si="26"/>
        <v>-3378.5518649286837</v>
      </c>
      <c r="D339" s="73">
        <f t="shared" si="27"/>
        <v>4283.2993372195515</v>
      </c>
      <c r="E339" s="75">
        <f t="shared" si="28"/>
        <v>0</v>
      </c>
      <c r="F339" s="75">
        <f t="shared" si="29"/>
        <v>-511066.07907652209</v>
      </c>
    </row>
    <row r="340" spans="1:6" x14ac:dyDescent="0.25">
      <c r="A340">
        <v>332</v>
      </c>
      <c r="B340" s="73">
        <f t="shared" si="25"/>
        <v>904.74747229086745</v>
      </c>
      <c r="C340" s="74">
        <f t="shared" si="26"/>
        <v>-3407.1071938434807</v>
      </c>
      <c r="D340" s="73">
        <f t="shared" si="27"/>
        <v>4311.854666134348</v>
      </c>
      <c r="E340" s="75">
        <f t="shared" si="28"/>
        <v>0</v>
      </c>
      <c r="F340" s="75">
        <f t="shared" si="29"/>
        <v>-515377.93374265643</v>
      </c>
    </row>
    <row r="341" spans="1:6" x14ac:dyDescent="0.25">
      <c r="A341">
        <v>333</v>
      </c>
      <c r="B341" s="73">
        <f t="shared" si="25"/>
        <v>904.74747229086745</v>
      </c>
      <c r="C341" s="74">
        <f t="shared" si="26"/>
        <v>-3435.8528916177097</v>
      </c>
      <c r="D341" s="73">
        <f t="shared" si="27"/>
        <v>4340.6003639085775</v>
      </c>
      <c r="E341" s="75">
        <f t="shared" si="28"/>
        <v>0</v>
      </c>
      <c r="F341" s="75">
        <f t="shared" si="29"/>
        <v>-519718.534106565</v>
      </c>
    </row>
    <row r="342" spans="1:6" x14ac:dyDescent="0.25">
      <c r="A342">
        <v>334</v>
      </c>
      <c r="B342" s="73">
        <f t="shared" si="25"/>
        <v>904.74747229086745</v>
      </c>
      <c r="C342" s="74">
        <f t="shared" si="26"/>
        <v>-3464.7902273771001</v>
      </c>
      <c r="D342" s="73">
        <f t="shared" si="27"/>
        <v>4369.5376996679679</v>
      </c>
      <c r="E342" s="75">
        <f t="shared" si="28"/>
        <v>0</v>
      </c>
      <c r="F342" s="75">
        <f t="shared" si="29"/>
        <v>-524088.07180623297</v>
      </c>
    </row>
    <row r="343" spans="1:6" x14ac:dyDescent="0.25">
      <c r="A343">
        <v>335</v>
      </c>
      <c r="B343" s="73">
        <f t="shared" si="25"/>
        <v>904.74747229086745</v>
      </c>
      <c r="C343" s="74">
        <f t="shared" si="26"/>
        <v>-3493.9204787082199</v>
      </c>
      <c r="D343" s="73">
        <f t="shared" si="27"/>
        <v>4398.6679509990872</v>
      </c>
      <c r="E343" s="75">
        <f t="shared" si="28"/>
        <v>0</v>
      </c>
      <c r="F343" s="75">
        <f t="shared" si="29"/>
        <v>-528486.73975723202</v>
      </c>
    </row>
    <row r="344" spans="1:6" x14ac:dyDescent="0.25">
      <c r="A344">
        <v>336</v>
      </c>
      <c r="B344" s="73">
        <f t="shared" si="25"/>
        <v>904.74747229086745</v>
      </c>
      <c r="C344" s="74">
        <f t="shared" si="26"/>
        <v>-3523.2449317148803</v>
      </c>
      <c r="D344" s="73">
        <f t="shared" si="27"/>
        <v>4427.9924040057476</v>
      </c>
      <c r="E344" s="75">
        <f t="shared" si="28"/>
        <v>0</v>
      </c>
      <c r="F344" s="75">
        <f t="shared" si="29"/>
        <v>-532914.73216123774</v>
      </c>
    </row>
    <row r="345" spans="1:6" x14ac:dyDescent="0.25">
      <c r="A345">
        <v>337</v>
      </c>
      <c r="B345" s="73">
        <f t="shared" si="25"/>
        <v>904.74747229086745</v>
      </c>
      <c r="C345" s="74">
        <f t="shared" si="26"/>
        <v>-3552.7648810749183</v>
      </c>
      <c r="D345" s="73">
        <f t="shared" si="27"/>
        <v>4457.5123533657861</v>
      </c>
      <c r="E345" s="75">
        <f t="shared" si="28"/>
        <v>0</v>
      </c>
      <c r="F345" s="75">
        <f t="shared" si="29"/>
        <v>-537372.24451460352</v>
      </c>
    </row>
    <row r="346" spans="1:6" x14ac:dyDescent="0.25">
      <c r="A346">
        <v>338</v>
      </c>
      <c r="B346" s="73">
        <f t="shared" si="25"/>
        <v>904.74747229086745</v>
      </c>
      <c r="C346" s="74">
        <f t="shared" si="26"/>
        <v>-3582.4816300973571</v>
      </c>
      <c r="D346" s="73">
        <f t="shared" si="27"/>
        <v>4487.2291023882244</v>
      </c>
      <c r="E346" s="75">
        <f t="shared" si="28"/>
        <v>0</v>
      </c>
      <c r="F346" s="75">
        <f t="shared" si="29"/>
        <v>-541859.47361699177</v>
      </c>
    </row>
    <row r="347" spans="1:6" x14ac:dyDescent="0.25">
      <c r="A347">
        <v>339</v>
      </c>
      <c r="B347" s="73">
        <f t="shared" si="25"/>
        <v>904.74747229086745</v>
      </c>
      <c r="C347" s="74">
        <f t="shared" si="26"/>
        <v>-3612.3964907799455</v>
      </c>
      <c r="D347" s="73">
        <f t="shared" si="27"/>
        <v>4517.1439630708128</v>
      </c>
      <c r="E347" s="75">
        <f t="shared" si="28"/>
        <v>0</v>
      </c>
      <c r="F347" s="75">
        <f t="shared" si="29"/>
        <v>-546376.61758006259</v>
      </c>
    </row>
    <row r="348" spans="1:6" x14ac:dyDescent="0.25">
      <c r="A348">
        <v>340</v>
      </c>
      <c r="B348" s="73">
        <f t="shared" si="25"/>
        <v>904.74747229086745</v>
      </c>
      <c r="C348" s="74">
        <f t="shared" si="26"/>
        <v>-3642.5107838670842</v>
      </c>
      <c r="D348" s="73">
        <f t="shared" si="27"/>
        <v>4547.258256157952</v>
      </c>
      <c r="E348" s="75">
        <f t="shared" si="28"/>
        <v>0</v>
      </c>
      <c r="F348" s="75">
        <f t="shared" si="29"/>
        <v>-550923.87583622057</v>
      </c>
    </row>
    <row r="349" spans="1:6" x14ac:dyDescent="0.25">
      <c r="A349">
        <v>341</v>
      </c>
      <c r="B349" s="73">
        <f t="shared" si="25"/>
        <v>904.74747229086745</v>
      </c>
      <c r="C349" s="74">
        <f t="shared" si="26"/>
        <v>-3672.8258389081375</v>
      </c>
      <c r="D349" s="73">
        <f t="shared" si="27"/>
        <v>4577.5733111990048</v>
      </c>
      <c r="E349" s="75">
        <f t="shared" si="28"/>
        <v>0</v>
      </c>
      <c r="F349" s="75">
        <f t="shared" si="29"/>
        <v>-555501.44914741954</v>
      </c>
    </row>
    <row r="350" spans="1:6" x14ac:dyDescent="0.25">
      <c r="A350">
        <v>342</v>
      </c>
      <c r="B350" s="73">
        <f t="shared" si="25"/>
        <v>904.74747229086745</v>
      </c>
      <c r="C350" s="74">
        <f t="shared" si="26"/>
        <v>-3703.3429943161304</v>
      </c>
      <c r="D350" s="73">
        <f t="shared" si="27"/>
        <v>4608.0904666069982</v>
      </c>
      <c r="E350" s="75">
        <f t="shared" si="28"/>
        <v>0</v>
      </c>
      <c r="F350" s="75">
        <f t="shared" si="29"/>
        <v>-560109.53961402655</v>
      </c>
    </row>
    <row r="351" spans="1:6" x14ac:dyDescent="0.25">
      <c r="A351">
        <v>343</v>
      </c>
      <c r="B351" s="73">
        <f t="shared" si="25"/>
        <v>904.74747229086745</v>
      </c>
      <c r="C351" s="74">
        <f t="shared" si="26"/>
        <v>-3734.0635974268439</v>
      </c>
      <c r="D351" s="73">
        <f t="shared" si="27"/>
        <v>4638.8110697177117</v>
      </c>
      <c r="E351" s="75">
        <f t="shared" si="28"/>
        <v>0</v>
      </c>
      <c r="F351" s="75">
        <f t="shared" si="29"/>
        <v>-564748.3506837443</v>
      </c>
    </row>
    <row r="352" spans="1:6" x14ac:dyDescent="0.25">
      <c r="A352">
        <v>344</v>
      </c>
      <c r="B352" s="73">
        <f t="shared" si="25"/>
        <v>904.74747229086745</v>
      </c>
      <c r="C352" s="74">
        <f t="shared" si="26"/>
        <v>-3764.9890045582956</v>
      </c>
      <c r="D352" s="73">
        <f t="shared" si="27"/>
        <v>4669.7364768491634</v>
      </c>
      <c r="E352" s="75">
        <f t="shared" si="28"/>
        <v>0</v>
      </c>
      <c r="F352" s="75">
        <f t="shared" si="29"/>
        <v>-569418.08716059348</v>
      </c>
    </row>
    <row r="353" spans="1:6" x14ac:dyDescent="0.25">
      <c r="A353">
        <v>345</v>
      </c>
      <c r="B353" s="73">
        <f t="shared" si="25"/>
        <v>904.74747229086745</v>
      </c>
      <c r="C353" s="74">
        <f t="shared" si="26"/>
        <v>-3796.1205810706233</v>
      </c>
      <c r="D353" s="73">
        <f t="shared" si="27"/>
        <v>4700.8680533614906</v>
      </c>
      <c r="E353" s="75">
        <f t="shared" si="28"/>
        <v>0</v>
      </c>
      <c r="F353" s="75">
        <f t="shared" si="29"/>
        <v>-574118.95521395502</v>
      </c>
    </row>
    <row r="354" spans="1:6" x14ac:dyDescent="0.25">
      <c r="A354">
        <v>346</v>
      </c>
      <c r="B354" s="73">
        <f t="shared" si="25"/>
        <v>904.74747229086745</v>
      </c>
      <c r="C354" s="74">
        <f t="shared" si="26"/>
        <v>-3827.4597014263672</v>
      </c>
      <c r="D354" s="73">
        <f t="shared" si="27"/>
        <v>4732.2071737172346</v>
      </c>
      <c r="E354" s="75">
        <f t="shared" si="28"/>
        <v>0</v>
      </c>
      <c r="F354" s="75">
        <f t="shared" si="29"/>
        <v>-578851.16238767223</v>
      </c>
    </row>
    <row r="355" spans="1:6" x14ac:dyDescent="0.25">
      <c r="A355">
        <v>347</v>
      </c>
      <c r="B355" s="73">
        <f t="shared" si="25"/>
        <v>904.74747229086745</v>
      </c>
      <c r="C355" s="74">
        <f t="shared" si="26"/>
        <v>-3859.0077492511487</v>
      </c>
      <c r="D355" s="73">
        <f t="shared" si="27"/>
        <v>4763.7552215420164</v>
      </c>
      <c r="E355" s="75">
        <f t="shared" si="28"/>
        <v>0</v>
      </c>
      <c r="F355" s="75">
        <f t="shared" si="29"/>
        <v>-583614.9176092142</v>
      </c>
    </row>
    <row r="356" spans="1:6" x14ac:dyDescent="0.25">
      <c r="A356">
        <v>348</v>
      </c>
      <c r="B356" s="73">
        <f t="shared" si="25"/>
        <v>904.74747229086745</v>
      </c>
      <c r="C356" s="74">
        <f t="shared" si="26"/>
        <v>-3890.7661173947617</v>
      </c>
      <c r="D356" s="73">
        <f t="shared" si="27"/>
        <v>4795.5135896856291</v>
      </c>
      <c r="E356" s="75">
        <f t="shared" si="28"/>
        <v>0</v>
      </c>
      <c r="F356" s="75">
        <f t="shared" si="29"/>
        <v>-588410.43119889987</v>
      </c>
    </row>
    <row r="357" spans="1:6" x14ac:dyDescent="0.25">
      <c r="A357">
        <v>349</v>
      </c>
      <c r="B357" s="73">
        <f t="shared" si="25"/>
        <v>904.74747229086745</v>
      </c>
      <c r="C357" s="74">
        <f t="shared" si="26"/>
        <v>-3922.7362079926661</v>
      </c>
      <c r="D357" s="73">
        <f t="shared" si="27"/>
        <v>4827.4836802835334</v>
      </c>
      <c r="E357" s="75">
        <f t="shared" si="28"/>
        <v>0</v>
      </c>
      <c r="F357" s="75">
        <f t="shared" si="29"/>
        <v>-593237.9148791834</v>
      </c>
    </row>
    <row r="358" spans="1:6" x14ac:dyDescent="0.25">
      <c r="A358">
        <v>350</v>
      </c>
      <c r="B358" s="73">
        <f t="shared" si="25"/>
        <v>904.74747229086745</v>
      </c>
      <c r="C358" s="74">
        <f t="shared" si="26"/>
        <v>-3954.9194325278895</v>
      </c>
      <c r="D358" s="73">
        <f t="shared" si="27"/>
        <v>4859.6669048187568</v>
      </c>
      <c r="E358" s="75">
        <f t="shared" si="28"/>
        <v>0</v>
      </c>
      <c r="F358" s="75">
        <f t="shared" si="29"/>
        <v>-598097.58178400213</v>
      </c>
    </row>
    <row r="359" spans="1:6" x14ac:dyDescent="0.25">
      <c r="A359">
        <v>351</v>
      </c>
      <c r="B359" s="73">
        <f t="shared" si="25"/>
        <v>904.74747229086745</v>
      </c>
      <c r="C359" s="74">
        <f t="shared" si="26"/>
        <v>-3987.317211893348</v>
      </c>
      <c r="D359" s="73">
        <f t="shared" si="27"/>
        <v>4892.0646841842154</v>
      </c>
      <c r="E359" s="75">
        <f t="shared" si="28"/>
        <v>0</v>
      </c>
      <c r="F359" s="75">
        <f t="shared" si="29"/>
        <v>-602989.6464681864</v>
      </c>
    </row>
    <row r="360" spans="1:6" x14ac:dyDescent="0.25">
      <c r="A360">
        <v>352</v>
      </c>
      <c r="B360" s="73">
        <f t="shared" si="25"/>
        <v>904.74747229086745</v>
      </c>
      <c r="C360" s="74">
        <f t="shared" si="26"/>
        <v>-4019.9309764545765</v>
      </c>
      <c r="D360" s="73">
        <f t="shared" si="27"/>
        <v>4924.6784487454443</v>
      </c>
      <c r="E360" s="75">
        <f t="shared" si="28"/>
        <v>0</v>
      </c>
      <c r="F360" s="75">
        <f t="shared" si="29"/>
        <v>-607914.3249169318</v>
      </c>
    </row>
    <row r="361" spans="1:6" x14ac:dyDescent="0.25">
      <c r="A361">
        <v>353</v>
      </c>
      <c r="B361" s="73">
        <f t="shared" si="25"/>
        <v>904.74747229086745</v>
      </c>
      <c r="C361" s="74">
        <f t="shared" si="26"/>
        <v>-4052.7621661128787</v>
      </c>
      <c r="D361" s="73">
        <f t="shared" si="27"/>
        <v>4957.5096384037461</v>
      </c>
      <c r="E361" s="75">
        <f t="shared" si="28"/>
        <v>0</v>
      </c>
      <c r="F361" s="75">
        <f t="shared" si="29"/>
        <v>-612871.83455533558</v>
      </c>
    </row>
    <row r="362" spans="1:6" x14ac:dyDescent="0.25">
      <c r="A362">
        <v>354</v>
      </c>
      <c r="B362" s="73">
        <f t="shared" si="25"/>
        <v>904.74747229086745</v>
      </c>
      <c r="C362" s="74">
        <f t="shared" si="26"/>
        <v>-4085.8122303689042</v>
      </c>
      <c r="D362" s="73">
        <f t="shared" si="27"/>
        <v>4990.5597026597716</v>
      </c>
      <c r="E362" s="75">
        <f t="shared" si="28"/>
        <v>0</v>
      </c>
      <c r="F362" s="75">
        <f t="shared" si="29"/>
        <v>-617862.3942579953</v>
      </c>
    </row>
    <row r="363" spans="1:6" x14ac:dyDescent="0.25">
      <c r="A363">
        <v>355</v>
      </c>
      <c r="B363" s="73">
        <f t="shared" si="25"/>
        <v>904.74747229086745</v>
      </c>
      <c r="C363" s="74">
        <f t="shared" si="26"/>
        <v>-4119.0826283866354</v>
      </c>
      <c r="D363" s="73">
        <f t="shared" si="27"/>
        <v>5023.8301006775027</v>
      </c>
      <c r="E363" s="75">
        <f t="shared" si="28"/>
        <v>0</v>
      </c>
      <c r="F363" s="75">
        <f t="shared" si="29"/>
        <v>-622886.22435867286</v>
      </c>
    </row>
    <row r="364" spans="1:6" x14ac:dyDescent="0.25">
      <c r="A364">
        <v>356</v>
      </c>
      <c r="B364" s="73">
        <f t="shared" si="25"/>
        <v>904.74747229086745</v>
      </c>
      <c r="C364" s="74">
        <f t="shared" si="26"/>
        <v>-4152.5748290578194</v>
      </c>
      <c r="D364" s="73">
        <f t="shared" si="27"/>
        <v>5057.3223013486868</v>
      </c>
      <c r="E364" s="75">
        <f t="shared" si="28"/>
        <v>0</v>
      </c>
      <c r="F364" s="75">
        <f t="shared" si="29"/>
        <v>-627943.54666002153</v>
      </c>
    </row>
    <row r="365" spans="1:6" x14ac:dyDescent="0.25">
      <c r="A365">
        <v>357</v>
      </c>
      <c r="B365" s="73">
        <f t="shared" si="25"/>
        <v>904.74747229086745</v>
      </c>
      <c r="C365" s="74">
        <f t="shared" si="26"/>
        <v>-4186.2903110668103</v>
      </c>
      <c r="D365" s="73">
        <f t="shared" si="27"/>
        <v>5091.0377833576777</v>
      </c>
      <c r="E365" s="75">
        <f t="shared" si="28"/>
        <v>0</v>
      </c>
      <c r="F365" s="75">
        <f t="shared" si="29"/>
        <v>-633034.58444337919</v>
      </c>
    </row>
    <row r="366" spans="1:6" x14ac:dyDescent="0.25">
      <c r="A366">
        <v>358</v>
      </c>
      <c r="B366" s="73">
        <f t="shared" si="25"/>
        <v>904.74747229086745</v>
      </c>
      <c r="C366" s="74">
        <f t="shared" si="26"/>
        <v>-4220.2305629558614</v>
      </c>
      <c r="D366" s="73">
        <f t="shared" si="27"/>
        <v>5124.9780352467287</v>
      </c>
      <c r="E366" s="75">
        <f t="shared" si="28"/>
        <v>0</v>
      </c>
      <c r="F366" s="75">
        <f t="shared" si="29"/>
        <v>-638159.56247862591</v>
      </c>
    </row>
    <row r="367" spans="1:6" x14ac:dyDescent="0.25">
      <c r="A367">
        <v>359</v>
      </c>
      <c r="B367" s="73">
        <f t="shared" si="25"/>
        <v>904.74747229086745</v>
      </c>
      <c r="C367" s="74">
        <f t="shared" si="26"/>
        <v>-4254.39708319084</v>
      </c>
      <c r="D367" s="73">
        <f t="shared" si="27"/>
        <v>5159.1445554817074</v>
      </c>
      <c r="E367" s="75">
        <f t="shared" si="28"/>
        <v>0</v>
      </c>
      <c r="F367" s="75">
        <f t="shared" si="29"/>
        <v>-643318.70703410765</v>
      </c>
    </row>
    <row r="368" spans="1:6" x14ac:dyDescent="0.25">
      <c r="A368">
        <v>360</v>
      </c>
      <c r="B368" s="73">
        <f t="shared" si="25"/>
        <v>904.74747229086745</v>
      </c>
      <c r="C368" s="74">
        <f t="shared" si="26"/>
        <v>-4288.7913802273843</v>
      </c>
      <c r="D368" s="73">
        <f t="shared" si="27"/>
        <v>5193.5388525182516</v>
      </c>
      <c r="E368" s="75">
        <f t="shared" si="28"/>
        <v>0</v>
      </c>
      <c r="F368" s="75">
        <f t="shared" si="29"/>
        <v>-648512.24588662595</v>
      </c>
    </row>
    <row r="369" spans="1:6" x14ac:dyDescent="0.25">
      <c r="A369">
        <v>361</v>
      </c>
      <c r="B369" s="73">
        <f t="shared" si="25"/>
        <v>904.74747229086745</v>
      </c>
      <c r="C369" s="74">
        <f t="shared" si="26"/>
        <v>-4323.4149725775069</v>
      </c>
      <c r="D369" s="73">
        <f t="shared" si="27"/>
        <v>5228.1624448683742</v>
      </c>
      <c r="E369" s="75">
        <f t="shared" si="28"/>
        <v>0</v>
      </c>
      <c r="F369" s="75">
        <f t="shared" si="29"/>
        <v>-653740.40833149431</v>
      </c>
    </row>
    <row r="370" spans="1:6" x14ac:dyDescent="0.25">
      <c r="A370">
        <v>362</v>
      </c>
      <c r="B370" s="73">
        <f t="shared" si="25"/>
        <v>904.74747229086745</v>
      </c>
      <c r="C370" s="74">
        <f t="shared" si="26"/>
        <v>-4358.2693888766289</v>
      </c>
      <c r="D370" s="73">
        <f t="shared" si="27"/>
        <v>5263.0168611674962</v>
      </c>
      <c r="E370" s="75">
        <f t="shared" si="28"/>
        <v>0</v>
      </c>
      <c r="F370" s="75">
        <f>F369-D370-E370</f>
        <v>-659003.42519266182</v>
      </c>
    </row>
    <row r="371" spans="1:6" x14ac:dyDescent="0.25">
      <c r="B371" s="73"/>
      <c r="C371" s="74"/>
      <c r="D371" s="73"/>
      <c r="E371" s="75"/>
      <c r="F371" s="75"/>
    </row>
    <row r="372" spans="1:6" x14ac:dyDescent="0.25">
      <c r="B372" s="73"/>
      <c r="C372" s="74"/>
      <c r="D372" s="73"/>
      <c r="E372" s="75"/>
      <c r="F372" s="75"/>
    </row>
    <row r="373" spans="1:6" x14ac:dyDescent="0.25">
      <c r="B373" s="73"/>
      <c r="C373" s="74"/>
      <c r="D373" s="73"/>
      <c r="E373" s="75"/>
      <c r="F373" s="75"/>
    </row>
    <row r="374" spans="1:6" x14ac:dyDescent="0.25">
      <c r="B374" s="73"/>
      <c r="C374" s="74"/>
      <c r="D374" s="73"/>
      <c r="E374" s="75"/>
      <c r="F374" s="75"/>
    </row>
    <row r="375" spans="1:6" x14ac:dyDescent="0.25">
      <c r="B375" s="73"/>
      <c r="C375" s="74"/>
      <c r="D375" s="73"/>
      <c r="E375" s="75"/>
      <c r="F375" s="75"/>
    </row>
    <row r="376" spans="1:6" x14ac:dyDescent="0.25">
      <c r="B376" s="73"/>
      <c r="C376" s="74"/>
      <c r="D376" s="73"/>
      <c r="E376" s="75"/>
      <c r="F376" s="75"/>
    </row>
    <row r="377" spans="1:6" x14ac:dyDescent="0.25">
      <c r="B377" s="73"/>
      <c r="C377" s="74"/>
      <c r="D377" s="73"/>
      <c r="E377" s="75"/>
      <c r="F377" s="75"/>
    </row>
    <row r="378" spans="1:6" x14ac:dyDescent="0.25">
      <c r="B378" s="73"/>
      <c r="C378" s="74"/>
      <c r="D378" s="73"/>
      <c r="E378" s="75"/>
      <c r="F378" s="75"/>
    </row>
    <row r="379" spans="1:6" x14ac:dyDescent="0.25">
      <c r="B379" s="73"/>
      <c r="C379" s="74"/>
      <c r="D379" s="73"/>
      <c r="E379" s="75"/>
      <c r="F379" s="75"/>
    </row>
    <row r="380" spans="1:6" x14ac:dyDescent="0.25">
      <c r="B380" s="73"/>
      <c r="C380" s="74"/>
      <c r="D380" s="73"/>
      <c r="E380" s="75"/>
      <c r="F380" s="75"/>
    </row>
    <row r="381" spans="1:6" x14ac:dyDescent="0.25">
      <c r="B381" s="73"/>
      <c r="C381" s="74"/>
      <c r="D381" s="73"/>
      <c r="E381" s="75"/>
      <c r="F381" s="75"/>
    </row>
    <row r="382" spans="1:6" x14ac:dyDescent="0.25">
      <c r="B382" s="73"/>
      <c r="C382" s="74"/>
      <c r="D382" s="73"/>
      <c r="E382" s="75"/>
      <c r="F382" s="75"/>
    </row>
    <row r="383" spans="1:6" x14ac:dyDescent="0.25">
      <c r="B383" s="73"/>
      <c r="C383" s="74"/>
      <c r="D383" s="73"/>
      <c r="E383" s="75"/>
      <c r="F383" s="75"/>
    </row>
    <row r="384" spans="1:6" x14ac:dyDescent="0.25">
      <c r="B384" s="73"/>
      <c r="C384" s="74"/>
      <c r="D384" s="73"/>
      <c r="E384" s="75"/>
      <c r="F384" s="75"/>
    </row>
    <row r="385" spans="2:6" x14ac:dyDescent="0.25">
      <c r="B385" s="73"/>
      <c r="C385" s="74"/>
      <c r="D385" s="73"/>
      <c r="E385" s="75"/>
      <c r="F385" s="75"/>
    </row>
    <row r="386" spans="2:6" x14ac:dyDescent="0.25">
      <c r="B386" s="73"/>
      <c r="C386" s="74"/>
      <c r="D386" s="73"/>
      <c r="E386" s="75"/>
      <c r="F386" s="75"/>
    </row>
    <row r="387" spans="2:6" x14ac:dyDescent="0.25">
      <c r="B387" s="73"/>
      <c r="C387" s="74"/>
      <c r="D387" s="73"/>
      <c r="E387" s="75"/>
      <c r="F387" s="75"/>
    </row>
    <row r="388" spans="2:6" x14ac:dyDescent="0.25">
      <c r="B388" s="73"/>
      <c r="C388" s="74"/>
      <c r="D388" s="73"/>
      <c r="E388" s="75"/>
      <c r="F388" s="75"/>
    </row>
    <row r="389" spans="2:6" x14ac:dyDescent="0.25">
      <c r="B389" s="73"/>
      <c r="C389" s="74"/>
      <c r="D389" s="73"/>
      <c r="E389" s="75"/>
      <c r="F389" s="75"/>
    </row>
    <row r="390" spans="2:6" x14ac:dyDescent="0.25">
      <c r="B390" s="73"/>
      <c r="C390" s="74"/>
      <c r="D390" s="73"/>
      <c r="E390" s="75"/>
      <c r="F390" s="75"/>
    </row>
    <row r="391" spans="2:6" x14ac:dyDescent="0.25">
      <c r="B391" s="73"/>
      <c r="C391" s="74"/>
      <c r="D391" s="73"/>
      <c r="E391" s="75"/>
      <c r="F391" s="75"/>
    </row>
    <row r="392" spans="2:6" x14ac:dyDescent="0.25">
      <c r="B392" s="73"/>
      <c r="C392" s="74"/>
      <c r="D392" s="73"/>
      <c r="E392" s="75"/>
      <c r="F392" s="75"/>
    </row>
    <row r="393" spans="2:6" x14ac:dyDescent="0.25">
      <c r="B393" s="73"/>
      <c r="C393" s="74"/>
      <c r="D393" s="73"/>
      <c r="E393" s="75"/>
      <c r="F393" s="75"/>
    </row>
    <row r="394" spans="2:6" x14ac:dyDescent="0.25">
      <c r="B394" s="73"/>
      <c r="C394" s="74"/>
      <c r="D394" s="73"/>
      <c r="E394" s="75"/>
      <c r="F394" s="75"/>
    </row>
    <row r="395" spans="2:6" x14ac:dyDescent="0.25">
      <c r="B395" s="73"/>
      <c r="C395" s="74"/>
      <c r="D395" s="73"/>
      <c r="E395" s="75"/>
      <c r="F395" s="75"/>
    </row>
    <row r="396" spans="2:6" x14ac:dyDescent="0.25">
      <c r="B396" s="73"/>
      <c r="C396" s="74"/>
      <c r="D396" s="73"/>
      <c r="E396" s="75"/>
      <c r="F396" s="75"/>
    </row>
    <row r="397" spans="2:6" x14ac:dyDescent="0.25">
      <c r="B397" s="73"/>
      <c r="C397" s="74"/>
      <c r="D397" s="73"/>
      <c r="E397" s="75"/>
      <c r="F397" s="75"/>
    </row>
    <row r="398" spans="2:6" x14ac:dyDescent="0.25">
      <c r="B398" s="73"/>
      <c r="C398" s="74"/>
      <c r="D398" s="73"/>
      <c r="E398" s="75"/>
      <c r="F398" s="75"/>
    </row>
    <row r="399" spans="2:6" x14ac:dyDescent="0.25">
      <c r="B399" s="73"/>
      <c r="C399" s="74"/>
      <c r="D399" s="73"/>
      <c r="E399" s="75"/>
      <c r="F399" s="75"/>
    </row>
    <row r="400" spans="2:6" x14ac:dyDescent="0.25">
      <c r="B400" s="73"/>
      <c r="C400" s="74"/>
      <c r="D400" s="73"/>
      <c r="E400" s="75"/>
      <c r="F400" s="75"/>
    </row>
    <row r="401" spans="2:6" x14ac:dyDescent="0.25">
      <c r="B401" s="73"/>
      <c r="C401" s="74"/>
      <c r="D401" s="73"/>
      <c r="E401" s="75"/>
      <c r="F401" s="75"/>
    </row>
    <row r="402" spans="2:6" x14ac:dyDescent="0.25">
      <c r="B402" s="73"/>
      <c r="C402" s="74"/>
      <c r="D402" s="73"/>
      <c r="E402" s="75"/>
      <c r="F402" s="75"/>
    </row>
    <row r="403" spans="2:6" x14ac:dyDescent="0.25">
      <c r="B403" s="73"/>
      <c r="C403" s="74"/>
      <c r="D403" s="73"/>
      <c r="E403" s="75"/>
      <c r="F403" s="75"/>
    </row>
    <row r="404" spans="2:6" x14ac:dyDescent="0.25">
      <c r="B404" s="73"/>
      <c r="C404" s="74"/>
      <c r="D404" s="73"/>
      <c r="E404" s="75"/>
      <c r="F404" s="75"/>
    </row>
    <row r="405" spans="2:6" x14ac:dyDescent="0.25">
      <c r="B405" s="73"/>
      <c r="C405" s="74"/>
      <c r="D405" s="73"/>
      <c r="E405" s="75"/>
      <c r="F405" s="75"/>
    </row>
    <row r="406" spans="2:6" x14ac:dyDescent="0.25">
      <c r="B406" s="73"/>
      <c r="C406" s="74"/>
      <c r="D406" s="73"/>
      <c r="E406" s="75"/>
      <c r="F406" s="75"/>
    </row>
    <row r="407" spans="2:6" x14ac:dyDescent="0.25">
      <c r="B407" s="73"/>
      <c r="C407" s="74"/>
      <c r="D407" s="73"/>
      <c r="E407" s="75"/>
      <c r="F407" s="75"/>
    </row>
    <row r="408" spans="2:6" x14ac:dyDescent="0.25">
      <c r="B408" s="73"/>
      <c r="C408" s="74"/>
      <c r="D408" s="73"/>
      <c r="E408" s="75"/>
      <c r="F408" s="75"/>
    </row>
    <row r="409" spans="2:6" x14ac:dyDescent="0.25">
      <c r="B409" s="73"/>
      <c r="C409" s="74"/>
      <c r="D409" s="73"/>
      <c r="E409" s="75"/>
      <c r="F409" s="75"/>
    </row>
    <row r="410" spans="2:6" x14ac:dyDescent="0.25">
      <c r="B410" s="73"/>
      <c r="C410" s="74"/>
      <c r="D410" s="73"/>
      <c r="E410" s="75"/>
      <c r="F410" s="75"/>
    </row>
    <row r="411" spans="2:6" x14ac:dyDescent="0.25">
      <c r="B411" s="73"/>
      <c r="C411" s="74"/>
      <c r="D411" s="73"/>
      <c r="E411" s="75"/>
      <c r="F411" s="75"/>
    </row>
    <row r="412" spans="2:6" x14ac:dyDescent="0.25">
      <c r="B412" s="73"/>
      <c r="C412" s="74"/>
      <c r="D412" s="73"/>
      <c r="E412" s="75"/>
      <c r="F412" s="75"/>
    </row>
    <row r="413" spans="2:6" x14ac:dyDescent="0.25">
      <c r="B413" s="73"/>
      <c r="C413" s="74"/>
      <c r="D413" s="73"/>
      <c r="E413" s="75"/>
      <c r="F413" s="75"/>
    </row>
    <row r="414" spans="2:6" x14ac:dyDescent="0.25">
      <c r="B414" s="73"/>
      <c r="C414" s="74"/>
      <c r="D414" s="73"/>
      <c r="E414" s="75"/>
      <c r="F414" s="75"/>
    </row>
    <row r="415" spans="2:6" x14ac:dyDescent="0.25">
      <c r="B415" s="73"/>
      <c r="C415" s="74"/>
      <c r="D415" s="73"/>
      <c r="E415" s="75"/>
      <c r="F415" s="75"/>
    </row>
    <row r="416" spans="2:6" x14ac:dyDescent="0.25">
      <c r="B416" s="73"/>
      <c r="C416" s="74"/>
      <c r="D416" s="73"/>
      <c r="E416" s="75"/>
      <c r="F416" s="75"/>
    </row>
    <row r="417" spans="2:6" x14ac:dyDescent="0.25">
      <c r="B417" s="73"/>
      <c r="C417" s="74"/>
      <c r="D417" s="73"/>
      <c r="E417" s="75"/>
      <c r="F417" s="75"/>
    </row>
    <row r="418" spans="2:6" x14ac:dyDescent="0.25">
      <c r="B418" s="73"/>
      <c r="C418" s="74"/>
      <c r="D418" s="73"/>
      <c r="E418" s="75"/>
      <c r="F418" s="75"/>
    </row>
    <row r="419" spans="2:6" x14ac:dyDescent="0.25">
      <c r="B419" s="73"/>
      <c r="C419" s="74"/>
      <c r="D419" s="73"/>
      <c r="E419" s="75"/>
      <c r="F419" s="75"/>
    </row>
    <row r="420" spans="2:6" x14ac:dyDescent="0.25">
      <c r="B420" s="73"/>
      <c r="C420" s="74"/>
      <c r="D420" s="73"/>
      <c r="E420" s="75"/>
      <c r="F420" s="75"/>
    </row>
    <row r="421" spans="2:6" x14ac:dyDescent="0.25">
      <c r="B421" s="73"/>
      <c r="C421" s="74"/>
      <c r="D421" s="73"/>
      <c r="E421" s="75"/>
      <c r="F421" s="75"/>
    </row>
    <row r="422" spans="2:6" x14ac:dyDescent="0.25">
      <c r="B422" s="73"/>
      <c r="C422" s="74"/>
      <c r="D422" s="73"/>
      <c r="E422" s="75"/>
      <c r="F422" s="75"/>
    </row>
    <row r="423" spans="2:6" x14ac:dyDescent="0.25">
      <c r="B423" s="73"/>
      <c r="C423" s="74"/>
      <c r="D423" s="73"/>
      <c r="E423" s="75"/>
      <c r="F423" s="75"/>
    </row>
    <row r="424" spans="2:6" x14ac:dyDescent="0.25">
      <c r="B424" s="73"/>
      <c r="C424" s="74"/>
      <c r="D424" s="73"/>
      <c r="E424" s="75"/>
      <c r="F424" s="75"/>
    </row>
    <row r="425" spans="2:6" x14ac:dyDescent="0.25">
      <c r="B425" s="73"/>
      <c r="C425" s="74"/>
      <c r="D425" s="73"/>
      <c r="E425" s="75"/>
      <c r="F425" s="75"/>
    </row>
    <row r="426" spans="2:6" x14ac:dyDescent="0.25">
      <c r="B426" s="73"/>
      <c r="C426" s="74"/>
      <c r="D426" s="73"/>
      <c r="E426" s="75"/>
      <c r="F426" s="75"/>
    </row>
    <row r="427" spans="2:6" x14ac:dyDescent="0.25">
      <c r="B427" s="73"/>
      <c r="C427" s="74"/>
      <c r="D427" s="73"/>
      <c r="E427" s="75"/>
      <c r="F427" s="75"/>
    </row>
    <row r="428" spans="2:6" x14ac:dyDescent="0.25">
      <c r="B428" s="73"/>
      <c r="C428" s="74"/>
      <c r="D428" s="73"/>
      <c r="E428" s="75"/>
      <c r="F428" s="75"/>
    </row>
    <row r="429" spans="2:6" x14ac:dyDescent="0.25">
      <c r="B429" s="73"/>
      <c r="C429" s="74"/>
      <c r="D429" s="73"/>
      <c r="E429" s="75"/>
      <c r="F429" s="75"/>
    </row>
    <row r="430" spans="2:6" x14ac:dyDescent="0.25">
      <c r="B430" s="73"/>
      <c r="C430" s="74"/>
      <c r="D430" s="73"/>
      <c r="E430" s="75"/>
      <c r="F430" s="75"/>
    </row>
    <row r="431" spans="2:6" x14ac:dyDescent="0.25">
      <c r="B431" s="73"/>
      <c r="C431" s="74"/>
      <c r="D431" s="73"/>
      <c r="E431" s="75"/>
      <c r="F431" s="75"/>
    </row>
    <row r="432" spans="2:6" x14ac:dyDescent="0.25">
      <c r="B432" s="73"/>
      <c r="C432" s="74"/>
      <c r="D432" s="73"/>
      <c r="E432" s="75"/>
      <c r="F432" s="75"/>
    </row>
    <row r="433" spans="2:6" x14ac:dyDescent="0.25">
      <c r="B433" s="73"/>
      <c r="C433" s="74"/>
      <c r="D433" s="73"/>
      <c r="E433" s="75"/>
      <c r="F433" s="75"/>
    </row>
    <row r="434" spans="2:6" x14ac:dyDescent="0.25">
      <c r="B434" s="73"/>
      <c r="C434" s="74"/>
      <c r="D434" s="73"/>
      <c r="E434" s="75"/>
      <c r="F434" s="75"/>
    </row>
    <row r="435" spans="2:6" x14ac:dyDescent="0.25">
      <c r="B435" s="73"/>
      <c r="C435" s="74"/>
      <c r="D435" s="73"/>
      <c r="E435" s="75"/>
      <c r="F435" s="75"/>
    </row>
    <row r="436" spans="2:6" x14ac:dyDescent="0.25">
      <c r="B436" s="73"/>
      <c r="C436" s="74"/>
      <c r="D436" s="73"/>
      <c r="E436" s="75"/>
      <c r="F436" s="75"/>
    </row>
    <row r="437" spans="2:6" x14ac:dyDescent="0.25">
      <c r="B437" s="73"/>
      <c r="C437" s="74"/>
      <c r="D437" s="73"/>
      <c r="E437" s="75"/>
      <c r="F437" s="75"/>
    </row>
    <row r="438" spans="2:6" x14ac:dyDescent="0.25">
      <c r="B438" s="73"/>
      <c r="C438" s="74"/>
      <c r="D438" s="73"/>
      <c r="E438" s="75"/>
      <c r="F438" s="75"/>
    </row>
    <row r="439" spans="2:6" x14ac:dyDescent="0.25">
      <c r="B439" s="73"/>
      <c r="C439" s="74"/>
      <c r="D439" s="73"/>
      <c r="E439" s="75"/>
      <c r="F439" s="75"/>
    </row>
    <row r="440" spans="2:6" x14ac:dyDescent="0.25">
      <c r="B440" s="73"/>
      <c r="C440" s="74"/>
      <c r="D440" s="73"/>
      <c r="E440" s="75"/>
      <c r="F440" s="75"/>
    </row>
    <row r="441" spans="2:6" x14ac:dyDescent="0.25">
      <c r="B441" s="73"/>
      <c r="C441" s="74"/>
      <c r="D441" s="73"/>
      <c r="E441" s="75"/>
      <c r="F441" s="75"/>
    </row>
    <row r="442" spans="2:6" x14ac:dyDescent="0.25">
      <c r="B442" s="73"/>
      <c r="C442" s="74"/>
      <c r="D442" s="73"/>
      <c r="E442" s="75"/>
      <c r="F442" s="75"/>
    </row>
    <row r="443" spans="2:6" x14ac:dyDescent="0.25">
      <c r="B443" s="73"/>
      <c r="C443" s="74"/>
      <c r="D443" s="73"/>
      <c r="E443" s="75"/>
      <c r="F443" s="75"/>
    </row>
    <row r="444" spans="2:6" x14ac:dyDescent="0.25">
      <c r="B444" s="73"/>
      <c r="C444" s="74"/>
      <c r="D444" s="73"/>
      <c r="E444" s="75"/>
      <c r="F444" s="75"/>
    </row>
    <row r="445" spans="2:6" x14ac:dyDescent="0.25">
      <c r="B445" s="73"/>
      <c r="C445" s="74"/>
      <c r="D445" s="73"/>
      <c r="E445" s="75"/>
      <c r="F445" s="75"/>
    </row>
    <row r="446" spans="2:6" x14ac:dyDescent="0.25">
      <c r="B446" s="73"/>
      <c r="C446" s="74"/>
      <c r="D446" s="73"/>
      <c r="E446" s="75"/>
      <c r="F446" s="75"/>
    </row>
    <row r="447" spans="2:6" x14ac:dyDescent="0.25">
      <c r="B447" s="73"/>
      <c r="C447" s="74"/>
      <c r="D447" s="73"/>
      <c r="E447" s="75"/>
      <c r="F447" s="75"/>
    </row>
    <row r="448" spans="2:6" x14ac:dyDescent="0.25">
      <c r="B448" s="73"/>
      <c r="C448" s="74"/>
      <c r="D448" s="73"/>
      <c r="E448" s="75"/>
      <c r="F448" s="75"/>
    </row>
    <row r="449" spans="2:6" x14ac:dyDescent="0.25">
      <c r="B449" s="73"/>
      <c r="C449" s="74"/>
      <c r="D449" s="73"/>
      <c r="E449" s="75"/>
      <c r="F449" s="75"/>
    </row>
    <row r="450" spans="2:6" x14ac:dyDescent="0.25">
      <c r="B450" s="73"/>
      <c r="C450" s="74"/>
      <c r="D450" s="73"/>
      <c r="E450" s="75"/>
      <c r="F450" s="75"/>
    </row>
    <row r="451" spans="2:6" x14ac:dyDescent="0.25">
      <c r="B451" s="73"/>
      <c r="C451" s="74"/>
      <c r="D451" s="73"/>
      <c r="E451" s="75"/>
      <c r="F451" s="75"/>
    </row>
    <row r="452" spans="2:6" x14ac:dyDescent="0.25">
      <c r="B452" s="73"/>
      <c r="C452" s="74"/>
      <c r="D452" s="73"/>
      <c r="E452" s="75"/>
      <c r="F452" s="75"/>
    </row>
    <row r="453" spans="2:6" x14ac:dyDescent="0.25">
      <c r="B453" s="73"/>
      <c r="C453" s="74"/>
      <c r="D453" s="73"/>
      <c r="E453" s="75"/>
      <c r="F453" s="75"/>
    </row>
    <row r="454" spans="2:6" x14ac:dyDescent="0.25">
      <c r="B454" s="73"/>
      <c r="C454" s="74"/>
      <c r="D454" s="73"/>
      <c r="E454" s="75"/>
      <c r="F454" s="75"/>
    </row>
    <row r="455" spans="2:6" x14ac:dyDescent="0.25">
      <c r="B455" s="73"/>
      <c r="C455" s="74"/>
      <c r="D455" s="73"/>
      <c r="E455" s="75"/>
      <c r="F455" s="75"/>
    </row>
    <row r="456" spans="2:6" x14ac:dyDescent="0.25">
      <c r="B456" s="73"/>
      <c r="C456" s="74"/>
      <c r="D456" s="73"/>
      <c r="E456" s="75"/>
      <c r="F456" s="75"/>
    </row>
    <row r="457" spans="2:6" x14ac:dyDescent="0.25">
      <c r="B457" s="73"/>
      <c r="C457" s="74"/>
      <c r="D457" s="73"/>
      <c r="E457" s="75"/>
      <c r="F457" s="75"/>
    </row>
    <row r="458" spans="2:6" x14ac:dyDescent="0.25">
      <c r="B458" s="73"/>
      <c r="C458" s="74"/>
      <c r="D458" s="73"/>
      <c r="E458" s="75"/>
      <c r="F458" s="75"/>
    </row>
    <row r="459" spans="2:6" x14ac:dyDescent="0.25">
      <c r="B459" s="73"/>
      <c r="C459" s="74"/>
      <c r="D459" s="73"/>
      <c r="E459" s="75"/>
      <c r="F459" s="75"/>
    </row>
    <row r="460" spans="2:6" x14ac:dyDescent="0.25">
      <c r="B460" s="73"/>
      <c r="C460" s="74"/>
      <c r="D460" s="73"/>
      <c r="E460" s="75"/>
      <c r="F460" s="75"/>
    </row>
    <row r="461" spans="2:6" x14ac:dyDescent="0.25">
      <c r="B461" s="73"/>
      <c r="C461" s="74"/>
      <c r="D461" s="73"/>
      <c r="E461" s="75"/>
      <c r="F461" s="75"/>
    </row>
    <row r="462" spans="2:6" x14ac:dyDescent="0.25">
      <c r="B462" s="73"/>
      <c r="C462" s="74"/>
      <c r="D462" s="73"/>
      <c r="E462" s="75"/>
      <c r="F462" s="75"/>
    </row>
    <row r="463" spans="2:6" x14ac:dyDescent="0.25">
      <c r="B463" s="73"/>
      <c r="C463" s="74"/>
      <c r="D463" s="73"/>
      <c r="E463" s="75"/>
      <c r="F463" s="75"/>
    </row>
    <row r="464" spans="2:6" x14ac:dyDescent="0.25">
      <c r="B464" s="73"/>
      <c r="C464" s="74"/>
      <c r="D464" s="73"/>
      <c r="E464" s="75"/>
      <c r="F464" s="75"/>
    </row>
    <row r="465" spans="2:6" x14ac:dyDescent="0.25">
      <c r="B465" s="73"/>
      <c r="C465" s="74"/>
      <c r="D465" s="73"/>
      <c r="E465" s="75"/>
      <c r="F465" s="75"/>
    </row>
    <row r="466" spans="2:6" x14ac:dyDescent="0.25">
      <c r="B466" s="73"/>
      <c r="C466" s="74"/>
      <c r="D466" s="73"/>
      <c r="E466" s="75"/>
      <c r="F466" s="75"/>
    </row>
    <row r="467" spans="2:6" x14ac:dyDescent="0.25">
      <c r="B467" s="73"/>
      <c r="C467" s="74"/>
      <c r="D467" s="73"/>
      <c r="E467" s="75"/>
      <c r="F467" s="75"/>
    </row>
    <row r="468" spans="2:6" x14ac:dyDescent="0.25">
      <c r="B468" s="73"/>
      <c r="C468" s="74"/>
      <c r="D468" s="73"/>
      <c r="E468" s="75"/>
      <c r="F468" s="75"/>
    </row>
    <row r="469" spans="2:6" x14ac:dyDescent="0.25">
      <c r="B469" s="73"/>
      <c r="C469" s="74"/>
      <c r="D469" s="73"/>
      <c r="E469" s="75"/>
      <c r="F469" s="75"/>
    </row>
    <row r="470" spans="2:6" x14ac:dyDescent="0.25">
      <c r="B470" s="73"/>
      <c r="C470" s="74"/>
      <c r="D470" s="73"/>
      <c r="E470" s="75"/>
      <c r="F470" s="75"/>
    </row>
    <row r="471" spans="2:6" x14ac:dyDescent="0.25">
      <c r="B471" s="73"/>
      <c r="C471" s="74"/>
      <c r="D471" s="73"/>
      <c r="E471" s="75"/>
      <c r="F471" s="75"/>
    </row>
    <row r="472" spans="2:6" x14ac:dyDescent="0.25">
      <c r="B472" s="73"/>
      <c r="C472" s="74"/>
      <c r="D472" s="73"/>
      <c r="E472" s="75"/>
      <c r="F472" s="75"/>
    </row>
    <row r="473" spans="2:6" x14ac:dyDescent="0.25">
      <c r="B473" s="73"/>
      <c r="C473" s="74"/>
      <c r="D473" s="73"/>
      <c r="E473" s="75"/>
      <c r="F473" s="75"/>
    </row>
    <row r="474" spans="2:6" x14ac:dyDescent="0.25">
      <c r="B474" s="73"/>
      <c r="C474" s="74"/>
      <c r="D474" s="73"/>
      <c r="E474" s="75"/>
      <c r="F474" s="75"/>
    </row>
    <row r="475" spans="2:6" x14ac:dyDescent="0.25">
      <c r="B475" s="73"/>
      <c r="C475" s="74"/>
      <c r="D475" s="73"/>
      <c r="E475" s="75"/>
      <c r="F475" s="75"/>
    </row>
    <row r="476" spans="2:6" x14ac:dyDescent="0.25">
      <c r="B476" s="73"/>
      <c r="C476" s="74"/>
      <c r="D476" s="73"/>
      <c r="E476" s="75"/>
      <c r="F476" s="75"/>
    </row>
    <row r="477" spans="2:6" x14ac:dyDescent="0.25">
      <c r="B477" s="73"/>
      <c r="C477" s="74"/>
      <c r="D477" s="73"/>
      <c r="E477" s="75"/>
      <c r="F477" s="75"/>
    </row>
    <row r="478" spans="2:6" x14ac:dyDescent="0.25">
      <c r="B478" s="73"/>
      <c r="C478" s="74"/>
      <c r="D478" s="73"/>
      <c r="E478" s="75"/>
      <c r="F478" s="75"/>
    </row>
    <row r="479" spans="2:6" x14ac:dyDescent="0.25">
      <c r="B479" s="73"/>
      <c r="C479" s="74"/>
      <c r="D479" s="73"/>
      <c r="E479" s="75"/>
      <c r="F479" s="75"/>
    </row>
    <row r="480" spans="2:6" x14ac:dyDescent="0.25">
      <c r="B480" s="73"/>
      <c r="C480" s="74"/>
      <c r="D480" s="73"/>
      <c r="E480" s="75"/>
      <c r="F480" s="75"/>
    </row>
    <row r="481" spans="2:6" x14ac:dyDescent="0.25">
      <c r="B481" s="73"/>
      <c r="C481" s="74"/>
      <c r="D481" s="73"/>
      <c r="E481" s="75"/>
      <c r="F481" s="75"/>
    </row>
    <row r="482" spans="2:6" x14ac:dyDescent="0.25">
      <c r="B482" s="73"/>
      <c r="C482" s="74"/>
      <c r="D482" s="73"/>
      <c r="E482" s="75"/>
      <c r="F482" s="75"/>
    </row>
    <row r="483" spans="2:6" x14ac:dyDescent="0.25">
      <c r="B483" s="73"/>
      <c r="C483" s="74"/>
      <c r="D483" s="73"/>
      <c r="E483" s="75"/>
      <c r="F483" s="75"/>
    </row>
    <row r="484" spans="2:6" x14ac:dyDescent="0.25">
      <c r="B484" s="73"/>
      <c r="C484" s="74"/>
      <c r="D484" s="73"/>
      <c r="E484" s="75"/>
      <c r="F484" s="75"/>
    </row>
    <row r="485" spans="2:6" x14ac:dyDescent="0.25">
      <c r="B485" s="73"/>
      <c r="C485" s="74"/>
      <c r="D485" s="73"/>
      <c r="E485" s="75"/>
      <c r="F485" s="75"/>
    </row>
    <row r="486" spans="2:6" x14ac:dyDescent="0.25">
      <c r="B486" s="73"/>
      <c r="C486" s="74"/>
      <c r="D486" s="73"/>
      <c r="E486" s="75"/>
      <c r="F486" s="75"/>
    </row>
    <row r="487" spans="2:6" x14ac:dyDescent="0.25">
      <c r="B487" s="73"/>
      <c r="C487" s="74"/>
      <c r="D487" s="73"/>
      <c r="E487" s="75"/>
      <c r="F487" s="75"/>
    </row>
    <row r="488" spans="2:6" x14ac:dyDescent="0.25">
      <c r="B488" s="73"/>
      <c r="C488" s="74"/>
      <c r="D488" s="73"/>
      <c r="E488" s="75"/>
      <c r="F488" s="75"/>
    </row>
    <row r="489" spans="2:6" x14ac:dyDescent="0.25">
      <c r="B489" s="73"/>
      <c r="C489" s="74"/>
      <c r="D489" s="73"/>
      <c r="E489" s="75"/>
      <c r="F489" s="75"/>
    </row>
    <row r="490" spans="2:6" x14ac:dyDescent="0.25">
      <c r="B490" s="73"/>
      <c r="C490" s="74"/>
      <c r="D490" s="73"/>
      <c r="E490" s="75"/>
      <c r="F490" s="75"/>
    </row>
    <row r="491" spans="2:6" x14ac:dyDescent="0.25">
      <c r="B491" s="73"/>
      <c r="C491" s="74"/>
      <c r="D491" s="73"/>
      <c r="E491" s="75"/>
      <c r="F491" s="75"/>
    </row>
    <row r="492" spans="2:6" x14ac:dyDescent="0.25">
      <c r="B492" s="73"/>
      <c r="C492" s="74"/>
      <c r="D492" s="73"/>
      <c r="E492" s="75"/>
      <c r="F492" s="75"/>
    </row>
    <row r="493" spans="2:6" x14ac:dyDescent="0.25">
      <c r="B493" s="73"/>
      <c r="C493" s="74"/>
      <c r="D493" s="73"/>
      <c r="E493" s="75"/>
      <c r="F493" s="75"/>
    </row>
    <row r="494" spans="2:6" x14ac:dyDescent="0.25">
      <c r="B494" s="73"/>
      <c r="C494" s="74"/>
      <c r="D494" s="73"/>
      <c r="E494" s="75"/>
      <c r="F494" s="75"/>
    </row>
    <row r="495" spans="2:6" x14ac:dyDescent="0.25">
      <c r="B495" s="73"/>
      <c r="C495" s="74"/>
      <c r="D495" s="73"/>
      <c r="E495" s="75"/>
      <c r="F495" s="75"/>
    </row>
    <row r="496" spans="2:6" x14ac:dyDescent="0.25">
      <c r="B496" s="73"/>
      <c r="C496" s="74"/>
      <c r="D496" s="73"/>
      <c r="E496" s="75"/>
      <c r="F496" s="75"/>
    </row>
    <row r="497" spans="2:6" x14ac:dyDescent="0.25">
      <c r="B497" s="73"/>
      <c r="C497" s="74"/>
      <c r="D497" s="73"/>
      <c r="E497" s="75"/>
      <c r="F497" s="75"/>
    </row>
    <row r="498" spans="2:6" x14ac:dyDescent="0.25">
      <c r="B498" s="73"/>
      <c r="C498" s="74"/>
      <c r="D498" s="73"/>
      <c r="E498" s="75"/>
      <c r="F498" s="75"/>
    </row>
    <row r="499" spans="2:6" x14ac:dyDescent="0.25">
      <c r="B499" s="73"/>
      <c r="C499" s="74"/>
      <c r="D499" s="73"/>
      <c r="E499" s="75"/>
      <c r="F499" s="75"/>
    </row>
    <row r="500" spans="2:6" x14ac:dyDescent="0.25">
      <c r="B500" s="73"/>
      <c r="C500" s="74"/>
      <c r="D500" s="73"/>
      <c r="E500" s="75"/>
      <c r="F500" s="75"/>
    </row>
    <row r="501" spans="2:6" x14ac:dyDescent="0.25">
      <c r="B501" s="73"/>
      <c r="C501" s="74"/>
      <c r="D501" s="73"/>
      <c r="E501" s="75"/>
      <c r="F501" s="75"/>
    </row>
    <row r="502" spans="2:6" x14ac:dyDescent="0.25">
      <c r="B502" s="73"/>
      <c r="C502" s="74"/>
      <c r="D502" s="73"/>
      <c r="E502" s="75"/>
      <c r="F502" s="75"/>
    </row>
    <row r="503" spans="2:6" x14ac:dyDescent="0.25">
      <c r="B503" s="73"/>
      <c r="C503" s="74"/>
      <c r="D503" s="73"/>
      <c r="E503" s="75"/>
      <c r="F503" s="75"/>
    </row>
    <row r="504" spans="2:6" x14ac:dyDescent="0.25">
      <c r="B504" s="73"/>
      <c r="C504" s="74"/>
      <c r="D504" s="73"/>
      <c r="E504" s="75"/>
      <c r="F504" s="75"/>
    </row>
    <row r="505" spans="2:6" x14ac:dyDescent="0.25">
      <c r="B505" s="73"/>
      <c r="C505" s="74"/>
      <c r="D505" s="73"/>
      <c r="E505" s="75"/>
      <c r="F505" s="75"/>
    </row>
    <row r="506" spans="2:6" x14ac:dyDescent="0.25">
      <c r="B506" s="73"/>
      <c r="C506" s="74"/>
      <c r="D506" s="73"/>
      <c r="E506" s="75"/>
      <c r="F506" s="75"/>
    </row>
    <row r="507" spans="2:6" x14ac:dyDescent="0.25">
      <c r="B507" s="73"/>
      <c r="C507" s="74"/>
      <c r="D507" s="73"/>
      <c r="E507" s="75"/>
      <c r="F507" s="75"/>
    </row>
    <row r="508" spans="2:6" x14ac:dyDescent="0.25">
      <c r="B508" s="73"/>
      <c r="C508" s="74"/>
      <c r="D508" s="73"/>
      <c r="E508" s="75"/>
      <c r="F508" s="75"/>
    </row>
    <row r="509" spans="2:6" x14ac:dyDescent="0.25">
      <c r="B509" s="73"/>
      <c r="C509" s="74"/>
      <c r="D509" s="73"/>
      <c r="E509" s="75"/>
      <c r="F509" s="75"/>
    </row>
    <row r="510" spans="2:6" x14ac:dyDescent="0.25">
      <c r="B510" s="73"/>
      <c r="C510" s="74"/>
      <c r="D510" s="73"/>
      <c r="E510" s="75"/>
      <c r="F510" s="75"/>
    </row>
    <row r="511" spans="2:6" x14ac:dyDescent="0.25">
      <c r="B511" s="73"/>
      <c r="C511" s="74"/>
      <c r="D511" s="73"/>
      <c r="E511" s="75"/>
      <c r="F511" s="75"/>
    </row>
    <row r="512" spans="2:6" x14ac:dyDescent="0.25">
      <c r="B512" s="73"/>
      <c r="C512" s="74"/>
      <c r="D512" s="73"/>
      <c r="E512" s="75"/>
      <c r="F512" s="75"/>
    </row>
    <row r="513" spans="2:6" x14ac:dyDescent="0.25">
      <c r="B513" s="73"/>
      <c r="C513" s="74"/>
      <c r="D513" s="73"/>
      <c r="E513" s="75"/>
      <c r="F513" s="75"/>
    </row>
    <row r="514" spans="2:6" x14ac:dyDescent="0.25">
      <c r="B514" s="73"/>
      <c r="C514" s="74"/>
      <c r="D514" s="73"/>
      <c r="E514" s="75"/>
      <c r="F514" s="75"/>
    </row>
    <row r="515" spans="2:6" x14ac:dyDescent="0.25">
      <c r="B515" s="73"/>
      <c r="C515" s="74"/>
      <c r="D515" s="73"/>
      <c r="E515" s="75"/>
      <c r="F515" s="75"/>
    </row>
    <row r="516" spans="2:6" x14ac:dyDescent="0.25">
      <c r="B516" s="73"/>
      <c r="C516" s="74"/>
      <c r="D516" s="73"/>
      <c r="E516" s="75"/>
      <c r="F516" s="75"/>
    </row>
    <row r="517" spans="2:6" x14ac:dyDescent="0.25">
      <c r="B517" s="73"/>
      <c r="C517" s="74"/>
      <c r="D517" s="73"/>
      <c r="E517" s="75"/>
      <c r="F517" s="75"/>
    </row>
    <row r="518" spans="2:6" x14ac:dyDescent="0.25">
      <c r="B518" s="73"/>
      <c r="C518" s="74"/>
      <c r="D518" s="73"/>
      <c r="E518" s="75"/>
      <c r="F518" s="75"/>
    </row>
    <row r="519" spans="2:6" x14ac:dyDescent="0.25">
      <c r="B519" s="73"/>
      <c r="C519" s="74"/>
      <c r="D519" s="73"/>
      <c r="E519" s="75"/>
      <c r="F519" s="75"/>
    </row>
    <row r="520" spans="2:6" x14ac:dyDescent="0.25">
      <c r="B520" s="73"/>
      <c r="C520" s="74"/>
      <c r="D520" s="73"/>
      <c r="E520" s="75"/>
      <c r="F520" s="75"/>
    </row>
    <row r="521" spans="2:6" x14ac:dyDescent="0.25">
      <c r="B521" s="73"/>
      <c r="C521" s="74"/>
      <c r="D521" s="73"/>
      <c r="E521" s="75"/>
      <c r="F521" s="75"/>
    </row>
    <row r="522" spans="2:6" x14ac:dyDescent="0.25">
      <c r="B522" s="73"/>
      <c r="C522" s="74"/>
      <c r="D522" s="73"/>
      <c r="E522" s="75"/>
      <c r="F522" s="75"/>
    </row>
    <row r="523" spans="2:6" x14ac:dyDescent="0.25">
      <c r="B523" s="73"/>
      <c r="C523" s="74"/>
      <c r="D523" s="73"/>
      <c r="E523" s="75"/>
      <c r="F523" s="75"/>
    </row>
    <row r="524" spans="2:6" x14ac:dyDescent="0.25">
      <c r="B524" s="73"/>
      <c r="C524" s="74"/>
      <c r="D524" s="73"/>
      <c r="E524" s="75"/>
      <c r="F524" s="75"/>
    </row>
    <row r="525" spans="2:6" x14ac:dyDescent="0.25">
      <c r="B525" s="73"/>
      <c r="C525" s="74"/>
      <c r="D525" s="73"/>
      <c r="E525" s="75"/>
      <c r="F525" s="75"/>
    </row>
    <row r="526" spans="2:6" x14ac:dyDescent="0.25">
      <c r="B526" s="73"/>
      <c r="C526" s="74"/>
      <c r="D526" s="73"/>
      <c r="E526" s="75"/>
      <c r="F526" s="75"/>
    </row>
    <row r="527" spans="2:6" x14ac:dyDescent="0.25">
      <c r="B527" s="73"/>
      <c r="C527" s="74"/>
      <c r="D527" s="73"/>
      <c r="E527" s="75"/>
      <c r="F527" s="75"/>
    </row>
    <row r="528" spans="2:6" x14ac:dyDescent="0.25">
      <c r="B528" s="73"/>
      <c r="C528" s="74"/>
      <c r="D528" s="73"/>
      <c r="E528" s="75"/>
      <c r="F528" s="75"/>
    </row>
    <row r="529" spans="2:6" x14ac:dyDescent="0.25">
      <c r="B529" s="73"/>
      <c r="C529" s="74"/>
      <c r="D529" s="73"/>
      <c r="E529" s="75"/>
      <c r="F529" s="75"/>
    </row>
    <row r="530" spans="2:6" x14ac:dyDescent="0.25">
      <c r="B530" s="73"/>
      <c r="C530" s="74"/>
      <c r="D530" s="73"/>
      <c r="E530" s="75"/>
      <c r="F530" s="75"/>
    </row>
    <row r="531" spans="2:6" x14ac:dyDescent="0.25">
      <c r="B531" s="73"/>
      <c r="C531" s="74"/>
      <c r="D531" s="73"/>
      <c r="E531" s="75"/>
      <c r="F531" s="75"/>
    </row>
    <row r="532" spans="2:6" x14ac:dyDescent="0.25">
      <c r="B532" s="73"/>
      <c r="C532" s="74"/>
      <c r="D532" s="73"/>
      <c r="E532" s="75"/>
      <c r="F532" s="75"/>
    </row>
    <row r="533" spans="2:6" x14ac:dyDescent="0.25">
      <c r="B533" s="73"/>
      <c r="C533" s="74"/>
      <c r="D533" s="73"/>
      <c r="E533" s="75"/>
      <c r="F533" s="75"/>
    </row>
    <row r="534" spans="2:6" x14ac:dyDescent="0.25">
      <c r="B534" s="73"/>
      <c r="C534" s="74"/>
      <c r="D534" s="73"/>
      <c r="E534" s="75"/>
      <c r="F534" s="75"/>
    </row>
    <row r="535" spans="2:6" x14ac:dyDescent="0.25">
      <c r="B535" s="73"/>
      <c r="C535" s="74"/>
      <c r="D535" s="73"/>
      <c r="E535" s="75"/>
      <c r="F535" s="75"/>
    </row>
    <row r="536" spans="2:6" x14ac:dyDescent="0.25">
      <c r="B536" s="73"/>
      <c r="C536" s="74"/>
      <c r="D536" s="73"/>
      <c r="E536" s="75"/>
      <c r="F536" s="75"/>
    </row>
    <row r="537" spans="2:6" x14ac:dyDescent="0.25">
      <c r="B537" s="73"/>
      <c r="C537" s="74"/>
      <c r="D537" s="73"/>
      <c r="E537" s="75"/>
      <c r="F537" s="75"/>
    </row>
    <row r="538" spans="2:6" x14ac:dyDescent="0.25">
      <c r="B538" s="73"/>
      <c r="C538" s="74"/>
      <c r="D538" s="73"/>
      <c r="E538" s="75"/>
      <c r="F538" s="75"/>
    </row>
    <row r="539" spans="2:6" x14ac:dyDescent="0.25">
      <c r="B539" s="73"/>
      <c r="C539" s="74"/>
      <c r="D539" s="73"/>
      <c r="E539" s="75"/>
      <c r="F539" s="75"/>
    </row>
    <row r="540" spans="2:6" x14ac:dyDescent="0.25">
      <c r="B540" s="73"/>
      <c r="C540" s="74"/>
      <c r="D540" s="73"/>
      <c r="E540" s="75"/>
      <c r="F540" s="75"/>
    </row>
    <row r="541" spans="2:6" x14ac:dyDescent="0.25">
      <c r="B541" s="73"/>
      <c r="C541" s="74"/>
      <c r="D541" s="73"/>
      <c r="E541" s="75"/>
      <c r="F541" s="75"/>
    </row>
    <row r="542" spans="2:6" x14ac:dyDescent="0.25">
      <c r="B542" s="73"/>
      <c r="C542" s="74"/>
      <c r="D542" s="73"/>
      <c r="E542" s="75"/>
      <c r="F542" s="75"/>
    </row>
    <row r="543" spans="2:6" x14ac:dyDescent="0.25">
      <c r="B543" s="73"/>
      <c r="C543" s="74"/>
      <c r="D543" s="73"/>
      <c r="E543" s="75"/>
      <c r="F543" s="75"/>
    </row>
    <row r="544" spans="2:6" x14ac:dyDescent="0.25">
      <c r="B544" s="73"/>
      <c r="C544" s="74"/>
      <c r="D544" s="73"/>
      <c r="E544" s="75"/>
      <c r="F544" s="75"/>
    </row>
    <row r="545" spans="2:6" x14ac:dyDescent="0.25">
      <c r="B545" s="73"/>
      <c r="C545" s="74"/>
      <c r="D545" s="73"/>
      <c r="E545" s="75"/>
      <c r="F545" s="75"/>
    </row>
    <row r="546" spans="2:6" x14ac:dyDescent="0.25">
      <c r="B546" s="73"/>
      <c r="C546" s="74"/>
      <c r="D546" s="73"/>
      <c r="E546" s="75"/>
      <c r="F546" s="75"/>
    </row>
    <row r="547" spans="2:6" x14ac:dyDescent="0.25">
      <c r="B547" s="73"/>
      <c r="C547" s="74"/>
      <c r="D547" s="73"/>
      <c r="E547" s="75"/>
      <c r="F547" s="75"/>
    </row>
    <row r="548" spans="2:6" x14ac:dyDescent="0.25">
      <c r="B548" s="73"/>
      <c r="C548" s="74"/>
      <c r="D548" s="73"/>
      <c r="E548" s="75"/>
      <c r="F548" s="75"/>
    </row>
    <row r="549" spans="2:6" x14ac:dyDescent="0.25">
      <c r="B549" s="73"/>
      <c r="C549" s="74"/>
      <c r="D549" s="73"/>
      <c r="E549" s="75"/>
      <c r="F549" s="75"/>
    </row>
    <row r="550" spans="2:6" x14ac:dyDescent="0.25">
      <c r="B550" s="73"/>
      <c r="C550" s="74"/>
      <c r="D550" s="73"/>
      <c r="E550" s="75"/>
      <c r="F550" s="75"/>
    </row>
    <row r="551" spans="2:6" x14ac:dyDescent="0.25">
      <c r="B551" s="73"/>
      <c r="C551" s="74"/>
      <c r="D551" s="73"/>
      <c r="E551" s="75"/>
      <c r="F551" s="75"/>
    </row>
    <row r="552" spans="2:6" x14ac:dyDescent="0.25">
      <c r="B552" s="73"/>
      <c r="C552" s="74"/>
      <c r="D552" s="73"/>
      <c r="E552" s="75"/>
      <c r="F552" s="75"/>
    </row>
    <row r="553" spans="2:6" x14ac:dyDescent="0.25">
      <c r="B553" s="73"/>
      <c r="C553" s="74"/>
      <c r="D553" s="73"/>
      <c r="E553" s="75"/>
      <c r="F553" s="75"/>
    </row>
    <row r="554" spans="2:6" x14ac:dyDescent="0.25">
      <c r="B554" s="73"/>
      <c r="C554" s="74"/>
      <c r="D554" s="73"/>
      <c r="E554" s="75"/>
      <c r="F554" s="75"/>
    </row>
    <row r="555" spans="2:6" x14ac:dyDescent="0.25">
      <c r="B555" s="73"/>
      <c r="C555" s="74"/>
      <c r="D555" s="73"/>
      <c r="E555" s="75"/>
      <c r="F555" s="75"/>
    </row>
    <row r="556" spans="2:6" x14ac:dyDescent="0.25">
      <c r="B556" s="73"/>
      <c r="C556" s="74"/>
      <c r="D556" s="73"/>
      <c r="E556" s="75"/>
      <c r="F556" s="75"/>
    </row>
    <row r="557" spans="2:6" x14ac:dyDescent="0.25">
      <c r="B557" s="73"/>
      <c r="C557" s="74"/>
      <c r="D557" s="73"/>
      <c r="E557" s="75"/>
      <c r="F557" s="75"/>
    </row>
    <row r="558" spans="2:6" x14ac:dyDescent="0.25">
      <c r="B558" s="73"/>
      <c r="C558" s="74"/>
      <c r="D558" s="73"/>
      <c r="E558" s="75"/>
      <c r="F558" s="75"/>
    </row>
    <row r="559" spans="2:6" x14ac:dyDescent="0.25">
      <c r="B559" s="73"/>
      <c r="C559" s="74"/>
      <c r="D559" s="73"/>
      <c r="E559" s="75"/>
      <c r="F559" s="75"/>
    </row>
    <row r="560" spans="2:6" x14ac:dyDescent="0.25">
      <c r="B560" s="73"/>
      <c r="C560" s="74"/>
      <c r="D560" s="73"/>
      <c r="E560" s="75"/>
      <c r="F560" s="75"/>
    </row>
    <row r="561" spans="2:6" x14ac:dyDescent="0.25">
      <c r="B561" s="73"/>
      <c r="C561" s="74"/>
      <c r="D561" s="73"/>
      <c r="E561" s="75"/>
      <c r="F561" s="75"/>
    </row>
    <row r="562" spans="2:6" x14ac:dyDescent="0.25">
      <c r="B562" s="73"/>
      <c r="C562" s="74"/>
      <c r="D562" s="73"/>
      <c r="E562" s="75"/>
      <c r="F562" s="75"/>
    </row>
    <row r="563" spans="2:6" x14ac:dyDescent="0.25">
      <c r="B563" s="73"/>
      <c r="C563" s="74"/>
      <c r="D563" s="73"/>
      <c r="E563" s="75"/>
      <c r="F563" s="75"/>
    </row>
    <row r="564" spans="2:6" x14ac:dyDescent="0.25">
      <c r="B564" s="73"/>
      <c r="C564" s="74"/>
      <c r="D564" s="73"/>
      <c r="E564" s="75"/>
      <c r="F564" s="75"/>
    </row>
    <row r="565" spans="2:6" x14ac:dyDescent="0.25">
      <c r="B565" s="73"/>
      <c r="C565" s="74"/>
      <c r="D565" s="73"/>
      <c r="E565" s="75"/>
      <c r="F565" s="75"/>
    </row>
    <row r="566" spans="2:6" x14ac:dyDescent="0.25">
      <c r="B566" s="73"/>
      <c r="C566" s="74"/>
      <c r="D566" s="73"/>
      <c r="E566" s="75"/>
      <c r="F566" s="75"/>
    </row>
    <row r="567" spans="2:6" x14ac:dyDescent="0.25">
      <c r="B567" s="73"/>
      <c r="C567" s="74"/>
      <c r="D567" s="73"/>
      <c r="E567" s="75"/>
      <c r="F567" s="75"/>
    </row>
    <row r="568" spans="2:6" x14ac:dyDescent="0.25">
      <c r="B568" s="73"/>
      <c r="C568" s="74"/>
      <c r="D568" s="73"/>
      <c r="E568" s="75"/>
      <c r="F568" s="75"/>
    </row>
    <row r="569" spans="2:6" x14ac:dyDescent="0.25">
      <c r="B569" s="73"/>
      <c r="C569" s="74"/>
      <c r="D569" s="73"/>
      <c r="E569" s="75"/>
      <c r="F569" s="75"/>
    </row>
    <row r="570" spans="2:6" x14ac:dyDescent="0.25">
      <c r="B570" s="73"/>
      <c r="C570" s="74"/>
      <c r="D570" s="73"/>
      <c r="E570" s="75"/>
      <c r="F570" s="75"/>
    </row>
    <row r="571" spans="2:6" x14ac:dyDescent="0.25">
      <c r="B571" s="73"/>
      <c r="C571" s="74"/>
      <c r="D571" s="73"/>
      <c r="E571" s="75"/>
      <c r="F571" s="75"/>
    </row>
    <row r="572" spans="2:6" x14ac:dyDescent="0.25">
      <c r="B572" s="73"/>
      <c r="C572" s="74"/>
      <c r="D572" s="73"/>
      <c r="E572" s="75"/>
      <c r="F572" s="75"/>
    </row>
    <row r="573" spans="2:6" x14ac:dyDescent="0.25">
      <c r="B573" s="73"/>
      <c r="C573" s="74"/>
      <c r="D573" s="73"/>
      <c r="E573" s="75"/>
      <c r="F573" s="75"/>
    </row>
    <row r="574" spans="2:6" x14ac:dyDescent="0.25">
      <c r="B574" s="73"/>
      <c r="C574" s="74"/>
      <c r="D574" s="73"/>
      <c r="E574" s="75"/>
      <c r="F574" s="75"/>
    </row>
    <row r="575" spans="2:6" x14ac:dyDescent="0.25">
      <c r="B575" s="73"/>
      <c r="C575" s="74"/>
      <c r="D575" s="73"/>
      <c r="E575" s="75"/>
      <c r="F575" s="75"/>
    </row>
    <row r="576" spans="2:6" x14ac:dyDescent="0.25">
      <c r="B576" s="73"/>
      <c r="C576" s="74"/>
      <c r="D576" s="73"/>
      <c r="E576" s="75"/>
      <c r="F576" s="75"/>
    </row>
    <row r="577" spans="2:6" x14ac:dyDescent="0.25">
      <c r="B577" s="73"/>
      <c r="C577" s="74"/>
      <c r="D577" s="73"/>
      <c r="E577" s="75"/>
      <c r="F577" s="75"/>
    </row>
    <row r="578" spans="2:6" x14ac:dyDescent="0.25">
      <c r="B578" s="73"/>
      <c r="C578" s="74"/>
      <c r="D578" s="73"/>
      <c r="E578" s="75"/>
      <c r="F578" s="75"/>
    </row>
    <row r="579" spans="2:6" x14ac:dyDescent="0.25">
      <c r="B579" s="73"/>
      <c r="C579" s="74"/>
      <c r="D579" s="73"/>
      <c r="E579" s="75"/>
      <c r="F579" s="75"/>
    </row>
    <row r="580" spans="2:6" x14ac:dyDescent="0.25">
      <c r="B580" s="73"/>
      <c r="C580" s="74"/>
      <c r="D580" s="73"/>
      <c r="E580" s="75"/>
      <c r="F580" s="75"/>
    </row>
    <row r="581" spans="2:6" x14ac:dyDescent="0.25">
      <c r="B581" s="73"/>
      <c r="C581" s="74"/>
      <c r="D581" s="73"/>
      <c r="E581" s="75"/>
      <c r="F581" s="75"/>
    </row>
    <row r="582" spans="2:6" x14ac:dyDescent="0.25">
      <c r="B582" s="73"/>
      <c r="C582" s="74"/>
      <c r="D582" s="73"/>
      <c r="E582" s="75"/>
      <c r="F582" s="75"/>
    </row>
    <row r="583" spans="2:6" x14ac:dyDescent="0.25">
      <c r="B583" s="73"/>
      <c r="C583" s="74"/>
      <c r="D583" s="73"/>
      <c r="E583" s="75"/>
      <c r="F583" s="75"/>
    </row>
    <row r="584" spans="2:6" x14ac:dyDescent="0.25">
      <c r="B584" s="73"/>
      <c r="C584" s="74"/>
      <c r="D584" s="73"/>
      <c r="E584" s="75"/>
      <c r="F584" s="75"/>
    </row>
    <row r="585" spans="2:6" x14ac:dyDescent="0.25">
      <c r="B585" s="73"/>
      <c r="C585" s="74"/>
      <c r="D585" s="73"/>
      <c r="E585" s="75"/>
      <c r="F585" s="75"/>
    </row>
    <row r="586" spans="2:6" x14ac:dyDescent="0.25">
      <c r="B586" s="73"/>
      <c r="C586" s="74"/>
      <c r="D586" s="73"/>
      <c r="E586" s="75"/>
      <c r="F586" s="75"/>
    </row>
    <row r="587" spans="2:6" x14ac:dyDescent="0.25">
      <c r="B587" s="73"/>
      <c r="C587" s="74"/>
      <c r="D587" s="73"/>
      <c r="E587" s="75"/>
      <c r="F587" s="75"/>
    </row>
    <row r="588" spans="2:6" x14ac:dyDescent="0.25">
      <c r="B588" s="73"/>
      <c r="C588" s="74"/>
      <c r="D588" s="73"/>
      <c r="E588" s="75"/>
      <c r="F588" s="75"/>
    </row>
    <row r="589" spans="2:6" x14ac:dyDescent="0.25">
      <c r="B589" s="73"/>
      <c r="C589" s="74"/>
      <c r="D589" s="73"/>
      <c r="E589" s="75"/>
      <c r="F589" s="75"/>
    </row>
    <row r="590" spans="2:6" x14ac:dyDescent="0.25">
      <c r="B590" s="73"/>
      <c r="C590" s="74"/>
      <c r="D590" s="73"/>
      <c r="E590" s="75"/>
      <c r="F590" s="75"/>
    </row>
    <row r="591" spans="2:6" x14ac:dyDescent="0.25">
      <c r="B591" s="73"/>
      <c r="C591" s="74"/>
      <c r="D591" s="73"/>
      <c r="E591" s="75"/>
      <c r="F591" s="75"/>
    </row>
    <row r="592" spans="2:6" x14ac:dyDescent="0.25">
      <c r="B592" s="73"/>
      <c r="C592" s="74"/>
      <c r="D592" s="73"/>
      <c r="E592" s="75"/>
      <c r="F592" s="75"/>
    </row>
    <row r="593" spans="2:6" x14ac:dyDescent="0.25">
      <c r="B593" s="73"/>
      <c r="C593" s="74"/>
      <c r="D593" s="73"/>
      <c r="E593" s="75"/>
      <c r="F593" s="75"/>
    </row>
    <row r="594" spans="2:6" x14ac:dyDescent="0.25">
      <c r="B594" s="73"/>
      <c r="C594" s="74"/>
      <c r="D594" s="73"/>
      <c r="E594" s="75"/>
      <c r="F594" s="75"/>
    </row>
    <row r="595" spans="2:6" x14ac:dyDescent="0.25">
      <c r="B595" s="73"/>
      <c r="C595" s="74"/>
      <c r="D595" s="73"/>
      <c r="E595" s="75"/>
      <c r="F595" s="75"/>
    </row>
    <row r="596" spans="2:6" x14ac:dyDescent="0.25">
      <c r="B596" s="73"/>
      <c r="C596" s="74"/>
      <c r="D596" s="73"/>
      <c r="E596" s="75"/>
      <c r="F596" s="75"/>
    </row>
    <row r="597" spans="2:6" x14ac:dyDescent="0.25">
      <c r="B597" s="73"/>
      <c r="C597" s="74"/>
      <c r="D597" s="73"/>
      <c r="E597" s="75"/>
      <c r="F597" s="75"/>
    </row>
    <row r="598" spans="2:6" x14ac:dyDescent="0.25">
      <c r="B598" s="73"/>
      <c r="C598" s="74"/>
      <c r="D598" s="73"/>
      <c r="E598" s="75"/>
      <c r="F598" s="75"/>
    </row>
    <row r="599" spans="2:6" x14ac:dyDescent="0.25">
      <c r="B599" s="73"/>
      <c r="C599" s="74"/>
      <c r="D599" s="73"/>
      <c r="E599" s="75"/>
      <c r="F599" s="75"/>
    </row>
    <row r="600" spans="2:6" x14ac:dyDescent="0.25">
      <c r="B600" s="73"/>
      <c r="C600" s="74"/>
      <c r="D600" s="73"/>
      <c r="E600" s="75"/>
      <c r="F600" s="75"/>
    </row>
    <row r="601" spans="2:6" x14ac:dyDescent="0.25">
      <c r="B601" s="73"/>
      <c r="C601" s="74"/>
      <c r="D601" s="73"/>
      <c r="E601" s="75"/>
      <c r="F601" s="75"/>
    </row>
    <row r="602" spans="2:6" x14ac:dyDescent="0.25">
      <c r="B602" s="73"/>
      <c r="C602" s="74"/>
      <c r="D602" s="73"/>
      <c r="E602" s="75"/>
      <c r="F602" s="75"/>
    </row>
    <row r="603" spans="2:6" x14ac:dyDescent="0.25">
      <c r="B603" s="73"/>
      <c r="C603" s="74"/>
      <c r="D603" s="73"/>
      <c r="E603" s="75"/>
      <c r="F603" s="75"/>
    </row>
    <row r="604" spans="2:6" x14ac:dyDescent="0.25">
      <c r="B604" s="73"/>
      <c r="C604" s="74"/>
      <c r="D604" s="73"/>
      <c r="E604" s="75"/>
      <c r="F604" s="75"/>
    </row>
    <row r="605" spans="2:6" x14ac:dyDescent="0.25">
      <c r="B605" s="73"/>
      <c r="C605" s="74"/>
      <c r="D605" s="73"/>
      <c r="E605" s="75"/>
      <c r="F605" s="75"/>
    </row>
    <row r="606" spans="2:6" x14ac:dyDescent="0.25">
      <c r="B606" s="73"/>
      <c r="C606" s="74"/>
      <c r="D606" s="73"/>
      <c r="E606" s="75"/>
      <c r="F606" s="75"/>
    </row>
    <row r="607" spans="2:6" x14ac:dyDescent="0.25">
      <c r="B607" s="73"/>
      <c r="C607" s="74"/>
      <c r="D607" s="73"/>
      <c r="E607" s="75"/>
      <c r="F607" s="75"/>
    </row>
    <row r="608" spans="2:6" x14ac:dyDescent="0.25">
      <c r="B608" s="73"/>
      <c r="C608" s="74"/>
      <c r="D608" s="73"/>
      <c r="E608" s="75"/>
      <c r="F608" s="75"/>
    </row>
    <row r="609" spans="2:6" x14ac:dyDescent="0.25">
      <c r="B609" s="73"/>
      <c r="C609" s="74"/>
      <c r="D609" s="73"/>
      <c r="E609" s="75"/>
      <c r="F609" s="75"/>
    </row>
    <row r="610" spans="2:6" x14ac:dyDescent="0.25">
      <c r="B610" s="73"/>
      <c r="C610" s="74"/>
      <c r="D610" s="73"/>
      <c r="E610" s="75"/>
      <c r="F610" s="75"/>
    </row>
    <row r="611" spans="2:6" x14ac:dyDescent="0.25">
      <c r="B611" s="73"/>
      <c r="C611" s="74"/>
      <c r="D611" s="73"/>
      <c r="E611" s="75"/>
      <c r="F611" s="75"/>
    </row>
    <row r="612" spans="2:6" x14ac:dyDescent="0.25">
      <c r="B612" s="73"/>
      <c r="C612" s="74"/>
      <c r="D612" s="73"/>
      <c r="E612" s="75"/>
      <c r="F612" s="75"/>
    </row>
    <row r="613" spans="2:6" x14ac:dyDescent="0.25">
      <c r="B613" s="73"/>
      <c r="C613" s="74"/>
      <c r="D613" s="73"/>
      <c r="E613" s="75"/>
      <c r="F613" s="75"/>
    </row>
    <row r="614" spans="2:6" x14ac:dyDescent="0.25">
      <c r="B614" s="73"/>
      <c r="C614" s="74"/>
      <c r="D614" s="73"/>
      <c r="E614" s="75"/>
      <c r="F614" s="75"/>
    </row>
    <row r="615" spans="2:6" x14ac:dyDescent="0.25">
      <c r="B615" s="73"/>
      <c r="C615" s="74"/>
      <c r="D615" s="73"/>
      <c r="E615" s="75"/>
      <c r="F615" s="75"/>
    </row>
    <row r="616" spans="2:6" x14ac:dyDescent="0.25">
      <c r="B616" s="73"/>
      <c r="C616" s="74"/>
      <c r="D616" s="73"/>
      <c r="E616" s="75"/>
      <c r="F616" s="75"/>
    </row>
    <row r="617" spans="2:6" x14ac:dyDescent="0.25">
      <c r="B617" s="73"/>
      <c r="C617" s="74"/>
      <c r="D617" s="73"/>
      <c r="E617" s="75"/>
      <c r="F617" s="75"/>
    </row>
    <row r="618" spans="2:6" x14ac:dyDescent="0.25">
      <c r="B618" s="73"/>
      <c r="C618" s="74"/>
      <c r="D618" s="73"/>
      <c r="E618" s="75"/>
      <c r="F618" s="75"/>
    </row>
    <row r="619" spans="2:6" x14ac:dyDescent="0.25">
      <c r="B619" s="73"/>
      <c r="C619" s="74"/>
      <c r="D619" s="73"/>
      <c r="E619" s="75"/>
      <c r="F619" s="75"/>
    </row>
    <row r="620" spans="2:6" x14ac:dyDescent="0.25">
      <c r="B620" s="73"/>
      <c r="C620" s="74"/>
      <c r="D620" s="73"/>
      <c r="E620" s="75"/>
      <c r="F620" s="75"/>
    </row>
    <row r="621" spans="2:6" x14ac:dyDescent="0.25">
      <c r="B621" s="73"/>
      <c r="C621" s="74"/>
      <c r="D621" s="73"/>
      <c r="E621" s="75"/>
      <c r="F621" s="75"/>
    </row>
    <row r="622" spans="2:6" x14ac:dyDescent="0.25">
      <c r="B622" s="73"/>
      <c r="C622" s="74"/>
      <c r="D622" s="73"/>
      <c r="E622" s="75"/>
      <c r="F622" s="75"/>
    </row>
    <row r="623" spans="2:6" x14ac:dyDescent="0.25">
      <c r="B623" s="73"/>
      <c r="C623" s="74"/>
      <c r="D623" s="73"/>
      <c r="E623" s="75"/>
      <c r="F623" s="75"/>
    </row>
    <row r="624" spans="2:6" x14ac:dyDescent="0.25">
      <c r="B624" s="73"/>
      <c r="C624" s="74"/>
      <c r="D624" s="73"/>
      <c r="E624" s="75"/>
      <c r="F624" s="75"/>
    </row>
    <row r="625" spans="2:6" x14ac:dyDescent="0.25">
      <c r="B625" s="73"/>
      <c r="C625" s="74"/>
      <c r="D625" s="73"/>
      <c r="E625" s="75"/>
      <c r="F625" s="75"/>
    </row>
    <row r="626" spans="2:6" x14ac:dyDescent="0.25">
      <c r="B626" s="73"/>
      <c r="C626" s="74"/>
      <c r="D626" s="73"/>
      <c r="E626" s="75"/>
      <c r="F626" s="75"/>
    </row>
    <row r="627" spans="2:6" x14ac:dyDescent="0.25">
      <c r="B627" s="73"/>
      <c r="C627" s="74"/>
      <c r="D627" s="73"/>
      <c r="E627" s="75"/>
      <c r="F627" s="75"/>
    </row>
    <row r="628" spans="2:6" x14ac:dyDescent="0.25">
      <c r="B628" s="73"/>
      <c r="C628" s="74"/>
      <c r="D628" s="73"/>
      <c r="E628" s="75"/>
      <c r="F628" s="75"/>
    </row>
    <row r="629" spans="2:6" x14ac:dyDescent="0.25">
      <c r="B629" s="73"/>
      <c r="C629" s="74"/>
      <c r="D629" s="73"/>
      <c r="E629" s="75"/>
      <c r="F629" s="75"/>
    </row>
    <row r="630" spans="2:6" x14ac:dyDescent="0.25">
      <c r="B630" s="73"/>
      <c r="C630" s="74"/>
      <c r="D630" s="73"/>
      <c r="E630" s="75"/>
      <c r="F630" s="75"/>
    </row>
    <row r="631" spans="2:6" x14ac:dyDescent="0.25">
      <c r="B631" s="73"/>
      <c r="C631" s="74"/>
      <c r="D631" s="73"/>
      <c r="E631" s="75"/>
      <c r="F631" s="75"/>
    </row>
    <row r="632" spans="2:6" x14ac:dyDescent="0.25">
      <c r="B632" s="73"/>
      <c r="C632" s="74"/>
      <c r="D632" s="73"/>
      <c r="E632" s="75"/>
      <c r="F632" s="75"/>
    </row>
    <row r="633" spans="2:6" x14ac:dyDescent="0.25">
      <c r="B633" s="73"/>
      <c r="C633" s="74"/>
      <c r="D633" s="73"/>
      <c r="E633" s="75"/>
      <c r="F633" s="75"/>
    </row>
    <row r="634" spans="2:6" x14ac:dyDescent="0.25">
      <c r="B634" s="73"/>
      <c r="C634" s="74"/>
      <c r="D634" s="73"/>
      <c r="E634" s="75"/>
      <c r="F634" s="75"/>
    </row>
    <row r="635" spans="2:6" x14ac:dyDescent="0.25">
      <c r="B635" s="73"/>
      <c r="C635" s="74"/>
      <c r="D635" s="73"/>
      <c r="E635" s="75"/>
      <c r="F635" s="75"/>
    </row>
    <row r="636" spans="2:6" x14ac:dyDescent="0.25">
      <c r="B636" s="73"/>
      <c r="C636" s="74"/>
      <c r="D636" s="73"/>
      <c r="E636" s="75"/>
      <c r="F636" s="75"/>
    </row>
    <row r="637" spans="2:6" x14ac:dyDescent="0.25">
      <c r="B637" s="73"/>
      <c r="C637" s="74"/>
      <c r="D637" s="73"/>
      <c r="E637" s="75"/>
      <c r="F637" s="75"/>
    </row>
    <row r="638" spans="2:6" x14ac:dyDescent="0.25">
      <c r="B638" s="73"/>
      <c r="C638" s="74"/>
      <c r="D638" s="73"/>
      <c r="E638" s="75"/>
      <c r="F638" s="75"/>
    </row>
    <row r="639" spans="2:6" x14ac:dyDescent="0.25">
      <c r="B639" s="73"/>
      <c r="C639" s="74"/>
      <c r="D639" s="73"/>
      <c r="E639" s="75"/>
      <c r="F639" s="75"/>
    </row>
    <row r="640" spans="2:6" x14ac:dyDescent="0.25">
      <c r="B640" s="73"/>
      <c r="C640" s="74"/>
      <c r="D640" s="73"/>
      <c r="E640" s="75"/>
      <c r="F640" s="75"/>
    </row>
    <row r="641" spans="2:6" x14ac:dyDescent="0.25">
      <c r="B641" s="73"/>
      <c r="C641" s="74"/>
      <c r="D641" s="73"/>
      <c r="E641" s="75"/>
      <c r="F641" s="75"/>
    </row>
    <row r="642" spans="2:6" x14ac:dyDescent="0.25">
      <c r="B642" s="73"/>
      <c r="C642" s="74"/>
      <c r="D642" s="73"/>
      <c r="E642" s="75"/>
      <c r="F642" s="75"/>
    </row>
    <row r="643" spans="2:6" x14ac:dyDescent="0.25">
      <c r="B643" s="73"/>
      <c r="C643" s="74"/>
      <c r="D643" s="73"/>
      <c r="E643" s="75"/>
      <c r="F643" s="75"/>
    </row>
    <row r="644" spans="2:6" x14ac:dyDescent="0.25">
      <c r="B644" s="73"/>
      <c r="C644" s="74"/>
      <c r="D644" s="73"/>
      <c r="E644" s="75"/>
      <c r="F644" s="75"/>
    </row>
    <row r="645" spans="2:6" x14ac:dyDescent="0.25">
      <c r="B645" s="73"/>
      <c r="C645" s="74"/>
      <c r="D645" s="73"/>
      <c r="E645" s="75"/>
      <c r="F645" s="75"/>
    </row>
    <row r="646" spans="2:6" x14ac:dyDescent="0.25">
      <c r="B646" s="73"/>
      <c r="C646" s="74"/>
      <c r="D646" s="73"/>
      <c r="E646" s="75"/>
      <c r="F646" s="75"/>
    </row>
    <row r="647" spans="2:6" x14ac:dyDescent="0.25">
      <c r="B647" s="73"/>
      <c r="C647" s="74"/>
      <c r="D647" s="73"/>
      <c r="E647" s="75"/>
      <c r="F647" s="75"/>
    </row>
    <row r="648" spans="2:6" x14ac:dyDescent="0.25">
      <c r="B648" s="73"/>
      <c r="C648" s="74"/>
      <c r="D648" s="73"/>
      <c r="E648" s="75"/>
      <c r="F648" s="75"/>
    </row>
    <row r="649" spans="2:6" x14ac:dyDescent="0.25">
      <c r="B649" s="73"/>
      <c r="C649" s="74"/>
      <c r="D649" s="73"/>
      <c r="E649" s="75"/>
      <c r="F649" s="75"/>
    </row>
    <row r="650" spans="2:6" x14ac:dyDescent="0.25">
      <c r="B650" s="73"/>
      <c r="C650" s="74"/>
      <c r="D650" s="73"/>
      <c r="E650" s="75"/>
      <c r="F650" s="75"/>
    </row>
    <row r="651" spans="2:6" x14ac:dyDescent="0.25">
      <c r="B651" s="73"/>
      <c r="C651" s="74"/>
      <c r="D651" s="73"/>
      <c r="E651" s="75"/>
      <c r="F651" s="75"/>
    </row>
    <row r="652" spans="2:6" x14ac:dyDescent="0.25">
      <c r="B652" s="73"/>
      <c r="C652" s="74"/>
      <c r="D652" s="73"/>
      <c r="E652" s="75"/>
      <c r="F652" s="75"/>
    </row>
    <row r="653" spans="2:6" x14ac:dyDescent="0.25">
      <c r="B653" s="73"/>
      <c r="C653" s="74"/>
      <c r="D653" s="73"/>
      <c r="E653" s="75"/>
      <c r="F653" s="75"/>
    </row>
    <row r="654" spans="2:6" x14ac:dyDescent="0.25">
      <c r="B654" s="73"/>
      <c r="C654" s="74"/>
      <c r="D654" s="73"/>
      <c r="E654" s="75"/>
      <c r="F654" s="75"/>
    </row>
    <row r="655" spans="2:6" x14ac:dyDescent="0.25">
      <c r="B655" s="73"/>
      <c r="C655" s="74"/>
      <c r="D655" s="73"/>
      <c r="E655" s="75"/>
      <c r="F655" s="75"/>
    </row>
    <row r="656" spans="2:6" x14ac:dyDescent="0.25">
      <c r="B656" s="73"/>
      <c r="C656" s="74"/>
      <c r="D656" s="73"/>
      <c r="E656" s="75"/>
      <c r="F656" s="75"/>
    </row>
    <row r="657" spans="2:6" x14ac:dyDescent="0.25">
      <c r="B657" s="73"/>
      <c r="C657" s="74"/>
      <c r="D657" s="73"/>
      <c r="E657" s="75"/>
      <c r="F657" s="75"/>
    </row>
    <row r="658" spans="2:6" x14ac:dyDescent="0.25">
      <c r="B658" s="73"/>
      <c r="C658" s="74"/>
      <c r="D658" s="73"/>
      <c r="E658" s="75"/>
      <c r="F658" s="75"/>
    </row>
    <row r="659" spans="2:6" x14ac:dyDescent="0.25">
      <c r="B659" s="73"/>
      <c r="C659" s="74"/>
      <c r="D659" s="73"/>
      <c r="E659" s="75"/>
      <c r="F659" s="75"/>
    </row>
    <row r="660" spans="2:6" x14ac:dyDescent="0.25">
      <c r="B660" s="73"/>
      <c r="C660" s="74"/>
      <c r="D660" s="73"/>
      <c r="E660" s="75"/>
      <c r="F660" s="75"/>
    </row>
    <row r="661" spans="2:6" x14ac:dyDescent="0.25">
      <c r="B661" s="73"/>
      <c r="C661" s="74"/>
      <c r="D661" s="73"/>
      <c r="E661" s="75"/>
      <c r="F661" s="75"/>
    </row>
    <row r="662" spans="2:6" x14ac:dyDescent="0.25">
      <c r="B662" s="73"/>
      <c r="C662" s="74"/>
      <c r="D662" s="73"/>
      <c r="E662" s="75"/>
      <c r="F662" s="75"/>
    </row>
    <row r="663" spans="2:6" x14ac:dyDescent="0.25">
      <c r="B663" s="73"/>
      <c r="C663" s="74"/>
      <c r="D663" s="73"/>
      <c r="E663" s="75"/>
      <c r="F663" s="75"/>
    </row>
    <row r="664" spans="2:6" x14ac:dyDescent="0.25">
      <c r="B664" s="73"/>
      <c r="C664" s="74"/>
      <c r="D664" s="73"/>
      <c r="E664" s="75"/>
      <c r="F664" s="75"/>
    </row>
    <row r="665" spans="2:6" x14ac:dyDescent="0.25">
      <c r="B665" s="73"/>
      <c r="C665" s="74"/>
      <c r="D665" s="73"/>
      <c r="E665" s="75"/>
      <c r="F665" s="75"/>
    </row>
    <row r="666" spans="2:6" x14ac:dyDescent="0.25">
      <c r="B666" s="73"/>
      <c r="C666" s="74"/>
      <c r="D666" s="73"/>
      <c r="E666" s="75"/>
      <c r="F666" s="75"/>
    </row>
    <row r="667" spans="2:6" x14ac:dyDescent="0.25">
      <c r="B667" s="73"/>
      <c r="C667" s="74"/>
      <c r="D667" s="73"/>
      <c r="E667" s="75"/>
      <c r="F667" s="75"/>
    </row>
    <row r="668" spans="2:6" x14ac:dyDescent="0.25">
      <c r="B668" s="73"/>
      <c r="C668" s="74"/>
      <c r="D668" s="73"/>
      <c r="E668" s="75"/>
      <c r="F668" s="75"/>
    </row>
    <row r="669" spans="2:6" x14ac:dyDescent="0.25">
      <c r="B669" s="73"/>
      <c r="C669" s="74"/>
      <c r="D669" s="73"/>
      <c r="E669" s="75"/>
      <c r="F669" s="75"/>
    </row>
    <row r="670" spans="2:6" x14ac:dyDescent="0.25">
      <c r="B670" s="73"/>
      <c r="C670" s="74"/>
      <c r="D670" s="73"/>
      <c r="E670" s="75"/>
      <c r="F670" s="75"/>
    </row>
    <row r="671" spans="2:6" x14ac:dyDescent="0.25">
      <c r="B671" s="73"/>
      <c r="C671" s="74"/>
      <c r="D671" s="73"/>
      <c r="E671" s="75"/>
      <c r="F671" s="75"/>
    </row>
    <row r="672" spans="2:6" x14ac:dyDescent="0.25">
      <c r="B672" s="73"/>
      <c r="C672" s="74"/>
      <c r="D672" s="73"/>
      <c r="E672" s="75"/>
      <c r="F672" s="75"/>
    </row>
    <row r="673" spans="2:6" x14ac:dyDescent="0.25">
      <c r="B673" s="73"/>
      <c r="C673" s="74"/>
      <c r="D673" s="73"/>
      <c r="E673" s="75"/>
      <c r="F673" s="75"/>
    </row>
    <row r="674" spans="2:6" x14ac:dyDescent="0.25">
      <c r="B674" s="73"/>
      <c r="C674" s="74"/>
      <c r="D674" s="73"/>
      <c r="E674" s="75"/>
      <c r="F674" s="75"/>
    </row>
    <row r="675" spans="2:6" x14ac:dyDescent="0.25">
      <c r="B675" s="73"/>
      <c r="C675" s="74"/>
      <c r="D675" s="73"/>
      <c r="E675" s="75"/>
      <c r="F675" s="75"/>
    </row>
    <row r="676" spans="2:6" x14ac:dyDescent="0.25">
      <c r="B676" s="73"/>
      <c r="C676" s="74"/>
      <c r="D676" s="73"/>
      <c r="E676" s="75"/>
      <c r="F676" s="75"/>
    </row>
    <row r="677" spans="2:6" x14ac:dyDescent="0.25">
      <c r="B677" s="73"/>
      <c r="C677" s="74"/>
      <c r="D677" s="73"/>
      <c r="E677" s="75"/>
      <c r="F677" s="75"/>
    </row>
    <row r="678" spans="2:6" x14ac:dyDescent="0.25">
      <c r="B678" s="73"/>
      <c r="C678" s="74"/>
      <c r="D678" s="73"/>
      <c r="E678" s="75"/>
      <c r="F678" s="75"/>
    </row>
    <row r="679" spans="2:6" x14ac:dyDescent="0.25">
      <c r="B679" s="73"/>
      <c r="C679" s="74"/>
      <c r="D679" s="73"/>
      <c r="E679" s="75"/>
      <c r="F679" s="75"/>
    </row>
    <row r="680" spans="2:6" x14ac:dyDescent="0.25">
      <c r="B680" s="73"/>
      <c r="C680" s="74"/>
      <c r="D680" s="73"/>
      <c r="E680" s="75"/>
      <c r="F680" s="75"/>
    </row>
    <row r="681" spans="2:6" x14ac:dyDescent="0.25">
      <c r="B681" s="73"/>
      <c r="C681" s="74"/>
      <c r="D681" s="73"/>
      <c r="E681" s="75"/>
      <c r="F681" s="75"/>
    </row>
    <row r="682" spans="2:6" x14ac:dyDescent="0.25">
      <c r="B682" s="73"/>
      <c r="C682" s="74"/>
      <c r="D682" s="73"/>
      <c r="E682" s="75"/>
      <c r="F682" s="75"/>
    </row>
    <row r="683" spans="2:6" x14ac:dyDescent="0.25">
      <c r="B683" s="73"/>
      <c r="C683" s="74"/>
      <c r="D683" s="73"/>
      <c r="E683" s="75"/>
      <c r="F683" s="75"/>
    </row>
    <row r="684" spans="2:6" x14ac:dyDescent="0.25">
      <c r="B684" s="73"/>
      <c r="C684" s="74"/>
      <c r="D684" s="73"/>
      <c r="E684" s="75"/>
      <c r="F684" s="75"/>
    </row>
    <row r="685" spans="2:6" x14ac:dyDescent="0.25">
      <c r="B685" s="73"/>
      <c r="C685" s="74"/>
      <c r="D685" s="73"/>
      <c r="E685" s="75"/>
      <c r="F685" s="75"/>
    </row>
    <row r="686" spans="2:6" x14ac:dyDescent="0.25">
      <c r="B686" s="73"/>
      <c r="C686" s="74"/>
      <c r="D686" s="73"/>
      <c r="E686" s="75"/>
      <c r="F686" s="75"/>
    </row>
    <row r="687" spans="2:6" x14ac:dyDescent="0.25">
      <c r="B687" s="73"/>
      <c r="C687" s="74"/>
      <c r="D687" s="73"/>
      <c r="E687" s="75"/>
      <c r="F687" s="75"/>
    </row>
    <row r="688" spans="2:6" x14ac:dyDescent="0.25">
      <c r="B688" s="73"/>
      <c r="C688" s="74"/>
      <c r="D688" s="73"/>
      <c r="E688" s="75"/>
      <c r="F688" s="75"/>
    </row>
    <row r="689" spans="2:6" x14ac:dyDescent="0.25">
      <c r="B689" s="73"/>
      <c r="C689" s="74"/>
      <c r="D689" s="73"/>
      <c r="E689" s="75"/>
      <c r="F689" s="75"/>
    </row>
    <row r="690" spans="2:6" x14ac:dyDescent="0.25">
      <c r="B690" s="73"/>
      <c r="C690" s="74"/>
      <c r="D690" s="73"/>
      <c r="E690" s="75"/>
      <c r="F690" s="75"/>
    </row>
    <row r="691" spans="2:6" x14ac:dyDescent="0.25">
      <c r="B691" s="73"/>
      <c r="C691" s="74"/>
      <c r="D691" s="73"/>
      <c r="E691" s="75"/>
      <c r="F691" s="75"/>
    </row>
    <row r="692" spans="2:6" x14ac:dyDescent="0.25">
      <c r="B692" s="73"/>
      <c r="C692" s="74"/>
      <c r="D692" s="73"/>
      <c r="E692" s="75"/>
      <c r="F692" s="75"/>
    </row>
    <row r="693" spans="2:6" x14ac:dyDescent="0.25">
      <c r="B693" s="73"/>
      <c r="C693" s="74"/>
      <c r="D693" s="73"/>
      <c r="E693" s="75"/>
      <c r="F693" s="75"/>
    </row>
    <row r="694" spans="2:6" x14ac:dyDescent="0.25">
      <c r="B694" s="73"/>
      <c r="C694" s="74"/>
      <c r="D694" s="73"/>
      <c r="E694" s="75"/>
      <c r="F694" s="75"/>
    </row>
    <row r="695" spans="2:6" x14ac:dyDescent="0.25">
      <c r="B695" s="73"/>
      <c r="C695" s="74"/>
      <c r="D695" s="73"/>
      <c r="E695" s="75"/>
      <c r="F695" s="75"/>
    </row>
    <row r="696" spans="2:6" x14ac:dyDescent="0.25">
      <c r="B696" s="73"/>
      <c r="C696" s="74"/>
      <c r="D696" s="73"/>
      <c r="E696" s="75"/>
      <c r="F696" s="75"/>
    </row>
    <row r="697" spans="2:6" x14ac:dyDescent="0.25">
      <c r="B697" s="73"/>
      <c r="C697" s="74"/>
      <c r="D697" s="73"/>
      <c r="E697" s="75"/>
      <c r="F697" s="75"/>
    </row>
    <row r="698" spans="2:6" x14ac:dyDescent="0.25">
      <c r="B698" s="73"/>
      <c r="C698" s="74"/>
      <c r="D698" s="73"/>
      <c r="E698" s="75"/>
      <c r="F698" s="75"/>
    </row>
    <row r="699" spans="2:6" x14ac:dyDescent="0.25">
      <c r="B699" s="73"/>
      <c r="C699" s="74"/>
      <c r="D699" s="73"/>
      <c r="E699" s="75"/>
      <c r="F699" s="75"/>
    </row>
    <row r="700" spans="2:6" x14ac:dyDescent="0.25">
      <c r="B700" s="73"/>
      <c r="C700" s="74"/>
      <c r="D700" s="73"/>
      <c r="E700" s="75"/>
      <c r="F700" s="75"/>
    </row>
    <row r="701" spans="2:6" x14ac:dyDescent="0.25">
      <c r="B701" s="73"/>
      <c r="C701" s="74"/>
      <c r="D701" s="73"/>
      <c r="E701" s="75"/>
      <c r="F701" s="75"/>
    </row>
    <row r="702" spans="2:6" x14ac:dyDescent="0.25">
      <c r="B702" s="73"/>
      <c r="C702" s="74"/>
      <c r="D702" s="73"/>
      <c r="E702" s="75"/>
      <c r="F702" s="75"/>
    </row>
    <row r="703" spans="2:6" x14ac:dyDescent="0.25">
      <c r="B703" s="73"/>
      <c r="C703" s="74"/>
      <c r="D703" s="73"/>
      <c r="E703" s="75"/>
      <c r="F703" s="75"/>
    </row>
    <row r="704" spans="2:6" x14ac:dyDescent="0.25">
      <c r="B704" s="73"/>
      <c r="C704" s="74"/>
      <c r="D704" s="73"/>
      <c r="E704" s="75"/>
      <c r="F704" s="75"/>
    </row>
    <row r="705" spans="2:6" x14ac:dyDescent="0.25">
      <c r="B705" s="73"/>
      <c r="C705" s="74"/>
      <c r="D705" s="73"/>
      <c r="E705" s="75"/>
      <c r="F705" s="75"/>
    </row>
    <row r="706" spans="2:6" x14ac:dyDescent="0.25">
      <c r="B706" s="73"/>
      <c r="C706" s="74"/>
      <c r="D706" s="73"/>
      <c r="E706" s="75"/>
      <c r="F706" s="75"/>
    </row>
    <row r="707" spans="2:6" x14ac:dyDescent="0.25">
      <c r="B707" s="73"/>
      <c r="C707" s="74"/>
      <c r="D707" s="73"/>
      <c r="E707" s="75"/>
      <c r="F707" s="75"/>
    </row>
    <row r="708" spans="2:6" x14ac:dyDescent="0.25">
      <c r="B708" s="73"/>
      <c r="C708" s="74"/>
      <c r="D708" s="73"/>
      <c r="E708" s="75"/>
      <c r="F708" s="75"/>
    </row>
    <row r="709" spans="2:6" x14ac:dyDescent="0.25">
      <c r="B709" s="73"/>
      <c r="C709" s="74"/>
      <c r="D709" s="73"/>
      <c r="E709" s="75"/>
      <c r="F709" s="75"/>
    </row>
    <row r="710" spans="2:6" x14ac:dyDescent="0.25">
      <c r="B710" s="73"/>
      <c r="C710" s="74"/>
      <c r="D710" s="73"/>
      <c r="E710" s="75"/>
      <c r="F710" s="75"/>
    </row>
    <row r="711" spans="2:6" x14ac:dyDescent="0.25">
      <c r="B711" s="73"/>
      <c r="C711" s="74"/>
      <c r="D711" s="73"/>
      <c r="E711" s="75"/>
      <c r="F711" s="75"/>
    </row>
    <row r="712" spans="2:6" x14ac:dyDescent="0.25">
      <c r="B712" s="73"/>
      <c r="C712" s="74"/>
      <c r="D712" s="73"/>
      <c r="E712" s="75"/>
      <c r="F712" s="75"/>
    </row>
    <row r="713" spans="2:6" x14ac:dyDescent="0.25">
      <c r="B713" s="73"/>
      <c r="C713" s="74"/>
      <c r="D713" s="73"/>
      <c r="E713" s="75"/>
      <c r="F713" s="75"/>
    </row>
    <row r="714" spans="2:6" x14ac:dyDescent="0.25">
      <c r="B714" s="73"/>
      <c r="C714" s="74"/>
      <c r="D714" s="73"/>
      <c r="E714" s="75"/>
      <c r="F714" s="75"/>
    </row>
    <row r="715" spans="2:6" x14ac:dyDescent="0.25">
      <c r="B715" s="73"/>
      <c r="C715" s="74"/>
      <c r="D715" s="73"/>
      <c r="E715" s="75"/>
      <c r="F715" s="75"/>
    </row>
    <row r="716" spans="2:6" x14ac:dyDescent="0.25">
      <c r="B716" s="73"/>
      <c r="C716" s="74"/>
      <c r="D716" s="73"/>
      <c r="E716" s="75"/>
      <c r="F716" s="75"/>
    </row>
    <row r="717" spans="2:6" x14ac:dyDescent="0.25">
      <c r="B717" s="73"/>
      <c r="C717" s="74"/>
      <c r="D717" s="73"/>
      <c r="E717" s="75"/>
      <c r="F717" s="75"/>
    </row>
    <row r="718" spans="2:6" x14ac:dyDescent="0.25">
      <c r="B718" s="73"/>
      <c r="C718" s="74"/>
      <c r="D718" s="73"/>
      <c r="E718" s="75"/>
      <c r="F718" s="75"/>
    </row>
    <row r="719" spans="2:6" x14ac:dyDescent="0.25">
      <c r="B719" s="73"/>
      <c r="C719" s="74"/>
      <c r="D719" s="73"/>
      <c r="E719" s="75"/>
      <c r="F719" s="75"/>
    </row>
    <row r="720" spans="2:6" x14ac:dyDescent="0.25">
      <c r="B720" s="73"/>
      <c r="C720" s="74"/>
      <c r="D720" s="73"/>
      <c r="E720" s="75"/>
      <c r="F720" s="75"/>
    </row>
    <row r="721" spans="2:6" x14ac:dyDescent="0.25">
      <c r="B721" s="73"/>
      <c r="C721" s="74"/>
      <c r="D721" s="73"/>
      <c r="E721" s="75"/>
      <c r="F721" s="75"/>
    </row>
    <row r="722" spans="2:6" x14ac:dyDescent="0.25">
      <c r="B722" s="73"/>
      <c r="C722" s="74"/>
      <c r="D722" s="73"/>
      <c r="E722" s="75"/>
      <c r="F722" s="75"/>
    </row>
    <row r="723" spans="2:6" x14ac:dyDescent="0.25">
      <c r="B723" s="73"/>
      <c r="C723" s="74"/>
      <c r="D723" s="73"/>
      <c r="E723" s="75"/>
      <c r="F723" s="75"/>
    </row>
    <row r="724" spans="2:6" x14ac:dyDescent="0.25">
      <c r="B724" s="73"/>
      <c r="C724" s="74"/>
      <c r="D724" s="73"/>
      <c r="E724" s="75"/>
      <c r="F724" s="75"/>
    </row>
    <row r="725" spans="2:6" x14ac:dyDescent="0.25">
      <c r="B725" s="73"/>
      <c r="C725" s="74"/>
      <c r="D725" s="73"/>
      <c r="E725" s="75"/>
      <c r="F725" s="75"/>
    </row>
    <row r="726" spans="2:6" x14ac:dyDescent="0.25">
      <c r="B726" s="73"/>
      <c r="C726" s="74"/>
      <c r="D726" s="73"/>
      <c r="E726" s="75"/>
      <c r="F726" s="75"/>
    </row>
    <row r="727" spans="2:6" x14ac:dyDescent="0.25">
      <c r="B727" s="73"/>
      <c r="C727" s="74"/>
      <c r="D727" s="73"/>
      <c r="E727" s="75"/>
      <c r="F727" s="75"/>
    </row>
    <row r="728" spans="2:6" x14ac:dyDescent="0.25">
      <c r="B728" s="73"/>
      <c r="C728" s="74"/>
      <c r="D728" s="73"/>
      <c r="E728" s="75"/>
      <c r="F728" s="75"/>
    </row>
    <row r="729" spans="2:6" x14ac:dyDescent="0.25">
      <c r="B729" s="73"/>
      <c r="C729" s="74"/>
      <c r="D729" s="73"/>
      <c r="E729" s="75"/>
      <c r="F729" s="75"/>
    </row>
    <row r="730" spans="2:6" x14ac:dyDescent="0.25">
      <c r="B730" s="73"/>
      <c r="C730" s="74"/>
      <c r="D730" s="73"/>
      <c r="E730" s="75"/>
      <c r="F730" s="75"/>
    </row>
    <row r="731" spans="2:6" x14ac:dyDescent="0.25">
      <c r="B731" s="73"/>
      <c r="C731" s="74"/>
      <c r="D731" s="73"/>
      <c r="E731" s="75"/>
      <c r="F731" s="75"/>
    </row>
    <row r="732" spans="2:6" x14ac:dyDescent="0.25">
      <c r="B732" s="73"/>
      <c r="C732" s="74"/>
      <c r="D732" s="73"/>
      <c r="E732" s="75"/>
      <c r="F732" s="75"/>
    </row>
    <row r="733" spans="2:6" x14ac:dyDescent="0.25">
      <c r="B733" s="73"/>
      <c r="C733" s="74"/>
      <c r="D733" s="73"/>
      <c r="E733" s="75"/>
      <c r="F733" s="75"/>
    </row>
    <row r="734" spans="2:6" x14ac:dyDescent="0.25">
      <c r="B734" s="73"/>
      <c r="C734" s="74"/>
      <c r="D734" s="73"/>
      <c r="E734" s="75"/>
      <c r="F734" s="75"/>
    </row>
    <row r="735" spans="2:6" x14ac:dyDescent="0.25">
      <c r="B735" s="73"/>
      <c r="C735" s="74"/>
      <c r="D735" s="73"/>
      <c r="E735" s="75"/>
      <c r="F735" s="75"/>
    </row>
    <row r="736" spans="2:6" x14ac:dyDescent="0.25">
      <c r="B736" s="73"/>
      <c r="C736" s="74"/>
      <c r="D736" s="73"/>
      <c r="E736" s="75"/>
      <c r="F736" s="75"/>
    </row>
    <row r="737" spans="2:6" x14ac:dyDescent="0.25">
      <c r="B737" s="73"/>
      <c r="C737" s="74"/>
      <c r="D737" s="73"/>
      <c r="E737" s="75"/>
      <c r="F737" s="75"/>
    </row>
    <row r="738" spans="2:6" x14ac:dyDescent="0.25">
      <c r="B738" s="73"/>
      <c r="C738" s="74"/>
      <c r="D738" s="73"/>
      <c r="E738" s="75"/>
      <c r="F738" s="75"/>
    </row>
    <row r="739" spans="2:6" x14ac:dyDescent="0.25">
      <c r="B739" s="73"/>
      <c r="C739" s="74"/>
      <c r="D739" s="73"/>
      <c r="E739" s="75"/>
      <c r="F739" s="75"/>
    </row>
    <row r="740" spans="2:6" x14ac:dyDescent="0.25">
      <c r="B740" s="73"/>
      <c r="C740" s="74"/>
      <c r="D740" s="73"/>
      <c r="E740" s="75"/>
      <c r="F740" s="75"/>
    </row>
    <row r="741" spans="2:6" x14ac:dyDescent="0.25">
      <c r="B741" s="73"/>
      <c r="C741" s="74"/>
      <c r="D741" s="73"/>
      <c r="E741" s="75"/>
      <c r="F741" s="75"/>
    </row>
    <row r="742" spans="2:6" x14ac:dyDescent="0.25">
      <c r="B742" s="73"/>
      <c r="C742" s="74"/>
      <c r="D742" s="73"/>
      <c r="E742" s="75"/>
      <c r="F742" s="75"/>
    </row>
    <row r="743" spans="2:6" x14ac:dyDescent="0.25">
      <c r="B743" s="73"/>
      <c r="C743" s="74"/>
      <c r="D743" s="73"/>
      <c r="E743" s="75"/>
      <c r="F743" s="75"/>
    </row>
    <row r="744" spans="2:6" x14ac:dyDescent="0.25">
      <c r="B744" s="73"/>
      <c r="C744" s="74"/>
      <c r="D744" s="73"/>
      <c r="E744" s="75"/>
      <c r="F744" s="75"/>
    </row>
    <row r="745" spans="2:6" x14ac:dyDescent="0.25">
      <c r="B745" s="73"/>
      <c r="C745" s="74"/>
      <c r="D745" s="73"/>
      <c r="E745" s="75"/>
      <c r="F745" s="75"/>
    </row>
    <row r="746" spans="2:6" x14ac:dyDescent="0.25">
      <c r="B746" s="73"/>
      <c r="C746" s="74"/>
      <c r="D746" s="73"/>
      <c r="E746" s="75"/>
      <c r="F746" s="75"/>
    </row>
    <row r="747" spans="2:6" x14ac:dyDescent="0.25">
      <c r="B747" s="73"/>
      <c r="C747" s="74"/>
      <c r="D747" s="73"/>
      <c r="E747" s="75"/>
      <c r="F747" s="75"/>
    </row>
    <row r="748" spans="2:6" x14ac:dyDescent="0.25">
      <c r="B748" s="73"/>
      <c r="C748" s="74"/>
      <c r="D748" s="73"/>
      <c r="E748" s="75"/>
      <c r="F748" s="75"/>
    </row>
    <row r="749" spans="2:6" x14ac:dyDescent="0.25">
      <c r="B749" s="73"/>
      <c r="C749" s="74"/>
      <c r="D749" s="73"/>
      <c r="E749" s="75"/>
      <c r="F749" s="75"/>
    </row>
    <row r="750" spans="2:6" x14ac:dyDescent="0.25">
      <c r="B750" s="73"/>
      <c r="C750" s="74"/>
      <c r="D750" s="73"/>
      <c r="E750" s="75"/>
      <c r="F750" s="75"/>
    </row>
    <row r="751" spans="2:6" x14ac:dyDescent="0.25">
      <c r="B751" s="73"/>
      <c r="C751" s="74"/>
      <c r="D751" s="73"/>
      <c r="E751" s="75"/>
      <c r="F751" s="75"/>
    </row>
    <row r="752" spans="2:6" x14ac:dyDescent="0.25">
      <c r="B752" s="73"/>
      <c r="C752" s="74"/>
      <c r="D752" s="73"/>
      <c r="E752" s="75"/>
      <c r="F752" s="75"/>
    </row>
    <row r="753" spans="2:6" x14ac:dyDescent="0.25">
      <c r="B753" s="73"/>
      <c r="C753" s="74"/>
      <c r="D753" s="73"/>
      <c r="E753" s="75"/>
      <c r="F753" s="75"/>
    </row>
    <row r="754" spans="2:6" x14ac:dyDescent="0.25">
      <c r="B754" s="73"/>
      <c r="C754" s="74"/>
      <c r="D754" s="73"/>
      <c r="E754" s="75"/>
      <c r="F754" s="75"/>
    </row>
    <row r="755" spans="2:6" x14ac:dyDescent="0.25">
      <c r="B755" s="73"/>
      <c r="C755" s="74"/>
      <c r="D755" s="73"/>
      <c r="E755" s="75"/>
      <c r="F755" s="75"/>
    </row>
    <row r="756" spans="2:6" x14ac:dyDescent="0.25">
      <c r="B756" s="73"/>
      <c r="C756" s="74"/>
      <c r="D756" s="73"/>
      <c r="E756" s="75"/>
      <c r="F756" s="75"/>
    </row>
    <row r="757" spans="2:6" x14ac:dyDescent="0.25">
      <c r="B757" s="73"/>
      <c r="C757" s="74"/>
      <c r="D757" s="73"/>
      <c r="E757" s="75"/>
      <c r="F757" s="75"/>
    </row>
    <row r="758" spans="2:6" x14ac:dyDescent="0.25">
      <c r="B758" s="73"/>
      <c r="C758" s="74"/>
      <c r="D758" s="73"/>
      <c r="E758" s="75"/>
      <c r="F758" s="75"/>
    </row>
    <row r="759" spans="2:6" x14ac:dyDescent="0.25">
      <c r="B759" s="73"/>
      <c r="C759" s="74"/>
      <c r="D759" s="73"/>
      <c r="E759" s="75"/>
      <c r="F759" s="75"/>
    </row>
    <row r="760" spans="2:6" x14ac:dyDescent="0.25">
      <c r="B760" s="73"/>
      <c r="C760" s="74"/>
      <c r="D760" s="73"/>
      <c r="E760" s="75"/>
      <c r="F760" s="75"/>
    </row>
    <row r="761" spans="2:6" x14ac:dyDescent="0.25">
      <c r="B761" s="73"/>
      <c r="C761" s="74"/>
      <c r="D761" s="73"/>
      <c r="E761" s="75"/>
      <c r="F761" s="75"/>
    </row>
    <row r="762" spans="2:6" x14ac:dyDescent="0.25">
      <c r="B762" s="73"/>
      <c r="C762" s="74"/>
      <c r="D762" s="73"/>
      <c r="E762" s="75"/>
      <c r="F762" s="75"/>
    </row>
    <row r="763" spans="2:6" x14ac:dyDescent="0.25">
      <c r="B763" s="73"/>
      <c r="C763" s="74"/>
      <c r="D763" s="73"/>
      <c r="E763" s="75"/>
      <c r="F763" s="75"/>
    </row>
    <row r="764" spans="2:6" x14ac:dyDescent="0.25">
      <c r="B764" s="73"/>
      <c r="C764" s="74"/>
      <c r="D764" s="73"/>
      <c r="E764" s="75"/>
      <c r="F764" s="75"/>
    </row>
    <row r="765" spans="2:6" x14ac:dyDescent="0.25">
      <c r="B765" s="73"/>
      <c r="C765" s="74"/>
      <c r="D765" s="73"/>
      <c r="E765" s="75"/>
      <c r="F765" s="75"/>
    </row>
    <row r="766" spans="2:6" x14ac:dyDescent="0.25">
      <c r="B766" s="73"/>
      <c r="C766" s="74"/>
      <c r="D766" s="73"/>
      <c r="E766" s="75"/>
      <c r="F766" s="75"/>
    </row>
    <row r="767" spans="2:6" x14ac:dyDescent="0.25">
      <c r="B767" s="73"/>
      <c r="C767" s="74"/>
      <c r="D767" s="73"/>
      <c r="E767" s="75"/>
      <c r="F767" s="75"/>
    </row>
    <row r="768" spans="2:6" x14ac:dyDescent="0.25">
      <c r="B768" s="73"/>
      <c r="C768" s="74"/>
      <c r="D768" s="73"/>
      <c r="E768" s="75"/>
      <c r="F768" s="75"/>
    </row>
    <row r="769" spans="2:6" x14ac:dyDescent="0.25">
      <c r="B769" s="73"/>
      <c r="C769" s="74"/>
      <c r="D769" s="73"/>
      <c r="E769" s="75"/>
      <c r="F769" s="75"/>
    </row>
    <row r="770" spans="2:6" x14ac:dyDescent="0.25">
      <c r="B770" s="73"/>
      <c r="C770" s="74"/>
      <c r="D770" s="73"/>
      <c r="E770" s="75"/>
      <c r="F770" s="75"/>
    </row>
    <row r="771" spans="2:6" x14ac:dyDescent="0.25">
      <c r="B771" s="73"/>
      <c r="C771" s="74"/>
      <c r="D771" s="73"/>
      <c r="E771" s="75"/>
      <c r="F771" s="75"/>
    </row>
    <row r="772" spans="2:6" x14ac:dyDescent="0.25">
      <c r="B772" s="73"/>
      <c r="C772" s="74"/>
      <c r="D772" s="73"/>
      <c r="E772" s="75"/>
      <c r="F772" s="75"/>
    </row>
    <row r="773" spans="2:6" x14ac:dyDescent="0.25">
      <c r="B773" s="73"/>
      <c r="C773" s="74"/>
      <c r="D773" s="73"/>
      <c r="E773" s="75"/>
      <c r="F773" s="75"/>
    </row>
    <row r="774" spans="2:6" x14ac:dyDescent="0.25">
      <c r="B774" s="73"/>
      <c r="C774" s="74"/>
      <c r="D774" s="73"/>
      <c r="E774" s="75"/>
      <c r="F774" s="75"/>
    </row>
    <row r="775" spans="2:6" x14ac:dyDescent="0.25">
      <c r="B775" s="73"/>
      <c r="C775" s="74"/>
      <c r="D775" s="73"/>
      <c r="E775" s="75"/>
      <c r="F775" s="75"/>
    </row>
    <row r="776" spans="2:6" x14ac:dyDescent="0.25">
      <c r="B776" s="73"/>
      <c r="C776" s="74"/>
      <c r="D776" s="73"/>
      <c r="E776" s="75"/>
      <c r="F776" s="75"/>
    </row>
    <row r="777" spans="2:6" x14ac:dyDescent="0.25">
      <c r="B777" s="73"/>
      <c r="C777" s="74"/>
      <c r="D777" s="73"/>
      <c r="E777" s="75"/>
      <c r="F777" s="75"/>
    </row>
    <row r="778" spans="2:6" x14ac:dyDescent="0.25">
      <c r="B778" s="73"/>
      <c r="C778" s="74"/>
      <c r="D778" s="73"/>
      <c r="E778" s="75"/>
      <c r="F778" s="75"/>
    </row>
    <row r="779" spans="2:6" x14ac:dyDescent="0.25">
      <c r="B779" s="73"/>
      <c r="C779" s="74"/>
      <c r="D779" s="73"/>
      <c r="E779" s="75"/>
      <c r="F779" s="75"/>
    </row>
    <row r="780" spans="2:6" x14ac:dyDescent="0.25">
      <c r="B780" s="73"/>
      <c r="C780" s="74"/>
      <c r="D780" s="73"/>
      <c r="E780" s="75"/>
      <c r="F780" s="75"/>
    </row>
    <row r="781" spans="2:6" x14ac:dyDescent="0.25">
      <c r="B781" s="73"/>
      <c r="C781" s="74"/>
      <c r="D781" s="73"/>
      <c r="E781" s="75"/>
      <c r="F781" s="75"/>
    </row>
    <row r="782" spans="2:6" x14ac:dyDescent="0.25">
      <c r="B782" s="73"/>
      <c r="C782" s="74"/>
      <c r="D782" s="73"/>
      <c r="E782" s="75"/>
      <c r="F782" s="75"/>
    </row>
    <row r="783" spans="2:6" x14ac:dyDescent="0.25">
      <c r="B783" s="73"/>
      <c r="C783" s="74"/>
      <c r="D783" s="73"/>
      <c r="E783" s="75"/>
      <c r="F783" s="75"/>
    </row>
    <row r="784" spans="2:6" x14ac:dyDescent="0.25">
      <c r="B784" s="73"/>
      <c r="C784" s="74"/>
      <c r="D784" s="73"/>
      <c r="E784" s="75"/>
      <c r="F784" s="75"/>
    </row>
    <row r="785" spans="2:6" x14ac:dyDescent="0.25">
      <c r="B785" s="73"/>
      <c r="C785" s="74"/>
      <c r="D785" s="73"/>
      <c r="E785" s="75"/>
      <c r="F785" s="75"/>
    </row>
    <row r="786" spans="2:6" x14ac:dyDescent="0.25">
      <c r="B786" s="73"/>
      <c r="C786" s="74"/>
      <c r="D786" s="73"/>
      <c r="E786" s="75"/>
      <c r="F786" s="75"/>
    </row>
    <row r="787" spans="2:6" x14ac:dyDescent="0.25">
      <c r="B787" s="73"/>
      <c r="C787" s="74"/>
      <c r="D787" s="73"/>
      <c r="E787" s="75"/>
      <c r="F787" s="75"/>
    </row>
    <row r="788" spans="2:6" x14ac:dyDescent="0.25">
      <c r="B788" s="73"/>
      <c r="C788" s="74"/>
      <c r="D788" s="73"/>
      <c r="E788" s="75"/>
      <c r="F788" s="75"/>
    </row>
    <row r="789" spans="2:6" x14ac:dyDescent="0.25">
      <c r="B789" s="73"/>
      <c r="C789" s="74"/>
      <c r="D789" s="73"/>
      <c r="E789" s="75"/>
      <c r="F789" s="75"/>
    </row>
    <row r="790" spans="2:6" x14ac:dyDescent="0.25">
      <c r="B790" s="73"/>
      <c r="C790" s="74"/>
      <c r="D790" s="73"/>
      <c r="E790" s="75"/>
      <c r="F790" s="75"/>
    </row>
    <row r="791" spans="2:6" x14ac:dyDescent="0.25">
      <c r="B791" s="73"/>
      <c r="C791" s="74"/>
      <c r="D791" s="73"/>
      <c r="E791" s="75"/>
      <c r="F791" s="75"/>
    </row>
    <row r="792" spans="2:6" x14ac:dyDescent="0.25">
      <c r="B792" s="73"/>
      <c r="C792" s="74"/>
      <c r="D792" s="73"/>
      <c r="E792" s="75"/>
      <c r="F792" s="75"/>
    </row>
    <row r="793" spans="2:6" x14ac:dyDescent="0.25">
      <c r="B793" s="73"/>
      <c r="C793" s="74"/>
      <c r="D793" s="73"/>
      <c r="E793" s="75"/>
      <c r="F793" s="75"/>
    </row>
    <row r="794" spans="2:6" x14ac:dyDescent="0.25">
      <c r="B794" s="73"/>
      <c r="C794" s="74"/>
      <c r="D794" s="73"/>
      <c r="E794" s="75"/>
      <c r="F794" s="75"/>
    </row>
    <row r="795" spans="2:6" x14ac:dyDescent="0.25">
      <c r="B795" s="73"/>
      <c r="C795" s="74"/>
      <c r="D795" s="73"/>
      <c r="E795" s="75"/>
      <c r="F795" s="75"/>
    </row>
    <row r="796" spans="2:6" x14ac:dyDescent="0.25">
      <c r="B796" s="73"/>
      <c r="C796" s="74"/>
      <c r="D796" s="73"/>
      <c r="E796" s="75"/>
      <c r="F796" s="75"/>
    </row>
    <row r="797" spans="2:6" x14ac:dyDescent="0.25">
      <c r="B797" s="73"/>
      <c r="C797" s="74"/>
      <c r="D797" s="73"/>
      <c r="E797" s="75"/>
      <c r="F797" s="75"/>
    </row>
    <row r="798" spans="2:6" x14ac:dyDescent="0.25">
      <c r="B798" s="73"/>
      <c r="C798" s="74"/>
      <c r="D798" s="73"/>
      <c r="E798" s="75"/>
      <c r="F798" s="75"/>
    </row>
    <row r="799" spans="2:6" x14ac:dyDescent="0.25">
      <c r="B799" s="73"/>
      <c r="C799" s="74"/>
      <c r="D799" s="73"/>
      <c r="E799" s="75"/>
      <c r="F799" s="75"/>
    </row>
    <row r="800" spans="2:6" x14ac:dyDescent="0.25">
      <c r="B800" s="73"/>
      <c r="C800" s="74"/>
      <c r="D800" s="73"/>
      <c r="E800" s="75"/>
      <c r="F800" s="75"/>
    </row>
    <row r="801" spans="2:6" x14ac:dyDescent="0.25">
      <c r="B801" s="73"/>
      <c r="C801" s="74"/>
      <c r="D801" s="73"/>
      <c r="E801" s="75"/>
      <c r="F801" s="75"/>
    </row>
    <row r="802" spans="2:6" x14ac:dyDescent="0.25">
      <c r="B802" s="73"/>
      <c r="C802" s="74"/>
      <c r="D802" s="73"/>
      <c r="E802" s="75"/>
      <c r="F802" s="75"/>
    </row>
    <row r="803" spans="2:6" x14ac:dyDescent="0.25">
      <c r="B803" s="73"/>
      <c r="C803" s="74"/>
      <c r="D803" s="73"/>
      <c r="E803" s="75"/>
      <c r="F803" s="75"/>
    </row>
    <row r="804" spans="2:6" x14ac:dyDescent="0.25">
      <c r="B804" s="73"/>
      <c r="C804" s="74"/>
      <c r="D804" s="73"/>
      <c r="E804" s="75"/>
      <c r="F804" s="75"/>
    </row>
    <row r="805" spans="2:6" x14ac:dyDescent="0.25">
      <c r="B805" s="73"/>
      <c r="C805" s="74"/>
      <c r="D805" s="73"/>
      <c r="E805" s="75"/>
      <c r="F805" s="75"/>
    </row>
    <row r="806" spans="2:6" x14ac:dyDescent="0.25">
      <c r="B806" s="73"/>
      <c r="C806" s="74"/>
      <c r="D806" s="73"/>
      <c r="E806" s="75"/>
      <c r="F806" s="75"/>
    </row>
    <row r="807" spans="2:6" x14ac:dyDescent="0.25">
      <c r="B807" s="73"/>
      <c r="C807" s="74"/>
      <c r="D807" s="73"/>
      <c r="E807" s="75"/>
      <c r="F807" s="75"/>
    </row>
    <row r="808" spans="2:6" x14ac:dyDescent="0.25">
      <c r="B808" s="73"/>
      <c r="C808" s="74"/>
      <c r="D808" s="73"/>
      <c r="E808" s="75"/>
      <c r="F808" s="75"/>
    </row>
    <row r="809" spans="2:6" x14ac:dyDescent="0.25">
      <c r="B809" s="73"/>
      <c r="C809" s="74"/>
      <c r="D809" s="73"/>
      <c r="E809" s="75"/>
      <c r="F809" s="75"/>
    </row>
    <row r="810" spans="2:6" x14ac:dyDescent="0.25">
      <c r="B810" s="73"/>
      <c r="C810" s="74"/>
      <c r="D810" s="73"/>
      <c r="E810" s="75"/>
      <c r="F810" s="75"/>
    </row>
    <row r="811" spans="2:6" x14ac:dyDescent="0.25">
      <c r="B811" s="73"/>
      <c r="C811" s="74"/>
      <c r="D811" s="73"/>
      <c r="E811" s="75"/>
      <c r="F811" s="75"/>
    </row>
    <row r="812" spans="2:6" x14ac:dyDescent="0.25">
      <c r="B812" s="73"/>
      <c r="C812" s="74"/>
      <c r="D812" s="73"/>
      <c r="E812" s="75"/>
      <c r="F812" s="75"/>
    </row>
    <row r="813" spans="2:6" x14ac:dyDescent="0.25">
      <c r="B813" s="73"/>
      <c r="C813" s="74"/>
      <c r="D813" s="73"/>
      <c r="E813" s="75"/>
      <c r="F813" s="75"/>
    </row>
    <row r="814" spans="2:6" x14ac:dyDescent="0.25">
      <c r="B814" s="73"/>
      <c r="C814" s="74"/>
      <c r="D814" s="73"/>
      <c r="E814" s="75"/>
      <c r="F814" s="75"/>
    </row>
    <row r="815" spans="2:6" x14ac:dyDescent="0.25">
      <c r="B815" s="73"/>
      <c r="C815" s="74"/>
      <c r="D815" s="73"/>
      <c r="E815" s="75"/>
      <c r="F815" s="75"/>
    </row>
    <row r="816" spans="2:6" x14ac:dyDescent="0.25">
      <c r="B816" s="73"/>
      <c r="C816" s="74"/>
      <c r="D816" s="73"/>
      <c r="E816" s="75"/>
      <c r="F816" s="75"/>
    </row>
    <row r="817" spans="2:6" x14ac:dyDescent="0.25">
      <c r="B817" s="73"/>
      <c r="C817" s="74"/>
      <c r="D817" s="73"/>
      <c r="E817" s="75"/>
      <c r="F817" s="75"/>
    </row>
    <row r="818" spans="2:6" x14ac:dyDescent="0.25">
      <c r="B818" s="73"/>
      <c r="C818" s="74"/>
      <c r="D818" s="73"/>
      <c r="E818" s="75"/>
      <c r="F818" s="75"/>
    </row>
    <row r="819" spans="2:6" x14ac:dyDescent="0.25">
      <c r="B819" s="73"/>
      <c r="C819" s="74"/>
      <c r="D819" s="73"/>
      <c r="E819" s="75"/>
      <c r="F819" s="75"/>
    </row>
    <row r="820" spans="2:6" x14ac:dyDescent="0.25">
      <c r="B820" s="73"/>
      <c r="C820" s="74"/>
      <c r="D820" s="73"/>
      <c r="E820" s="75"/>
      <c r="F820" s="75"/>
    </row>
    <row r="821" spans="2:6" x14ac:dyDescent="0.25">
      <c r="B821" s="73"/>
      <c r="C821" s="74"/>
      <c r="D821" s="73"/>
      <c r="E821" s="75"/>
      <c r="F821" s="75"/>
    </row>
    <row r="822" spans="2:6" x14ac:dyDescent="0.25">
      <c r="B822" s="73"/>
      <c r="C822" s="74"/>
      <c r="D822" s="73"/>
      <c r="E822" s="75"/>
      <c r="F822" s="75"/>
    </row>
    <row r="823" spans="2:6" x14ac:dyDescent="0.25">
      <c r="B823" s="73"/>
      <c r="C823" s="74"/>
      <c r="D823" s="73"/>
      <c r="E823" s="75"/>
      <c r="F823" s="75"/>
    </row>
    <row r="824" spans="2:6" x14ac:dyDescent="0.25">
      <c r="B824" s="73"/>
      <c r="C824" s="74"/>
      <c r="D824" s="73"/>
      <c r="E824" s="75"/>
      <c r="F824" s="75"/>
    </row>
    <row r="825" spans="2:6" x14ac:dyDescent="0.25">
      <c r="B825" s="73"/>
      <c r="C825" s="74"/>
      <c r="D825" s="73"/>
      <c r="E825" s="75"/>
      <c r="F825" s="75"/>
    </row>
    <row r="826" spans="2:6" x14ac:dyDescent="0.25">
      <c r="B826" s="73"/>
      <c r="C826" s="74"/>
      <c r="D826" s="73"/>
      <c r="E826" s="75"/>
      <c r="F826" s="75"/>
    </row>
    <row r="827" spans="2:6" x14ac:dyDescent="0.25">
      <c r="B827" s="73"/>
      <c r="C827" s="74"/>
      <c r="D827" s="73"/>
      <c r="E827" s="75"/>
      <c r="F827" s="75"/>
    </row>
    <row r="828" spans="2:6" x14ac:dyDescent="0.25">
      <c r="B828" s="73"/>
      <c r="C828" s="74"/>
      <c r="D828" s="73"/>
      <c r="E828" s="75"/>
      <c r="F828" s="75"/>
    </row>
    <row r="829" spans="2:6" x14ac:dyDescent="0.25">
      <c r="B829" s="73"/>
      <c r="C829" s="74"/>
      <c r="D829" s="73"/>
      <c r="E829" s="75"/>
      <c r="F829" s="75"/>
    </row>
    <row r="830" spans="2:6" x14ac:dyDescent="0.25">
      <c r="B830" s="73"/>
      <c r="C830" s="74"/>
      <c r="D830" s="73"/>
      <c r="E830" s="75"/>
      <c r="F830" s="75"/>
    </row>
    <row r="831" spans="2:6" x14ac:dyDescent="0.25">
      <c r="B831" s="73"/>
      <c r="C831" s="74"/>
      <c r="D831" s="73"/>
      <c r="E831" s="75"/>
      <c r="F831" s="75"/>
    </row>
    <row r="832" spans="2:6" x14ac:dyDescent="0.25">
      <c r="B832" s="73"/>
      <c r="C832" s="74"/>
      <c r="D832" s="73"/>
      <c r="E832" s="75"/>
      <c r="F832" s="75"/>
    </row>
    <row r="833" spans="2:6" x14ac:dyDescent="0.25">
      <c r="B833" s="73"/>
      <c r="C833" s="74"/>
      <c r="D833" s="73"/>
      <c r="E833" s="75"/>
      <c r="F833" s="75"/>
    </row>
    <row r="834" spans="2:6" x14ac:dyDescent="0.25">
      <c r="B834" s="73"/>
      <c r="C834" s="74"/>
      <c r="D834" s="73"/>
      <c r="E834" s="75"/>
      <c r="F834" s="75"/>
    </row>
    <row r="835" spans="2:6" x14ac:dyDescent="0.25">
      <c r="B835" s="73"/>
      <c r="C835" s="74"/>
      <c r="D835" s="73"/>
      <c r="E835" s="75"/>
      <c r="F835" s="75"/>
    </row>
    <row r="836" spans="2:6" x14ac:dyDescent="0.25">
      <c r="B836" s="73"/>
      <c r="C836" s="74"/>
      <c r="D836" s="73"/>
      <c r="E836" s="75"/>
      <c r="F836" s="75"/>
    </row>
    <row r="837" spans="2:6" x14ac:dyDescent="0.25">
      <c r="B837" s="73"/>
      <c r="C837" s="74"/>
      <c r="D837" s="73"/>
      <c r="E837" s="75"/>
      <c r="F837" s="75"/>
    </row>
    <row r="838" spans="2:6" x14ac:dyDescent="0.25">
      <c r="B838" s="73"/>
      <c r="C838" s="74"/>
      <c r="D838" s="73"/>
      <c r="E838" s="75"/>
      <c r="F838" s="75"/>
    </row>
    <row r="839" spans="2:6" x14ac:dyDescent="0.25">
      <c r="B839" s="73"/>
      <c r="C839" s="74"/>
      <c r="D839" s="73"/>
      <c r="E839" s="75"/>
      <c r="F839" s="75"/>
    </row>
    <row r="840" spans="2:6" x14ac:dyDescent="0.25">
      <c r="B840" s="73"/>
      <c r="C840" s="74"/>
      <c r="D840" s="73"/>
      <c r="E840" s="75"/>
      <c r="F840" s="75"/>
    </row>
    <row r="841" spans="2:6" x14ac:dyDescent="0.25">
      <c r="B841" s="73"/>
      <c r="C841" s="74"/>
      <c r="D841" s="73"/>
      <c r="E841" s="75"/>
      <c r="F841" s="75"/>
    </row>
    <row r="842" spans="2:6" x14ac:dyDescent="0.25">
      <c r="B842" s="73"/>
      <c r="C842" s="74"/>
      <c r="D842" s="73"/>
      <c r="E842" s="75"/>
      <c r="F842" s="75"/>
    </row>
    <row r="843" spans="2:6" x14ac:dyDescent="0.25">
      <c r="B843" s="73"/>
      <c r="C843" s="74"/>
      <c r="D843" s="73"/>
      <c r="E843" s="75"/>
      <c r="F843" s="75"/>
    </row>
    <row r="844" spans="2:6" x14ac:dyDescent="0.25">
      <c r="B844" s="73"/>
      <c r="C844" s="74"/>
      <c r="D844" s="73"/>
      <c r="E844" s="75"/>
      <c r="F844" s="75"/>
    </row>
    <row r="845" spans="2:6" x14ac:dyDescent="0.25">
      <c r="B845" s="73"/>
      <c r="C845" s="74"/>
      <c r="D845" s="73"/>
      <c r="E845" s="75"/>
      <c r="F845" s="75"/>
    </row>
    <row r="846" spans="2:6" x14ac:dyDescent="0.25">
      <c r="B846" s="73"/>
      <c r="C846" s="74"/>
      <c r="D846" s="73"/>
      <c r="E846" s="75"/>
      <c r="F846" s="75"/>
    </row>
    <row r="847" spans="2:6" x14ac:dyDescent="0.25">
      <c r="B847" s="73"/>
      <c r="C847" s="74"/>
      <c r="D847" s="73"/>
      <c r="E847" s="75"/>
      <c r="F847" s="75"/>
    </row>
    <row r="848" spans="2:6" x14ac:dyDescent="0.25">
      <c r="B848" s="73"/>
      <c r="C848" s="74"/>
      <c r="D848" s="73"/>
      <c r="E848" s="75"/>
      <c r="F848" s="75"/>
    </row>
    <row r="849" spans="2:6" x14ac:dyDescent="0.25">
      <c r="B849" s="73"/>
      <c r="C849" s="74"/>
      <c r="D849" s="73"/>
      <c r="E849" s="75"/>
      <c r="F849" s="75"/>
    </row>
    <row r="850" spans="2:6" x14ac:dyDescent="0.25">
      <c r="B850" s="73"/>
      <c r="C850" s="74"/>
      <c r="D850" s="73"/>
      <c r="E850" s="75"/>
      <c r="F850" s="75"/>
    </row>
    <row r="851" spans="2:6" x14ac:dyDescent="0.25">
      <c r="B851" s="73"/>
      <c r="C851" s="74"/>
      <c r="D851" s="73"/>
      <c r="E851" s="75"/>
      <c r="F851" s="75"/>
    </row>
    <row r="852" spans="2:6" x14ac:dyDescent="0.25">
      <c r="B852" s="73"/>
      <c r="C852" s="74"/>
      <c r="D852" s="73"/>
      <c r="E852" s="75"/>
      <c r="F852" s="75"/>
    </row>
    <row r="853" spans="2:6" x14ac:dyDescent="0.25">
      <c r="B853" s="73"/>
      <c r="C853" s="74"/>
      <c r="D853" s="73"/>
      <c r="E853" s="75"/>
      <c r="F853" s="75"/>
    </row>
    <row r="854" spans="2:6" x14ac:dyDescent="0.25">
      <c r="B854" s="73"/>
      <c r="C854" s="74"/>
      <c r="D854" s="73"/>
      <c r="E854" s="75"/>
      <c r="F854" s="75"/>
    </row>
    <row r="855" spans="2:6" x14ac:dyDescent="0.25">
      <c r="B855" s="73"/>
      <c r="C855" s="74"/>
      <c r="D855" s="73"/>
      <c r="E855" s="75"/>
      <c r="F855" s="75"/>
    </row>
    <row r="856" spans="2:6" x14ac:dyDescent="0.25">
      <c r="B856" s="73"/>
      <c r="C856" s="74"/>
      <c r="D856" s="73"/>
      <c r="E856" s="75"/>
      <c r="F856" s="75"/>
    </row>
    <row r="857" spans="2:6" x14ac:dyDescent="0.25">
      <c r="B857" s="73"/>
      <c r="C857" s="74"/>
      <c r="D857" s="73"/>
      <c r="E857" s="75"/>
      <c r="F857" s="75"/>
    </row>
    <row r="858" spans="2:6" x14ac:dyDescent="0.25">
      <c r="B858" s="73"/>
      <c r="C858" s="74"/>
      <c r="D858" s="73"/>
      <c r="E858" s="75"/>
      <c r="F858" s="75"/>
    </row>
    <row r="859" spans="2:6" x14ac:dyDescent="0.25">
      <c r="B859" s="73"/>
      <c r="C859" s="74"/>
      <c r="D859" s="73"/>
      <c r="E859" s="75"/>
      <c r="F859" s="75"/>
    </row>
    <row r="860" spans="2:6" x14ac:dyDescent="0.25">
      <c r="B860" s="73"/>
      <c r="C860" s="74"/>
      <c r="D860" s="73"/>
      <c r="E860" s="75"/>
      <c r="F860" s="75"/>
    </row>
    <row r="861" spans="2:6" x14ac:dyDescent="0.25">
      <c r="B861" s="73"/>
      <c r="C861" s="74"/>
      <c r="D861" s="73"/>
      <c r="E861" s="75"/>
      <c r="F861" s="75"/>
    </row>
    <row r="862" spans="2:6" x14ac:dyDescent="0.25">
      <c r="B862" s="73"/>
      <c r="C862" s="74"/>
      <c r="D862" s="73"/>
      <c r="E862" s="75"/>
      <c r="F862" s="75"/>
    </row>
    <row r="863" spans="2:6" x14ac:dyDescent="0.25">
      <c r="B863" s="73"/>
      <c r="C863" s="74"/>
      <c r="D863" s="73"/>
      <c r="E863" s="75"/>
      <c r="F863" s="75"/>
    </row>
    <row r="864" spans="2:6" x14ac:dyDescent="0.25">
      <c r="B864" s="73"/>
      <c r="C864" s="74"/>
      <c r="D864" s="73"/>
      <c r="E864" s="75"/>
      <c r="F864" s="75"/>
    </row>
    <row r="865" spans="2:6" x14ac:dyDescent="0.25">
      <c r="B865" s="73"/>
      <c r="C865" s="74"/>
      <c r="D865" s="73"/>
      <c r="E865" s="75"/>
      <c r="F865" s="75"/>
    </row>
    <row r="866" spans="2:6" x14ac:dyDescent="0.25">
      <c r="B866" s="73"/>
      <c r="C866" s="74"/>
      <c r="D866" s="73"/>
      <c r="E866" s="75"/>
      <c r="F866" s="75"/>
    </row>
    <row r="867" spans="2:6" x14ac:dyDescent="0.25">
      <c r="B867" s="73"/>
      <c r="C867" s="74"/>
      <c r="D867" s="73"/>
      <c r="E867" s="75"/>
      <c r="F867" s="75"/>
    </row>
    <row r="868" spans="2:6" x14ac:dyDescent="0.25">
      <c r="B868" s="73"/>
      <c r="C868" s="74"/>
      <c r="D868" s="73"/>
      <c r="E868" s="75"/>
      <c r="F868" s="75"/>
    </row>
    <row r="869" spans="2:6" x14ac:dyDescent="0.25">
      <c r="B869" s="73"/>
      <c r="C869" s="74"/>
      <c r="D869" s="73"/>
      <c r="E869" s="75"/>
      <c r="F869" s="75"/>
    </row>
    <row r="870" spans="2:6" x14ac:dyDescent="0.25">
      <c r="B870" s="73"/>
      <c r="C870" s="74"/>
      <c r="D870" s="73"/>
      <c r="E870" s="75"/>
      <c r="F870" s="75"/>
    </row>
    <row r="871" spans="2:6" x14ac:dyDescent="0.25">
      <c r="B871" s="73"/>
      <c r="C871" s="74"/>
      <c r="D871" s="73"/>
      <c r="E871" s="75"/>
      <c r="F871" s="75"/>
    </row>
    <row r="872" spans="2:6" x14ac:dyDescent="0.25">
      <c r="B872" s="73"/>
      <c r="C872" s="74"/>
      <c r="D872" s="73"/>
      <c r="E872" s="75"/>
      <c r="F872" s="75"/>
    </row>
    <row r="873" spans="2:6" x14ac:dyDescent="0.25">
      <c r="B873" s="73"/>
      <c r="C873" s="74"/>
      <c r="D873" s="73"/>
      <c r="E873" s="75"/>
      <c r="F873" s="75"/>
    </row>
    <row r="874" spans="2:6" x14ac:dyDescent="0.25">
      <c r="B874" s="73"/>
      <c r="C874" s="74"/>
      <c r="D874" s="73"/>
      <c r="E874" s="75"/>
      <c r="F874" s="75"/>
    </row>
    <row r="875" spans="2:6" x14ac:dyDescent="0.25">
      <c r="B875" s="73"/>
      <c r="C875" s="74"/>
      <c r="D875" s="73"/>
      <c r="E875" s="75"/>
      <c r="F875" s="75"/>
    </row>
    <row r="876" spans="2:6" x14ac:dyDescent="0.25">
      <c r="B876" s="73"/>
      <c r="C876" s="74"/>
      <c r="D876" s="73"/>
      <c r="E876" s="75"/>
      <c r="F876" s="75"/>
    </row>
    <row r="877" spans="2:6" x14ac:dyDescent="0.25">
      <c r="B877" s="73"/>
      <c r="C877" s="74"/>
      <c r="D877" s="73"/>
      <c r="E877" s="75"/>
      <c r="F877" s="75"/>
    </row>
    <row r="878" spans="2:6" x14ac:dyDescent="0.25">
      <c r="B878" s="73"/>
      <c r="C878" s="74"/>
      <c r="D878" s="73"/>
      <c r="E878" s="75"/>
      <c r="F878" s="75"/>
    </row>
    <row r="879" spans="2:6" x14ac:dyDescent="0.25">
      <c r="B879" s="73"/>
      <c r="C879" s="74"/>
      <c r="D879" s="73"/>
      <c r="E879" s="75"/>
      <c r="F879" s="75"/>
    </row>
    <row r="880" spans="2:6" x14ac:dyDescent="0.25">
      <c r="B880" s="73"/>
      <c r="C880" s="74"/>
      <c r="D880" s="73"/>
      <c r="E880" s="75"/>
      <c r="F880" s="75"/>
    </row>
  </sheetData>
  <mergeCells count="1">
    <mergeCell ref="C1:E1"/>
  </mergeCells>
  <conditionalFormatting sqref="B9:F370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7" sqref="B7"/>
    </sheetView>
  </sheetViews>
  <sheetFormatPr defaultRowHeight="15" x14ac:dyDescent="0.25"/>
  <cols>
    <col min="1" max="1" width="26.85546875" bestFit="1" customWidth="1"/>
    <col min="2" max="2" width="58.28515625" bestFit="1" customWidth="1"/>
  </cols>
  <sheetData>
    <row r="1" spans="1:2" x14ac:dyDescent="0.25">
      <c r="A1" t="s">
        <v>44</v>
      </c>
      <c r="B1" s="37" t="s">
        <v>45</v>
      </c>
    </row>
    <row r="2" spans="1:2" x14ac:dyDescent="0.25">
      <c r="A2" t="s">
        <v>46</v>
      </c>
      <c r="B2" s="37" t="s">
        <v>45</v>
      </c>
    </row>
    <row r="3" spans="1:2" x14ac:dyDescent="0.25">
      <c r="A3" t="s">
        <v>47</v>
      </c>
      <c r="B3" s="37" t="s">
        <v>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Financials</vt:lpstr>
      <vt:lpstr>Sheet3</vt:lpstr>
      <vt:lpstr>Mortgage</vt:lpstr>
      <vt:lpstr>Sources</vt:lpstr>
      <vt:lpstr>Financials!Print_Area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2013-12-03T15:52:33Z</dcterms:created>
  <dcterms:modified xsi:type="dcterms:W3CDTF">2019-07-17T21:28:32Z</dcterms:modified>
</cp:coreProperties>
</file>