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6380" windowHeight="8190" activeTab="1"/>
  </bookViews>
  <sheets>
    <sheet name="Answer" sheetId="1" r:id="rId1"/>
    <sheet name="Mortgage" sheetId="2" r:id="rId2"/>
  </sheets>
  <calcPr calcId="145621"/>
</workbook>
</file>

<file path=xl/calcChain.xml><?xml version="1.0" encoding="utf-8"?>
<calcChain xmlns="http://schemas.openxmlformats.org/spreadsheetml/2006/main">
  <c r="N168" i="1" l="1"/>
  <c r="K161" i="1"/>
  <c r="C111" i="1"/>
  <c r="C136" i="1"/>
  <c r="C135" i="1"/>
  <c r="C127" i="1"/>
  <c r="E122" i="1"/>
  <c r="N174" i="1"/>
  <c r="N175" i="1"/>
  <c r="D167" i="1"/>
  <c r="C160" i="1"/>
  <c r="C180" i="1"/>
  <c r="N158" i="1"/>
  <c r="K178" i="1"/>
  <c r="B177" i="1"/>
  <c r="K175" i="1"/>
  <c r="J168" i="1"/>
  <c r="H168" i="1"/>
  <c r="F168" i="1"/>
  <c r="D168" i="1"/>
  <c r="J167" i="1"/>
  <c r="H167" i="1"/>
  <c r="F167" i="1"/>
  <c r="K63" i="1"/>
  <c r="J63" i="1"/>
  <c r="J38" i="1"/>
  <c r="I63" i="1"/>
  <c r="I38" i="1"/>
  <c r="I95" i="1"/>
  <c r="H63" i="1"/>
  <c r="H38" i="1"/>
  <c r="H95" i="1"/>
  <c r="G63" i="1"/>
  <c r="F63" i="1"/>
  <c r="F38" i="1"/>
  <c r="F95" i="1"/>
  <c r="E63" i="1"/>
  <c r="E38" i="1"/>
  <c r="E95" i="1"/>
  <c r="D63" i="1"/>
  <c r="C116" i="1"/>
  <c r="E36" i="1"/>
  <c r="F36" i="1"/>
  <c r="G36" i="1"/>
  <c r="H36" i="1"/>
  <c r="I36" i="1"/>
  <c r="J36" i="1"/>
  <c r="K36" i="1"/>
  <c r="D36" i="1"/>
  <c r="B2" i="2"/>
  <c r="E66" i="1"/>
  <c r="F66" i="1"/>
  <c r="G66" i="1"/>
  <c r="H66" i="1"/>
  <c r="I66" i="1"/>
  <c r="J66" i="1"/>
  <c r="K66" i="1"/>
  <c r="D66" i="1"/>
  <c r="E32" i="1"/>
  <c r="E96" i="1"/>
  <c r="D32" i="1"/>
  <c r="D96" i="1"/>
  <c r="D35" i="1"/>
  <c r="D54" i="1"/>
  <c r="E52" i="1"/>
  <c r="F52" i="1"/>
  <c r="G52" i="1"/>
  <c r="H52" i="1"/>
  <c r="I52" i="1"/>
  <c r="J52" i="1"/>
  <c r="K52" i="1"/>
  <c r="D52" i="1"/>
  <c r="F32" i="1"/>
  <c r="F96" i="1"/>
  <c r="G32" i="1"/>
  <c r="G96" i="1"/>
  <c r="H32" i="1"/>
  <c r="H96" i="1"/>
  <c r="I32" i="1"/>
  <c r="I96" i="1"/>
  <c r="J32" i="1"/>
  <c r="J96" i="1"/>
  <c r="K32" i="1"/>
  <c r="K96" i="1"/>
  <c r="D20" i="1"/>
  <c r="D75" i="1"/>
  <c r="D18" i="1"/>
  <c r="K38" i="1"/>
  <c r="K95" i="1"/>
  <c r="L59" i="1"/>
  <c r="L25" i="1"/>
  <c r="D11" i="1"/>
  <c r="D22" i="1"/>
  <c r="D59" i="1"/>
  <c r="J95" i="1"/>
  <c r="G38" i="1"/>
  <c r="G95" i="1"/>
  <c r="I35" i="1"/>
  <c r="D19" i="1"/>
  <c r="E12" i="1"/>
  <c r="F12" i="1"/>
  <c r="G12" i="1"/>
  <c r="H12" i="1"/>
  <c r="I12" i="1"/>
  <c r="J12" i="1"/>
  <c r="K12" i="1"/>
  <c r="E9" i="1"/>
  <c r="F9" i="1"/>
  <c r="G9" i="1"/>
  <c r="H9" i="1"/>
  <c r="E8" i="1"/>
  <c r="F8" i="1"/>
  <c r="G8" i="1"/>
  <c r="H8" i="1"/>
  <c r="I8" i="1"/>
  <c r="J8" i="1"/>
  <c r="K8" i="1"/>
  <c r="E7" i="1"/>
  <c r="F7" i="1"/>
  <c r="G7" i="1"/>
  <c r="E4" i="1"/>
  <c r="E75" i="1"/>
  <c r="E10" i="1"/>
  <c r="F10" i="1"/>
  <c r="I41" i="2"/>
  <c r="L3" i="2"/>
  <c r="L2" i="2"/>
  <c r="I55" i="2"/>
  <c r="J55" i="2"/>
  <c r="D2" i="2"/>
  <c r="J35" i="1"/>
  <c r="J146" i="1"/>
  <c r="J152" i="1"/>
  <c r="H35" i="1"/>
  <c r="H146" i="1"/>
  <c r="H152" i="1"/>
  <c r="F35" i="1"/>
  <c r="F146" i="1"/>
  <c r="F152" i="1"/>
  <c r="K35" i="1"/>
  <c r="K146" i="1"/>
  <c r="K152" i="1"/>
  <c r="G35" i="1"/>
  <c r="J27" i="2"/>
  <c r="E11" i="1"/>
  <c r="E82" i="1"/>
  <c r="E20" i="1"/>
  <c r="D26" i="1"/>
  <c r="D91" i="1"/>
  <c r="D30" i="1"/>
  <c r="D79" i="1"/>
  <c r="E35" i="1"/>
  <c r="E146" i="1"/>
  <c r="E152" i="1"/>
  <c r="K94" i="1"/>
  <c r="D93" i="1"/>
  <c r="D38" i="1"/>
  <c r="D95" i="1"/>
  <c r="L26" i="1"/>
  <c r="D25" i="1"/>
  <c r="D89" i="1"/>
  <c r="F4" i="1"/>
  <c r="G4" i="1"/>
  <c r="D28" i="1"/>
  <c r="D81" i="1"/>
  <c r="D82" i="1"/>
  <c r="E18" i="1"/>
  <c r="E30" i="1"/>
  <c r="E90" i="1"/>
  <c r="G93" i="1"/>
  <c r="K93" i="1"/>
  <c r="F93" i="1"/>
  <c r="H93" i="1"/>
  <c r="I93" i="1"/>
  <c r="N159" i="1"/>
  <c r="N160" i="1"/>
  <c r="N161" i="1"/>
  <c r="D50" i="1"/>
  <c r="E50" i="1"/>
  <c r="N166" i="1"/>
  <c r="N167" i="1"/>
  <c r="N169" i="1"/>
  <c r="F75" i="1"/>
  <c r="E29" i="1"/>
  <c r="E92" i="1"/>
  <c r="E26" i="1"/>
  <c r="E91" i="1"/>
  <c r="E27" i="1"/>
  <c r="E54" i="1"/>
  <c r="D55" i="1"/>
  <c r="D51" i="1"/>
  <c r="E28" i="1"/>
  <c r="E25" i="1"/>
  <c r="E93" i="1"/>
  <c r="J93" i="1"/>
  <c r="E22" i="1"/>
  <c r="E59" i="1"/>
  <c r="E19" i="1"/>
  <c r="D90" i="1"/>
  <c r="G146" i="1"/>
  <c r="G152" i="1"/>
  <c r="I146" i="1"/>
  <c r="I152" i="1"/>
  <c r="D29" i="1"/>
  <c r="D92" i="1"/>
  <c r="D146" i="1"/>
  <c r="D152" i="1"/>
  <c r="F11" i="1"/>
  <c r="G10" i="1"/>
  <c r="F19" i="1"/>
  <c r="H7" i="1"/>
  <c r="I7" i="1"/>
  <c r="J7" i="1"/>
  <c r="K7" i="1"/>
  <c r="K157" i="1"/>
  <c r="N176" i="1"/>
  <c r="E51" i="1"/>
  <c r="F50" i="1"/>
  <c r="E80" i="1"/>
  <c r="E81" i="1"/>
  <c r="E79" i="1"/>
  <c r="E76" i="1"/>
  <c r="D170" i="1"/>
  <c r="F18" i="1"/>
  <c r="I9" i="1"/>
  <c r="F20" i="1"/>
  <c r="D56" i="1"/>
  <c r="E89" i="1"/>
  <c r="E31" i="1"/>
  <c r="E33" i="1"/>
  <c r="F54" i="1"/>
  <c r="E55" i="1"/>
  <c r="E56" i="1"/>
  <c r="J9" i="1"/>
  <c r="F25" i="1"/>
  <c r="F26" i="1"/>
  <c r="F91" i="1"/>
  <c r="F29" i="1"/>
  <c r="F92" i="1"/>
  <c r="F28" i="1"/>
  <c r="F81" i="1"/>
  <c r="F76" i="1"/>
  <c r="F27" i="1"/>
  <c r="F80" i="1"/>
  <c r="F83" i="1"/>
  <c r="F85" i="1"/>
  <c r="F86" i="1"/>
  <c r="F30" i="1"/>
  <c r="F51" i="1"/>
  <c r="G50" i="1"/>
  <c r="F22" i="1"/>
  <c r="F82" i="1"/>
  <c r="H10" i="1"/>
  <c r="G11" i="1"/>
  <c r="E83" i="1"/>
  <c r="E85" i="1"/>
  <c r="G54" i="1"/>
  <c r="F55" i="1"/>
  <c r="F56" i="1"/>
  <c r="E86" i="1"/>
  <c r="H11" i="1"/>
  <c r="I10" i="1"/>
  <c r="G51" i="1"/>
  <c r="H50" i="1"/>
  <c r="G82" i="1"/>
  <c r="F59" i="1"/>
  <c r="F79" i="1"/>
  <c r="F90" i="1"/>
  <c r="F89" i="1"/>
  <c r="F31" i="1"/>
  <c r="F33" i="1"/>
  <c r="K9" i="1"/>
  <c r="H54" i="1"/>
  <c r="G55" i="1"/>
  <c r="G56" i="1"/>
  <c r="F145" i="1"/>
  <c r="F148" i="1"/>
  <c r="H51" i="1"/>
  <c r="I50" i="1"/>
  <c r="H82" i="1"/>
  <c r="I11" i="1"/>
  <c r="J10" i="1"/>
  <c r="I54" i="1"/>
  <c r="H55" i="1"/>
  <c r="H56" i="1"/>
  <c r="I82" i="1"/>
  <c r="I51" i="1"/>
  <c r="J50" i="1"/>
  <c r="J11" i="1"/>
  <c r="K10" i="1"/>
  <c r="J54" i="1"/>
  <c r="I55" i="1"/>
  <c r="I56" i="1"/>
  <c r="K11" i="1"/>
  <c r="J51" i="1"/>
  <c r="K50" i="1"/>
  <c r="K51" i="1"/>
  <c r="J82" i="1"/>
  <c r="K54" i="1"/>
  <c r="K55" i="1"/>
  <c r="J55" i="1"/>
  <c r="J56" i="1"/>
  <c r="K82" i="1"/>
  <c r="K56" i="1"/>
  <c r="F150" i="1"/>
  <c r="F151" i="1"/>
  <c r="F153" i="1"/>
  <c r="N162" i="1"/>
  <c r="K163" i="1"/>
  <c r="K159" i="1"/>
  <c r="H4" i="1"/>
  <c r="G18" i="1"/>
  <c r="G19" i="1"/>
  <c r="G20" i="1"/>
  <c r="G75" i="1"/>
  <c r="G76" i="1"/>
  <c r="G22" i="1"/>
  <c r="E145" i="1"/>
  <c r="E148" i="1"/>
  <c r="E170" i="1"/>
  <c r="F170" i="1"/>
  <c r="J13" i="2"/>
  <c r="J41" i="2"/>
  <c r="I13" i="2"/>
  <c r="D62" i="1"/>
  <c r="C115" i="1"/>
  <c r="D27" i="1"/>
  <c r="D76" i="1"/>
  <c r="L5" i="2"/>
  <c r="I27" i="2"/>
  <c r="E52" i="2"/>
  <c r="E34" i="2"/>
  <c r="E16" i="2"/>
  <c r="E55" i="2"/>
  <c r="E37" i="2"/>
  <c r="E19" i="2"/>
  <c r="E54" i="2"/>
  <c r="E36" i="2"/>
  <c r="E18" i="2"/>
  <c r="E53" i="2"/>
  <c r="E35" i="2"/>
  <c r="E17" i="2"/>
  <c r="E59" i="2"/>
  <c r="E63" i="2"/>
  <c r="E67" i="2"/>
  <c r="E73" i="2"/>
  <c r="E77" i="2"/>
  <c r="E81" i="2"/>
  <c r="E86" i="2"/>
  <c r="E90" i="2"/>
  <c r="E94" i="2"/>
  <c r="E101" i="2"/>
  <c r="E105" i="2"/>
  <c r="E109" i="2"/>
  <c r="E3" i="2"/>
  <c r="E21" i="2"/>
  <c r="E39" i="2"/>
  <c r="E4" i="2"/>
  <c r="E22" i="2"/>
  <c r="E40" i="2"/>
  <c r="E5" i="2"/>
  <c r="E23" i="2"/>
  <c r="E41" i="2"/>
  <c r="E2" i="2"/>
  <c r="C2" i="2"/>
  <c r="E10" i="2"/>
  <c r="E30" i="2"/>
  <c r="E48" i="2"/>
  <c r="E60" i="2"/>
  <c r="E64" i="2"/>
  <c r="E68" i="2"/>
  <c r="E74" i="2"/>
  <c r="E78" i="2"/>
  <c r="E82" i="2"/>
  <c r="E89" i="2"/>
  <c r="E110" i="2"/>
  <c r="E24" i="2"/>
  <c r="E47" i="2"/>
  <c r="E9" i="2"/>
  <c r="E26" i="2"/>
  <c r="E45" i="2"/>
  <c r="E7" i="2"/>
  <c r="E61" i="2"/>
  <c r="E69" i="2"/>
  <c r="E79" i="2"/>
  <c r="E88" i="2"/>
  <c r="E96" i="2"/>
  <c r="E107" i="2"/>
  <c r="E11" i="2"/>
  <c r="E49" i="2"/>
  <c r="E32" i="2"/>
  <c r="E13" i="2"/>
  <c r="E51" i="2"/>
  <c r="E20" i="2"/>
  <c r="E62" i="2"/>
  <c r="E72" i="2"/>
  <c r="E80" i="2"/>
  <c r="E91" i="2"/>
  <c r="E95" i="2"/>
  <c r="E100" i="2"/>
  <c r="E104" i="2"/>
  <c r="E108" i="2"/>
  <c r="E44" i="2"/>
  <c r="E6" i="2"/>
  <c r="E27" i="2"/>
  <c r="E46" i="2"/>
  <c r="E8" i="2"/>
  <c r="E25" i="2"/>
  <c r="E65" i="2"/>
  <c r="E75" i="2"/>
  <c r="E83" i="2"/>
  <c r="E92" i="2"/>
  <c r="E103" i="2"/>
  <c r="E111" i="2"/>
  <c r="E31" i="2"/>
  <c r="E12" i="2"/>
  <c r="E50" i="2"/>
  <c r="E33" i="2"/>
  <c r="E38" i="2"/>
  <c r="E58" i="2"/>
  <c r="E66" i="2"/>
  <c r="E76" i="2"/>
  <c r="E87" i="2"/>
  <c r="E93" i="2"/>
  <c r="E97" i="2"/>
  <c r="E102" i="2"/>
  <c r="E106" i="2"/>
  <c r="D31" i="1"/>
  <c r="D33" i="1"/>
  <c r="D80" i="1"/>
  <c r="D83" i="1"/>
  <c r="G59" i="1"/>
  <c r="G28" i="1"/>
  <c r="G81" i="1"/>
  <c r="G30" i="1"/>
  <c r="G27" i="1"/>
  <c r="G80" i="1"/>
  <c r="G26" i="1"/>
  <c r="G91" i="1"/>
  <c r="G29" i="1"/>
  <c r="G92" i="1"/>
  <c r="G25" i="1"/>
  <c r="D85" i="1"/>
  <c r="D86" i="1"/>
  <c r="C121" i="1"/>
  <c r="D116" i="1"/>
  <c r="D115" i="1"/>
  <c r="E150" i="1"/>
  <c r="E151" i="1"/>
  <c r="E153" i="1"/>
  <c r="H20" i="1"/>
  <c r="H22" i="1"/>
  <c r="H75" i="1"/>
  <c r="H76" i="1"/>
  <c r="H18" i="1"/>
  <c r="I4" i="1"/>
  <c r="H19" i="1"/>
  <c r="J4" i="1"/>
  <c r="I20" i="1"/>
  <c r="I18" i="1"/>
  <c r="I75" i="1"/>
  <c r="I19" i="1"/>
  <c r="I22" i="1"/>
  <c r="G89" i="1"/>
  <c r="G31" i="1"/>
  <c r="G33" i="1"/>
  <c r="G79" i="1"/>
  <c r="G83" i="1"/>
  <c r="G85" i="1"/>
  <c r="G86" i="1"/>
  <c r="G90" i="1"/>
  <c r="G170" i="1"/>
  <c r="F2" i="2"/>
  <c r="B3" i="2"/>
  <c r="H25" i="1"/>
  <c r="H27" i="1"/>
  <c r="H80" i="1"/>
  <c r="H28" i="1"/>
  <c r="H81" i="1"/>
  <c r="H29" i="1"/>
  <c r="H92" i="1"/>
  <c r="H26" i="1"/>
  <c r="H91" i="1"/>
  <c r="H30" i="1"/>
  <c r="H59" i="1"/>
  <c r="G116" i="1"/>
  <c r="E121" i="1"/>
  <c r="F171" i="1"/>
  <c r="F180" i="1"/>
  <c r="D145" i="1"/>
  <c r="D148" i="1"/>
  <c r="D150" i="1"/>
  <c r="D151" i="1"/>
  <c r="D153" i="1"/>
  <c r="H170" i="1"/>
  <c r="H89" i="1"/>
  <c r="H31" i="1"/>
  <c r="H33" i="1"/>
  <c r="D3" i="2"/>
  <c r="G145" i="1"/>
  <c r="G148" i="1"/>
  <c r="I59" i="1"/>
  <c r="I76" i="1"/>
  <c r="E128" i="1"/>
  <c r="H90" i="1"/>
  <c r="H79" i="1"/>
  <c r="H83" i="1"/>
  <c r="H85" i="1"/>
  <c r="H86" i="1"/>
  <c r="I29" i="1"/>
  <c r="I92" i="1"/>
  <c r="I26" i="1"/>
  <c r="I91" i="1"/>
  <c r="I28" i="1"/>
  <c r="I81" i="1"/>
  <c r="I27" i="1"/>
  <c r="I80" i="1"/>
  <c r="I30" i="1"/>
  <c r="I25" i="1"/>
  <c r="J75" i="1"/>
  <c r="J20" i="1"/>
  <c r="J19" i="1"/>
  <c r="J18" i="1"/>
  <c r="K4" i="1"/>
  <c r="J22" i="1"/>
  <c r="J59" i="1"/>
  <c r="K18" i="1"/>
  <c r="K75" i="1"/>
  <c r="K19" i="1"/>
  <c r="K22" i="1"/>
  <c r="K20" i="1"/>
  <c r="J76" i="1"/>
  <c r="I90" i="1"/>
  <c r="I79" i="1"/>
  <c r="I83" i="1"/>
  <c r="I85" i="1"/>
  <c r="I86" i="1"/>
  <c r="G150" i="1"/>
  <c r="G171" i="1"/>
  <c r="H145" i="1"/>
  <c r="H148" i="1"/>
  <c r="J26" i="1"/>
  <c r="J91" i="1"/>
  <c r="J29" i="1"/>
  <c r="J92" i="1"/>
  <c r="J28" i="1"/>
  <c r="J81" i="1"/>
  <c r="J30" i="1"/>
  <c r="J27" i="1"/>
  <c r="J80" i="1"/>
  <c r="J25" i="1"/>
  <c r="I89" i="1"/>
  <c r="I31" i="1"/>
  <c r="I33" i="1"/>
  <c r="I170" i="1"/>
  <c r="C3" i="2"/>
  <c r="D171" i="1"/>
  <c r="E171" i="1"/>
  <c r="E180" i="1"/>
  <c r="I145" i="1"/>
  <c r="I148" i="1"/>
  <c r="J31" i="1"/>
  <c r="J33" i="1"/>
  <c r="J89" i="1"/>
  <c r="J79" i="1"/>
  <c r="J83" i="1"/>
  <c r="J90" i="1"/>
  <c r="G151" i="1"/>
  <c r="G153" i="1"/>
  <c r="G180" i="1"/>
  <c r="K26" i="1"/>
  <c r="K91" i="1"/>
  <c r="K30" i="1"/>
  <c r="K29" i="1"/>
  <c r="K92" i="1"/>
  <c r="K28" i="1"/>
  <c r="K81" i="1"/>
  <c r="K27" i="1"/>
  <c r="K80" i="1"/>
  <c r="K25" i="1"/>
  <c r="F3" i="2"/>
  <c r="B4" i="2"/>
  <c r="H150" i="1"/>
  <c r="H171" i="1"/>
  <c r="J85" i="1"/>
  <c r="J86" i="1"/>
  <c r="K59" i="1"/>
  <c r="K76" i="1"/>
  <c r="J170" i="1"/>
  <c r="D180" i="1"/>
  <c r="K170" i="1"/>
  <c r="K176" i="1"/>
  <c r="H151" i="1"/>
  <c r="H153" i="1"/>
  <c r="H180" i="1"/>
  <c r="K89" i="1"/>
  <c r="K31" i="1"/>
  <c r="K33" i="1"/>
  <c r="K79" i="1"/>
  <c r="K83" i="1"/>
  <c r="K85" i="1"/>
  <c r="K86" i="1"/>
  <c r="K90" i="1"/>
  <c r="J145" i="1"/>
  <c r="J148" i="1"/>
  <c r="I150" i="1"/>
  <c r="I171" i="1"/>
  <c r="D4" i="2"/>
  <c r="K145" i="1"/>
  <c r="K148" i="1"/>
  <c r="K40" i="1"/>
  <c r="C4" i="2"/>
  <c r="I151" i="1"/>
  <c r="I153" i="1"/>
  <c r="I180" i="1"/>
  <c r="J150" i="1"/>
  <c r="J171" i="1"/>
  <c r="J151" i="1"/>
  <c r="J153" i="1"/>
  <c r="J180" i="1"/>
  <c r="K97" i="1"/>
  <c r="K101" i="1"/>
  <c r="K100" i="1"/>
  <c r="K41" i="1"/>
  <c r="K60" i="1"/>
  <c r="K42" i="1"/>
  <c r="K65" i="1"/>
  <c r="F4" i="2"/>
  <c r="B5" i="2"/>
  <c r="K150" i="1"/>
  <c r="K171" i="1"/>
  <c r="K177" i="1"/>
  <c r="K151" i="1"/>
  <c r="K153" i="1"/>
  <c r="K180" i="1"/>
  <c r="C186" i="1"/>
  <c r="K67" i="1"/>
  <c r="K69" i="1"/>
  <c r="D5" i="2"/>
  <c r="C5" i="2"/>
  <c r="F5" i="2"/>
  <c r="B6" i="2"/>
  <c r="D6" i="2"/>
  <c r="C6" i="2"/>
  <c r="F6" i="2"/>
  <c r="B7" i="2"/>
  <c r="D7" i="2"/>
  <c r="C7" i="2"/>
  <c r="F7" i="2"/>
  <c r="B8" i="2"/>
  <c r="D8" i="2"/>
  <c r="C8" i="2"/>
  <c r="F8" i="2"/>
  <c r="B9" i="2"/>
  <c r="D9" i="2"/>
  <c r="C9" i="2"/>
  <c r="F9" i="2"/>
  <c r="B10" i="2"/>
  <c r="D10" i="2"/>
  <c r="C10" i="2"/>
  <c r="F10" i="2"/>
  <c r="B11" i="2"/>
  <c r="D11" i="2"/>
  <c r="C11" i="2"/>
  <c r="F11" i="2"/>
  <c r="B12" i="2"/>
  <c r="D12" i="2"/>
  <c r="C12" i="2"/>
  <c r="F12" i="2"/>
  <c r="B13" i="2"/>
  <c r="D13" i="2"/>
  <c r="C13" i="2"/>
  <c r="D14" i="2"/>
  <c r="D37" i="1"/>
  <c r="D94" i="1"/>
  <c r="D97" i="1"/>
  <c r="D40" i="1"/>
  <c r="C14" i="2"/>
  <c r="F13" i="2"/>
  <c r="B16" i="2"/>
  <c r="D16" i="2"/>
  <c r="D41" i="1"/>
  <c r="D60" i="1"/>
  <c r="D100" i="1"/>
  <c r="D101" i="1"/>
  <c r="D42" i="1"/>
  <c r="D65" i="1"/>
  <c r="C122" i="1"/>
  <c r="C16" i="2"/>
  <c r="F16" i="2"/>
  <c r="B17" i="2"/>
  <c r="D67" i="1"/>
  <c r="D69" i="1"/>
  <c r="D122" i="1"/>
  <c r="D121" i="1"/>
  <c r="D17" i="2"/>
  <c r="C126" i="1"/>
  <c r="C131" i="1"/>
  <c r="C134" i="1"/>
  <c r="G122" i="1"/>
  <c r="C183" i="1"/>
  <c r="E181" i="1"/>
  <c r="F181" i="1"/>
  <c r="J181" i="1"/>
  <c r="G181" i="1"/>
  <c r="C181" i="1"/>
  <c r="D181" i="1"/>
  <c r="H181" i="1"/>
  <c r="I181" i="1"/>
  <c r="K181" i="1"/>
  <c r="C17" i="2"/>
  <c r="F17" i="2"/>
  <c r="B18" i="2"/>
  <c r="C185" i="1"/>
  <c r="D18" i="2"/>
  <c r="C18" i="2"/>
  <c r="F18" i="2"/>
  <c r="B19" i="2"/>
  <c r="D19" i="2"/>
  <c r="C19" i="2"/>
  <c r="F19" i="2"/>
  <c r="B20" i="2"/>
  <c r="D20" i="2"/>
  <c r="C20" i="2"/>
  <c r="F20" i="2"/>
  <c r="B21" i="2"/>
  <c r="D21" i="2"/>
  <c r="C21" i="2"/>
  <c r="F21" i="2"/>
  <c r="B22" i="2"/>
  <c r="D22" i="2"/>
  <c r="C22" i="2"/>
  <c r="F22" i="2"/>
  <c r="B23" i="2"/>
  <c r="D23" i="2"/>
  <c r="C23" i="2"/>
  <c r="F23" i="2"/>
  <c r="B24" i="2"/>
  <c r="D24" i="2"/>
  <c r="C24" i="2"/>
  <c r="F24" i="2"/>
  <c r="B25" i="2"/>
  <c r="D25" i="2"/>
  <c r="C25" i="2"/>
  <c r="F25" i="2"/>
  <c r="B26" i="2"/>
  <c r="D26" i="2"/>
  <c r="C26" i="2"/>
  <c r="F26" i="2"/>
  <c r="B27" i="2"/>
  <c r="D27" i="2"/>
  <c r="C27" i="2"/>
  <c r="D28" i="2"/>
  <c r="E37" i="1"/>
  <c r="E94" i="1"/>
  <c r="E97" i="1"/>
  <c r="E40" i="1"/>
  <c r="C28" i="2"/>
  <c r="F27" i="2"/>
  <c r="B30" i="2"/>
  <c r="E62" i="1"/>
  <c r="E41" i="1"/>
  <c r="E60" i="1"/>
  <c r="E100" i="1"/>
  <c r="E101" i="1"/>
  <c r="E42" i="1"/>
  <c r="E65" i="1"/>
  <c r="E67" i="1"/>
  <c r="E69" i="1"/>
  <c r="D30" i="2"/>
  <c r="C30" i="2"/>
  <c r="F30" i="2"/>
  <c r="B31" i="2"/>
  <c r="D31" i="2"/>
  <c r="C31" i="2"/>
  <c r="F31" i="2"/>
  <c r="B32" i="2"/>
  <c r="D32" i="2"/>
  <c r="C32" i="2"/>
  <c r="F32" i="2"/>
  <c r="B33" i="2"/>
  <c r="D33" i="2"/>
  <c r="C33" i="2"/>
  <c r="F33" i="2"/>
  <c r="B34" i="2"/>
  <c r="D34" i="2"/>
  <c r="C34" i="2"/>
  <c r="F34" i="2"/>
  <c r="B35" i="2"/>
  <c r="D35" i="2"/>
  <c r="C35" i="2"/>
  <c r="F35" i="2"/>
  <c r="B36" i="2"/>
  <c r="D36" i="2"/>
  <c r="C36" i="2"/>
  <c r="F36" i="2"/>
  <c r="B37" i="2"/>
  <c r="D37" i="2"/>
  <c r="C37" i="2"/>
  <c r="F37" i="2"/>
  <c r="B38" i="2"/>
  <c r="D38" i="2"/>
  <c r="C38" i="2"/>
  <c r="F38" i="2"/>
  <c r="B39" i="2"/>
  <c r="D39" i="2"/>
  <c r="C39" i="2"/>
  <c r="F39" i="2"/>
  <c r="B40" i="2"/>
  <c r="D40" i="2"/>
  <c r="C40" i="2"/>
  <c r="F40" i="2"/>
  <c r="B41" i="2"/>
  <c r="D41" i="2"/>
  <c r="C41" i="2"/>
  <c r="D42" i="2"/>
  <c r="F37" i="1"/>
  <c r="F94" i="1"/>
  <c r="F97" i="1"/>
  <c r="F40" i="1"/>
  <c r="C42" i="2"/>
  <c r="F41" i="2"/>
  <c r="B44" i="2"/>
  <c r="F62" i="1"/>
  <c r="F41" i="1"/>
  <c r="F60" i="1"/>
  <c r="F100" i="1"/>
  <c r="F101" i="1"/>
  <c r="F42" i="1"/>
  <c r="F65" i="1"/>
  <c r="F67" i="1"/>
  <c r="F69" i="1"/>
  <c r="D44" i="2"/>
  <c r="C44" i="2"/>
  <c r="F44" i="2"/>
  <c r="B45" i="2"/>
  <c r="D45" i="2"/>
  <c r="C45" i="2"/>
  <c r="F45" i="2"/>
  <c r="B46" i="2"/>
  <c r="D46" i="2"/>
  <c r="C46" i="2"/>
  <c r="F46" i="2"/>
  <c r="B47" i="2"/>
  <c r="D47" i="2"/>
  <c r="C47" i="2"/>
  <c r="F47" i="2"/>
  <c r="B48" i="2"/>
  <c r="D48" i="2"/>
  <c r="C48" i="2"/>
  <c r="F48" i="2"/>
  <c r="B49" i="2"/>
  <c r="D49" i="2"/>
  <c r="C49" i="2"/>
  <c r="F49" i="2"/>
  <c r="B50" i="2"/>
  <c r="D50" i="2"/>
  <c r="C50" i="2"/>
  <c r="F50" i="2"/>
  <c r="B51" i="2"/>
  <c r="D51" i="2"/>
  <c r="C51" i="2"/>
  <c r="F51" i="2"/>
  <c r="B52" i="2"/>
  <c r="D52" i="2"/>
  <c r="C52" i="2"/>
  <c r="F52" i="2"/>
  <c r="B53" i="2"/>
  <c r="D53" i="2"/>
  <c r="C53" i="2"/>
  <c r="F53" i="2"/>
  <c r="B54" i="2"/>
  <c r="D54" i="2"/>
  <c r="C54" i="2"/>
  <c r="F54" i="2"/>
  <c r="B55" i="2"/>
  <c r="D55" i="2"/>
  <c r="C55" i="2"/>
  <c r="D56" i="2"/>
  <c r="G37" i="1"/>
  <c r="G94" i="1"/>
  <c r="G97" i="1"/>
  <c r="G40" i="1"/>
  <c r="C56" i="2"/>
  <c r="F55" i="2"/>
  <c r="B58" i="2"/>
  <c r="G62" i="1"/>
  <c r="G41" i="1"/>
  <c r="G60" i="1"/>
  <c r="G101" i="1"/>
  <c r="G100" i="1"/>
  <c r="G42" i="1"/>
  <c r="G65" i="1"/>
  <c r="G67" i="1"/>
  <c r="G69" i="1"/>
  <c r="D58" i="2"/>
  <c r="C58" i="2"/>
  <c r="F58" i="2"/>
  <c r="B59" i="2"/>
  <c r="D59" i="2"/>
  <c r="C59" i="2"/>
  <c r="F59" i="2"/>
  <c r="B60" i="2"/>
  <c r="D60" i="2"/>
  <c r="C60" i="2"/>
  <c r="F60" i="2"/>
  <c r="B61" i="2"/>
  <c r="D61" i="2"/>
  <c r="C61" i="2"/>
  <c r="F61" i="2"/>
  <c r="B62" i="2"/>
  <c r="D62" i="2"/>
  <c r="C62" i="2"/>
  <c r="F62" i="2"/>
  <c r="B63" i="2"/>
  <c r="D63" i="2"/>
  <c r="C63" i="2"/>
  <c r="F63" i="2"/>
  <c r="B64" i="2"/>
  <c r="D64" i="2"/>
  <c r="C64" i="2"/>
  <c r="F64" i="2"/>
  <c r="B65" i="2"/>
  <c r="D65" i="2"/>
  <c r="C65" i="2"/>
  <c r="F65" i="2"/>
  <c r="B66" i="2"/>
  <c r="D66" i="2"/>
  <c r="C66" i="2"/>
  <c r="F66" i="2"/>
  <c r="B67" i="2"/>
  <c r="D67" i="2"/>
  <c r="C67" i="2"/>
  <c r="F67" i="2"/>
  <c r="B68" i="2"/>
  <c r="D68" i="2"/>
  <c r="C68" i="2"/>
  <c r="F68" i="2"/>
  <c r="B69" i="2"/>
  <c r="D69" i="2"/>
  <c r="C69" i="2"/>
  <c r="D70" i="2"/>
  <c r="H37" i="1"/>
  <c r="H94" i="1"/>
  <c r="H97" i="1"/>
  <c r="H40" i="1"/>
  <c r="C70" i="2"/>
  <c r="F69" i="2"/>
  <c r="B72" i="2"/>
  <c r="H62" i="1"/>
  <c r="H41" i="1"/>
  <c r="H60" i="1"/>
  <c r="H101" i="1"/>
  <c r="H100" i="1"/>
  <c r="H42" i="1"/>
  <c r="H65" i="1"/>
  <c r="H67" i="1"/>
  <c r="H69" i="1"/>
  <c r="D72" i="2"/>
  <c r="C72" i="2"/>
  <c r="F72" i="2"/>
  <c r="B73" i="2"/>
  <c r="D73" i="2"/>
  <c r="C73" i="2"/>
  <c r="F73" i="2"/>
  <c r="B74" i="2"/>
  <c r="D74" i="2"/>
  <c r="C74" i="2"/>
  <c r="F74" i="2"/>
  <c r="B75" i="2"/>
  <c r="D75" i="2"/>
  <c r="C75" i="2"/>
  <c r="F75" i="2"/>
  <c r="B76" i="2"/>
  <c r="D76" i="2"/>
  <c r="C76" i="2"/>
  <c r="F76" i="2"/>
  <c r="B77" i="2"/>
  <c r="D77" i="2"/>
  <c r="C77" i="2"/>
  <c r="F77" i="2"/>
  <c r="B78" i="2"/>
  <c r="D78" i="2"/>
  <c r="C78" i="2"/>
  <c r="F78" i="2"/>
  <c r="B79" i="2"/>
  <c r="D79" i="2"/>
  <c r="C79" i="2"/>
  <c r="F79" i="2"/>
  <c r="B80" i="2"/>
  <c r="D80" i="2"/>
  <c r="C80" i="2"/>
  <c r="F80" i="2"/>
  <c r="B81" i="2"/>
  <c r="D81" i="2"/>
  <c r="C81" i="2"/>
  <c r="F81" i="2"/>
  <c r="B82" i="2"/>
  <c r="D82" i="2"/>
  <c r="C82" i="2"/>
  <c r="F82" i="2"/>
  <c r="B83" i="2"/>
  <c r="D83" i="2"/>
  <c r="C83" i="2"/>
  <c r="D84" i="2"/>
  <c r="I37" i="1"/>
  <c r="I94" i="1"/>
  <c r="I97" i="1"/>
  <c r="I40" i="1"/>
  <c r="C84" i="2"/>
  <c r="F83" i="2"/>
  <c r="B86" i="2"/>
  <c r="I62" i="1"/>
  <c r="I41" i="1"/>
  <c r="I60" i="1"/>
  <c r="I101" i="1"/>
  <c r="I100" i="1"/>
  <c r="I42" i="1"/>
  <c r="I65" i="1"/>
  <c r="I67" i="1"/>
  <c r="I69" i="1"/>
  <c r="D86" i="2"/>
  <c r="C86" i="2"/>
  <c r="F86" i="2"/>
  <c r="B87" i="2"/>
  <c r="D87" i="2"/>
  <c r="C87" i="2"/>
  <c r="F87" i="2"/>
  <c r="B88" i="2"/>
  <c r="D88" i="2"/>
  <c r="C88" i="2"/>
  <c r="F88" i="2"/>
  <c r="B89" i="2"/>
  <c r="D89" i="2"/>
  <c r="C89" i="2"/>
  <c r="F89" i="2"/>
  <c r="B90" i="2"/>
  <c r="D90" i="2"/>
  <c r="C90" i="2"/>
  <c r="F90" i="2"/>
  <c r="B91" i="2"/>
  <c r="D91" i="2"/>
  <c r="C91" i="2"/>
  <c r="F91" i="2"/>
  <c r="B92" i="2"/>
  <c r="D92" i="2"/>
  <c r="C92" i="2"/>
  <c r="F92" i="2"/>
  <c r="B93" i="2"/>
  <c r="D93" i="2"/>
  <c r="C93" i="2"/>
  <c r="F93" i="2"/>
  <c r="B94" i="2"/>
  <c r="D94" i="2"/>
  <c r="C94" i="2"/>
  <c r="F94" i="2"/>
  <c r="B95" i="2"/>
  <c r="D95" i="2"/>
  <c r="C95" i="2"/>
  <c r="F95" i="2"/>
  <c r="B96" i="2"/>
  <c r="D96" i="2"/>
  <c r="C96" i="2"/>
  <c r="F96" i="2"/>
  <c r="B97" i="2"/>
  <c r="D97" i="2"/>
  <c r="C97" i="2"/>
  <c r="D98" i="2"/>
  <c r="J37" i="1"/>
  <c r="J94" i="1"/>
  <c r="J97" i="1"/>
  <c r="J40" i="1"/>
  <c r="C98" i="2"/>
  <c r="F97" i="2"/>
  <c r="B100" i="2"/>
  <c r="D100" i="2"/>
  <c r="J41" i="1"/>
  <c r="J60" i="1"/>
  <c r="J42" i="1"/>
  <c r="J65" i="1"/>
  <c r="J101" i="1"/>
  <c r="J100" i="1"/>
  <c r="C100" i="2"/>
  <c r="J67" i="1"/>
  <c r="J69" i="1"/>
  <c r="F100" i="2"/>
  <c r="B101" i="2"/>
  <c r="D101" i="2"/>
  <c r="C101" i="2"/>
  <c r="F101" i="2"/>
  <c r="B102" i="2"/>
  <c r="D102" i="2"/>
  <c r="C102" i="2"/>
  <c r="F102" i="2"/>
  <c r="B103" i="2"/>
  <c r="D103" i="2"/>
  <c r="C103" i="2"/>
  <c r="F103" i="2"/>
  <c r="B104" i="2"/>
  <c r="D104" i="2"/>
  <c r="C104" i="2"/>
  <c r="F104" i="2"/>
  <c r="B105" i="2"/>
  <c r="D105" i="2"/>
  <c r="C105" i="2"/>
  <c r="F105" i="2"/>
  <c r="B106" i="2"/>
  <c r="D106" i="2"/>
  <c r="C106" i="2"/>
  <c r="F106" i="2"/>
  <c r="B107" i="2"/>
  <c r="D107" i="2"/>
  <c r="C107" i="2"/>
  <c r="F107" i="2"/>
  <c r="B108" i="2"/>
  <c r="D108" i="2"/>
  <c r="C108" i="2"/>
  <c r="F108" i="2"/>
  <c r="B109" i="2"/>
  <c r="D109" i="2"/>
  <c r="C109" i="2"/>
  <c r="F109" i="2"/>
  <c r="B110" i="2"/>
  <c r="D110" i="2"/>
  <c r="C110" i="2"/>
  <c r="F110" i="2"/>
  <c r="B111" i="2"/>
  <c r="D111" i="2"/>
  <c r="C111" i="2"/>
  <c r="D112" i="2"/>
  <c r="C112" i="2"/>
  <c r="F111" i="2"/>
  <c r="C138" i="1"/>
  <c r="E129" i="1"/>
  <c r="C140" i="1"/>
</calcChain>
</file>

<file path=xl/sharedStrings.xml><?xml version="1.0" encoding="utf-8"?>
<sst xmlns="http://schemas.openxmlformats.org/spreadsheetml/2006/main" count="313" uniqueCount="257">
  <si>
    <t>SALES UNIT FORECASTS</t>
  </si>
  <si>
    <t>Forecasted occupancy</t>
  </si>
  <si>
    <t>Annual change</t>
  </si>
  <si>
    <t>RATIOS USED IN FORECAST</t>
  </si>
  <si>
    <t>INCOME STATEMENT</t>
  </si>
  <si>
    <t>Revenues</t>
  </si>
  <si>
    <t>Rent</t>
  </si>
  <si>
    <t>Operating Expenses</t>
  </si>
  <si>
    <t>General and Administrative</t>
  </si>
  <si>
    <t>Percent of sales - rent</t>
  </si>
  <si>
    <t>Marketing</t>
  </si>
  <si>
    <t>Utilities</t>
  </si>
  <si>
    <t>Total Operating Expenses</t>
  </si>
  <si>
    <t>Operating Profit</t>
  </si>
  <si>
    <t>Mortgage Interest Expense</t>
  </si>
  <si>
    <t>Interest rate</t>
  </si>
  <si>
    <t>Profit Before Taxes</t>
  </si>
  <si>
    <t>Taxes</t>
  </si>
  <si>
    <t>Tax rate (zero if negative income)</t>
  </si>
  <si>
    <t>Net Profit After Taxes</t>
  </si>
  <si>
    <t>BALANCE SHEET</t>
  </si>
  <si>
    <t>Assets</t>
  </si>
  <si>
    <t>Buildings</t>
  </si>
  <si>
    <t>Total Assets</t>
  </si>
  <si>
    <t>Liabilities and Equity</t>
  </si>
  <si>
    <t>Accounts Payable</t>
  </si>
  <si>
    <t>Income Tax Payable</t>
  </si>
  <si>
    <t>Mortgage on Buildings</t>
  </si>
  <si>
    <t>Retained Earnings</t>
  </si>
  <si>
    <t>Total Liabilities and Equity</t>
  </si>
  <si>
    <t>Beg Balance</t>
  </si>
  <si>
    <t>Principal</t>
  </si>
  <si>
    <t xml:space="preserve">Interest </t>
  </si>
  <si>
    <t>Payment</t>
  </si>
  <si>
    <t>End Balance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</si>
  <si>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</si>
  <si>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</si>
  <si>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</si>
  <si>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</si>
  <si>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</si>
  <si>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</si>
  <si>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</si>
  <si>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</si>
  <si>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</si>
  <si>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</si>
  <si>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</si>
  <si>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</si>
  <si>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</si>
  <si>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</si>
  <si>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</si>
  <si>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</si>
  <si>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</si>
  <si>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</si>
  <si>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</si>
  <si>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</si>
  <si>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</si>
  <si>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</si>
  <si>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</si>
  <si>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</si>
  <si>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</si>
  <si>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</si>
  <si>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</si>
  <si>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</si>
  <si>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</si>
  <si>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</si>
  <si>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</si>
  <si>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</si>
  <si>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</si>
  <si>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</si>
  <si>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</si>
  <si>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</si>
  <si>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</si>
  <si>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Mimimum Cash Balance</t>
  </si>
  <si>
    <t>Cash Above Minimum Cash Balance</t>
  </si>
  <si>
    <t>Food Items</t>
  </si>
  <si>
    <t>DFN</t>
  </si>
  <si>
    <t>Rate</t>
  </si>
  <si>
    <t>Term</t>
  </si>
  <si>
    <t>Monthly</t>
  </si>
  <si>
    <t>Interest for year</t>
  </si>
  <si>
    <t>ALTERNATIVE WAY TO DO CALCULATIONS:</t>
  </si>
  <si>
    <t>Extra Bank Loan</t>
  </si>
  <si>
    <t>Extra Bank Loan Interest Expense</t>
  </si>
  <si>
    <t>Inn Maintenance Service</t>
  </si>
  <si>
    <t>Double</t>
  </si>
  <si>
    <t>Single</t>
  </si>
  <si>
    <t>Nightly rent per single-bed room</t>
  </si>
  <si>
    <t>Nightly rent per double-bed room</t>
  </si>
  <si>
    <t>Meal sales per person per day</t>
  </si>
  <si>
    <t>Average Price of 1 meal</t>
  </si>
  <si>
    <t>Average Cost of 1 meal</t>
  </si>
  <si>
    <t xml:space="preserve">Number of double-bed rooms </t>
  </si>
  <si>
    <t xml:space="preserve">Number of single-bed rooms </t>
  </si>
  <si>
    <t>Internet Revenue</t>
  </si>
  <si>
    <t>Internet per room per night</t>
  </si>
  <si>
    <t>Food items expense</t>
  </si>
  <si>
    <t>Food average payment period</t>
  </si>
  <si>
    <t>Wages and Salary Expenses</t>
  </si>
  <si>
    <t>Accident Expense</t>
  </si>
  <si>
    <t>January 2016</t>
  </si>
  <si>
    <t>January 2017</t>
  </si>
  <si>
    <t>January 2018</t>
  </si>
  <si>
    <t>January 2019</t>
  </si>
  <si>
    <t>January 2020</t>
  </si>
  <si>
    <t>February 2016</t>
  </si>
  <si>
    <t>March 2016</t>
  </si>
  <si>
    <t>Equipment and Furniture</t>
  </si>
  <si>
    <t>Depreciation Expense-Equipment</t>
  </si>
  <si>
    <t>Accumulated Depreciation-Equipment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</si>
  <si>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</si>
  <si>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</si>
  <si>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</si>
  <si>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</si>
  <si>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</si>
  <si>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</si>
  <si>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</si>
  <si>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</si>
  <si>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</si>
  <si>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</si>
  <si>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</si>
  <si>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</si>
  <si>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</si>
  <si>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</si>
  <si>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</si>
  <si>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</si>
  <si>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</si>
  <si>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</si>
  <si>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</si>
  <si>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</si>
  <si>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</si>
  <si>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</si>
  <si>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</si>
  <si>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</si>
  <si>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</si>
  <si>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</si>
  <si>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</si>
  <si>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</si>
  <si>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</si>
  <si>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</si>
  <si>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</si>
  <si>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</si>
  <si>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</si>
  <si>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</si>
  <si>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</si>
  <si>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</si>
  <si>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</si>
  <si>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</si>
  <si>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</si>
  <si>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</si>
  <si>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</si>
  <si>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</si>
  <si>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</si>
  <si>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</si>
  <si>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</si>
  <si>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</si>
  <si>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</si>
  <si>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</si>
  <si>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</si>
  <si>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</si>
  <si>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</si>
  <si>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</si>
  <si>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</si>
  <si>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Percent of sale-rent</t>
  </si>
  <si>
    <t>Mixed expense</t>
  </si>
  <si>
    <t>Need to remove</t>
  </si>
  <si>
    <t>Depreciation: salvage value of the building, of the equipment and furniture? Salvage date?</t>
  </si>
  <si>
    <t>FICA Tax, Property tax</t>
  </si>
  <si>
    <t>Breakeven</t>
  </si>
  <si>
    <t>Utilities (Mixed)</t>
  </si>
  <si>
    <t>Depreciation (Fixed)</t>
  </si>
  <si>
    <t xml:space="preserve">Mortgage Int Expense (Fixed) </t>
  </si>
  <si>
    <t>Bank Loan Int Expense (Fixed)</t>
  </si>
  <si>
    <t>Inn Maintainnance expense</t>
  </si>
  <si>
    <t>Wages</t>
  </si>
  <si>
    <t>Numbers of customers</t>
  </si>
  <si>
    <t>Revenue (per customer)</t>
  </si>
  <si>
    <t>Fixed expense</t>
  </si>
  <si>
    <t xml:space="preserve"> Salaries Expense </t>
  </si>
  <si>
    <t>Breakeven in customer sales</t>
  </si>
  <si>
    <t>Breakeven in dollar sales</t>
  </si>
  <si>
    <t>Total variable expenses</t>
  </si>
  <si>
    <t>Total fixed expenses</t>
  </si>
  <si>
    <t>Variable Expenses (per customer)</t>
  </si>
  <si>
    <t>CM per customer</t>
  </si>
  <si>
    <t>CM ratio</t>
  </si>
  <si>
    <t>Food Expense</t>
  </si>
  <si>
    <t>Property Tax</t>
  </si>
  <si>
    <t>Stockholder's equity</t>
  </si>
  <si>
    <t>Land</t>
  </si>
  <si>
    <t>Depreciation Expense-Building</t>
  </si>
  <si>
    <t>Accumulated Depreciation-Building</t>
  </si>
  <si>
    <t>BV-Building</t>
  </si>
  <si>
    <t>BV-Equipment</t>
  </si>
  <si>
    <t>WACC</t>
  </si>
  <si>
    <t>CAPM for the return equity holders want</t>
  </si>
  <si>
    <t>Beta</t>
  </si>
  <si>
    <t>T-Bill rate</t>
  </si>
  <si>
    <t>S&amp;P 500 rate</t>
  </si>
  <si>
    <t>Return equity holders want</t>
  </si>
  <si>
    <t>Return debt holders want</t>
  </si>
  <si>
    <t>Debt</t>
  </si>
  <si>
    <t xml:space="preserve"> </t>
  </si>
  <si>
    <t>Tax Rate of Company</t>
  </si>
  <si>
    <t>Unlevered Beta</t>
  </si>
  <si>
    <t>Tax rate</t>
  </si>
  <si>
    <t>Relevered Beta</t>
  </si>
  <si>
    <t>Re-levered Beta</t>
  </si>
  <si>
    <t>Cash Flows from Operations</t>
  </si>
  <si>
    <t>Operating profit</t>
  </si>
  <si>
    <t>Less: Depreciation (Non cash tax deduction)</t>
  </si>
  <si>
    <t>Taxable Operating income</t>
  </si>
  <si>
    <t xml:space="preserve"> Tax on Operation Income</t>
  </si>
  <si>
    <t>After tax income operation</t>
  </si>
  <si>
    <t>Add back Depreciation (Non cash tax deduction)</t>
  </si>
  <si>
    <t>Cash flow from operation</t>
  </si>
  <si>
    <t>Cash flow from Capital Expenditures</t>
  </si>
  <si>
    <t>Buy Building</t>
  </si>
  <si>
    <t>Sell Building</t>
  </si>
  <si>
    <t>Cash Flows from Changes in Working Capital</t>
  </si>
  <si>
    <t>-</t>
  </si>
  <si>
    <t>Account Receivable</t>
  </si>
  <si>
    <t>Inventory</t>
  </si>
  <si>
    <t>+</t>
  </si>
  <si>
    <t>Account payable</t>
  </si>
  <si>
    <t>Cash Flows from Liquidation of Working Capital</t>
  </si>
  <si>
    <t>TOTAL FREE CASH FLOWS</t>
  </si>
  <si>
    <t>PV OF FREE CASH FLOWS</t>
  </si>
  <si>
    <t>Year</t>
  </si>
  <si>
    <t>RATE (WACC)</t>
  </si>
  <si>
    <t>NPV</t>
  </si>
  <si>
    <t>Tax Rate</t>
  </si>
  <si>
    <t>Cost</t>
  </si>
  <si>
    <t>Depr</t>
  </si>
  <si>
    <t>Book Value</t>
  </si>
  <si>
    <t>Sell</t>
  </si>
  <si>
    <t>Gain</t>
  </si>
  <si>
    <t>Buy Equipment</t>
  </si>
  <si>
    <t>Equipment</t>
  </si>
  <si>
    <t>Loss</t>
  </si>
  <si>
    <t>Sell Equipment</t>
  </si>
  <si>
    <t>Buy land</t>
  </si>
  <si>
    <t>BV</t>
  </si>
  <si>
    <t>Sell land</t>
  </si>
  <si>
    <t>Add land in computing FCF</t>
  </si>
  <si>
    <t>PROPORTION</t>
  </si>
  <si>
    <t>RATE</t>
  </si>
  <si>
    <t>BLENDED</t>
  </si>
  <si>
    <t>Mortgage Loan</t>
  </si>
  <si>
    <t>Bank Loans</t>
  </si>
  <si>
    <t>Equity</t>
  </si>
  <si>
    <t>WACC for 2013 (AS IS)</t>
  </si>
  <si>
    <t>WACC projected for 2013 (new beta)</t>
  </si>
  <si>
    <t xml:space="preserve">Debt </t>
  </si>
  <si>
    <t xml:space="preserve">Equity </t>
  </si>
  <si>
    <t>New Debt and Equity Proportion so WACC = IRR</t>
  </si>
  <si>
    <t xml:space="preserve"> IRR</t>
  </si>
  <si>
    <t>Tax on sell of land, building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</si>
</sst>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_(* #,##0.00_);_(* \(#,##0.00\);_(* \-??_);_(@_)"/>
    <numFmt numFmtId="166" formatCode="_(* #,##0.0_);_(* \(#,##0.0\);_(* \-??_);_(@_)"/>
    <numFmt numFmtId="167" formatCode="0.0"/>
    <numFmt numFmtId="168" formatCode="_(\$* #,##0_);_(\$* \(#,##0\);_(\$* \-??_);_(@_)"/>
    <numFmt numFmtId="169" formatCode="[$$-409]#,##0.00;[Red]\-[$$-409]#,##0.00"/>
    <numFmt numFmtId="170" formatCode="0.0%"/>
    <numFmt numFmtId="171" formatCode="[$$-409]#,##0.00;[Red][$$-409]#,##0.00"/>
    <numFmt numFmtId="172" formatCode="_(* #,##0.000_);_(* \(#,##0.000\);_(* \-??_);_(@_)"/>
    <numFmt numFmtId="173" formatCode="_(* #,##0_);_(* \(#,##0\);_(* \-??_);_(@_)"/>
  </numFmts>
  <fonts count="11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Times New Roman"/>
      <family val="1"/>
    </font>
    <font>
      <b/>
      <sz val="11"/>
      <color theme="4"/>
      <name val="Calibri"/>
      <family val="2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1" fillId="0" borderId="0"/>
    <xf numFmtId="164" fontId="1" fillId="0" borderId="0"/>
    <xf numFmtId="0" fontId="1" fillId="0" borderId="0"/>
    <xf numFmtId="9" fontId="1" fillId="0" borderId="0"/>
  </cellStyleXfs>
  <cellXfs count="85">
    <xf numFmtId="0" fontId="0" fillId="0" borderId="0" xfId="0"/>
    <xf numFmtId="0" fontId="1" fillId="0" borderId="0" xfId="3"/>
    <xf numFmtId="0" fontId="2" fillId="0" borderId="1" xfId="3" applyFont="1" applyBorder="1"/>
    <xf numFmtId="0" fontId="1" fillId="0" borderId="1" xfId="3" applyBorder="1"/>
    <xf numFmtId="0" fontId="2" fillId="0" borderId="0" xfId="3" applyFont="1"/>
    <xf numFmtId="10" fontId="1" fillId="0" borderId="0" xfId="4" applyNumberFormat="1"/>
    <xf numFmtId="1" fontId="1" fillId="0" borderId="0" xfId="3" applyNumberFormat="1"/>
    <xf numFmtId="164" fontId="1" fillId="0" borderId="0" xfId="2" applyFont="1" applyFill="1" applyBorder="1" applyAlignment="1" applyProtection="1"/>
    <xf numFmtId="166" fontId="1" fillId="0" borderId="0" xfId="1" applyNumberFormat="1"/>
    <xf numFmtId="167" fontId="1" fillId="0" borderId="0" xfId="3" applyNumberFormat="1"/>
    <xf numFmtId="0" fontId="1" fillId="0" borderId="0" xfId="3" applyFont="1"/>
    <xf numFmtId="168" fontId="1" fillId="0" borderId="0" xfId="2" applyNumberFormat="1" applyFont="1" applyFill="1" applyBorder="1" applyAlignment="1" applyProtection="1"/>
    <xf numFmtId="168" fontId="1" fillId="0" borderId="0" xfId="2" applyNumberFormat="1"/>
    <xf numFmtId="168" fontId="1" fillId="0" borderId="0" xfId="3" applyNumberFormat="1"/>
    <xf numFmtId="0" fontId="0" fillId="0" borderId="0" xfId="0" applyFont="1" applyAlignment="1">
      <alignment wrapText="1"/>
    </xf>
    <xf numFmtId="169" fontId="0" fillId="0" borderId="0" xfId="0" applyNumberFormat="1" applyFont="1" applyAlignment="1">
      <alignment wrapText="1"/>
    </xf>
    <xf numFmtId="16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14" fontId="1" fillId="0" borderId="0" xfId="3" applyNumberFormat="1"/>
    <xf numFmtId="169" fontId="0" fillId="0" borderId="0" xfId="0" applyNumberFormat="1"/>
    <xf numFmtId="8" fontId="0" fillId="0" borderId="0" xfId="0" applyNumberFormat="1"/>
    <xf numFmtId="169" fontId="4" fillId="0" borderId="2" xfId="0" applyNumberFormat="1" applyFont="1" applyBorder="1" applyAlignment="1">
      <alignment wrapText="1"/>
    </xf>
    <xf numFmtId="171" fontId="4" fillId="0" borderId="2" xfId="0" applyNumberFormat="1" applyFont="1" applyBorder="1"/>
    <xf numFmtId="164" fontId="3" fillId="0" borderId="2" xfId="2" applyNumberFormat="1" applyFont="1" applyBorder="1"/>
    <xf numFmtId="9" fontId="1" fillId="0" borderId="0" xfId="3" applyNumberFormat="1"/>
    <xf numFmtId="49" fontId="0" fillId="0" borderId="0" xfId="0" applyNumberFormat="1" applyAlignment="1">
      <alignment wrapText="1"/>
    </xf>
    <xf numFmtId="9" fontId="1" fillId="0" borderId="0" xfId="4" applyNumberFormat="1"/>
    <xf numFmtId="9" fontId="1" fillId="0" borderId="0" xfId="4"/>
    <xf numFmtId="0" fontId="3" fillId="0" borderId="0" xfId="3" applyFont="1"/>
    <xf numFmtId="43" fontId="1" fillId="0" borderId="0" xfId="3" applyNumberFormat="1"/>
    <xf numFmtId="164" fontId="1" fillId="0" borderId="0" xfId="2"/>
    <xf numFmtId="164" fontId="1" fillId="0" borderId="0" xfId="3" applyNumberFormat="1"/>
    <xf numFmtId="164" fontId="1" fillId="0" borderId="0" xfId="2" applyNumberFormat="1"/>
    <xf numFmtId="170" fontId="1" fillId="0" borderId="0" xfId="4" applyNumberFormat="1" applyFont="1" applyFill="1" applyBorder="1" applyAlignment="1" applyProtection="1"/>
    <xf numFmtId="170" fontId="8" fillId="0" borderId="0" xfId="4" applyNumberFormat="1" applyFont="1" applyFill="1" applyBorder="1" applyAlignment="1" applyProtection="1"/>
    <xf numFmtId="10" fontId="1" fillId="0" borderId="0" xfId="4" applyNumberFormat="1" applyFont="1" applyFill="1" applyBorder="1" applyAlignment="1" applyProtection="1"/>
    <xf numFmtId="172" fontId="1" fillId="0" borderId="0" xfId="4" applyNumberFormat="1" applyFont="1" applyFill="1" applyBorder="1" applyAlignment="1" applyProtection="1"/>
    <xf numFmtId="10" fontId="8" fillId="0" borderId="0" xfId="4" applyNumberFormat="1" applyFont="1" applyFill="1" applyBorder="1" applyAlignment="1" applyProtection="1"/>
    <xf numFmtId="172" fontId="1" fillId="0" borderId="0" xfId="1" applyNumberFormat="1"/>
    <xf numFmtId="172" fontId="1" fillId="0" borderId="0" xfId="3" applyNumberFormat="1"/>
    <xf numFmtId="14" fontId="3" fillId="0" borderId="3" xfId="3" applyNumberFormat="1" applyFont="1" applyBorder="1"/>
    <xf numFmtId="0" fontId="3" fillId="0" borderId="3" xfId="3" applyFont="1" applyFill="1" applyBorder="1"/>
    <xf numFmtId="168" fontId="1" fillId="0" borderId="3" xfId="2" applyNumberFormat="1" applyBorder="1"/>
    <xf numFmtId="168" fontId="3" fillId="0" borderId="0" xfId="2" applyNumberFormat="1" applyFont="1"/>
    <xf numFmtId="43" fontId="1" fillId="0" borderId="4" xfId="2" applyNumberFormat="1" applyBorder="1"/>
    <xf numFmtId="168" fontId="1" fillId="0" borderId="5" xfId="2" applyNumberFormat="1" applyBorder="1"/>
    <xf numFmtId="168" fontId="1" fillId="0" borderId="6" xfId="2" applyNumberFormat="1" applyBorder="1"/>
    <xf numFmtId="168" fontId="1" fillId="2" borderId="0" xfId="2" applyNumberFormat="1" applyFill="1"/>
    <xf numFmtId="168" fontId="3" fillId="2" borderId="0" xfId="2" applyNumberFormat="1" applyFont="1" applyFill="1" applyBorder="1"/>
    <xf numFmtId="168" fontId="1" fillId="0" borderId="0" xfId="2" applyNumberFormat="1" applyBorder="1"/>
    <xf numFmtId="43" fontId="1" fillId="0" borderId="0" xfId="2" applyNumberFormat="1"/>
    <xf numFmtId="168" fontId="9" fillId="0" borderId="0" xfId="2" applyNumberFormat="1" applyFont="1"/>
    <xf numFmtId="168" fontId="3" fillId="3" borderId="0" xfId="2" applyNumberFormat="1" applyFont="1" applyFill="1"/>
    <xf numFmtId="0" fontId="1" fillId="0" borderId="0" xfId="2" applyNumberFormat="1"/>
    <xf numFmtId="168" fontId="1" fillId="4" borderId="0" xfId="2" applyNumberFormat="1" applyFill="1"/>
    <xf numFmtId="10" fontId="3" fillId="5" borderId="0" xfId="4" applyNumberFormat="1" applyFont="1" applyFill="1"/>
    <xf numFmtId="0" fontId="3" fillId="0" borderId="3" xfId="3" applyFont="1" applyBorder="1"/>
    <xf numFmtId="9" fontId="3" fillId="0" borderId="0" xfId="3" applyNumberFormat="1" applyFont="1"/>
    <xf numFmtId="168" fontId="1" fillId="0" borderId="0" xfId="2" applyNumberFormat="1" applyFill="1"/>
    <xf numFmtId="0" fontId="1" fillId="0" borderId="6" xfId="3" applyBorder="1"/>
    <xf numFmtId="0" fontId="1" fillId="0" borderId="3" xfId="3" applyBorder="1"/>
    <xf numFmtId="0" fontId="1" fillId="2" borderId="0" xfId="3" applyFill="1"/>
    <xf numFmtId="0" fontId="1" fillId="0" borderId="0" xfId="3" applyFill="1"/>
    <xf numFmtId="0" fontId="3" fillId="0" borderId="0" xfId="3" applyFont="1" applyFill="1"/>
    <xf numFmtId="0" fontId="8" fillId="0" borderId="0" xfId="3" applyFont="1" applyFill="1"/>
    <xf numFmtId="0" fontId="1" fillId="0" borderId="0" xfId="3" applyFont="1" applyFill="1"/>
    <xf numFmtId="170" fontId="1" fillId="0" borderId="0" xfId="4" applyNumberFormat="1" applyFill="1"/>
    <xf numFmtId="0" fontId="2" fillId="0" borderId="0" xfId="3" applyFont="1" applyFill="1"/>
    <xf numFmtId="168" fontId="3" fillId="0" borderId="0" xfId="3" applyNumberFormat="1" applyFont="1"/>
    <xf numFmtId="170" fontId="1" fillId="0" borderId="0" xfId="4" applyNumberFormat="1"/>
    <xf numFmtId="168" fontId="1" fillId="0" borderId="0" xfId="4" applyNumberFormat="1" applyFont="1" applyFill="1" applyBorder="1" applyAlignment="1" applyProtection="1"/>
    <xf numFmtId="173" fontId="1" fillId="0" borderId="0" xfId="1" applyNumberFormat="1" applyFill="1"/>
    <xf numFmtId="170" fontId="1" fillId="0" borderId="0" xfId="3" applyNumberFormat="1"/>
    <xf numFmtId="10" fontId="1" fillId="0" borderId="0" xfId="3" applyNumberFormat="1"/>
    <xf numFmtId="10" fontId="1" fillId="5" borderId="0" xfId="4" applyNumberFormat="1" applyFill="1"/>
    <xf numFmtId="168" fontId="8" fillId="0" borderId="0" xfId="3" applyNumberFormat="1" applyFont="1" applyFill="1"/>
    <xf numFmtId="170" fontId="6" fillId="0" borderId="0" xfId="4" applyNumberFormat="1" applyFont="1" applyFill="1" applyBorder="1" applyAlignment="1" applyProtection="1"/>
    <xf numFmtId="10" fontId="5" fillId="0" borderId="0" xfId="4" applyNumberFormat="1" applyFont="1" applyFill="1" applyBorder="1" applyAlignment="1" applyProtection="1"/>
    <xf numFmtId="0" fontId="1" fillId="6" borderId="0" xfId="3" applyFill="1"/>
    <xf numFmtId="0" fontId="3" fillId="6" borderId="0" xfId="3" applyFont="1" applyFill="1"/>
    <xf numFmtId="9" fontId="10" fillId="0" borderId="0" xfId="4" applyNumberFormat="1" applyFont="1" applyFill="1" applyBorder="1" applyAlignment="1" applyProtection="1"/>
    <xf numFmtId="170" fontId="10" fillId="0" borderId="0" xfId="4" applyNumberFormat="1" applyFont="1"/>
    <xf numFmtId="0" fontId="7" fillId="0" borderId="0" xfId="0" applyFont="1"/>
    <xf numFmtId="10" fontId="10" fillId="0" borderId="0" xfId="4" applyNumberFormat="1" applyFont="1" applyFill="1"/>
  </cellXfs>
  <cellStyles count="5">
    <cellStyle name="Comma" xfId="1" builtinId="3"/>
    <cellStyle name="Currency" xfId="2" builtinId="4"/>
    <cellStyle name="Excel Built-in Normal" xfId="3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6"/>
  <sheetViews>
    <sheetView topLeftCell="A34" zoomScale="90" zoomScaleNormal="90" workbookViewId="0">
      <selection activeCell="A2" sqref="A2"/>
    </sheetView>
  </sheetViews>
  <sheetFormatPr defaultColWidth="9.42578125" defaultRowHeight="15" x14ac:dyDescent="0.25"/>
  <cols>
    <col min="1" max="1" width="4.85546875" style="1" customWidth="1"/>
    <col min="2" max="2" width="31.28515625" style="1" customWidth="1"/>
    <col min="3" max="3" width="21.42578125" style="1" customWidth="1"/>
    <col min="4" max="4" width="18.5703125" style="1" customWidth="1"/>
    <col min="5" max="5" width="19.42578125" style="1" customWidth="1"/>
    <col min="6" max="6" width="18.140625" style="1" customWidth="1"/>
    <col min="7" max="7" width="16.42578125" style="1" customWidth="1"/>
    <col min="8" max="8" width="21.42578125" style="1" customWidth="1"/>
    <col min="9" max="9" width="15.7109375" style="1" customWidth="1"/>
    <col min="10" max="11" width="13.5703125" style="1" customWidth="1"/>
    <col min="12" max="12" width="8.140625" style="1" customWidth="1"/>
    <col min="13" max="13" width="22.85546875" style="1" customWidth="1"/>
    <col min="14" max="14" width="20" style="1" customWidth="1"/>
    <col min="15" max="15" width="10" style="1" bestFit="1" customWidth="1"/>
    <col min="16" max="16" width="9.42578125" style="1"/>
    <col min="17" max="17" width="10" style="1" customWidth="1"/>
    <col min="18" max="16384" width="9.42578125" style="1"/>
  </cols>
  <sheetData>
    <row r="1" spans="1:15" s="3" customFormat="1" x14ac:dyDescent="0.25">
      <c r="A1" s="2"/>
    </row>
    <row r="2" spans="1:15" x14ac:dyDescent="0.25">
      <c r="C2" s="19"/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>
        <v>2019</v>
      </c>
      <c r="K2" s="6">
        <v>2020</v>
      </c>
      <c r="L2" s="6"/>
      <c r="M2" s="6"/>
    </row>
    <row r="3" spans="1:15" x14ac:dyDescent="0.25">
      <c r="A3" s="4" t="s">
        <v>0</v>
      </c>
    </row>
    <row r="4" spans="1:15" x14ac:dyDescent="0.25">
      <c r="A4" s="1" t="s">
        <v>1</v>
      </c>
      <c r="D4" s="5">
        <v>0.3</v>
      </c>
      <c r="E4" s="5">
        <f>D4*(1+$L$4)</f>
        <v>0.28799999999999998</v>
      </c>
      <c r="F4" s="5">
        <f t="shared" ref="F4:K4" si="0">E4*(1+$L$4)</f>
        <v>0.27647999999999995</v>
      </c>
      <c r="G4" s="5">
        <f t="shared" si="0"/>
        <v>0.26542079999999996</v>
      </c>
      <c r="H4" s="5">
        <f t="shared" si="0"/>
        <v>0.25480396799999994</v>
      </c>
      <c r="I4" s="5">
        <f t="shared" si="0"/>
        <v>0.24461180927999993</v>
      </c>
      <c r="J4" s="5">
        <f t="shared" si="0"/>
        <v>0.23482733690879992</v>
      </c>
      <c r="K4" s="5">
        <f t="shared" si="0"/>
        <v>0.22543424343244792</v>
      </c>
      <c r="L4" s="5">
        <v>-0.04</v>
      </c>
      <c r="M4" s="1" t="s">
        <v>2</v>
      </c>
      <c r="N4" s="1" t="s">
        <v>84</v>
      </c>
      <c r="O4" s="1" t="s">
        <v>85</v>
      </c>
    </row>
    <row r="5" spans="1:15" x14ac:dyDescent="0.25">
      <c r="A5" s="1" t="s">
        <v>92</v>
      </c>
      <c r="D5" s="6">
        <v>69</v>
      </c>
      <c r="E5" s="6">
        <v>69</v>
      </c>
      <c r="F5" s="6">
        <v>69</v>
      </c>
      <c r="G5" s="6">
        <v>69</v>
      </c>
      <c r="H5" s="6">
        <v>69</v>
      </c>
      <c r="I5" s="6">
        <v>69</v>
      </c>
      <c r="J5" s="6">
        <v>69</v>
      </c>
      <c r="K5" s="6">
        <v>69</v>
      </c>
      <c r="L5" s="5">
        <v>0</v>
      </c>
      <c r="M5" s="1" t="s">
        <v>2</v>
      </c>
      <c r="N5" s="1">
        <v>80</v>
      </c>
      <c r="O5" s="1">
        <v>69</v>
      </c>
    </row>
    <row r="6" spans="1:15" x14ac:dyDescent="0.25">
      <c r="A6" s="1" t="s">
        <v>91</v>
      </c>
      <c r="D6" s="6">
        <v>80</v>
      </c>
      <c r="E6" s="6">
        <v>80</v>
      </c>
      <c r="F6" s="6">
        <v>80</v>
      </c>
      <c r="G6" s="6">
        <v>80</v>
      </c>
      <c r="H6" s="6">
        <v>80</v>
      </c>
      <c r="I6" s="6">
        <v>80</v>
      </c>
      <c r="J6" s="6">
        <v>80</v>
      </c>
      <c r="K6" s="6">
        <v>80</v>
      </c>
      <c r="L6" s="5"/>
    </row>
    <row r="7" spans="1:15" x14ac:dyDescent="0.25">
      <c r="A7" s="1" t="s">
        <v>86</v>
      </c>
      <c r="D7" s="7">
        <v>80</v>
      </c>
      <c r="E7" s="7">
        <f>D7*(1+$L$7)</f>
        <v>82.4</v>
      </c>
      <c r="F7" s="7">
        <f t="shared" ref="F7:K7" si="1">E7*(1+$L$7)</f>
        <v>84.872000000000014</v>
      </c>
      <c r="G7" s="7">
        <f t="shared" si="1"/>
        <v>87.418160000000015</v>
      </c>
      <c r="H7" s="7">
        <f t="shared" si="1"/>
        <v>90.040704800000015</v>
      </c>
      <c r="I7" s="7">
        <f t="shared" si="1"/>
        <v>92.741925944000016</v>
      </c>
      <c r="J7" s="7">
        <f t="shared" si="1"/>
        <v>95.524183722320018</v>
      </c>
      <c r="K7" s="7">
        <f t="shared" si="1"/>
        <v>98.389909233989627</v>
      </c>
      <c r="L7" s="5">
        <v>0.03</v>
      </c>
      <c r="M7" s="1" t="s">
        <v>2</v>
      </c>
    </row>
    <row r="8" spans="1:15" x14ac:dyDescent="0.25">
      <c r="A8" s="1" t="s">
        <v>87</v>
      </c>
      <c r="D8" s="7">
        <v>100</v>
      </c>
      <c r="E8" s="7">
        <f>D8*(1+$L$7)</f>
        <v>103</v>
      </c>
      <c r="F8" s="7">
        <f t="shared" ref="F8:K8" si="2">E8*(1+$L$7)</f>
        <v>106.09</v>
      </c>
      <c r="G8" s="7">
        <f t="shared" si="2"/>
        <v>109.2727</v>
      </c>
      <c r="H8" s="7">
        <f t="shared" si="2"/>
        <v>112.550881</v>
      </c>
      <c r="I8" s="7">
        <f t="shared" si="2"/>
        <v>115.92740743</v>
      </c>
      <c r="J8" s="7">
        <f t="shared" si="2"/>
        <v>119.4052296529</v>
      </c>
      <c r="K8" s="7">
        <f t="shared" si="2"/>
        <v>122.987386542487</v>
      </c>
      <c r="L8" s="5"/>
    </row>
    <row r="9" spans="1:15" x14ac:dyDescent="0.25">
      <c r="A9" s="1" t="s">
        <v>88</v>
      </c>
      <c r="D9" s="8">
        <v>1</v>
      </c>
      <c r="E9" s="8">
        <f>+D9*(1+$L$9)</f>
        <v>1</v>
      </c>
      <c r="F9" s="8">
        <f t="shared" ref="F9:K9" si="3">+E9*(1+$L$9)</f>
        <v>1</v>
      </c>
      <c r="G9" s="8">
        <f t="shared" si="3"/>
        <v>1</v>
      </c>
      <c r="H9" s="8">
        <f t="shared" si="3"/>
        <v>1</v>
      </c>
      <c r="I9" s="8">
        <f t="shared" si="3"/>
        <v>1</v>
      </c>
      <c r="J9" s="8">
        <f t="shared" si="3"/>
        <v>1</v>
      </c>
      <c r="K9" s="8">
        <f t="shared" si="3"/>
        <v>1</v>
      </c>
      <c r="L9" s="5"/>
      <c r="M9" s="1" t="s">
        <v>2</v>
      </c>
    </row>
    <row r="10" spans="1:15" x14ac:dyDescent="0.25">
      <c r="A10" s="1" t="s">
        <v>89</v>
      </c>
      <c r="D10" s="7">
        <v>10</v>
      </c>
      <c r="E10" s="7">
        <f t="shared" ref="E10:K10" si="4">+D10*(1+$L$10)</f>
        <v>10.3</v>
      </c>
      <c r="F10" s="7">
        <f t="shared" si="4"/>
        <v>10.609000000000002</v>
      </c>
      <c r="G10" s="7">
        <f t="shared" si="4"/>
        <v>10.927270000000002</v>
      </c>
      <c r="H10" s="7">
        <f t="shared" si="4"/>
        <v>11.255088100000002</v>
      </c>
      <c r="I10" s="7">
        <f t="shared" si="4"/>
        <v>11.592740743000002</v>
      </c>
      <c r="J10" s="7">
        <f t="shared" si="4"/>
        <v>11.940522965290002</v>
      </c>
      <c r="K10" s="7">
        <f t="shared" si="4"/>
        <v>12.298738654248703</v>
      </c>
      <c r="L10" s="27">
        <v>0.03</v>
      </c>
      <c r="M10" s="1" t="s">
        <v>2</v>
      </c>
    </row>
    <row r="11" spans="1:15" x14ac:dyDescent="0.25">
      <c r="A11" s="1" t="s">
        <v>90</v>
      </c>
      <c r="C11" s="5"/>
      <c r="D11" s="7">
        <f>D10*40%</f>
        <v>4</v>
      </c>
      <c r="E11" s="7">
        <f t="shared" ref="E11:J11" si="5">E10*40%</f>
        <v>4.12</v>
      </c>
      <c r="F11" s="7">
        <f t="shared" si="5"/>
        <v>4.2436000000000007</v>
      </c>
      <c r="G11" s="7">
        <f t="shared" si="5"/>
        <v>4.3709080000000009</v>
      </c>
      <c r="H11" s="7">
        <f t="shared" si="5"/>
        <v>4.5020352400000005</v>
      </c>
      <c r="I11" s="7">
        <f t="shared" si="5"/>
        <v>4.6370962972000012</v>
      </c>
      <c r="J11" s="7">
        <f t="shared" si="5"/>
        <v>4.7762091861160014</v>
      </c>
      <c r="K11" s="7">
        <f>K10*40%</f>
        <v>4.9194954616994817</v>
      </c>
      <c r="L11" s="27">
        <v>0</v>
      </c>
      <c r="M11" s="1" t="s">
        <v>2</v>
      </c>
    </row>
    <row r="12" spans="1:15" x14ac:dyDescent="0.25">
      <c r="A12" s="1" t="s">
        <v>94</v>
      </c>
      <c r="D12" s="7">
        <v>10</v>
      </c>
      <c r="E12" s="7">
        <f t="shared" ref="E12:K12" si="6">D12*(1+$L$12)</f>
        <v>10.3</v>
      </c>
      <c r="F12" s="7">
        <f t="shared" si="6"/>
        <v>10.609000000000002</v>
      </c>
      <c r="G12" s="7">
        <f t="shared" si="6"/>
        <v>10.927270000000002</v>
      </c>
      <c r="H12" s="7">
        <f t="shared" si="6"/>
        <v>11.255088100000002</v>
      </c>
      <c r="I12" s="7">
        <f t="shared" si="6"/>
        <v>11.592740743000002</v>
      </c>
      <c r="J12" s="7">
        <f t="shared" si="6"/>
        <v>11.940522965290002</v>
      </c>
      <c r="K12" s="7">
        <f t="shared" si="6"/>
        <v>12.298738654248703</v>
      </c>
      <c r="L12" s="25">
        <v>0.03</v>
      </c>
    </row>
    <row r="13" spans="1:15" x14ac:dyDescent="0.25">
      <c r="D13" s="7"/>
      <c r="E13" s="7"/>
      <c r="F13" s="7"/>
      <c r="G13" s="7"/>
      <c r="H13" s="7"/>
      <c r="I13" s="7"/>
      <c r="J13" s="7"/>
      <c r="K13" s="7"/>
    </row>
    <row r="14" spans="1:15" x14ac:dyDescent="0.25">
      <c r="A14" s="4" t="s">
        <v>3</v>
      </c>
    </row>
    <row r="15" spans="1:15" x14ac:dyDescent="0.25">
      <c r="A15" s="1" t="s">
        <v>96</v>
      </c>
      <c r="D15" s="9">
        <v>50</v>
      </c>
      <c r="E15" s="9">
        <v>50</v>
      </c>
      <c r="F15" s="9">
        <v>50</v>
      </c>
      <c r="G15" s="9">
        <v>50</v>
      </c>
      <c r="H15" s="9">
        <v>50</v>
      </c>
      <c r="I15" s="9">
        <v>50</v>
      </c>
      <c r="J15" s="9">
        <v>50</v>
      </c>
      <c r="K15" s="9">
        <v>50</v>
      </c>
      <c r="L15" s="5"/>
    </row>
    <row r="17" spans="1:13" x14ac:dyDescent="0.25">
      <c r="A17" s="4" t="s">
        <v>4</v>
      </c>
      <c r="H17" s="11"/>
      <c r="I17" s="11"/>
      <c r="J17" s="11"/>
      <c r="K17" s="11"/>
    </row>
    <row r="18" spans="1:13" x14ac:dyDescent="0.25">
      <c r="A18" s="10" t="s">
        <v>5</v>
      </c>
      <c r="B18" s="1" t="s">
        <v>6</v>
      </c>
      <c r="D18" s="11">
        <f>D4*((D5*D7)+(D6*D8))*30*12</f>
        <v>1460160</v>
      </c>
      <c r="E18" s="11">
        <f t="shared" ref="E18:K18" si="7">E4*((E5*E7)+(E6*E8))*30*12</f>
        <v>1443806.2079999999</v>
      </c>
      <c r="F18" s="11">
        <f t="shared" si="7"/>
        <v>1427635.5784704001</v>
      </c>
      <c r="G18" s="11">
        <f t="shared" si="7"/>
        <v>1411646.0599915315</v>
      </c>
      <c r="H18" s="11">
        <f t="shared" si="7"/>
        <v>1395835.6241196264</v>
      </c>
      <c r="I18" s="11">
        <f t="shared" si="7"/>
        <v>1380202.2651294861</v>
      </c>
      <c r="J18" s="11">
        <f t="shared" si="7"/>
        <v>1364743.9997600359</v>
      </c>
      <c r="K18" s="11">
        <f t="shared" si="7"/>
        <v>1349458.8669627234</v>
      </c>
    </row>
    <row r="19" spans="1:13" x14ac:dyDescent="0.25">
      <c r="A19" s="10"/>
      <c r="B19" s="1" t="s">
        <v>74</v>
      </c>
      <c r="D19" s="11">
        <f>D9*(D5+D6)*D4*30*12*D10</f>
        <v>160919.99999999997</v>
      </c>
      <c r="E19" s="11">
        <f t="shared" ref="E19:K19" si="8">E9*(E5+E6)*E4*30*12*E10</f>
        <v>159117.696</v>
      </c>
      <c r="F19" s="11">
        <f t="shared" si="8"/>
        <v>157335.57780480001</v>
      </c>
      <c r="G19" s="11">
        <f t="shared" si="8"/>
        <v>155573.41933338626</v>
      </c>
      <c r="H19" s="11">
        <f t="shared" si="8"/>
        <v>153830.99703685232</v>
      </c>
      <c r="I19" s="11">
        <f t="shared" si="8"/>
        <v>152108.08987003955</v>
      </c>
      <c r="J19" s="11">
        <f t="shared" si="8"/>
        <v>150404.4792634951</v>
      </c>
      <c r="K19" s="11">
        <f t="shared" si="8"/>
        <v>148719.94909574394</v>
      </c>
    </row>
    <row r="20" spans="1:13" x14ac:dyDescent="0.25">
      <c r="A20" s="10"/>
      <c r="B20" s="1" t="s">
        <v>93</v>
      </c>
      <c r="D20" s="11">
        <f>D4*(D5+D6)*D12*30*12*50%</f>
        <v>80459.999999999985</v>
      </c>
      <c r="E20" s="11">
        <f t="shared" ref="E20:K20" si="9">E4*(E5+E6)*E12*30*12*50%</f>
        <v>79558.847999999998</v>
      </c>
      <c r="F20" s="11">
        <f t="shared" si="9"/>
        <v>78667.788902400003</v>
      </c>
      <c r="G20" s="11">
        <f t="shared" si="9"/>
        <v>77786.709666693117</v>
      </c>
      <c r="H20" s="11">
        <f t="shared" si="9"/>
        <v>76915.49851842616</v>
      </c>
      <c r="I20" s="11">
        <f t="shared" si="9"/>
        <v>76054.044935019774</v>
      </c>
      <c r="J20" s="11">
        <f t="shared" si="9"/>
        <v>75202.23963174755</v>
      </c>
      <c r="K20" s="11">
        <f t="shared" si="9"/>
        <v>74359.974547871971</v>
      </c>
    </row>
    <row r="21" spans="1:13" x14ac:dyDescent="0.25">
      <c r="A21" s="10"/>
      <c r="H21" s="11"/>
      <c r="I21" s="11"/>
      <c r="J21" s="11"/>
      <c r="K21" s="11"/>
    </row>
    <row r="22" spans="1:13" x14ac:dyDescent="0.25">
      <c r="A22" s="10" t="s">
        <v>95</v>
      </c>
      <c r="D22" s="11">
        <f>D9*(D5+D6)*D4*30*12*D11</f>
        <v>64367.999999999985</v>
      </c>
      <c r="E22" s="11">
        <f t="shared" ref="E22:K22" si="10">E9*(E5+E6)*E4*30*12*E11</f>
        <v>63647.078399999999</v>
      </c>
      <c r="F22" s="11">
        <f t="shared" si="10"/>
        <v>62934.231121919998</v>
      </c>
      <c r="G22" s="11">
        <f t="shared" si="10"/>
        <v>62229.367733354506</v>
      </c>
      <c r="H22" s="11">
        <f t="shared" si="10"/>
        <v>61532.398814740918</v>
      </c>
      <c r="I22" s="11">
        <f t="shared" si="10"/>
        <v>60843.235948015819</v>
      </c>
      <c r="J22" s="11">
        <f t="shared" si="10"/>
        <v>60161.791705398049</v>
      </c>
      <c r="K22" s="11">
        <f t="shared" si="10"/>
        <v>59487.979638297584</v>
      </c>
    </row>
    <row r="23" spans="1:13" x14ac:dyDescent="0.25">
      <c r="A23" s="10"/>
      <c r="D23" s="11"/>
      <c r="E23" s="11"/>
      <c r="F23" s="11"/>
      <c r="G23" s="11"/>
      <c r="H23" s="11"/>
      <c r="I23" s="11"/>
      <c r="J23" s="11"/>
      <c r="K23" s="11"/>
    </row>
    <row r="24" spans="1:13" x14ac:dyDescent="0.25">
      <c r="A24" s="1" t="s">
        <v>7</v>
      </c>
      <c r="D24" s="11"/>
      <c r="E24" s="11"/>
      <c r="F24" s="11"/>
      <c r="G24" s="11"/>
      <c r="H24" s="11"/>
      <c r="I24" s="11"/>
      <c r="J24" s="11"/>
      <c r="K24" s="11"/>
    </row>
    <row r="25" spans="1:13" x14ac:dyDescent="0.25">
      <c r="B25" s="1" t="s">
        <v>8</v>
      </c>
      <c r="D25" s="12">
        <f>D18*12%</f>
        <v>175219.19999999998</v>
      </c>
      <c r="E25" s="12">
        <f t="shared" ref="E25:K25" si="11">E18*12%</f>
        <v>173256.74495999998</v>
      </c>
      <c r="F25" s="12">
        <f t="shared" si="11"/>
        <v>171316.26941644799</v>
      </c>
      <c r="G25" s="12">
        <f t="shared" si="11"/>
        <v>169397.52719898379</v>
      </c>
      <c r="H25" s="12">
        <f t="shared" si="11"/>
        <v>167500.27489435516</v>
      </c>
      <c r="I25" s="12">
        <f t="shared" si="11"/>
        <v>165624.27181553832</v>
      </c>
      <c r="J25" s="12">
        <f t="shared" si="11"/>
        <v>163769.27997120429</v>
      </c>
      <c r="K25" s="12">
        <f t="shared" si="11"/>
        <v>161935.0640355268</v>
      </c>
      <c r="L25" s="27">
        <f>12%</f>
        <v>0.12</v>
      </c>
      <c r="M25" s="1" t="s">
        <v>9</v>
      </c>
    </row>
    <row r="26" spans="1:13" x14ac:dyDescent="0.25">
      <c r="B26" s="1" t="s">
        <v>83</v>
      </c>
      <c r="D26" s="11">
        <f>D18*10%</f>
        <v>146016</v>
      </c>
      <c r="E26" s="11">
        <f>E18*10%</f>
        <v>144380.6208</v>
      </c>
      <c r="F26" s="11">
        <f t="shared" ref="F26:K26" si="12">F18*10%</f>
        <v>142763.55784704001</v>
      </c>
      <c r="G26" s="11">
        <f t="shared" si="12"/>
        <v>141164.60599915317</v>
      </c>
      <c r="H26" s="11">
        <f t="shared" si="12"/>
        <v>139583.56241196263</v>
      </c>
      <c r="I26" s="11">
        <f t="shared" si="12"/>
        <v>138020.2265129486</v>
      </c>
      <c r="J26" s="11">
        <f t="shared" si="12"/>
        <v>136474.39997600359</v>
      </c>
      <c r="K26" s="11">
        <f t="shared" si="12"/>
        <v>134945.88669627236</v>
      </c>
      <c r="L26" s="27">
        <f>D26/D18</f>
        <v>0.1</v>
      </c>
      <c r="M26" s="1" t="s">
        <v>9</v>
      </c>
    </row>
    <row r="27" spans="1:13" x14ac:dyDescent="0.25">
      <c r="B27" s="1" t="s">
        <v>98</v>
      </c>
      <c r="D27" s="11">
        <f>D18*4%*D4</f>
        <v>17521.919999999998</v>
      </c>
      <c r="E27" s="11">
        <f t="shared" ref="E27:J27" si="13">E18*4%*E4</f>
        <v>16632.647516159999</v>
      </c>
      <c r="F27" s="11">
        <f t="shared" si="13"/>
        <v>15788.507389419847</v>
      </c>
      <c r="G27" s="11">
        <f t="shared" si="13"/>
        <v>14987.20906239201</v>
      </c>
      <c r="H27" s="11">
        <f t="shared" si="13"/>
        <v>14226.578228057488</v>
      </c>
      <c r="I27" s="11">
        <f t="shared" si="13"/>
        <v>13504.55092982711</v>
      </c>
      <c r="J27" s="11">
        <f t="shared" si="13"/>
        <v>12819.167961036525</v>
      </c>
      <c r="K27" s="11">
        <f>K18*4%*K4</f>
        <v>12168.569548677999</v>
      </c>
      <c r="L27" s="5"/>
    </row>
    <row r="28" spans="1:13" x14ac:dyDescent="0.25">
      <c r="B28" s="1" t="s">
        <v>10</v>
      </c>
      <c r="D28" s="11">
        <f>D18*3%</f>
        <v>43804.799999999996</v>
      </c>
      <c r="E28" s="11">
        <f t="shared" ref="E28:K28" si="14">E18*3%</f>
        <v>43314.186239999995</v>
      </c>
      <c r="F28" s="11">
        <f t="shared" si="14"/>
        <v>42829.067354111998</v>
      </c>
      <c r="G28" s="11">
        <f t="shared" si="14"/>
        <v>42349.381799745948</v>
      </c>
      <c r="H28" s="11">
        <f t="shared" si="14"/>
        <v>41875.068723588789</v>
      </c>
      <c r="I28" s="11">
        <f t="shared" si="14"/>
        <v>41406.06795388458</v>
      </c>
      <c r="J28" s="11">
        <f t="shared" si="14"/>
        <v>40942.319992801073</v>
      </c>
      <c r="K28" s="11">
        <f t="shared" si="14"/>
        <v>40483.766008881699</v>
      </c>
      <c r="L28" s="27">
        <v>0.03</v>
      </c>
      <c r="M28" s="1" t="s">
        <v>162</v>
      </c>
    </row>
    <row r="29" spans="1:13" x14ac:dyDescent="0.25">
      <c r="B29" s="1" t="s">
        <v>11</v>
      </c>
      <c r="D29" s="11">
        <f>D18*8%</f>
        <v>116812.8</v>
      </c>
      <c r="E29" s="11">
        <f t="shared" ref="E29:K29" si="15">E18*8%</f>
        <v>115504.49664</v>
      </c>
      <c r="F29" s="11">
        <f t="shared" si="15"/>
        <v>114210.84627763201</v>
      </c>
      <c r="G29" s="11">
        <f t="shared" si="15"/>
        <v>112931.68479932252</v>
      </c>
      <c r="H29" s="11">
        <f t="shared" si="15"/>
        <v>111666.8499295701</v>
      </c>
      <c r="I29" s="11">
        <f t="shared" si="15"/>
        <v>110416.18121035889</v>
      </c>
      <c r="J29" s="11">
        <f t="shared" si="15"/>
        <v>109179.51998080287</v>
      </c>
      <c r="K29" s="11">
        <f t="shared" si="15"/>
        <v>107956.70935701788</v>
      </c>
      <c r="L29" s="27">
        <v>0.08</v>
      </c>
      <c r="M29" s="1" t="s">
        <v>162</v>
      </c>
    </row>
    <row r="30" spans="1:13" x14ac:dyDescent="0.25">
      <c r="B30" s="1" t="s">
        <v>97</v>
      </c>
      <c r="D30" s="11">
        <f>D18*15%</f>
        <v>219024</v>
      </c>
      <c r="E30" s="11">
        <f t="shared" ref="E30:K30" si="16">E18*15%</f>
        <v>216570.93119999996</v>
      </c>
      <c r="F30" s="11">
        <f t="shared" si="16"/>
        <v>214145.33677056001</v>
      </c>
      <c r="G30" s="11">
        <f t="shared" si="16"/>
        <v>211746.90899872972</v>
      </c>
      <c r="H30" s="11">
        <f t="shared" si="16"/>
        <v>209375.34361794396</v>
      </c>
      <c r="I30" s="11">
        <f t="shared" si="16"/>
        <v>207030.33976942292</v>
      </c>
      <c r="J30" s="11">
        <f t="shared" si="16"/>
        <v>204711.59996400538</v>
      </c>
      <c r="K30" s="11">
        <f t="shared" si="16"/>
        <v>202418.8300444085</v>
      </c>
      <c r="L30" s="27">
        <v>0.15</v>
      </c>
      <c r="M30" s="1" t="s">
        <v>162</v>
      </c>
    </row>
    <row r="31" spans="1:13" x14ac:dyDescent="0.25">
      <c r="B31" s="1" t="s">
        <v>12</v>
      </c>
      <c r="D31" s="11">
        <f>SUM(D25:D30)</f>
        <v>718398.72</v>
      </c>
      <c r="E31" s="11">
        <f t="shared" ref="E31:K31" si="17">SUM(E25:E30)</f>
        <v>709659.62735615997</v>
      </c>
      <c r="F31" s="11">
        <f t="shared" si="17"/>
        <v>701053.58505521179</v>
      </c>
      <c r="G31" s="11">
        <f t="shared" si="17"/>
        <v>692577.31785832718</v>
      </c>
      <c r="H31" s="11">
        <f t="shared" si="17"/>
        <v>684227.6778054781</v>
      </c>
      <c r="I31" s="11">
        <f t="shared" si="17"/>
        <v>676001.63819198043</v>
      </c>
      <c r="J31" s="11">
        <f t="shared" si="17"/>
        <v>667896.28784585383</v>
      </c>
      <c r="K31" s="11">
        <f t="shared" si="17"/>
        <v>659908.82569078519</v>
      </c>
      <c r="M31" s="1" t="s">
        <v>163</v>
      </c>
    </row>
    <row r="32" spans="1:13" x14ac:dyDescent="0.25">
      <c r="B32" s="1" t="s">
        <v>186</v>
      </c>
      <c r="D32" s="11">
        <f t="shared" ref="D32:K32" si="18">D49*1%</f>
        <v>41000</v>
      </c>
      <c r="E32" s="11">
        <f t="shared" si="18"/>
        <v>41000</v>
      </c>
      <c r="F32" s="11">
        <f t="shared" si="18"/>
        <v>41000</v>
      </c>
      <c r="G32" s="11">
        <f t="shared" si="18"/>
        <v>41000</v>
      </c>
      <c r="H32" s="11">
        <f t="shared" si="18"/>
        <v>41000</v>
      </c>
      <c r="I32" s="11">
        <f t="shared" si="18"/>
        <v>41000</v>
      </c>
      <c r="J32" s="11">
        <f t="shared" si="18"/>
        <v>41000</v>
      </c>
      <c r="K32" s="11">
        <f t="shared" si="18"/>
        <v>41000</v>
      </c>
    </row>
    <row r="33" spans="1:13" x14ac:dyDescent="0.25">
      <c r="A33" s="1" t="s">
        <v>13</v>
      </c>
      <c r="D33" s="11">
        <f>SUM(D18:D20)-D22-D31</f>
        <v>918773.28</v>
      </c>
      <c r="E33" s="11">
        <f t="shared" ref="E33:K33" si="19">SUM(E18:E20)-E22-E31</f>
        <v>909176.0462438399</v>
      </c>
      <c r="F33" s="11">
        <f t="shared" si="19"/>
        <v>899651.12900046841</v>
      </c>
      <c r="G33" s="11">
        <f t="shared" si="19"/>
        <v>890199.50339992926</v>
      </c>
      <c r="H33" s="11">
        <f t="shared" si="19"/>
        <v>880822.04305468604</v>
      </c>
      <c r="I33" s="11">
        <f t="shared" si="19"/>
        <v>871519.52579454926</v>
      </c>
      <c r="J33" s="11">
        <f t="shared" si="19"/>
        <v>862292.63910402672</v>
      </c>
      <c r="K33" s="11">
        <f t="shared" si="19"/>
        <v>853141.9852772567</v>
      </c>
    </row>
    <row r="34" spans="1:13" x14ac:dyDescent="0.25">
      <c r="D34" s="11"/>
      <c r="E34" s="11"/>
      <c r="F34" s="11"/>
      <c r="G34" s="11"/>
      <c r="H34" s="11"/>
      <c r="I34" s="11"/>
      <c r="J34" s="11"/>
      <c r="K34" s="11"/>
    </row>
    <row r="35" spans="1:13" x14ac:dyDescent="0.25">
      <c r="A35" s="1" t="s">
        <v>107</v>
      </c>
      <c r="D35" s="11">
        <f>D53/15</f>
        <v>66666.666666666672</v>
      </c>
      <c r="E35" s="11">
        <f t="shared" ref="E35:K35" si="20">E53/15</f>
        <v>66666.666666666672</v>
      </c>
      <c r="F35" s="11">
        <f t="shared" si="20"/>
        <v>66666.666666666672</v>
      </c>
      <c r="G35" s="11">
        <f t="shared" si="20"/>
        <v>66666.666666666672</v>
      </c>
      <c r="H35" s="11">
        <f t="shared" si="20"/>
        <v>66666.666666666672</v>
      </c>
      <c r="I35" s="11">
        <f t="shared" si="20"/>
        <v>66666.666666666672</v>
      </c>
      <c r="J35" s="11">
        <f t="shared" si="20"/>
        <v>66666.666666666672</v>
      </c>
      <c r="K35" s="11">
        <f t="shared" si="20"/>
        <v>66666.666666666672</v>
      </c>
    </row>
    <row r="36" spans="1:13" x14ac:dyDescent="0.25">
      <c r="A36" s="1" t="s">
        <v>189</v>
      </c>
      <c r="D36" s="11">
        <f>D49/30</f>
        <v>136666.66666666666</v>
      </c>
      <c r="E36" s="11">
        <f t="shared" ref="E36:K36" si="21">E49/30</f>
        <v>136666.66666666666</v>
      </c>
      <c r="F36" s="11">
        <f t="shared" si="21"/>
        <v>136666.66666666666</v>
      </c>
      <c r="G36" s="11">
        <f t="shared" si="21"/>
        <v>136666.66666666666</v>
      </c>
      <c r="H36" s="11">
        <f t="shared" si="21"/>
        <v>136666.66666666666</v>
      </c>
      <c r="I36" s="11">
        <f t="shared" si="21"/>
        <v>136666.66666666666</v>
      </c>
      <c r="J36" s="11">
        <f t="shared" si="21"/>
        <v>136666.66666666666</v>
      </c>
      <c r="K36" s="11">
        <f t="shared" si="21"/>
        <v>136666.66666666666</v>
      </c>
    </row>
    <row r="37" spans="1:13" x14ac:dyDescent="0.25">
      <c r="A37" s="1" t="s">
        <v>14</v>
      </c>
      <c r="D37" s="11">
        <f>Mortgage!D14</f>
        <v>172021.7438873403</v>
      </c>
      <c r="E37" s="11">
        <f>Mortgage!D28</f>
        <v>149251.83716528441</v>
      </c>
      <c r="F37" s="11">
        <f>Mortgage!D42</f>
        <v>124835.8920452021</v>
      </c>
      <c r="G37" s="11">
        <f>Mortgage!D56</f>
        <v>98654.916278207675</v>
      </c>
      <c r="H37" s="11">
        <f>Mortgage!D70</f>
        <v>70581.315656122024</v>
      </c>
      <c r="I37" s="11">
        <f>Mortgage!D84</f>
        <v>40478.272175140155</v>
      </c>
      <c r="J37" s="11">
        <f>Mortgage!D98</f>
        <v>8199.0772468993237</v>
      </c>
      <c r="K37" s="11"/>
    </row>
    <row r="38" spans="1:13" x14ac:dyDescent="0.25">
      <c r="A38" s="1" t="s">
        <v>82</v>
      </c>
      <c r="D38" s="11">
        <f>D63*$L$38</f>
        <v>293783.60000000003</v>
      </c>
      <c r="E38" s="11">
        <f t="shared" ref="E38:K38" si="22">E63*$L$38</f>
        <v>339329.45</v>
      </c>
      <c r="F38" s="11">
        <f t="shared" si="22"/>
        <v>355333.9</v>
      </c>
      <c r="G38" s="11">
        <f t="shared" si="22"/>
        <v>374043</v>
      </c>
      <c r="H38" s="11">
        <f t="shared" si="22"/>
        <v>395652.7</v>
      </c>
      <c r="I38" s="11">
        <f t="shared" si="22"/>
        <v>420373.27</v>
      </c>
      <c r="J38" s="11">
        <f t="shared" si="22"/>
        <v>432320.4</v>
      </c>
      <c r="K38" s="11">
        <f t="shared" si="22"/>
        <v>409843.97000000003</v>
      </c>
      <c r="L38" s="5">
        <v>0.1</v>
      </c>
      <c r="M38" s="1" t="s">
        <v>15</v>
      </c>
    </row>
    <row r="39" spans="1:13" x14ac:dyDescent="0.25">
      <c r="D39" s="11"/>
      <c r="E39" s="11"/>
      <c r="F39" s="11"/>
      <c r="G39" s="11"/>
      <c r="H39" s="11"/>
      <c r="I39" s="11"/>
      <c r="J39" s="11"/>
      <c r="K39" s="11"/>
    </row>
    <row r="40" spans="1:13" x14ac:dyDescent="0.25">
      <c r="A40" s="1" t="s">
        <v>16</v>
      </c>
      <c r="D40" s="11">
        <f>D33-SUM(D35:D38)</f>
        <v>249634.60277932638</v>
      </c>
      <c r="E40" s="11">
        <f t="shared" ref="E40:K40" si="23">E33-SUM(E35:E38)</f>
        <v>217261.42574522225</v>
      </c>
      <c r="F40" s="11">
        <f t="shared" si="23"/>
        <v>216148.00362193305</v>
      </c>
      <c r="G40" s="11">
        <f t="shared" si="23"/>
        <v>214168.25378838833</v>
      </c>
      <c r="H40" s="11">
        <f t="shared" si="23"/>
        <v>211254.69406523078</v>
      </c>
      <c r="I40" s="11">
        <f t="shared" si="23"/>
        <v>207334.65028607578</v>
      </c>
      <c r="J40" s="11">
        <f t="shared" si="23"/>
        <v>218439.82852379407</v>
      </c>
      <c r="K40" s="11">
        <f t="shared" si="23"/>
        <v>239964.68194392335</v>
      </c>
    </row>
    <row r="41" spans="1:13" x14ac:dyDescent="0.25">
      <c r="A41" s="1" t="s">
        <v>17</v>
      </c>
      <c r="D41" s="12">
        <f>IF(D40&lt;0,0,D40*$L$41)</f>
        <v>74890.380833797914</v>
      </c>
      <c r="E41" s="12">
        <f t="shared" ref="E41:K41" si="24">IF(E40&lt;0,0,E40*$L$41)</f>
        <v>65178.427723566674</v>
      </c>
      <c r="F41" s="12">
        <f t="shared" si="24"/>
        <v>64844.401086579914</v>
      </c>
      <c r="G41" s="12">
        <f t="shared" si="24"/>
        <v>64250.476136516496</v>
      </c>
      <c r="H41" s="12">
        <f t="shared" si="24"/>
        <v>63376.408219569232</v>
      </c>
      <c r="I41" s="12">
        <f t="shared" si="24"/>
        <v>62200.395085822733</v>
      </c>
      <c r="J41" s="12">
        <f t="shared" si="24"/>
        <v>65531.948557138217</v>
      </c>
      <c r="K41" s="12">
        <f t="shared" si="24"/>
        <v>71989.404583177005</v>
      </c>
      <c r="L41" s="5">
        <v>0.3</v>
      </c>
      <c r="M41" s="1" t="s">
        <v>18</v>
      </c>
    </row>
    <row r="42" spans="1:13" x14ac:dyDescent="0.25">
      <c r="A42" s="4" t="s">
        <v>19</v>
      </c>
      <c r="D42" s="11">
        <f>D40-D41</f>
        <v>174744.22194552846</v>
      </c>
      <c r="E42" s="11">
        <f t="shared" ref="E42:K42" si="25">E40-E41</f>
        <v>152082.99802165557</v>
      </c>
      <c r="F42" s="11">
        <f t="shared" si="25"/>
        <v>151303.60253535313</v>
      </c>
      <c r="G42" s="11">
        <f t="shared" si="25"/>
        <v>149917.77765187185</v>
      </c>
      <c r="H42" s="11">
        <f t="shared" si="25"/>
        <v>147878.28584566154</v>
      </c>
      <c r="I42" s="11">
        <f t="shared" si="25"/>
        <v>145134.25520025304</v>
      </c>
      <c r="J42" s="11">
        <f t="shared" si="25"/>
        <v>152907.87996665586</v>
      </c>
      <c r="K42" s="11">
        <f t="shared" si="25"/>
        <v>167975.27736074635</v>
      </c>
      <c r="M42" s="1" t="s">
        <v>166</v>
      </c>
    </row>
    <row r="43" spans="1:13" x14ac:dyDescent="0.25">
      <c r="A43" s="4"/>
    </row>
    <row r="45" spans="1:13" x14ac:dyDescent="0.25">
      <c r="A45" s="4" t="s">
        <v>20</v>
      </c>
    </row>
    <row r="46" spans="1:13" x14ac:dyDescent="0.25">
      <c r="A46" s="4" t="s">
        <v>21</v>
      </c>
      <c r="D46" s="11"/>
      <c r="E46" s="11"/>
      <c r="F46" s="11"/>
      <c r="G46" s="11"/>
      <c r="H46" s="11"/>
      <c r="I46" s="11"/>
      <c r="J46" s="11"/>
      <c r="K46" s="11"/>
    </row>
    <row r="47" spans="1:13" x14ac:dyDescent="0.25">
      <c r="A47" s="1" t="s">
        <v>73</v>
      </c>
      <c r="L47" s="12"/>
    </row>
    <row r="48" spans="1:13" x14ac:dyDescent="0.25">
      <c r="A48" s="1" t="s">
        <v>72</v>
      </c>
      <c r="D48" s="11">
        <v>10000</v>
      </c>
      <c r="E48" s="11">
        <v>10000</v>
      </c>
      <c r="F48" s="11">
        <v>10000</v>
      </c>
      <c r="G48" s="11">
        <v>10000</v>
      </c>
      <c r="H48" s="11">
        <v>10000</v>
      </c>
      <c r="I48" s="11">
        <v>10000</v>
      </c>
      <c r="J48" s="11">
        <v>10000</v>
      </c>
      <c r="K48" s="11">
        <v>10000</v>
      </c>
    </row>
    <row r="49" spans="1:13" x14ac:dyDescent="0.25">
      <c r="A49" s="1" t="s">
        <v>22</v>
      </c>
      <c r="D49" s="11">
        <v>4100000</v>
      </c>
      <c r="E49" s="11">
        <v>4100000</v>
      </c>
      <c r="F49" s="11">
        <v>4100000</v>
      </c>
      <c r="G49" s="11">
        <v>4100000</v>
      </c>
      <c r="H49" s="11">
        <v>4100000</v>
      </c>
      <c r="I49" s="11">
        <v>4100000</v>
      </c>
      <c r="J49" s="11">
        <v>4100000</v>
      </c>
      <c r="K49" s="11">
        <v>4100000</v>
      </c>
    </row>
    <row r="50" spans="1:13" x14ac:dyDescent="0.25">
      <c r="A50" s="1" t="s">
        <v>190</v>
      </c>
      <c r="D50" s="11">
        <f>D36+E36</f>
        <v>273333.33333333331</v>
      </c>
      <c r="E50" s="11">
        <f t="shared" ref="E50:K50" si="26">D50+E36</f>
        <v>410000</v>
      </c>
      <c r="F50" s="11">
        <f t="shared" si="26"/>
        <v>546666.66666666663</v>
      </c>
      <c r="G50" s="11">
        <f t="shared" si="26"/>
        <v>683333.33333333326</v>
      </c>
      <c r="H50" s="11">
        <f t="shared" si="26"/>
        <v>819999.99999999988</v>
      </c>
      <c r="I50" s="11">
        <f t="shared" si="26"/>
        <v>956666.66666666651</v>
      </c>
      <c r="J50" s="11">
        <f t="shared" si="26"/>
        <v>1093333.3333333333</v>
      </c>
      <c r="K50" s="11">
        <f t="shared" si="26"/>
        <v>1230000</v>
      </c>
    </row>
    <row r="51" spans="1:13" x14ac:dyDescent="0.25">
      <c r="A51" s="1" t="s">
        <v>191</v>
      </c>
      <c r="D51" s="11">
        <f>D49-D50</f>
        <v>3826666.6666666665</v>
      </c>
      <c r="E51" s="11">
        <f t="shared" ref="E51:K51" si="27">E49-E50</f>
        <v>3690000</v>
      </c>
      <c r="F51" s="11">
        <f t="shared" si="27"/>
        <v>3553333.3333333335</v>
      </c>
      <c r="G51" s="11">
        <f t="shared" si="27"/>
        <v>3416666.666666667</v>
      </c>
      <c r="H51" s="11">
        <f t="shared" si="27"/>
        <v>3280000</v>
      </c>
      <c r="I51" s="11">
        <f t="shared" si="27"/>
        <v>3143333.3333333335</v>
      </c>
      <c r="J51" s="11">
        <f t="shared" si="27"/>
        <v>3006666.666666667</v>
      </c>
      <c r="K51" s="11">
        <f t="shared" si="27"/>
        <v>2870000</v>
      </c>
    </row>
    <row r="52" spans="1:13" x14ac:dyDescent="0.25">
      <c r="A52" s="1" t="s">
        <v>188</v>
      </c>
      <c r="D52" s="11">
        <f>1000000</f>
        <v>1000000</v>
      </c>
      <c r="E52" s="11">
        <f t="shared" ref="E52:K52" si="28">1000000</f>
        <v>1000000</v>
      </c>
      <c r="F52" s="11">
        <f t="shared" si="28"/>
        <v>1000000</v>
      </c>
      <c r="G52" s="11">
        <f t="shared" si="28"/>
        <v>1000000</v>
      </c>
      <c r="H52" s="11">
        <f t="shared" si="28"/>
        <v>1000000</v>
      </c>
      <c r="I52" s="11">
        <f t="shared" si="28"/>
        <v>1000000</v>
      </c>
      <c r="J52" s="11">
        <f t="shared" si="28"/>
        <v>1000000</v>
      </c>
      <c r="K52" s="11">
        <f t="shared" si="28"/>
        <v>1000000</v>
      </c>
    </row>
    <row r="53" spans="1:13" x14ac:dyDescent="0.25">
      <c r="A53" s="1" t="s">
        <v>106</v>
      </c>
      <c r="D53" s="12">
        <v>1000000</v>
      </c>
      <c r="E53" s="12">
        <v>1000000</v>
      </c>
      <c r="F53" s="12">
        <v>1000000</v>
      </c>
      <c r="G53" s="12">
        <v>1000000</v>
      </c>
      <c r="H53" s="12">
        <v>1000000</v>
      </c>
      <c r="I53" s="12">
        <v>1000000</v>
      </c>
      <c r="J53" s="12">
        <v>1000000</v>
      </c>
      <c r="K53" s="12">
        <v>1000000</v>
      </c>
    </row>
    <row r="54" spans="1:13" x14ac:dyDescent="0.25">
      <c r="A54" s="1" t="s">
        <v>108</v>
      </c>
      <c r="D54" s="12">
        <f>D35</f>
        <v>66666.666666666672</v>
      </c>
      <c r="E54" s="12">
        <f t="shared" ref="E54:K54" si="29">D54+E35</f>
        <v>133333.33333333334</v>
      </c>
      <c r="F54" s="12">
        <f t="shared" si="29"/>
        <v>200000</v>
      </c>
      <c r="G54" s="12">
        <f t="shared" si="29"/>
        <v>266666.66666666669</v>
      </c>
      <c r="H54" s="12">
        <f t="shared" si="29"/>
        <v>333333.33333333337</v>
      </c>
      <c r="I54" s="12">
        <f t="shared" si="29"/>
        <v>400000.00000000006</v>
      </c>
      <c r="J54" s="12">
        <f t="shared" si="29"/>
        <v>466666.66666666674</v>
      </c>
      <c r="K54" s="12">
        <f t="shared" si="29"/>
        <v>533333.33333333337</v>
      </c>
      <c r="M54" s="1" t="s">
        <v>164</v>
      </c>
    </row>
    <row r="55" spans="1:13" x14ac:dyDescent="0.25">
      <c r="A55" s="1" t="s">
        <v>192</v>
      </c>
      <c r="D55" s="12">
        <f>D53-D54</f>
        <v>933333.33333333337</v>
      </c>
      <c r="E55" s="12">
        <f t="shared" ref="E55:K55" si="30">E53-E54</f>
        <v>866666.66666666663</v>
      </c>
      <c r="F55" s="12">
        <f t="shared" si="30"/>
        <v>800000</v>
      </c>
      <c r="G55" s="12">
        <f t="shared" si="30"/>
        <v>733333.33333333326</v>
      </c>
      <c r="H55" s="12">
        <f t="shared" si="30"/>
        <v>666666.66666666663</v>
      </c>
      <c r="I55" s="12">
        <f t="shared" si="30"/>
        <v>600000</v>
      </c>
      <c r="J55" s="12">
        <f t="shared" si="30"/>
        <v>533333.33333333326</v>
      </c>
      <c r="K55" s="12">
        <f t="shared" si="30"/>
        <v>466666.66666666663</v>
      </c>
    </row>
    <row r="56" spans="1:13" x14ac:dyDescent="0.25">
      <c r="A56" s="4" t="s">
        <v>23</v>
      </c>
      <c r="D56" s="12">
        <f>SUM(D47:D48)+D51+D52+D55</f>
        <v>5769999.9999999991</v>
      </c>
      <c r="E56" s="12">
        <f>SUM(E47:E48)+E51+E52+E55</f>
        <v>5566666.666666667</v>
      </c>
      <c r="F56" s="12">
        <f t="shared" ref="F56:K56" si="31">SUM(F47:F48)+F51+F52+F55</f>
        <v>5363333.333333334</v>
      </c>
      <c r="G56" s="12">
        <f t="shared" si="31"/>
        <v>5160000</v>
      </c>
      <c r="H56" s="12">
        <f t="shared" si="31"/>
        <v>4956666.666666667</v>
      </c>
      <c r="I56" s="12">
        <f t="shared" si="31"/>
        <v>4753333.333333334</v>
      </c>
      <c r="J56" s="12">
        <f t="shared" si="31"/>
        <v>4550000</v>
      </c>
      <c r="K56" s="12">
        <f t="shared" si="31"/>
        <v>4346666.666666667</v>
      </c>
    </row>
    <row r="58" spans="1:13" x14ac:dyDescent="0.25">
      <c r="A58" s="4" t="s">
        <v>24</v>
      </c>
      <c r="D58" s="11"/>
      <c r="E58" s="11"/>
      <c r="F58" s="11"/>
      <c r="G58" s="11"/>
      <c r="H58" s="11"/>
      <c r="I58" s="11"/>
      <c r="J58" s="11"/>
      <c r="K58" s="11"/>
    </row>
    <row r="59" spans="1:13" x14ac:dyDescent="0.25">
      <c r="A59" s="1" t="s">
        <v>25</v>
      </c>
      <c r="D59" s="11">
        <f>(D22/360*
D15)</f>
        <v>8939.9999999999982</v>
      </c>
      <c r="E59" s="11">
        <f t="shared" ref="E59:K59" si="32">(E22/360*
E15)</f>
        <v>8839.8719999999994</v>
      </c>
      <c r="F59" s="11">
        <f t="shared" si="32"/>
        <v>8740.8654336</v>
      </c>
      <c r="G59" s="11">
        <f t="shared" si="32"/>
        <v>8642.9677407436811</v>
      </c>
      <c r="H59" s="11">
        <f t="shared" si="32"/>
        <v>8546.1665020473501</v>
      </c>
      <c r="I59" s="11">
        <f t="shared" si="32"/>
        <v>8450.4494372244189</v>
      </c>
      <c r="J59" s="11">
        <f t="shared" si="32"/>
        <v>8355.804403527507</v>
      </c>
      <c r="K59" s="11">
        <f t="shared" si="32"/>
        <v>8262.2193942079975</v>
      </c>
      <c r="L59" s="28">
        <f>-3%</f>
        <v>-0.03</v>
      </c>
    </row>
    <row r="60" spans="1:13" x14ac:dyDescent="0.25">
      <c r="A60" s="1" t="s">
        <v>26</v>
      </c>
      <c r="D60" s="11">
        <f>D41</f>
        <v>74890.380833797914</v>
      </c>
      <c r="E60" s="11">
        <f t="shared" ref="E60:K60" si="33">E41</f>
        <v>65178.427723566674</v>
      </c>
      <c r="F60" s="11">
        <f t="shared" si="33"/>
        <v>64844.401086579914</v>
      </c>
      <c r="G60" s="11">
        <f t="shared" si="33"/>
        <v>64250.476136516496</v>
      </c>
      <c r="H60" s="11">
        <f t="shared" si="33"/>
        <v>63376.408219569232</v>
      </c>
      <c r="I60" s="11">
        <f t="shared" si="33"/>
        <v>62200.395085822733</v>
      </c>
      <c r="J60" s="11">
        <f t="shared" si="33"/>
        <v>65531.948557138217</v>
      </c>
      <c r="K60" s="11">
        <f t="shared" si="33"/>
        <v>71989.404583177005</v>
      </c>
    </row>
    <row r="61" spans="1:13" x14ac:dyDescent="0.25">
      <c r="D61" s="11"/>
      <c r="E61" s="11"/>
      <c r="F61" s="11"/>
      <c r="G61" s="11"/>
      <c r="H61" s="11"/>
      <c r="I61" s="11"/>
      <c r="J61" s="11"/>
      <c r="K61" s="11"/>
    </row>
    <row r="62" spans="1:13" x14ac:dyDescent="0.25">
      <c r="A62" s="1" t="s">
        <v>27</v>
      </c>
      <c r="D62" s="11">
        <f>Mortgage!I13</f>
        <v>2573588.944438329</v>
      </c>
      <c r="E62" s="11">
        <f>Mortgage!F27</f>
        <v>1947270.7281103006</v>
      </c>
      <c r="F62" s="11">
        <f>Mortgage!F41</f>
        <v>1585105.1936843407</v>
      </c>
      <c r="G62" s="11">
        <f>Mortgage!F55</f>
        <v>1196758.6834913862</v>
      </c>
      <c r="H62" s="11">
        <f>Mortgage!F69</f>
        <v>780338.57267634582</v>
      </c>
      <c r="I62" s="11">
        <f>Mortgage!F83</f>
        <v>333815.41838032386</v>
      </c>
      <c r="J62" s="11"/>
      <c r="K62" s="11"/>
    </row>
    <row r="63" spans="1:13" x14ac:dyDescent="0.25">
      <c r="A63" s="1" t="s">
        <v>81</v>
      </c>
      <c r="D63" s="11">
        <f>2600000+304100+31000+2500+236</f>
        <v>2937836</v>
      </c>
      <c r="E63" s="11">
        <f>3300000+84000+8500+794+0.5</f>
        <v>3393294.5</v>
      </c>
      <c r="F63" s="11">
        <f>3500000+49000+4000+336+3</f>
        <v>3553339</v>
      </c>
      <c r="G63" s="11">
        <f>3500000+220000+20000+400+30</f>
        <v>3740430</v>
      </c>
      <c r="H63" s="11">
        <f>3300000+610000+46000+527</f>
        <v>3956527</v>
      </c>
      <c r="I63" s="11">
        <f>3600000+600000+3700+31+1.7</f>
        <v>4203732.7</v>
      </c>
      <c r="J63" s="11">
        <f>3700000+600000+21000+2000+200+4</f>
        <v>4323204</v>
      </c>
      <c r="K63" s="11">
        <f>3600000+490000+8000+401+38.7</f>
        <v>4098439.7</v>
      </c>
    </row>
    <row r="64" spans="1:13" x14ac:dyDescent="0.25">
      <c r="D64" s="11"/>
      <c r="E64" s="11"/>
      <c r="F64" s="11"/>
      <c r="G64" s="11"/>
      <c r="H64" s="11"/>
      <c r="I64" s="11"/>
      <c r="J64" s="11"/>
      <c r="K64" s="11"/>
    </row>
    <row r="65" spans="1:12" x14ac:dyDescent="0.25">
      <c r="A65" s="1" t="s">
        <v>28</v>
      </c>
      <c r="D65" s="11">
        <f>D42</f>
        <v>174744.22194552846</v>
      </c>
      <c r="E65" s="11">
        <f>E42</f>
        <v>152082.99802165557</v>
      </c>
      <c r="F65" s="11">
        <f t="shared" ref="F65:K65" si="34">F42</f>
        <v>151303.60253535313</v>
      </c>
      <c r="G65" s="11">
        <f>G42</f>
        <v>149917.77765187185</v>
      </c>
      <c r="H65" s="11">
        <f t="shared" si="34"/>
        <v>147878.28584566154</v>
      </c>
      <c r="I65" s="11">
        <f t="shared" si="34"/>
        <v>145134.25520025304</v>
      </c>
      <c r="J65" s="11">
        <f t="shared" si="34"/>
        <v>152907.87996665586</v>
      </c>
      <c r="K65" s="11">
        <f t="shared" si="34"/>
        <v>167975.27736074635</v>
      </c>
    </row>
    <row r="66" spans="1:12" x14ac:dyDescent="0.25">
      <c r="A66" s="1" t="s">
        <v>187</v>
      </c>
      <c r="D66" s="11">
        <f>1500000</f>
        <v>1500000</v>
      </c>
      <c r="E66" s="11">
        <f t="shared" ref="E66:K66" si="35">1500000</f>
        <v>1500000</v>
      </c>
      <c r="F66" s="11">
        <f t="shared" si="35"/>
        <v>1500000</v>
      </c>
      <c r="G66" s="11">
        <f t="shared" si="35"/>
        <v>1500000</v>
      </c>
      <c r="H66" s="11">
        <f t="shared" si="35"/>
        <v>1500000</v>
      </c>
      <c r="I66" s="11">
        <f t="shared" si="35"/>
        <v>1500000</v>
      </c>
      <c r="J66" s="11">
        <f t="shared" si="35"/>
        <v>1500000</v>
      </c>
      <c r="K66" s="11">
        <f t="shared" si="35"/>
        <v>1500000</v>
      </c>
    </row>
    <row r="67" spans="1:12" x14ac:dyDescent="0.25">
      <c r="A67" s="4" t="s">
        <v>29</v>
      </c>
      <c r="D67" s="13">
        <f>SUM(D59:D65)</f>
        <v>5769999.5472176559</v>
      </c>
      <c r="E67" s="13">
        <f t="shared" ref="E67:J67" si="36">SUM(E59:E65)</f>
        <v>5566666.5258555235</v>
      </c>
      <c r="F67" s="13">
        <f t="shared" si="36"/>
        <v>5363333.0627398733</v>
      </c>
      <c r="G67" s="13">
        <f t="shared" si="36"/>
        <v>5159999.9050205182</v>
      </c>
      <c r="H67" s="13">
        <f t="shared" si="36"/>
        <v>4956666.4332436239</v>
      </c>
      <c r="I67" s="13">
        <f t="shared" si="36"/>
        <v>4753333.2181036239</v>
      </c>
      <c r="J67" s="13">
        <f t="shared" si="36"/>
        <v>4549999.6329273218</v>
      </c>
      <c r="K67" s="13">
        <f>SUM(K59:K65)</f>
        <v>4346666.6013381314</v>
      </c>
    </row>
    <row r="68" spans="1:12" x14ac:dyDescent="0.25">
      <c r="D68" s="13"/>
      <c r="E68" s="13"/>
      <c r="F68" s="13"/>
      <c r="G68" s="13"/>
    </row>
    <row r="69" spans="1:12" x14ac:dyDescent="0.25">
      <c r="A69" s="1" t="s">
        <v>75</v>
      </c>
      <c r="D69" s="13">
        <f>D56-D67</f>
        <v>0.4527823431417346</v>
      </c>
      <c r="E69" s="13">
        <f>E56-E67</f>
        <v>0.1408111434429884</v>
      </c>
      <c r="F69" s="13">
        <f t="shared" ref="F69:K69" si="37">F56-F67</f>
        <v>0.27059346064925194</v>
      </c>
      <c r="G69" s="13">
        <f t="shared" si="37"/>
        <v>9.4979481771588326E-2</v>
      </c>
      <c r="H69" s="13">
        <f t="shared" si="37"/>
        <v>0.23342304304242134</v>
      </c>
      <c r="I69" s="13">
        <f t="shared" si="37"/>
        <v>0.11522971000522375</v>
      </c>
      <c r="J69" s="13">
        <f t="shared" si="37"/>
        <v>0.36707267817109823</v>
      </c>
      <c r="K69" s="13">
        <f t="shared" si="37"/>
        <v>6.5328535623848438E-2</v>
      </c>
    </row>
    <row r="72" spans="1:12" x14ac:dyDescent="0.25">
      <c r="D72" s="1" t="s">
        <v>165</v>
      </c>
    </row>
    <row r="74" spans="1:12" x14ac:dyDescent="0.25">
      <c r="A74" s="29" t="s">
        <v>167</v>
      </c>
    </row>
    <row r="75" spans="1:12" x14ac:dyDescent="0.25">
      <c r="B75" s="1" t="s">
        <v>174</v>
      </c>
      <c r="D75" s="6">
        <f>149*360*D4</f>
        <v>16092</v>
      </c>
      <c r="E75" s="6">
        <f t="shared" ref="E75:K75" si="38">149*360*E4</f>
        <v>15448.32</v>
      </c>
      <c r="F75" s="6">
        <f t="shared" si="38"/>
        <v>14830.387199999997</v>
      </c>
      <c r="G75" s="6">
        <f t="shared" si="38"/>
        <v>14237.171711999998</v>
      </c>
      <c r="H75" s="6">
        <f t="shared" si="38"/>
        <v>13667.684843519997</v>
      </c>
      <c r="I75" s="6">
        <f t="shared" si="38"/>
        <v>13120.977449779197</v>
      </c>
      <c r="J75" s="6">
        <f t="shared" si="38"/>
        <v>12596.138351788028</v>
      </c>
      <c r="K75" s="6">
        <f t="shared" si="38"/>
        <v>12092.292817716507</v>
      </c>
    </row>
    <row r="76" spans="1:12" x14ac:dyDescent="0.25">
      <c r="B76" s="1" t="s">
        <v>175</v>
      </c>
      <c r="D76" s="31">
        <f t="shared" ref="D76:K76" si="39">SUM(D18:D20)/D75</f>
        <v>105.73825503355705</v>
      </c>
      <c r="E76" s="31">
        <f t="shared" si="39"/>
        <v>108.91040268456375</v>
      </c>
      <c r="F76" s="31">
        <f t="shared" si="39"/>
        <v>112.1777147651007</v>
      </c>
      <c r="G76" s="31">
        <f t="shared" si="39"/>
        <v>115.54304620805371</v>
      </c>
      <c r="H76" s="31">
        <f t="shared" si="39"/>
        <v>119.00933759429533</v>
      </c>
      <c r="I76" s="31">
        <f t="shared" si="39"/>
        <v>122.57961772212415</v>
      </c>
      <c r="J76" s="31">
        <f t="shared" si="39"/>
        <v>126.25700625378791</v>
      </c>
      <c r="K76" s="31">
        <f t="shared" si="39"/>
        <v>130.04471644140153</v>
      </c>
    </row>
    <row r="78" spans="1:12" x14ac:dyDescent="0.25">
      <c r="A78" s="1" t="s">
        <v>182</v>
      </c>
    </row>
    <row r="79" spans="1:12" x14ac:dyDescent="0.25">
      <c r="B79" s="1" t="s">
        <v>173</v>
      </c>
      <c r="D79" s="31">
        <f t="shared" ref="D79:K79" si="40">(D30*$L$79)/D75</f>
        <v>4.0832214765100669</v>
      </c>
      <c r="E79" s="31">
        <f t="shared" si="40"/>
        <v>4.2057181208053684</v>
      </c>
      <c r="F79" s="31">
        <f t="shared" si="40"/>
        <v>4.3318896644295313</v>
      </c>
      <c r="G79" s="31">
        <f t="shared" si="40"/>
        <v>4.4618463543624163</v>
      </c>
      <c r="H79" s="31">
        <f t="shared" si="40"/>
        <v>4.5957017449932893</v>
      </c>
      <c r="I79" s="31">
        <f t="shared" si="40"/>
        <v>4.7335727973430863</v>
      </c>
      <c r="J79" s="31">
        <f t="shared" si="40"/>
        <v>4.87557998126338</v>
      </c>
      <c r="K79" s="31">
        <f t="shared" si="40"/>
        <v>5.0218473807012804</v>
      </c>
      <c r="L79" s="25">
        <v>0.3</v>
      </c>
    </row>
    <row r="80" spans="1:12" x14ac:dyDescent="0.25">
      <c r="B80" s="1" t="s">
        <v>98</v>
      </c>
      <c r="D80" s="32">
        <f t="shared" ref="D80:K80" si="41">D27/D75</f>
        <v>1.0888590604026844</v>
      </c>
      <c r="E80" s="32">
        <f t="shared" si="41"/>
        <v>1.0766638389261745</v>
      </c>
      <c r="F80" s="32">
        <f t="shared" si="41"/>
        <v>1.0646052039302014</v>
      </c>
      <c r="G80" s="32">
        <f t="shared" si="41"/>
        <v>1.0526816256461833</v>
      </c>
      <c r="H80" s="32">
        <f t="shared" si="41"/>
        <v>1.0408915914389456</v>
      </c>
      <c r="I80" s="32">
        <f t="shared" si="41"/>
        <v>1.0292336056148292</v>
      </c>
      <c r="J80" s="32">
        <f t="shared" si="41"/>
        <v>1.0177061892319432</v>
      </c>
      <c r="K80" s="32">
        <f t="shared" si="41"/>
        <v>1.0063078799125456</v>
      </c>
    </row>
    <row r="81" spans="1:12" x14ac:dyDescent="0.25">
      <c r="B81" s="1" t="s">
        <v>10</v>
      </c>
      <c r="D81" s="33">
        <f t="shared" ref="D81:K81" si="42">D28/D75</f>
        <v>2.7221476510067113</v>
      </c>
      <c r="E81" s="33">
        <f t="shared" si="42"/>
        <v>2.8038120805369124</v>
      </c>
      <c r="F81" s="33">
        <f t="shared" si="42"/>
        <v>2.8879264429530207</v>
      </c>
      <c r="G81" s="33">
        <f t="shared" si="42"/>
        <v>2.9745642362416116</v>
      </c>
      <c r="H81" s="33">
        <f t="shared" si="42"/>
        <v>3.0638011633288595</v>
      </c>
      <c r="I81" s="33">
        <f t="shared" si="42"/>
        <v>3.1557151982287244</v>
      </c>
      <c r="J81" s="33">
        <f t="shared" si="42"/>
        <v>3.2503866541755864</v>
      </c>
      <c r="K81" s="33">
        <f t="shared" si="42"/>
        <v>3.3478982538008539</v>
      </c>
    </row>
    <row r="82" spans="1:12" x14ac:dyDescent="0.25">
      <c r="B82" s="1" t="s">
        <v>185</v>
      </c>
      <c r="D82" s="33">
        <f>D11</f>
        <v>4</v>
      </c>
      <c r="E82" s="33">
        <f t="shared" ref="E82:K82" si="43">E11</f>
        <v>4.12</v>
      </c>
      <c r="F82" s="33">
        <f t="shared" si="43"/>
        <v>4.2436000000000007</v>
      </c>
      <c r="G82" s="33">
        <f t="shared" si="43"/>
        <v>4.3709080000000009</v>
      </c>
      <c r="H82" s="33">
        <f t="shared" si="43"/>
        <v>4.5020352400000005</v>
      </c>
      <c r="I82" s="33">
        <f t="shared" si="43"/>
        <v>4.6370962972000012</v>
      </c>
      <c r="J82" s="33">
        <f t="shared" si="43"/>
        <v>4.7762091861160014</v>
      </c>
      <c r="K82" s="33">
        <f t="shared" si="43"/>
        <v>4.9194954616994817</v>
      </c>
    </row>
    <row r="83" spans="1:12" x14ac:dyDescent="0.25">
      <c r="A83" s="1" t="s">
        <v>180</v>
      </c>
      <c r="D83" s="31">
        <f>SUM(D79:D82)</f>
        <v>11.894228187919463</v>
      </c>
      <c r="E83" s="31">
        <f t="shared" ref="E83:K83" si="44">SUM(E79:E82)</f>
        <v>12.206194040268457</v>
      </c>
      <c r="F83" s="31">
        <f t="shared" si="44"/>
        <v>12.528021311312754</v>
      </c>
      <c r="G83" s="31">
        <f t="shared" si="44"/>
        <v>12.860000216250214</v>
      </c>
      <c r="H83" s="31">
        <f t="shared" si="44"/>
        <v>13.202429739761094</v>
      </c>
      <c r="I83" s="31">
        <f t="shared" si="44"/>
        <v>13.555617898386641</v>
      </c>
      <c r="J83" s="31">
        <f t="shared" si="44"/>
        <v>13.91988201078691</v>
      </c>
      <c r="K83" s="31">
        <f t="shared" si="44"/>
        <v>14.29554897611416</v>
      </c>
    </row>
    <row r="84" spans="1:12" x14ac:dyDescent="0.25">
      <c r="D84" s="30"/>
    </row>
    <row r="85" spans="1:12" x14ac:dyDescent="0.25">
      <c r="A85" s="1" t="s">
        <v>183</v>
      </c>
      <c r="D85" s="31">
        <f>D76-D83</f>
        <v>93.844026845637586</v>
      </c>
      <c r="E85" s="31">
        <f>E76-E83</f>
        <v>96.704208644295292</v>
      </c>
      <c r="F85" s="31">
        <f t="shared" ref="F85:K85" si="45">F76-F83</f>
        <v>99.649693453787947</v>
      </c>
      <c r="G85" s="31">
        <f t="shared" si="45"/>
        <v>102.6830459918035</v>
      </c>
      <c r="H85" s="31">
        <f t="shared" si="45"/>
        <v>105.80690785453424</v>
      </c>
      <c r="I85" s="31">
        <f t="shared" si="45"/>
        <v>109.02399982373751</v>
      </c>
      <c r="J85" s="31">
        <f t="shared" si="45"/>
        <v>112.337124243001</v>
      </c>
      <c r="K85" s="31">
        <f t="shared" si="45"/>
        <v>115.74916746528737</v>
      </c>
    </row>
    <row r="86" spans="1:12" x14ac:dyDescent="0.25">
      <c r="A86" s="1" t="s">
        <v>184</v>
      </c>
      <c r="D86" s="30">
        <f>D85/D76</f>
        <v>0.88751253570295141</v>
      </c>
      <c r="E86" s="30">
        <f t="shared" ref="E86:J86" si="46">E85/E76</f>
        <v>0.88792444303395746</v>
      </c>
      <c r="F86" s="30">
        <f t="shared" si="46"/>
        <v>0.8883198740717233</v>
      </c>
      <c r="G86" s="30">
        <f t="shared" si="46"/>
        <v>0.88869948786797837</v>
      </c>
      <c r="H86" s="30">
        <f t="shared" si="46"/>
        <v>0.88906391711238342</v>
      </c>
      <c r="I86" s="30">
        <f t="shared" si="46"/>
        <v>0.88941376918701209</v>
      </c>
      <c r="J86" s="30">
        <f t="shared" si="46"/>
        <v>0.8897496271786558</v>
      </c>
      <c r="K86" s="30">
        <f>K85/K76</f>
        <v>0.89007205085063357</v>
      </c>
    </row>
    <row r="87" spans="1:12" x14ac:dyDescent="0.25">
      <c r="D87" s="30"/>
    </row>
    <row r="88" spans="1:12" x14ac:dyDescent="0.25">
      <c r="A88" s="1" t="s">
        <v>176</v>
      </c>
      <c r="D88" s="30"/>
    </row>
    <row r="89" spans="1:12" x14ac:dyDescent="0.25">
      <c r="B89" s="1" t="s">
        <v>8</v>
      </c>
      <c r="D89" s="12">
        <f>D25</f>
        <v>175219.19999999998</v>
      </c>
      <c r="E89" s="12">
        <f t="shared" ref="E89:K89" si="47">E25</f>
        <v>173256.74495999998</v>
      </c>
      <c r="F89" s="12">
        <f t="shared" si="47"/>
        <v>171316.26941644799</v>
      </c>
      <c r="G89" s="12">
        <f t="shared" si="47"/>
        <v>169397.52719898379</v>
      </c>
      <c r="H89" s="12">
        <f t="shared" si="47"/>
        <v>167500.27489435516</v>
      </c>
      <c r="I89" s="12">
        <f t="shared" si="47"/>
        <v>165624.27181553832</v>
      </c>
      <c r="J89" s="12">
        <f t="shared" si="47"/>
        <v>163769.27997120429</v>
      </c>
      <c r="K89" s="12">
        <f t="shared" si="47"/>
        <v>161935.0640355268</v>
      </c>
    </row>
    <row r="90" spans="1:12" x14ac:dyDescent="0.25">
      <c r="B90" s="1" t="s">
        <v>177</v>
      </c>
      <c r="D90" s="12">
        <f>D30*$L$90</f>
        <v>153316.79999999999</v>
      </c>
      <c r="E90" s="12">
        <f t="shared" ref="E90:K90" si="48">E30*$L$90</f>
        <v>151599.65183999998</v>
      </c>
      <c r="F90" s="12">
        <f t="shared" si="48"/>
        <v>149901.735739392</v>
      </c>
      <c r="G90" s="12">
        <f t="shared" si="48"/>
        <v>148222.83629911079</v>
      </c>
      <c r="H90" s="12">
        <f t="shared" si="48"/>
        <v>146562.74053256077</v>
      </c>
      <c r="I90" s="12">
        <f t="shared" si="48"/>
        <v>144921.23783859605</v>
      </c>
      <c r="J90" s="12">
        <f t="shared" si="48"/>
        <v>143298.11997480376</v>
      </c>
      <c r="K90" s="12">
        <f t="shared" si="48"/>
        <v>141693.18103108593</v>
      </c>
      <c r="L90" s="25">
        <v>0.7</v>
      </c>
    </row>
    <row r="91" spans="1:12" x14ac:dyDescent="0.25">
      <c r="B91" s="1" t="s">
        <v>172</v>
      </c>
      <c r="D91" s="13">
        <f>D26</f>
        <v>146016</v>
      </c>
      <c r="E91" s="13">
        <f t="shared" ref="E91:K91" si="49">E26</f>
        <v>144380.6208</v>
      </c>
      <c r="F91" s="13">
        <f t="shared" si="49"/>
        <v>142763.55784704001</v>
      </c>
      <c r="G91" s="13">
        <f t="shared" si="49"/>
        <v>141164.60599915317</v>
      </c>
      <c r="H91" s="13">
        <f t="shared" si="49"/>
        <v>139583.56241196263</v>
      </c>
      <c r="I91" s="13">
        <f t="shared" si="49"/>
        <v>138020.2265129486</v>
      </c>
      <c r="J91" s="13">
        <f t="shared" si="49"/>
        <v>136474.39997600359</v>
      </c>
      <c r="K91" s="13">
        <f t="shared" si="49"/>
        <v>134945.88669627236</v>
      </c>
    </row>
    <row r="92" spans="1:12" x14ac:dyDescent="0.25">
      <c r="B92" s="1" t="s">
        <v>168</v>
      </c>
      <c r="D92" s="13">
        <f>D29</f>
        <v>116812.8</v>
      </c>
      <c r="E92" s="13">
        <f t="shared" ref="E92:K92" si="50">E29</f>
        <v>115504.49664</v>
      </c>
      <c r="F92" s="13">
        <f t="shared" si="50"/>
        <v>114210.84627763201</v>
      </c>
      <c r="G92" s="13">
        <f t="shared" si="50"/>
        <v>112931.68479932252</v>
      </c>
      <c r="H92" s="13">
        <f t="shared" si="50"/>
        <v>111666.8499295701</v>
      </c>
      <c r="I92" s="13">
        <f t="shared" si="50"/>
        <v>110416.18121035889</v>
      </c>
      <c r="J92" s="13">
        <f t="shared" si="50"/>
        <v>109179.51998080287</v>
      </c>
      <c r="K92" s="13">
        <f t="shared" si="50"/>
        <v>107956.70935701788</v>
      </c>
    </row>
    <row r="93" spans="1:12" x14ac:dyDescent="0.25">
      <c r="B93" s="1" t="s">
        <v>169</v>
      </c>
      <c r="D93" s="13">
        <f>D35</f>
        <v>66666.666666666672</v>
      </c>
      <c r="E93" s="13">
        <f t="shared" ref="E93:K93" si="51">E35</f>
        <v>66666.666666666672</v>
      </c>
      <c r="F93" s="13">
        <f t="shared" si="51"/>
        <v>66666.666666666672</v>
      </c>
      <c r="G93" s="13">
        <f t="shared" si="51"/>
        <v>66666.666666666672</v>
      </c>
      <c r="H93" s="13">
        <f t="shared" si="51"/>
        <v>66666.666666666672</v>
      </c>
      <c r="I93" s="13">
        <f t="shared" si="51"/>
        <v>66666.666666666672</v>
      </c>
      <c r="J93" s="13">
        <f t="shared" si="51"/>
        <v>66666.666666666672</v>
      </c>
      <c r="K93" s="13">
        <f t="shared" si="51"/>
        <v>66666.666666666672</v>
      </c>
    </row>
    <row r="94" spans="1:12" x14ac:dyDescent="0.25">
      <c r="B94" s="1" t="s">
        <v>170</v>
      </c>
      <c r="D94" s="13">
        <f>D37</f>
        <v>172021.7438873403</v>
      </c>
      <c r="E94" s="13">
        <f t="shared" ref="E94:K94" si="52">E37</f>
        <v>149251.83716528441</v>
      </c>
      <c r="F94" s="13">
        <f t="shared" si="52"/>
        <v>124835.8920452021</v>
      </c>
      <c r="G94" s="13">
        <f t="shared" si="52"/>
        <v>98654.916278207675</v>
      </c>
      <c r="H94" s="13">
        <f t="shared" si="52"/>
        <v>70581.315656122024</v>
      </c>
      <c r="I94" s="13">
        <f t="shared" si="52"/>
        <v>40478.272175140155</v>
      </c>
      <c r="J94" s="13">
        <f t="shared" si="52"/>
        <v>8199.0772468993237</v>
      </c>
      <c r="K94" s="13">
        <f t="shared" si="52"/>
        <v>0</v>
      </c>
    </row>
    <row r="95" spans="1:12" x14ac:dyDescent="0.25">
      <c r="B95" s="1" t="s">
        <v>171</v>
      </c>
      <c r="D95" s="13">
        <f>D38</f>
        <v>293783.60000000003</v>
      </c>
      <c r="E95" s="13">
        <f t="shared" ref="E95:K95" si="53">E38</f>
        <v>339329.45</v>
      </c>
      <c r="F95" s="13">
        <f t="shared" si="53"/>
        <v>355333.9</v>
      </c>
      <c r="G95" s="13">
        <f t="shared" si="53"/>
        <v>374043</v>
      </c>
      <c r="H95" s="13">
        <f t="shared" si="53"/>
        <v>395652.7</v>
      </c>
      <c r="I95" s="13">
        <f t="shared" si="53"/>
        <v>420373.27</v>
      </c>
      <c r="J95" s="13">
        <f t="shared" si="53"/>
        <v>432320.4</v>
      </c>
      <c r="K95" s="13">
        <f t="shared" si="53"/>
        <v>409843.97000000003</v>
      </c>
    </row>
    <row r="96" spans="1:12" x14ac:dyDescent="0.25">
      <c r="B96" s="1" t="s">
        <v>186</v>
      </c>
      <c r="D96" s="13">
        <f>D32</f>
        <v>41000</v>
      </c>
      <c r="E96" s="13">
        <f t="shared" ref="E96:K96" si="54">E32</f>
        <v>41000</v>
      </c>
      <c r="F96" s="13">
        <f t="shared" si="54"/>
        <v>41000</v>
      </c>
      <c r="G96" s="13">
        <f t="shared" si="54"/>
        <v>41000</v>
      </c>
      <c r="H96" s="13">
        <f t="shared" si="54"/>
        <v>41000</v>
      </c>
      <c r="I96" s="13">
        <f t="shared" si="54"/>
        <v>41000</v>
      </c>
      <c r="J96" s="13">
        <f t="shared" si="54"/>
        <v>41000</v>
      </c>
      <c r="K96" s="13">
        <f t="shared" si="54"/>
        <v>41000</v>
      </c>
    </row>
    <row r="97" spans="1:11" x14ac:dyDescent="0.25">
      <c r="A97" s="1" t="s">
        <v>181</v>
      </c>
      <c r="D97" s="13">
        <f>SUM(D89:D96)</f>
        <v>1164836.8105540071</v>
      </c>
      <c r="E97" s="13">
        <f t="shared" ref="E97:K97" si="55">SUM(E89:E96)</f>
        <v>1180989.4680719511</v>
      </c>
      <c r="F97" s="13">
        <f t="shared" si="55"/>
        <v>1166028.8679923806</v>
      </c>
      <c r="G97" s="13">
        <f t="shared" si="55"/>
        <v>1152081.2372414446</v>
      </c>
      <c r="H97" s="13">
        <f t="shared" si="55"/>
        <v>1139214.1100912374</v>
      </c>
      <c r="I97" s="13">
        <f t="shared" si="55"/>
        <v>1127500.1262192486</v>
      </c>
      <c r="J97" s="13">
        <f t="shared" si="55"/>
        <v>1100907.4638163806</v>
      </c>
      <c r="K97" s="13">
        <f t="shared" si="55"/>
        <v>1064041.4777865696</v>
      </c>
    </row>
    <row r="100" spans="1:11" x14ac:dyDescent="0.25">
      <c r="B100" s="62" t="s">
        <v>178</v>
      </c>
      <c r="C100" s="63"/>
      <c r="D100" s="6">
        <f>D97/D85</f>
        <v>12412.476848100594</v>
      </c>
      <c r="E100" s="6">
        <f t="shared" ref="E100:K100" si="56">E97/E85</f>
        <v>12212.389560168529</v>
      </c>
      <c r="F100" s="6">
        <f t="shared" si="56"/>
        <v>11701.279026343625</v>
      </c>
      <c r="G100" s="6">
        <f t="shared" si="56"/>
        <v>11219.780501382942</v>
      </c>
      <c r="H100" s="6">
        <f t="shared" si="56"/>
        <v>10766.916198491075</v>
      </c>
      <c r="I100" s="6">
        <f t="shared" si="56"/>
        <v>10341.760787002066</v>
      </c>
      <c r="J100" s="6">
        <f t="shared" si="56"/>
        <v>9800.0324579696644</v>
      </c>
      <c r="K100" s="6">
        <f t="shared" si="56"/>
        <v>9192.6490797929127</v>
      </c>
    </row>
    <row r="101" spans="1:11" x14ac:dyDescent="0.25">
      <c r="B101" s="62" t="s">
        <v>179</v>
      </c>
      <c r="C101" s="63"/>
      <c r="D101" s="12">
        <f>D97/D86</f>
        <v>1312473.6425625829</v>
      </c>
      <c r="E101" s="12">
        <f t="shared" ref="E101:K101" si="57">E97/E86</f>
        <v>1330056.2647387169</v>
      </c>
      <c r="F101" s="12">
        <f t="shared" si="57"/>
        <v>1312622.7410040305</v>
      </c>
      <c r="G101" s="12">
        <f t="shared" si="57"/>
        <v>1296367.6169155093</v>
      </c>
      <c r="H101" s="12">
        <f t="shared" si="57"/>
        <v>1281363.5647157114</v>
      </c>
      <c r="I101" s="12">
        <f t="shared" si="57"/>
        <v>1267689.0838443669</v>
      </c>
      <c r="J101" s="12">
        <f t="shared" si="57"/>
        <v>1237322.7593332003</v>
      </c>
      <c r="K101" s="12">
        <f t="shared" si="57"/>
        <v>1195455.4429269801</v>
      </c>
    </row>
    <row r="104" spans="1:11" x14ac:dyDescent="0.25">
      <c r="A104" s="4" t="s">
        <v>193</v>
      </c>
    </row>
    <row r="105" spans="1:11" x14ac:dyDescent="0.25">
      <c r="A105" s="63"/>
      <c r="B105" s="63"/>
      <c r="C105" s="63"/>
      <c r="D105" s="63"/>
      <c r="E105" s="63"/>
    </row>
    <row r="106" spans="1:11" x14ac:dyDescent="0.25">
      <c r="A106" s="64" t="s">
        <v>194</v>
      </c>
      <c r="B106" s="63"/>
      <c r="C106" s="63"/>
      <c r="D106" s="63"/>
      <c r="E106" s="63"/>
    </row>
    <row r="107" spans="1:11" x14ac:dyDescent="0.25">
      <c r="A107" s="63"/>
      <c r="B107" s="63" t="s">
        <v>195</v>
      </c>
      <c r="C107" s="65">
        <v>1.74</v>
      </c>
      <c r="D107" s="63"/>
      <c r="E107" s="63"/>
    </row>
    <row r="108" spans="1:11" x14ac:dyDescent="0.25">
      <c r="A108" s="63"/>
      <c r="B108" s="63" t="s">
        <v>196</v>
      </c>
      <c r="C108" s="38">
        <v>2.0400000000000001E-2</v>
      </c>
      <c r="D108" s="63"/>
      <c r="E108" s="63"/>
    </row>
    <row r="109" spans="1:11" x14ac:dyDescent="0.25">
      <c r="A109" s="63"/>
      <c r="B109" s="63" t="s">
        <v>197</v>
      </c>
      <c r="C109" s="38">
        <v>0.1</v>
      </c>
      <c r="D109" s="63"/>
      <c r="E109" s="63"/>
    </row>
    <row r="110" spans="1:11" x14ac:dyDescent="0.25">
      <c r="A110" s="63"/>
      <c r="B110" s="63"/>
      <c r="C110" s="34"/>
      <c r="D110" s="63"/>
      <c r="E110" s="63"/>
    </row>
    <row r="111" spans="1:11" x14ac:dyDescent="0.25">
      <c r="A111" s="63"/>
      <c r="B111" s="66" t="s">
        <v>198</v>
      </c>
      <c r="C111" s="36">
        <f>C108+C107*(C109-C108)</f>
        <v>0.15890400000000002</v>
      </c>
      <c r="D111" s="63"/>
      <c r="E111" s="67"/>
    </row>
    <row r="112" spans="1:11" x14ac:dyDescent="0.25">
      <c r="A112" s="63"/>
      <c r="B112" s="63"/>
      <c r="C112" s="34"/>
      <c r="D112" s="63"/>
      <c r="E112" s="63"/>
    </row>
    <row r="113" spans="1:7" x14ac:dyDescent="0.25">
      <c r="A113" s="29" t="s">
        <v>199</v>
      </c>
      <c r="C113" s="34"/>
    </row>
    <row r="114" spans="1:7" x14ac:dyDescent="0.25">
      <c r="B114" s="35"/>
      <c r="C114" s="29"/>
      <c r="D114" s="76" t="s">
        <v>244</v>
      </c>
      <c r="E114" s="1" t="s">
        <v>245</v>
      </c>
      <c r="F114" s="5"/>
      <c r="G114" s="1" t="s">
        <v>246</v>
      </c>
    </row>
    <row r="115" spans="1:7" x14ac:dyDescent="0.25">
      <c r="A115" s="1" t="s">
        <v>201</v>
      </c>
      <c r="B115" s="77" t="s">
        <v>247</v>
      </c>
      <c r="C115" s="69">
        <f>D62</f>
        <v>2573588.944438329</v>
      </c>
      <c r="D115" s="67">
        <f>C115/SUM(C115:C116)</f>
        <v>0.46695527388708807</v>
      </c>
      <c r="E115" s="1">
        <v>7.0000000000000007E-2</v>
      </c>
      <c r="F115" s="5"/>
    </row>
    <row r="116" spans="1:7" x14ac:dyDescent="0.25">
      <c r="B116" s="78" t="s">
        <v>248</v>
      </c>
      <c r="C116" s="13">
        <f>D63</f>
        <v>2937836</v>
      </c>
      <c r="D116" s="67">
        <f>C116/SUM(C115:C116)</f>
        <v>0.53304472611291198</v>
      </c>
      <c r="E116" s="1">
        <v>0.1</v>
      </c>
      <c r="F116" s="30"/>
      <c r="G116" s="70">
        <f>E115*D115+E116*D116</f>
        <v>8.5991341783387382E-2</v>
      </c>
    </row>
    <row r="117" spans="1:7" x14ac:dyDescent="0.25">
      <c r="C117" s="34"/>
    </row>
    <row r="118" spans="1:7" x14ac:dyDescent="0.25">
      <c r="A118" s="29" t="s">
        <v>202</v>
      </c>
      <c r="C118" s="35">
        <v>0.3</v>
      </c>
    </row>
    <row r="119" spans="1:7" x14ac:dyDescent="0.25">
      <c r="C119"/>
    </row>
    <row r="120" spans="1:7" x14ac:dyDescent="0.25">
      <c r="A120" s="64" t="s">
        <v>250</v>
      </c>
      <c r="B120" s="63"/>
      <c r="C120" s="11"/>
      <c r="D120" s="79" t="s">
        <v>244</v>
      </c>
      <c r="E120" s="1" t="s">
        <v>245</v>
      </c>
      <c r="G120" s="62" t="s">
        <v>193</v>
      </c>
    </row>
    <row r="121" spans="1:7" x14ac:dyDescent="0.25">
      <c r="A121" s="68"/>
      <c r="B121" s="80" t="s">
        <v>200</v>
      </c>
      <c r="C121" s="72">
        <f>SUM(C115:C116)</f>
        <v>5511424.944438329</v>
      </c>
      <c r="D121" s="84">
        <f>C121/SUM(C121:C122)</f>
        <v>0.76694895664580165</v>
      </c>
      <c r="E121" s="73">
        <f>G116</f>
        <v>8.5991341783387382E-2</v>
      </c>
    </row>
    <row r="122" spans="1:7" x14ac:dyDescent="0.25">
      <c r="A122" s="4"/>
      <c r="B122" s="80" t="s">
        <v>249</v>
      </c>
      <c r="C122" s="71">
        <f>SUM(D65:D66)</f>
        <v>1674744.2219455284</v>
      </c>
      <c r="D122" s="84">
        <f>C122/SUM(C121:C122)</f>
        <v>0.23305104335419846</v>
      </c>
      <c r="E122" s="74">
        <f>C111</f>
        <v>0.15890400000000002</v>
      </c>
      <c r="G122" s="75">
        <f>E121*D121*(1-C118)+E122*D122</f>
        <v>8.3198421896094596E-2</v>
      </c>
    </row>
    <row r="123" spans="1:7" x14ac:dyDescent="0.25">
      <c r="A123" s="4"/>
      <c r="B123" s="64"/>
      <c r="C123" s="71"/>
      <c r="D123" s="84"/>
      <c r="E123" s="74"/>
      <c r="G123" s="75"/>
    </row>
    <row r="124" spans="1:7" x14ac:dyDescent="0.25">
      <c r="A124" s="4" t="s">
        <v>254</v>
      </c>
      <c r="B124" s="29"/>
      <c r="C124" s="71"/>
      <c r="D124" s="67"/>
      <c r="E124" s="74"/>
      <c r="G124" s="75"/>
    </row>
    <row r="125" spans="1:7" x14ac:dyDescent="0.25">
      <c r="A125" s="4" t="s">
        <v>205</v>
      </c>
      <c r="C125" s="36"/>
    </row>
    <row r="126" spans="1:7" ht="15.75" x14ac:dyDescent="0.25">
      <c r="A126" s="4"/>
      <c r="B126" s="1" t="s">
        <v>203</v>
      </c>
      <c r="C126" s="37">
        <f>C107/(1+(1-C118)*(D121/D122))</f>
        <v>0.52669275254823833</v>
      </c>
      <c r="D126" s="83"/>
    </row>
    <row r="127" spans="1:7" x14ac:dyDescent="0.25">
      <c r="A127" s="4"/>
      <c r="B127" s="1" t="s">
        <v>204</v>
      </c>
      <c r="C127" s="36">
        <f>C118</f>
        <v>0.3</v>
      </c>
      <c r="E127" s="1" t="s">
        <v>245</v>
      </c>
    </row>
    <row r="128" spans="1:7" x14ac:dyDescent="0.25">
      <c r="A128" s="4"/>
      <c r="B128" s="80" t="s">
        <v>252</v>
      </c>
      <c r="C128" s="81">
        <v>0.6</v>
      </c>
      <c r="E128" s="73">
        <f>E121</f>
        <v>8.5991341783387382E-2</v>
      </c>
    </row>
    <row r="129" spans="1:11" x14ac:dyDescent="0.25">
      <c r="B129" s="80" t="s">
        <v>253</v>
      </c>
      <c r="C129" s="82">
        <v>0.4</v>
      </c>
      <c r="E129" s="73">
        <f>C135+C134*(C136-C135)</f>
        <v>0.10634572336082153</v>
      </c>
    </row>
    <row r="130" spans="1:11" x14ac:dyDescent="0.25">
      <c r="C130" s="5"/>
    </row>
    <row r="131" spans="1:11" ht="15.75" x14ac:dyDescent="0.25">
      <c r="B131" s="1" t="s">
        <v>206</v>
      </c>
      <c r="C131" s="39">
        <f>(1+(1-C118)*(C128/C129))*C126</f>
        <v>1.0797201427238885</v>
      </c>
      <c r="D131" s="83"/>
    </row>
    <row r="132" spans="1:11" x14ac:dyDescent="0.25">
      <c r="C132" s="5"/>
    </row>
    <row r="133" spans="1:11" x14ac:dyDescent="0.25">
      <c r="A133" s="29" t="s">
        <v>194</v>
      </c>
    </row>
    <row r="134" spans="1:11" x14ac:dyDescent="0.25">
      <c r="B134" s="1" t="s">
        <v>195</v>
      </c>
      <c r="C134" s="40">
        <f>C131</f>
        <v>1.0797201427238885</v>
      </c>
    </row>
    <row r="135" spans="1:11" x14ac:dyDescent="0.25">
      <c r="B135" s="1" t="s">
        <v>196</v>
      </c>
      <c r="C135" s="38">
        <f>C108</f>
        <v>2.0400000000000001E-2</v>
      </c>
    </row>
    <row r="136" spans="1:11" x14ac:dyDescent="0.25">
      <c r="B136" s="1" t="s">
        <v>197</v>
      </c>
      <c r="C136" s="38">
        <f>C109</f>
        <v>0.1</v>
      </c>
    </row>
    <row r="137" spans="1:11" x14ac:dyDescent="0.25">
      <c r="C137" s="34"/>
    </row>
    <row r="138" spans="1:11" x14ac:dyDescent="0.25">
      <c r="B138" s="10" t="s">
        <v>198</v>
      </c>
      <c r="C138" s="36">
        <f>C135+C134*(C136-C135)</f>
        <v>0.10634572336082153</v>
      </c>
    </row>
    <row r="139" spans="1:11" x14ac:dyDescent="0.25">
      <c r="C139" s="5"/>
    </row>
    <row r="140" spans="1:11" x14ac:dyDescent="0.25">
      <c r="A140" s="4" t="s">
        <v>251</v>
      </c>
      <c r="C140" s="75">
        <f>E128*C128*(1-F140)+E129*C129</f>
        <v>7.8654652893351301E-2</v>
      </c>
      <c r="D140" s="5"/>
      <c r="E140" s="29" t="s">
        <v>230</v>
      </c>
      <c r="F140" s="58">
        <v>0.3</v>
      </c>
    </row>
    <row r="141" spans="1:11" x14ac:dyDescent="0.25">
      <c r="A141" s="3"/>
      <c r="B141" s="3"/>
      <c r="C141" s="3"/>
      <c r="D141" s="3"/>
      <c r="E141" s="3"/>
      <c r="F141" s="3"/>
      <c r="G141" s="3"/>
      <c r="H141" s="61"/>
      <c r="I141" s="61"/>
      <c r="J141" s="61"/>
      <c r="K141" s="61"/>
    </row>
    <row r="143" spans="1:11" x14ac:dyDescent="0.25">
      <c r="C143" s="41">
        <v>41274</v>
      </c>
      <c r="D143" s="42">
        <v>2013</v>
      </c>
      <c r="E143" s="42">
        <v>2014</v>
      </c>
      <c r="F143" s="42">
        <v>2015</v>
      </c>
      <c r="G143" s="42">
        <v>2016</v>
      </c>
      <c r="H143" s="42">
        <v>2017</v>
      </c>
      <c r="I143" s="42">
        <v>2018</v>
      </c>
      <c r="J143" s="42">
        <v>2019</v>
      </c>
      <c r="K143" s="57">
        <v>2020</v>
      </c>
    </row>
    <row r="144" spans="1:11" x14ac:dyDescent="0.25">
      <c r="A144" s="12" t="s">
        <v>207</v>
      </c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1:14" x14ac:dyDescent="0.25">
      <c r="A145" s="12"/>
      <c r="B145" s="12" t="s">
        <v>208</v>
      </c>
      <c r="C145" s="12"/>
      <c r="D145" s="12">
        <f t="shared" ref="D145:K145" si="58">D33</f>
        <v>918773.28</v>
      </c>
      <c r="E145" s="12">
        <f t="shared" si="58"/>
        <v>909176.0462438399</v>
      </c>
      <c r="F145" s="12">
        <f t="shared" si="58"/>
        <v>899651.12900046841</v>
      </c>
      <c r="G145" s="12">
        <f t="shared" si="58"/>
        <v>890199.50339992926</v>
      </c>
      <c r="H145" s="12">
        <f t="shared" si="58"/>
        <v>880822.04305468604</v>
      </c>
      <c r="I145" s="12">
        <f t="shared" si="58"/>
        <v>871519.52579454926</v>
      </c>
      <c r="J145" s="12">
        <f t="shared" si="58"/>
        <v>862292.63910402672</v>
      </c>
      <c r="K145" s="12">
        <f t="shared" si="58"/>
        <v>853141.9852772567</v>
      </c>
    </row>
    <row r="146" spans="1:14" x14ac:dyDescent="0.25">
      <c r="A146" s="12"/>
      <c r="B146" s="12" t="s">
        <v>209</v>
      </c>
      <c r="C146" s="12"/>
      <c r="D146" s="12">
        <f>D35+D36</f>
        <v>203333.33333333331</v>
      </c>
      <c r="E146" s="12">
        <f t="shared" ref="E146:K146" si="59">E35+E36</f>
        <v>203333.33333333331</v>
      </c>
      <c r="F146" s="12">
        <f t="shared" si="59"/>
        <v>203333.33333333331</v>
      </c>
      <c r="G146" s="12">
        <f t="shared" si="59"/>
        <v>203333.33333333331</v>
      </c>
      <c r="H146" s="12">
        <f t="shared" si="59"/>
        <v>203333.33333333331</v>
      </c>
      <c r="I146" s="12">
        <f t="shared" si="59"/>
        <v>203333.33333333331</v>
      </c>
      <c r="J146" s="12">
        <f t="shared" si="59"/>
        <v>203333.33333333331</v>
      </c>
      <c r="K146" s="12">
        <f t="shared" si="59"/>
        <v>203333.33333333331</v>
      </c>
    </row>
    <row r="147" spans="1:14" x14ac:dyDescent="0.25">
      <c r="A147" s="12"/>
      <c r="B147" s="12"/>
      <c r="C147" s="12"/>
      <c r="D147" s="43"/>
      <c r="E147" s="43"/>
      <c r="F147" s="43"/>
      <c r="G147" s="43"/>
      <c r="H147" s="43"/>
      <c r="I147" s="43"/>
      <c r="J147" s="43"/>
    </row>
    <row r="148" spans="1:14" x14ac:dyDescent="0.25">
      <c r="A148" s="12"/>
      <c r="B148" s="44" t="s">
        <v>210</v>
      </c>
      <c r="C148" s="12"/>
      <c r="D148" s="44">
        <f>D145-D146</f>
        <v>715439.94666666677</v>
      </c>
      <c r="E148" s="44">
        <f t="shared" ref="E148:K148" si="60">E145-E146</f>
        <v>705842.71291050664</v>
      </c>
      <c r="F148" s="44">
        <f t="shared" si="60"/>
        <v>696317.79566713516</v>
      </c>
      <c r="G148" s="44">
        <f t="shared" si="60"/>
        <v>686866.17006659601</v>
      </c>
      <c r="H148" s="44">
        <f t="shared" si="60"/>
        <v>677488.70972135267</v>
      </c>
      <c r="I148" s="44">
        <f t="shared" si="60"/>
        <v>668186.19246121589</v>
      </c>
      <c r="J148" s="44">
        <f t="shared" si="60"/>
        <v>658959.30577069335</v>
      </c>
      <c r="K148" s="44">
        <f t="shared" si="60"/>
        <v>649808.65194392344</v>
      </c>
    </row>
    <row r="149" spans="1:14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1:14" ht="15.75" thickBot="1" x14ac:dyDescent="0.3">
      <c r="A150" s="12"/>
      <c r="B150" s="12" t="s">
        <v>211</v>
      </c>
      <c r="C150" s="12"/>
      <c r="D150" s="45">
        <f>D148*$F$140</f>
        <v>214631.98400000003</v>
      </c>
      <c r="E150" s="45">
        <f t="shared" ref="E150:K150" si="61">E148*$F$140</f>
        <v>211752.81387315199</v>
      </c>
      <c r="F150" s="45">
        <f t="shared" si="61"/>
        <v>208895.33870014054</v>
      </c>
      <c r="G150" s="45">
        <f t="shared" si="61"/>
        <v>206059.85101997879</v>
      </c>
      <c r="H150" s="45">
        <f t="shared" si="61"/>
        <v>203246.61291640581</v>
      </c>
      <c r="I150" s="45">
        <f t="shared" si="61"/>
        <v>200455.85773836475</v>
      </c>
      <c r="J150" s="45">
        <f t="shared" si="61"/>
        <v>197687.79173120801</v>
      </c>
      <c r="K150" s="45">
        <f t="shared" si="61"/>
        <v>194942.59558317703</v>
      </c>
    </row>
    <row r="151" spans="1:14" ht="15.75" thickTop="1" x14ac:dyDescent="0.25">
      <c r="A151" s="12"/>
      <c r="B151" s="12" t="s">
        <v>212</v>
      </c>
      <c r="C151" s="12"/>
      <c r="D151" s="46">
        <f>D148-D150</f>
        <v>500807.96266666672</v>
      </c>
      <c r="E151" s="46">
        <f t="shared" ref="E151:K151" si="62">E148-E150</f>
        <v>494089.89903735463</v>
      </c>
      <c r="F151" s="46">
        <f t="shared" si="62"/>
        <v>487422.45696699462</v>
      </c>
      <c r="G151" s="46">
        <f t="shared" si="62"/>
        <v>480806.31904661725</v>
      </c>
      <c r="H151" s="46">
        <f t="shared" si="62"/>
        <v>474242.09680494689</v>
      </c>
      <c r="I151" s="46">
        <f t="shared" si="62"/>
        <v>467730.33472285117</v>
      </c>
      <c r="J151" s="46">
        <f t="shared" si="62"/>
        <v>461271.51403948537</v>
      </c>
      <c r="K151" s="46">
        <f t="shared" si="62"/>
        <v>454866.05636074638</v>
      </c>
    </row>
    <row r="152" spans="1:14" ht="15.75" thickBot="1" x14ac:dyDescent="0.3">
      <c r="A152" s="12"/>
      <c r="B152" s="12" t="s">
        <v>213</v>
      </c>
      <c r="C152" s="12"/>
      <c r="D152" s="47">
        <f>D146</f>
        <v>203333.33333333331</v>
      </c>
      <c r="E152" s="47">
        <f t="shared" ref="E152:K152" si="63">E146</f>
        <v>203333.33333333331</v>
      </c>
      <c r="F152" s="47">
        <f t="shared" si="63"/>
        <v>203333.33333333331</v>
      </c>
      <c r="G152" s="47">
        <f t="shared" si="63"/>
        <v>203333.33333333331</v>
      </c>
      <c r="H152" s="47">
        <f t="shared" si="63"/>
        <v>203333.33333333331</v>
      </c>
      <c r="I152" s="47">
        <f t="shared" si="63"/>
        <v>203333.33333333331</v>
      </c>
      <c r="J152" s="47">
        <f t="shared" si="63"/>
        <v>203333.33333333331</v>
      </c>
      <c r="K152" s="47">
        <f t="shared" si="63"/>
        <v>203333.33333333331</v>
      </c>
    </row>
    <row r="153" spans="1:14" x14ac:dyDescent="0.25">
      <c r="A153" s="48" t="s">
        <v>214</v>
      </c>
      <c r="B153" s="48"/>
      <c r="C153" s="12"/>
      <c r="D153" s="49">
        <f>D151+D152</f>
        <v>704141.29600000009</v>
      </c>
      <c r="E153" s="49">
        <f t="shared" ref="E153:K153" si="64">E151+E152</f>
        <v>697423.23237068788</v>
      </c>
      <c r="F153" s="49">
        <f t="shared" si="64"/>
        <v>690755.79030032794</v>
      </c>
      <c r="G153" s="49">
        <f t="shared" si="64"/>
        <v>684139.65237995051</v>
      </c>
      <c r="H153" s="49">
        <f t="shared" si="64"/>
        <v>677575.43013828015</v>
      </c>
      <c r="I153" s="49">
        <f t="shared" si="64"/>
        <v>671063.66805618443</v>
      </c>
      <c r="J153" s="49">
        <f t="shared" si="64"/>
        <v>664604.84737281874</v>
      </c>
      <c r="K153" s="49">
        <f t="shared" si="64"/>
        <v>658199.38969407976</v>
      </c>
    </row>
    <row r="154" spans="1:14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1:14" x14ac:dyDescent="0.25">
      <c r="A155" s="48" t="s">
        <v>215</v>
      </c>
      <c r="B155" s="48"/>
      <c r="C155" s="12"/>
      <c r="D155" s="12"/>
      <c r="E155" s="12"/>
      <c r="F155" s="12"/>
      <c r="G155" s="12"/>
      <c r="H155" s="12"/>
      <c r="I155" s="12"/>
      <c r="J155" s="12"/>
      <c r="M155" s="12"/>
    </row>
    <row r="156" spans="1:14" x14ac:dyDescent="0.25">
      <c r="A156" s="59"/>
      <c r="B156" s="59" t="s">
        <v>240</v>
      </c>
      <c r="C156" s="12">
        <v>-1000000</v>
      </c>
      <c r="D156" s="12"/>
      <c r="E156" s="12"/>
      <c r="F156" s="12"/>
      <c r="G156" s="12"/>
      <c r="H156" s="12"/>
      <c r="I156" s="12"/>
      <c r="J156" s="12"/>
      <c r="M156" s="12"/>
      <c r="N156" s="12"/>
    </row>
    <row r="157" spans="1:14" x14ac:dyDescent="0.25">
      <c r="A157" s="59"/>
      <c r="B157" s="59" t="s">
        <v>242</v>
      </c>
      <c r="C157" s="12"/>
      <c r="D157" s="12"/>
      <c r="E157" s="12"/>
      <c r="F157" s="12"/>
      <c r="G157" s="12"/>
      <c r="H157" s="12"/>
      <c r="I157" s="12"/>
      <c r="J157" s="12"/>
      <c r="K157" s="30">
        <f>N175</f>
        <v>1030000</v>
      </c>
      <c r="M157" s="12" t="s">
        <v>243</v>
      </c>
    </row>
    <row r="158" spans="1:14" x14ac:dyDescent="0.25">
      <c r="A158" s="12"/>
      <c r="B158" s="59" t="s">
        <v>216</v>
      </c>
      <c r="C158" s="12">
        <v>-4100000</v>
      </c>
      <c r="D158" s="12"/>
      <c r="E158" s="12"/>
      <c r="F158" s="12"/>
      <c r="G158" s="12"/>
      <c r="H158" s="12"/>
      <c r="I158" s="12"/>
      <c r="J158" s="12"/>
      <c r="M158" s="12" t="s">
        <v>231</v>
      </c>
      <c r="N158" s="12">
        <f>-C158</f>
        <v>4100000</v>
      </c>
    </row>
    <row r="159" spans="1:14" ht="15.75" thickBot="1" x14ac:dyDescent="0.3">
      <c r="A159" s="12"/>
      <c r="B159" s="12" t="s">
        <v>217</v>
      </c>
      <c r="D159" s="12"/>
      <c r="E159" s="12"/>
      <c r="G159" s="12"/>
      <c r="H159" s="12"/>
      <c r="I159" s="12"/>
      <c r="J159" s="12"/>
      <c r="K159" s="12">
        <f>N161</f>
        <v>3608000.0000000005</v>
      </c>
      <c r="M159" s="12" t="s">
        <v>232</v>
      </c>
      <c r="N159" s="47">
        <f>SUM(D36:K36)</f>
        <v>1093333.3333333333</v>
      </c>
    </row>
    <row r="160" spans="1:14" x14ac:dyDescent="0.25">
      <c r="A160" s="12"/>
      <c r="B160" s="12" t="s">
        <v>236</v>
      </c>
      <c r="C160" s="12">
        <f>-1000000</f>
        <v>-1000000</v>
      </c>
      <c r="D160" s="50"/>
      <c r="E160" s="12"/>
      <c r="F160" s="12"/>
      <c r="G160" s="12"/>
      <c r="H160" s="12"/>
      <c r="I160" s="12"/>
      <c r="M160" s="12" t="s">
        <v>233</v>
      </c>
      <c r="N160" s="12">
        <f>N158-N159</f>
        <v>3006666.666666667</v>
      </c>
    </row>
    <row r="161" spans="1:14" ht="15.75" thickBot="1" x14ac:dyDescent="0.3">
      <c r="A161" s="12"/>
      <c r="B161" s="1" t="s">
        <v>239</v>
      </c>
      <c r="C161" s="12"/>
      <c r="D161" s="50"/>
      <c r="E161" s="12"/>
      <c r="F161" s="12"/>
      <c r="G161" s="12"/>
      <c r="H161" s="12"/>
      <c r="I161" s="12"/>
      <c r="K161" s="13">
        <f>N168</f>
        <v>200000</v>
      </c>
      <c r="M161" s="12" t="s">
        <v>234</v>
      </c>
      <c r="N161" s="47">
        <f>N160*1.2</f>
        <v>3608000.0000000005</v>
      </c>
    </row>
    <row r="162" spans="1:14" x14ac:dyDescent="0.25">
      <c r="A162" s="12"/>
      <c r="B162" s="1" t="s">
        <v>256</v>
      </c>
      <c r="C162" s="12"/>
      <c r="D162" s="12"/>
      <c r="E162" s="12"/>
      <c r="F162" s="12"/>
      <c r="G162" s="12"/>
      <c r="H162" s="12"/>
      <c r="I162" s="12"/>
      <c r="K162" s="51"/>
      <c r="M162" s="12" t="s">
        <v>235</v>
      </c>
      <c r="N162" s="12">
        <f>N161-N160</f>
        <v>601333.33333333349</v>
      </c>
    </row>
    <row r="163" spans="1:14" x14ac:dyDescent="0.25">
      <c r="A163" s="12"/>
      <c r="C163" s="12"/>
      <c r="D163" s="12"/>
      <c r="E163" s="12"/>
      <c r="F163" s="12"/>
      <c r="G163" s="12"/>
      <c r="H163" s="12"/>
      <c r="I163" s="12"/>
      <c r="K163" s="13">
        <f>-(N162+N169+N176)*30%</f>
        <v>-109400.00000000006</v>
      </c>
    </row>
    <row r="164" spans="1:14" x14ac:dyDescent="0.25">
      <c r="A164" s="12"/>
      <c r="B164" s="52"/>
      <c r="C164" s="12"/>
      <c r="D164" s="12"/>
      <c r="E164" s="12"/>
      <c r="F164" s="12"/>
      <c r="G164" s="12"/>
      <c r="H164" s="12"/>
      <c r="I164" s="12"/>
      <c r="M164" s="12"/>
      <c r="N164" s="12" t="s">
        <v>237</v>
      </c>
    </row>
    <row r="165" spans="1:14" x14ac:dyDescent="0.25">
      <c r="A165" s="12"/>
      <c r="B165" s="48"/>
      <c r="C165" s="12"/>
      <c r="D165" s="12"/>
      <c r="E165" s="12"/>
      <c r="F165" s="12"/>
      <c r="G165" s="12"/>
      <c r="H165" s="12"/>
      <c r="I165" s="12"/>
      <c r="J165" s="12"/>
      <c r="M165" s="12" t="s">
        <v>231</v>
      </c>
      <c r="N165" s="12">
        <v>1000000</v>
      </c>
    </row>
    <row r="166" spans="1:14" ht="15.75" thickBot="1" x14ac:dyDescent="0.3">
      <c r="A166" s="48" t="s">
        <v>218</v>
      </c>
      <c r="B166" s="12" t="s">
        <v>220</v>
      </c>
      <c r="C166" s="48"/>
      <c r="D166" s="12"/>
      <c r="E166" s="12"/>
      <c r="F166" s="12"/>
      <c r="G166" s="12"/>
      <c r="H166" s="12"/>
      <c r="I166" s="12"/>
      <c r="J166" s="12"/>
      <c r="M166" s="12" t="s">
        <v>232</v>
      </c>
      <c r="N166" s="47">
        <f>SUM(D35:K35)</f>
        <v>533333.33333333337</v>
      </c>
    </row>
    <row r="167" spans="1:14" x14ac:dyDescent="0.25">
      <c r="A167" s="12" t="s">
        <v>219</v>
      </c>
      <c r="B167" s="12" t="s">
        <v>221</v>
      </c>
      <c r="C167" s="12"/>
      <c r="D167" s="12">
        <f>-(D105-C105)</f>
        <v>0</v>
      </c>
      <c r="E167" s="12"/>
      <c r="F167" s="12">
        <f>-(F105-D105)</f>
        <v>0</v>
      </c>
      <c r="G167" s="12"/>
      <c r="H167" s="12">
        <f>-(H105-F105)</f>
        <v>0</v>
      </c>
      <c r="I167" s="12"/>
      <c r="J167" s="12">
        <f>-(J105-H105)</f>
        <v>0</v>
      </c>
      <c r="M167" s="12" t="s">
        <v>233</v>
      </c>
      <c r="N167" s="12">
        <f>N165-N166</f>
        <v>466666.66666666663</v>
      </c>
    </row>
    <row r="168" spans="1:14" ht="15.75" thickBot="1" x14ac:dyDescent="0.3">
      <c r="A168" s="12" t="s">
        <v>219</v>
      </c>
      <c r="B168" s="12"/>
      <c r="C168" s="12"/>
      <c r="D168" s="12">
        <f>-(D106-C106)</f>
        <v>0</v>
      </c>
      <c r="E168" s="12"/>
      <c r="F168" s="12">
        <f>-(F106-D106)</f>
        <v>0</v>
      </c>
      <c r="G168" s="12"/>
      <c r="H168" s="12">
        <f>-(H106-F106)</f>
        <v>0</v>
      </c>
      <c r="I168" s="12"/>
      <c r="J168" s="12">
        <f>-(J106-H106)</f>
        <v>0</v>
      </c>
      <c r="M168" s="12" t="s">
        <v>234</v>
      </c>
      <c r="N168" s="47">
        <f>200000</f>
        <v>200000</v>
      </c>
    </row>
    <row r="169" spans="1:14" x14ac:dyDescent="0.25">
      <c r="A169" s="12"/>
      <c r="B169" s="12" t="s">
        <v>223</v>
      </c>
      <c r="C169" s="12"/>
      <c r="D169" s="12"/>
      <c r="E169" s="12"/>
      <c r="F169" s="12"/>
      <c r="G169" s="12"/>
      <c r="H169" s="12"/>
      <c r="I169" s="12"/>
      <c r="J169" s="12"/>
      <c r="M169" s="12" t="s">
        <v>238</v>
      </c>
      <c r="N169" s="12">
        <f>N168-N167</f>
        <v>-266666.66666666663</v>
      </c>
    </row>
    <row r="170" spans="1:14" x14ac:dyDescent="0.25">
      <c r="A170" s="12" t="s">
        <v>222</v>
      </c>
      <c r="B170" s="12" t="s">
        <v>26</v>
      </c>
      <c r="C170" s="12"/>
      <c r="D170" s="12">
        <f>D59-C59</f>
        <v>8939.9999999999982</v>
      </c>
      <c r="E170" s="12">
        <f>E59-D59</f>
        <v>-100.12799999999879</v>
      </c>
      <c r="F170" s="12">
        <f t="shared" ref="F170:K170" si="65">F59-E59</f>
        <v>-99.006566399999429</v>
      </c>
      <c r="G170" s="12">
        <f t="shared" si="65"/>
        <v>-97.897692856318827</v>
      </c>
      <c r="H170" s="12">
        <f t="shared" si="65"/>
        <v>-96.801238696330984</v>
      </c>
      <c r="I170" s="12">
        <f t="shared" si="65"/>
        <v>-95.717064822931206</v>
      </c>
      <c r="J170" s="12">
        <f t="shared" si="65"/>
        <v>-94.645033696911923</v>
      </c>
      <c r="K170" s="12">
        <f t="shared" si="65"/>
        <v>-93.585009319509481</v>
      </c>
    </row>
    <row r="171" spans="1:14" x14ac:dyDescent="0.25">
      <c r="A171" s="12" t="s">
        <v>222</v>
      </c>
      <c r="B171" s="12"/>
      <c r="C171" s="12"/>
      <c r="D171" s="12">
        <f>D150-C150</f>
        <v>214631.98400000003</v>
      </c>
      <c r="E171" s="12">
        <f t="shared" ref="E171:K171" si="66">E150-D150</f>
        <v>-2879.1701268480392</v>
      </c>
      <c r="F171" s="12">
        <f t="shared" si="66"/>
        <v>-2857.4751730114513</v>
      </c>
      <c r="G171" s="12">
        <f t="shared" si="66"/>
        <v>-2835.4876801617502</v>
      </c>
      <c r="H171" s="12">
        <f t="shared" si="66"/>
        <v>-2813.2381035729777</v>
      </c>
      <c r="I171" s="12">
        <f t="shared" si="66"/>
        <v>-2790.7551780410577</v>
      </c>
      <c r="J171" s="12">
        <f t="shared" si="66"/>
        <v>-2768.0660071567399</v>
      </c>
      <c r="K171" s="12">
        <f t="shared" si="66"/>
        <v>-2745.1961480309837</v>
      </c>
      <c r="N171" s="1" t="s">
        <v>188</v>
      </c>
    </row>
    <row r="172" spans="1:14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M172" s="1" t="s">
        <v>231</v>
      </c>
      <c r="N172" s="12">
        <v>1000000</v>
      </c>
    </row>
    <row r="173" spans="1:14" ht="15.75" thickBot="1" x14ac:dyDescent="0.3">
      <c r="A173" s="12"/>
      <c r="B173" s="48"/>
      <c r="C173" s="12"/>
      <c r="D173" s="12"/>
      <c r="E173" s="12"/>
      <c r="F173" s="12"/>
      <c r="G173" s="12"/>
      <c r="H173" s="12"/>
      <c r="I173" s="12"/>
      <c r="J173" s="12"/>
      <c r="M173" s="1" t="s">
        <v>232</v>
      </c>
      <c r="N173" s="60">
        <v>0</v>
      </c>
    </row>
    <row r="174" spans="1:14" x14ac:dyDescent="0.25">
      <c r="A174" s="48" t="s">
        <v>224</v>
      </c>
      <c r="B174" s="12" t="s">
        <v>220</v>
      </c>
      <c r="C174" s="48"/>
      <c r="D174" s="12"/>
      <c r="E174" s="12"/>
      <c r="F174" s="12"/>
      <c r="G174" s="12"/>
      <c r="H174" s="12"/>
      <c r="I174" s="12"/>
      <c r="J174" s="12"/>
      <c r="M174" s="1" t="s">
        <v>241</v>
      </c>
      <c r="N174" s="30">
        <f>N172-N173</f>
        <v>1000000</v>
      </c>
    </row>
    <row r="175" spans="1:14" x14ac:dyDescent="0.25">
      <c r="A175" s="12" t="s">
        <v>222</v>
      </c>
      <c r="B175" s="12" t="s">
        <v>223</v>
      </c>
      <c r="C175" s="12"/>
      <c r="D175" s="12"/>
      <c r="E175" s="12"/>
      <c r="F175" s="12"/>
      <c r="G175" s="12"/>
      <c r="H175" s="12"/>
      <c r="I175" s="12"/>
      <c r="K175" s="12">
        <f>J105</f>
        <v>0</v>
      </c>
      <c r="M175" s="1" t="s">
        <v>234</v>
      </c>
      <c r="N175" s="30">
        <f>N174*1.03</f>
        <v>1030000</v>
      </c>
    </row>
    <row r="176" spans="1:14" x14ac:dyDescent="0.25">
      <c r="A176" s="12" t="s">
        <v>219</v>
      </c>
      <c r="B176" s="12" t="s">
        <v>26</v>
      </c>
      <c r="C176" s="12"/>
      <c r="D176" s="12"/>
      <c r="E176" s="12"/>
      <c r="F176" s="12"/>
      <c r="G176" s="12"/>
      <c r="H176" s="12"/>
      <c r="I176" s="12"/>
      <c r="K176" s="12">
        <f>-SUM(D170:K170)</f>
        <v>-8262.2193942079975</v>
      </c>
      <c r="M176" s="1" t="s">
        <v>235</v>
      </c>
      <c r="N176" s="30">
        <f>N175-N174</f>
        <v>30000</v>
      </c>
    </row>
    <row r="177" spans="1:14" x14ac:dyDescent="0.25">
      <c r="A177" s="12" t="s">
        <v>219</v>
      </c>
      <c r="B177" s="12" t="str">
        <f>+B167</f>
        <v>Inventory</v>
      </c>
      <c r="C177" s="12"/>
      <c r="D177" s="12"/>
      <c r="E177" s="12"/>
      <c r="F177" s="12"/>
      <c r="G177" s="12"/>
      <c r="H177" s="12"/>
      <c r="I177" s="12"/>
      <c r="K177" s="12">
        <f>-SUM(D171:K171)</f>
        <v>-194942.59558317703</v>
      </c>
    </row>
    <row r="178" spans="1:14" x14ac:dyDescent="0.25">
      <c r="A178" s="12" t="s">
        <v>222</v>
      </c>
      <c r="B178" s="12"/>
      <c r="C178" s="12"/>
      <c r="D178" s="12"/>
      <c r="E178" s="12"/>
      <c r="F178" s="12"/>
      <c r="G178" s="12"/>
      <c r="H178" s="12"/>
      <c r="I178" s="12"/>
      <c r="K178" s="12">
        <f>J106</f>
        <v>0</v>
      </c>
      <c r="N178" s="30"/>
    </row>
    <row r="179" spans="1:14" x14ac:dyDescent="0.25">
      <c r="A179" s="12"/>
      <c r="B179" s="53"/>
      <c r="C179" s="12"/>
      <c r="D179" s="12"/>
      <c r="E179" s="12"/>
      <c r="F179" s="12"/>
      <c r="G179" s="12"/>
      <c r="H179" s="12"/>
      <c r="I179" s="12"/>
      <c r="J179" s="12"/>
      <c r="N179" s="30"/>
    </row>
    <row r="180" spans="1:14" x14ac:dyDescent="0.25">
      <c r="A180" s="53" t="s">
        <v>225</v>
      </c>
      <c r="B180" s="44"/>
      <c r="C180" s="12">
        <f>SUM(C153:C179)</f>
        <v>-6100000</v>
      </c>
      <c r="D180" s="12">
        <f t="shared" ref="D180:J180" si="67">SUM(D153:D179)</f>
        <v>927713.28000000014</v>
      </c>
      <c r="E180" s="12">
        <f t="shared" si="67"/>
        <v>694443.93424383982</v>
      </c>
      <c r="F180" s="12">
        <f t="shared" si="67"/>
        <v>687799.30856091646</v>
      </c>
      <c r="G180" s="12">
        <f t="shared" si="67"/>
        <v>681206.26700693252</v>
      </c>
      <c r="H180" s="12">
        <f t="shared" si="67"/>
        <v>674665.39079601085</v>
      </c>
      <c r="I180" s="12">
        <f t="shared" si="67"/>
        <v>668177.19581332046</v>
      </c>
      <c r="J180" s="12">
        <f t="shared" si="67"/>
        <v>661742.1363319651</v>
      </c>
      <c r="K180" s="12">
        <f>SUM(K153:K179)</f>
        <v>5180755.7935593436</v>
      </c>
    </row>
    <row r="181" spans="1:14" x14ac:dyDescent="0.25">
      <c r="A181" s="44" t="s">
        <v>226</v>
      </c>
      <c r="B181" s="44"/>
      <c r="C181" s="12">
        <f>PV($C$183,C182,,-C180)</f>
        <v>-6100000</v>
      </c>
      <c r="D181" s="12">
        <f t="shared" ref="D181:K181" si="68">PV($C$183,D182,,-D180)</f>
        <v>856457.37774993794</v>
      </c>
      <c r="E181" s="12">
        <f t="shared" si="68"/>
        <v>591862.94611269911</v>
      </c>
      <c r="F181" s="12">
        <f t="shared" si="68"/>
        <v>541174.94169825804</v>
      </c>
      <c r="G181" s="12">
        <f t="shared" si="68"/>
        <v>494819.21991071483</v>
      </c>
      <c r="H181" s="12">
        <f t="shared" si="68"/>
        <v>452426.81678750797</v>
      </c>
      <c r="I181" s="12">
        <f t="shared" si="68"/>
        <v>413660.00971181411</v>
      </c>
      <c r="J181" s="12">
        <f t="shared" si="68"/>
        <v>378209.69629585394</v>
      </c>
      <c r="K181" s="12">
        <f t="shared" si="68"/>
        <v>2733562.2755636331</v>
      </c>
    </row>
    <row r="182" spans="1:14" x14ac:dyDescent="0.25">
      <c r="A182" s="44" t="s">
        <v>227</v>
      </c>
      <c r="B182" s="44"/>
      <c r="C182" s="54">
        <v>0</v>
      </c>
      <c r="D182" s="54">
        <v>1</v>
      </c>
      <c r="E182" s="54">
        <v>2</v>
      </c>
      <c r="F182" s="54">
        <v>3</v>
      </c>
      <c r="G182" s="54">
        <v>4</v>
      </c>
      <c r="H182" s="54">
        <v>5</v>
      </c>
      <c r="I182" s="54">
        <v>6</v>
      </c>
      <c r="J182" s="54">
        <v>7</v>
      </c>
      <c r="K182" s="1">
        <v>8</v>
      </c>
    </row>
    <row r="183" spans="1:14" x14ac:dyDescent="0.25">
      <c r="A183" s="44" t="s">
        <v>228</v>
      </c>
      <c r="B183" s="12"/>
      <c r="C183" s="5">
        <f>G122</f>
        <v>8.3198421896094596E-2</v>
      </c>
      <c r="D183" s="12"/>
      <c r="E183" s="12"/>
      <c r="F183" s="12"/>
      <c r="G183" s="12"/>
      <c r="H183" s="12"/>
      <c r="I183" s="12"/>
      <c r="J183" s="12"/>
    </row>
    <row r="184" spans="1:14" x14ac:dyDescent="0.25">
      <c r="A184" s="12"/>
      <c r="B184" s="44"/>
      <c r="C184" s="12"/>
      <c r="D184" s="12"/>
      <c r="E184" s="12"/>
      <c r="F184" s="12"/>
      <c r="G184" s="12"/>
      <c r="H184" s="12"/>
      <c r="I184" s="12"/>
      <c r="J184" s="12"/>
    </row>
    <row r="185" spans="1:14" x14ac:dyDescent="0.25">
      <c r="A185" s="44" t="s">
        <v>229</v>
      </c>
      <c r="B185" s="44"/>
      <c r="C185" s="55">
        <f>SUM(C181:K181)</f>
        <v>362173.28383041825</v>
      </c>
      <c r="D185" s="12"/>
      <c r="E185" s="12"/>
      <c r="F185" s="12"/>
      <c r="G185" s="12"/>
      <c r="H185" s="12"/>
      <c r="I185" s="12"/>
      <c r="J185" s="12"/>
    </row>
    <row r="186" spans="1:14" x14ac:dyDescent="0.25">
      <c r="A186" s="44" t="s">
        <v>255</v>
      </c>
      <c r="C186" s="56">
        <f>IRR(C180:K180)</f>
        <v>9.4913504610218968E-2</v>
      </c>
      <c r="D186" s="12"/>
      <c r="E186" s="12"/>
      <c r="F186" s="12"/>
      <c r="G186" s="12"/>
      <c r="H186" s="12"/>
      <c r="I186" s="12"/>
      <c r="J186" s="12"/>
    </row>
  </sheetData>
  <sheetProtection selectLockedCells="1" selectUnlockedCells="1"/>
  <pageMargins left="0.7" right="0.7" top="0.75" bottom="0.75" header="0.51180555555555551" footer="0.51180555555555551"/>
  <pageSetup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workbookViewId="0">
      <selection activeCell="F93" sqref="F93"/>
    </sheetView>
  </sheetViews>
  <sheetFormatPr defaultColWidth="11.5703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5703125" customWidth="1"/>
    <col min="6" max="6" width="12.42578125" customWidth="1"/>
    <col min="9" max="9" width="13" customWidth="1"/>
    <col min="10" max="10" width="12.7109375" bestFit="1" customWidth="1"/>
  </cols>
  <sheetData>
    <row r="1" spans="1:12" x14ac:dyDescent="0.2">
      <c r="B1" t="s">
        <v>30</v>
      </c>
      <c r="C1" t="s">
        <v>31</v>
      </c>
      <c r="D1" t="s">
        <v>32</v>
      </c>
      <c r="E1" t="s">
        <v>33</v>
      </c>
      <c r="F1" t="s">
        <v>34</v>
      </c>
      <c r="I1" t="s">
        <v>31</v>
      </c>
      <c r="J1" s="20">
        <v>6100000</v>
      </c>
      <c r="L1" t="s">
        <v>78</v>
      </c>
    </row>
    <row r="2" spans="1:12" x14ac:dyDescent="0.2">
      <c r="A2" s="26" t="s">
        <v>36</v>
      </c>
      <c r="B2" s="15">
        <f>4100000-1500000</f>
        <v>2600000</v>
      </c>
      <c r="C2" s="15">
        <f t="shared" ref="C2:C13" si="0">+E2-D2</f>
        <v>25416.785539263503</v>
      </c>
      <c r="D2" s="15">
        <f t="shared" ref="D2:D13" si="1">+B2*0.07/12</f>
        <v>15166.66666666667</v>
      </c>
      <c r="E2" s="15">
        <f>-$L$5</f>
        <v>40583.452205930174</v>
      </c>
      <c r="F2" s="15">
        <f t="shared" ref="F2:F13" si="2">+B2-C2</f>
        <v>2574583.2144607366</v>
      </c>
      <c r="G2">
        <v>1</v>
      </c>
      <c r="I2" t="s">
        <v>76</v>
      </c>
      <c r="J2">
        <v>7.0000000000000007E-2</v>
      </c>
      <c r="L2">
        <f>J2/12</f>
        <v>5.8333333333333336E-3</v>
      </c>
    </row>
    <row r="3" spans="1:12" x14ac:dyDescent="0.2">
      <c r="A3" s="26" t="s">
        <v>37</v>
      </c>
      <c r="B3" s="15">
        <f t="shared" ref="B3:B13" si="3">+F2</f>
        <v>2574583.2144607366</v>
      </c>
      <c r="C3" s="15">
        <f t="shared" si="0"/>
        <v>25565.050121575878</v>
      </c>
      <c r="D3" s="15">
        <f t="shared" si="1"/>
        <v>15018.402084354298</v>
      </c>
      <c r="E3" s="15">
        <f t="shared" ref="E3:E13" si="4">-$L$5</f>
        <v>40583.452205930174</v>
      </c>
      <c r="F3" s="15">
        <f t="shared" si="2"/>
        <v>2549018.1643391605</v>
      </c>
      <c r="G3">
        <v>2</v>
      </c>
      <c r="I3" t="s">
        <v>77</v>
      </c>
      <c r="J3">
        <v>30</v>
      </c>
      <c r="L3">
        <f>J3*12</f>
        <v>360</v>
      </c>
    </row>
    <row r="4" spans="1:12" x14ac:dyDescent="0.2">
      <c r="A4" s="26" t="s">
        <v>38</v>
      </c>
      <c r="B4" s="15">
        <f t="shared" si="3"/>
        <v>2549018.1643391605</v>
      </c>
      <c r="C4" s="15">
        <f t="shared" si="0"/>
        <v>25714.179580618402</v>
      </c>
      <c r="D4" s="15">
        <f t="shared" si="1"/>
        <v>14869.272625311771</v>
      </c>
      <c r="E4" s="15">
        <f t="shared" si="4"/>
        <v>40583.452205930174</v>
      </c>
      <c r="F4" s="15">
        <f t="shared" si="2"/>
        <v>2523303.9847585419</v>
      </c>
      <c r="G4">
        <v>3</v>
      </c>
    </row>
    <row r="5" spans="1:12" x14ac:dyDescent="0.2">
      <c r="A5" s="26" t="s">
        <v>39</v>
      </c>
      <c r="B5" s="15">
        <f t="shared" si="3"/>
        <v>2523303.9847585419</v>
      </c>
      <c r="C5" s="15">
        <f t="shared" si="0"/>
        <v>25864.178961505342</v>
      </c>
      <c r="D5" s="15">
        <f t="shared" si="1"/>
        <v>14719.27324442483</v>
      </c>
      <c r="E5" s="15">
        <f t="shared" si="4"/>
        <v>40583.452205930174</v>
      </c>
      <c r="F5" s="15">
        <f t="shared" si="2"/>
        <v>2497439.8057970367</v>
      </c>
      <c r="G5">
        <v>4</v>
      </c>
      <c r="I5" t="s">
        <v>33</v>
      </c>
      <c r="L5" s="21">
        <f>PMT(L2,L3,J1,,0)</f>
        <v>-40583.452205930174</v>
      </c>
    </row>
    <row r="6" spans="1:12" x14ac:dyDescent="0.2">
      <c r="A6" s="26" t="s">
        <v>40</v>
      </c>
      <c r="B6" s="15">
        <f t="shared" si="3"/>
        <v>2497439.8057970367</v>
      </c>
      <c r="C6" s="15">
        <f t="shared" si="0"/>
        <v>26015.053338780795</v>
      </c>
      <c r="D6" s="15">
        <f t="shared" si="1"/>
        <v>14568.398867149381</v>
      </c>
      <c r="E6" s="15">
        <f t="shared" si="4"/>
        <v>40583.452205930174</v>
      </c>
      <c r="F6" s="15">
        <f t="shared" si="2"/>
        <v>2471424.7524582557</v>
      </c>
      <c r="G6">
        <v>5</v>
      </c>
    </row>
    <row r="7" spans="1:12" x14ac:dyDescent="0.2">
      <c r="A7" s="26" t="s">
        <v>41</v>
      </c>
      <c r="B7" s="15">
        <f t="shared" si="3"/>
        <v>2471424.7524582557</v>
      </c>
      <c r="C7" s="15">
        <f t="shared" si="0"/>
        <v>26166.80781659035</v>
      </c>
      <c r="D7" s="15">
        <f t="shared" si="1"/>
        <v>14416.644389339826</v>
      </c>
      <c r="E7" s="15">
        <f t="shared" si="4"/>
        <v>40583.452205930174</v>
      </c>
      <c r="F7" s="15">
        <f t="shared" si="2"/>
        <v>2445257.9446416656</v>
      </c>
      <c r="G7">
        <v>6</v>
      </c>
    </row>
    <row r="8" spans="1:12" x14ac:dyDescent="0.2">
      <c r="A8" s="26" t="s">
        <v>42</v>
      </c>
      <c r="B8" s="15">
        <f t="shared" si="3"/>
        <v>2445257.9446416656</v>
      </c>
      <c r="C8" s="15">
        <f t="shared" si="0"/>
        <v>26319.447528853794</v>
      </c>
      <c r="D8" s="15">
        <f t="shared" si="1"/>
        <v>14264.004677076382</v>
      </c>
      <c r="E8" s="15">
        <f t="shared" si="4"/>
        <v>40583.452205930174</v>
      </c>
      <c r="F8" s="15">
        <f t="shared" si="2"/>
        <v>2418938.4971128115</v>
      </c>
      <c r="G8">
        <v>7</v>
      </c>
    </row>
    <row r="9" spans="1:12" x14ac:dyDescent="0.2">
      <c r="A9" s="26" t="s">
        <v>43</v>
      </c>
      <c r="B9" s="15">
        <f t="shared" si="3"/>
        <v>2418938.4971128115</v>
      </c>
      <c r="C9" s="15">
        <f t="shared" si="0"/>
        <v>26472.977639438774</v>
      </c>
      <c r="D9" s="15">
        <f t="shared" si="1"/>
        <v>14110.474566491403</v>
      </c>
      <c r="E9" s="15">
        <f t="shared" si="4"/>
        <v>40583.452205930174</v>
      </c>
      <c r="F9" s="15">
        <f t="shared" si="2"/>
        <v>2392465.519473373</v>
      </c>
      <c r="G9">
        <v>8</v>
      </c>
    </row>
    <row r="10" spans="1:12" x14ac:dyDescent="0.2">
      <c r="A10" s="26" t="s">
        <v>44</v>
      </c>
      <c r="B10" s="15">
        <f t="shared" si="3"/>
        <v>2392465.519473373</v>
      </c>
      <c r="C10" s="15">
        <f t="shared" si="0"/>
        <v>26627.403342335499</v>
      </c>
      <c r="D10" s="15">
        <f t="shared" si="1"/>
        <v>13956.048863594677</v>
      </c>
      <c r="E10" s="15">
        <f t="shared" si="4"/>
        <v>40583.452205930174</v>
      </c>
      <c r="F10" s="15">
        <f t="shared" si="2"/>
        <v>2365838.1161310375</v>
      </c>
      <c r="G10">
        <v>9</v>
      </c>
      <c r="I10" s="18" t="s">
        <v>80</v>
      </c>
    </row>
    <row r="11" spans="1:12" x14ac:dyDescent="0.2">
      <c r="A11" s="26" t="s">
        <v>45</v>
      </c>
      <c r="B11" s="15">
        <f t="shared" si="3"/>
        <v>2365838.1161310375</v>
      </c>
      <c r="C11" s="15">
        <f t="shared" si="0"/>
        <v>26782.729861832457</v>
      </c>
      <c r="D11" s="15">
        <f t="shared" si="1"/>
        <v>13800.72234409772</v>
      </c>
      <c r="E11" s="15">
        <f t="shared" si="4"/>
        <v>40583.452205930174</v>
      </c>
      <c r="F11" s="15">
        <f t="shared" si="2"/>
        <v>2339055.3862692052</v>
      </c>
      <c r="G11">
        <v>10</v>
      </c>
    </row>
    <row r="12" spans="1:12" x14ac:dyDescent="0.2">
      <c r="A12" s="26" t="s">
        <v>46</v>
      </c>
      <c r="B12" s="15">
        <f t="shared" si="3"/>
        <v>2339055.3862692052</v>
      </c>
      <c r="C12" s="15">
        <f t="shared" si="0"/>
        <v>26938.962452693144</v>
      </c>
      <c r="D12" s="15">
        <f t="shared" si="1"/>
        <v>13644.489753237032</v>
      </c>
      <c r="E12" s="15">
        <f t="shared" si="4"/>
        <v>40583.452205930174</v>
      </c>
      <c r="F12" s="15">
        <f t="shared" si="2"/>
        <v>2312116.4238165123</v>
      </c>
      <c r="G12">
        <v>11</v>
      </c>
      <c r="I12" t="s">
        <v>31</v>
      </c>
      <c r="J12" t="s">
        <v>79</v>
      </c>
    </row>
    <row r="13" spans="1:12" ht="15" x14ac:dyDescent="0.25">
      <c r="A13" s="26" t="s">
        <v>47</v>
      </c>
      <c r="B13" s="15">
        <f t="shared" si="3"/>
        <v>2312116.4238165123</v>
      </c>
      <c r="C13" s="15">
        <f t="shared" si="0"/>
        <v>27096.106400333854</v>
      </c>
      <c r="D13" s="15">
        <f t="shared" si="1"/>
        <v>13487.345805596322</v>
      </c>
      <c r="E13" s="15">
        <f t="shared" si="4"/>
        <v>40583.452205930174</v>
      </c>
      <c r="F13" s="22">
        <f t="shared" si="2"/>
        <v>2285020.3174161785</v>
      </c>
      <c r="G13">
        <v>12</v>
      </c>
      <c r="I13" s="23">
        <f>$B$2+CUMPRINC($L$2,$L$3,$B$2,G2,G13,0)</f>
        <v>2573588.944438329</v>
      </c>
      <c r="J13" s="24">
        <f>-CUMIPMT($L$2,$L$3,$B$2,G2,G13,0)</f>
        <v>181163.32293423434</v>
      </c>
    </row>
    <row r="14" spans="1:12" x14ac:dyDescent="0.2">
      <c r="A14" s="17" t="s">
        <v>35</v>
      </c>
      <c r="B14" s="17"/>
      <c r="C14" s="16">
        <f>SUM(C2:C13)</f>
        <v>314979.68258382176</v>
      </c>
      <c r="D14" s="22">
        <f>SUM(D2:D13)</f>
        <v>172021.7438873403</v>
      </c>
      <c r="E14" s="15"/>
      <c r="F14" s="15"/>
    </row>
    <row r="15" spans="1:12" x14ac:dyDescent="0.2">
      <c r="A15" s="14"/>
      <c r="B15" s="14"/>
      <c r="C15" s="15"/>
      <c r="D15" s="15"/>
      <c r="E15" s="15"/>
      <c r="F15" s="15"/>
    </row>
    <row r="16" spans="1:12" x14ac:dyDescent="0.2">
      <c r="A16" s="26" t="s">
        <v>48</v>
      </c>
      <c r="B16" s="15">
        <f>+F13</f>
        <v>2285020.3174161785</v>
      </c>
      <c r="C16" s="15">
        <f t="shared" ref="C16:C27" si="5">+E16-D16</f>
        <v>27254.167021002468</v>
      </c>
      <c r="D16" s="15">
        <f t="shared" ref="D16:D27" si="6">+B16*0.07/12</f>
        <v>13329.285184927709</v>
      </c>
      <c r="E16" s="15">
        <f t="shared" ref="E16:E27" si="7">-$L$5</f>
        <v>40583.452205930174</v>
      </c>
      <c r="F16" s="15">
        <f t="shared" ref="F16:F27" si="8">+B16-C16</f>
        <v>2257766.1503951759</v>
      </c>
      <c r="G16">
        <v>13</v>
      </c>
    </row>
    <row r="17" spans="1:10" x14ac:dyDescent="0.2">
      <c r="A17" s="26" t="s">
        <v>49</v>
      </c>
      <c r="B17" s="15">
        <f t="shared" ref="B17:B27" si="9">+F16</f>
        <v>2257766.1503951759</v>
      </c>
      <c r="C17" s="15">
        <f t="shared" si="5"/>
        <v>27413.149661958312</v>
      </c>
      <c r="D17" s="15">
        <f t="shared" si="6"/>
        <v>13170.30254397186</v>
      </c>
      <c r="E17" s="15">
        <f t="shared" si="7"/>
        <v>40583.452205930174</v>
      </c>
      <c r="F17" s="15">
        <f t="shared" si="8"/>
        <v>2230353.0007332177</v>
      </c>
      <c r="G17">
        <v>14</v>
      </c>
    </row>
    <row r="18" spans="1:10" x14ac:dyDescent="0.2">
      <c r="A18" s="26" t="s">
        <v>50</v>
      </c>
      <c r="B18" s="15">
        <f t="shared" si="9"/>
        <v>2230353.0007332177</v>
      </c>
      <c r="C18" s="15">
        <f t="shared" si="5"/>
        <v>27573.059701653066</v>
      </c>
      <c r="D18" s="15">
        <f t="shared" si="6"/>
        <v>13010.392504277106</v>
      </c>
      <c r="E18" s="15">
        <f t="shared" si="7"/>
        <v>40583.452205930174</v>
      </c>
      <c r="F18" s="15">
        <f t="shared" si="8"/>
        <v>2202779.9410315645</v>
      </c>
      <c r="G18">
        <v>15</v>
      </c>
    </row>
    <row r="19" spans="1:10" x14ac:dyDescent="0.2">
      <c r="A19" s="26" t="s">
        <v>51</v>
      </c>
      <c r="B19" s="15">
        <f t="shared" si="9"/>
        <v>2202779.9410315645</v>
      </c>
      <c r="C19" s="15">
        <f t="shared" si="5"/>
        <v>27733.902549912716</v>
      </c>
      <c r="D19" s="15">
        <f t="shared" si="6"/>
        <v>12849.54965601746</v>
      </c>
      <c r="E19" s="15">
        <f t="shared" si="7"/>
        <v>40583.452205930174</v>
      </c>
      <c r="F19" s="15">
        <f t="shared" si="8"/>
        <v>2175046.0384816518</v>
      </c>
      <c r="G19">
        <v>16</v>
      </c>
    </row>
    <row r="20" spans="1:10" x14ac:dyDescent="0.2">
      <c r="A20" s="26" t="s">
        <v>52</v>
      </c>
      <c r="B20" s="15">
        <f t="shared" si="9"/>
        <v>2175046.0384816518</v>
      </c>
      <c r="C20" s="15">
        <f t="shared" si="5"/>
        <v>27895.683648120539</v>
      </c>
      <c r="D20" s="15">
        <f t="shared" si="6"/>
        <v>12687.768557809637</v>
      </c>
      <c r="E20" s="15">
        <f t="shared" si="7"/>
        <v>40583.452205930174</v>
      </c>
      <c r="F20" s="15">
        <f t="shared" si="8"/>
        <v>2147150.3548335312</v>
      </c>
      <c r="G20">
        <v>17</v>
      </c>
    </row>
    <row r="21" spans="1:10" x14ac:dyDescent="0.2">
      <c r="A21" s="26" t="s">
        <v>53</v>
      </c>
      <c r="B21" s="15">
        <f t="shared" si="9"/>
        <v>2147150.3548335312</v>
      </c>
      <c r="C21" s="15">
        <f t="shared" si="5"/>
        <v>28058.408469401242</v>
      </c>
      <c r="D21" s="15">
        <f t="shared" si="6"/>
        <v>12525.043736528933</v>
      </c>
      <c r="E21" s="15">
        <f t="shared" si="7"/>
        <v>40583.452205930174</v>
      </c>
      <c r="F21" s="15">
        <f t="shared" si="8"/>
        <v>2119091.9463641299</v>
      </c>
      <c r="G21">
        <v>18</v>
      </c>
    </row>
    <row r="22" spans="1:10" x14ac:dyDescent="0.2">
      <c r="A22" s="26" t="s">
        <v>54</v>
      </c>
      <c r="B22" s="15">
        <f t="shared" si="9"/>
        <v>2119091.9463641299</v>
      </c>
      <c r="C22" s="15">
        <f t="shared" si="5"/>
        <v>28222.082518806084</v>
      </c>
      <c r="D22" s="15">
        <f t="shared" si="6"/>
        <v>12361.369687124092</v>
      </c>
      <c r="E22" s="15">
        <f t="shared" si="7"/>
        <v>40583.452205930174</v>
      </c>
      <c r="F22" s="15">
        <f t="shared" si="8"/>
        <v>2090869.8638453239</v>
      </c>
      <c r="G22">
        <v>19</v>
      </c>
    </row>
    <row r="23" spans="1:10" x14ac:dyDescent="0.2">
      <c r="A23" s="26" t="s">
        <v>55</v>
      </c>
      <c r="B23" s="15">
        <f t="shared" si="9"/>
        <v>2090869.8638453239</v>
      </c>
      <c r="C23" s="15">
        <f t="shared" si="5"/>
        <v>28386.711333499115</v>
      </c>
      <c r="D23" s="15">
        <f t="shared" si="6"/>
        <v>12196.740872431057</v>
      </c>
      <c r="E23" s="15">
        <f t="shared" si="7"/>
        <v>40583.452205930174</v>
      </c>
      <c r="F23" s="15">
        <f t="shared" si="8"/>
        <v>2062483.1525118249</v>
      </c>
      <c r="G23">
        <v>20</v>
      </c>
    </row>
    <row r="24" spans="1:10" x14ac:dyDescent="0.2">
      <c r="A24" s="26" t="s">
        <v>56</v>
      </c>
      <c r="B24" s="15">
        <f t="shared" si="9"/>
        <v>2062483.1525118249</v>
      </c>
      <c r="C24" s="15">
        <f t="shared" si="5"/>
        <v>28552.300482944527</v>
      </c>
      <c r="D24" s="15">
        <f t="shared" si="6"/>
        <v>12031.151722985647</v>
      </c>
      <c r="E24" s="15">
        <f t="shared" si="7"/>
        <v>40583.452205930174</v>
      </c>
      <c r="F24" s="15">
        <f t="shared" si="8"/>
        <v>2033930.8520288803</v>
      </c>
      <c r="G24">
        <v>21</v>
      </c>
    </row>
    <row r="25" spans="1:10" x14ac:dyDescent="0.2">
      <c r="A25" s="26" t="s">
        <v>57</v>
      </c>
      <c r="B25" s="15">
        <f t="shared" si="9"/>
        <v>2033930.8520288803</v>
      </c>
      <c r="C25" s="15">
        <f t="shared" si="5"/>
        <v>28718.855569095038</v>
      </c>
      <c r="D25" s="15">
        <f t="shared" si="6"/>
        <v>11864.596636835136</v>
      </c>
      <c r="E25" s="15">
        <f t="shared" si="7"/>
        <v>40583.452205930174</v>
      </c>
      <c r="F25" s="15">
        <f t="shared" si="8"/>
        <v>2005211.9964597852</v>
      </c>
      <c r="G25">
        <v>22</v>
      </c>
    </row>
    <row r="26" spans="1:10" x14ac:dyDescent="0.2">
      <c r="A26" s="26" t="s">
        <v>58</v>
      </c>
      <c r="B26" s="15">
        <f t="shared" si="9"/>
        <v>2005211.9964597852</v>
      </c>
      <c r="C26" s="15">
        <f t="shared" si="5"/>
        <v>28886.382226581423</v>
      </c>
      <c r="D26" s="15">
        <f t="shared" si="6"/>
        <v>11697.069979348749</v>
      </c>
      <c r="E26" s="15">
        <f t="shared" si="7"/>
        <v>40583.452205930174</v>
      </c>
      <c r="F26" s="15">
        <f t="shared" si="8"/>
        <v>1976325.6142332037</v>
      </c>
      <c r="G26">
        <v>23</v>
      </c>
      <c r="I26" t="s">
        <v>31</v>
      </c>
      <c r="J26" t="s">
        <v>79</v>
      </c>
    </row>
    <row r="27" spans="1:10" ht="15" x14ac:dyDescent="0.25">
      <c r="A27" s="26" t="s">
        <v>59</v>
      </c>
      <c r="B27" s="15">
        <f t="shared" si="9"/>
        <v>1976325.6142332037</v>
      </c>
      <c r="C27" s="15">
        <f t="shared" si="5"/>
        <v>29054.886122903154</v>
      </c>
      <c r="D27" s="15">
        <f t="shared" si="6"/>
        <v>11528.566083027023</v>
      </c>
      <c r="E27" s="15">
        <f t="shared" si="7"/>
        <v>40583.452205930174</v>
      </c>
      <c r="F27" s="22">
        <f t="shared" si="8"/>
        <v>1947270.7281103006</v>
      </c>
      <c r="G27">
        <v>24</v>
      </c>
      <c r="I27" s="23">
        <f>$B$2+CUMPRINC($L$2,$L$3,$B$2,G2,G27,0)</f>
        <v>2545268.6315346067</v>
      </c>
      <c r="J27" s="24">
        <f>-CUMIPMT($L$2,$L$3,$B$2,G16,G27,0)</f>
        <v>179254.06559218263</v>
      </c>
    </row>
    <row r="28" spans="1:10" x14ac:dyDescent="0.2">
      <c r="A28" s="17" t="s">
        <v>35</v>
      </c>
      <c r="B28" s="17"/>
      <c r="C28" s="16">
        <f>SUM(C16:C27)</f>
        <v>337749.58930587774</v>
      </c>
      <c r="D28" s="22">
        <f>SUM(D16:D27)</f>
        <v>149251.83716528441</v>
      </c>
      <c r="E28" s="15"/>
      <c r="F28" s="15"/>
    </row>
    <row r="29" spans="1:10" x14ac:dyDescent="0.2">
      <c r="A29" s="14"/>
      <c r="B29" s="14"/>
      <c r="C29" s="15"/>
      <c r="D29" s="15"/>
      <c r="E29" s="15"/>
      <c r="F29" s="15"/>
    </row>
    <row r="30" spans="1:10" x14ac:dyDescent="0.2">
      <c r="A30" s="26" t="s">
        <v>60</v>
      </c>
      <c r="B30" s="15">
        <f>+F27</f>
        <v>1947270.7281103006</v>
      </c>
      <c r="C30" s="15">
        <f t="shared" ref="C30:C41" si="10">+E30-D30</f>
        <v>29224.372958620086</v>
      </c>
      <c r="D30" s="15">
        <f t="shared" ref="D30:D41" si="11">+B30*0.07/12</f>
        <v>11359.079247310088</v>
      </c>
      <c r="E30" s="15">
        <f t="shared" ref="E30:E41" si="12">-$L$5</f>
        <v>40583.452205930174</v>
      </c>
      <c r="F30" s="15">
        <f t="shared" ref="F30:F41" si="13">+B30-C30</f>
        <v>1918046.3551516805</v>
      </c>
      <c r="G30">
        <v>25</v>
      </c>
    </row>
    <row r="31" spans="1:10" x14ac:dyDescent="0.2">
      <c r="A31" s="26" t="s">
        <v>61</v>
      </c>
      <c r="B31" s="15">
        <f t="shared" ref="B31:B41" si="14">+F30</f>
        <v>1918046.3551516805</v>
      </c>
      <c r="C31" s="15">
        <f t="shared" si="10"/>
        <v>29394.848467545373</v>
      </c>
      <c r="D31" s="15">
        <f t="shared" si="11"/>
        <v>11188.603738384803</v>
      </c>
      <c r="E31" s="15">
        <f t="shared" si="12"/>
        <v>40583.452205930174</v>
      </c>
      <c r="F31" s="15">
        <f t="shared" si="13"/>
        <v>1888651.5066841352</v>
      </c>
      <c r="G31">
        <v>26</v>
      </c>
    </row>
    <row r="32" spans="1:10" x14ac:dyDescent="0.2">
      <c r="A32" s="26" t="s">
        <v>62</v>
      </c>
      <c r="B32" s="15">
        <f t="shared" si="14"/>
        <v>1888651.5066841352</v>
      </c>
      <c r="C32" s="15">
        <f t="shared" si="10"/>
        <v>29566.318416939386</v>
      </c>
      <c r="D32" s="15">
        <f t="shared" si="11"/>
        <v>11017.13378899079</v>
      </c>
      <c r="E32" s="15">
        <f t="shared" si="12"/>
        <v>40583.452205930174</v>
      </c>
      <c r="F32" s="15">
        <f t="shared" si="13"/>
        <v>1859085.1882671958</v>
      </c>
      <c r="G32">
        <v>27</v>
      </c>
    </row>
    <row r="33" spans="1:10" x14ac:dyDescent="0.2">
      <c r="A33" s="26" t="s">
        <v>63</v>
      </c>
      <c r="B33" s="15">
        <f t="shared" si="14"/>
        <v>1859085.1882671958</v>
      </c>
      <c r="C33" s="15">
        <f t="shared" si="10"/>
        <v>29738.788607704864</v>
      </c>
      <c r="D33" s="15">
        <f t="shared" si="11"/>
        <v>10844.66359822531</v>
      </c>
      <c r="E33" s="15">
        <f t="shared" si="12"/>
        <v>40583.452205930174</v>
      </c>
      <c r="F33" s="15">
        <f t="shared" si="13"/>
        <v>1829346.3996594909</v>
      </c>
      <c r="G33">
        <v>28</v>
      </c>
    </row>
    <row r="34" spans="1:10" x14ac:dyDescent="0.2">
      <c r="A34" s="26" t="s">
        <v>64</v>
      </c>
      <c r="B34" s="15">
        <f t="shared" si="14"/>
        <v>1829346.3996594909</v>
      </c>
      <c r="C34" s="15">
        <f t="shared" si="10"/>
        <v>29912.264874583143</v>
      </c>
      <c r="D34" s="15">
        <f t="shared" si="11"/>
        <v>10671.187331347031</v>
      </c>
      <c r="E34" s="15">
        <f t="shared" si="12"/>
        <v>40583.452205930174</v>
      </c>
      <c r="F34" s="15">
        <f t="shared" si="13"/>
        <v>1799434.1347849078</v>
      </c>
      <c r="G34">
        <v>29</v>
      </c>
    </row>
    <row r="35" spans="1:10" x14ac:dyDescent="0.2">
      <c r="A35" s="26" t="s">
        <v>65</v>
      </c>
      <c r="B35" s="15">
        <f t="shared" si="14"/>
        <v>1799434.1347849078</v>
      </c>
      <c r="C35" s="15">
        <f t="shared" si="10"/>
        <v>30086.753086351542</v>
      </c>
      <c r="D35" s="15">
        <f t="shared" si="11"/>
        <v>10496.69911957863</v>
      </c>
      <c r="E35" s="15">
        <f t="shared" si="12"/>
        <v>40583.452205930174</v>
      </c>
      <c r="F35" s="15">
        <f t="shared" si="13"/>
        <v>1769347.3816985562</v>
      </c>
      <c r="G35">
        <v>30</v>
      </c>
    </row>
    <row r="36" spans="1:10" x14ac:dyDescent="0.2">
      <c r="A36" s="26" t="s">
        <v>66</v>
      </c>
      <c r="B36" s="15">
        <f t="shared" si="14"/>
        <v>1769347.3816985562</v>
      </c>
      <c r="C36" s="15">
        <f t="shared" si="10"/>
        <v>30262.259146021926</v>
      </c>
      <c r="D36" s="15">
        <f t="shared" si="11"/>
        <v>10321.193059908246</v>
      </c>
      <c r="E36" s="15">
        <f t="shared" si="12"/>
        <v>40583.452205930174</v>
      </c>
      <c r="F36" s="15">
        <f t="shared" si="13"/>
        <v>1739085.1225525343</v>
      </c>
      <c r="G36">
        <v>31</v>
      </c>
    </row>
    <row r="37" spans="1:10" x14ac:dyDescent="0.2">
      <c r="A37" s="26" t="s">
        <v>67</v>
      </c>
      <c r="B37" s="15">
        <f t="shared" si="14"/>
        <v>1739085.1225525343</v>
      </c>
      <c r="C37" s="15">
        <f t="shared" si="10"/>
        <v>30438.78899104039</v>
      </c>
      <c r="D37" s="15">
        <f t="shared" si="11"/>
        <v>10144.663214889784</v>
      </c>
      <c r="E37" s="15">
        <f t="shared" si="12"/>
        <v>40583.452205930174</v>
      </c>
      <c r="F37" s="15">
        <f t="shared" si="13"/>
        <v>1708646.333561494</v>
      </c>
      <c r="G37">
        <v>32</v>
      </c>
    </row>
    <row r="38" spans="1:10" x14ac:dyDescent="0.2">
      <c r="A38" s="26" t="s">
        <v>68</v>
      </c>
      <c r="B38" s="15">
        <f t="shared" si="14"/>
        <v>1708646.333561494</v>
      </c>
      <c r="C38" s="15">
        <f t="shared" si="10"/>
        <v>30616.348593488125</v>
      </c>
      <c r="D38" s="15">
        <f t="shared" si="11"/>
        <v>9967.1036124420498</v>
      </c>
      <c r="E38" s="15">
        <f t="shared" si="12"/>
        <v>40583.452205930174</v>
      </c>
      <c r="F38" s="15">
        <f t="shared" si="13"/>
        <v>1678029.9849680059</v>
      </c>
      <c r="G38">
        <v>33</v>
      </c>
    </row>
    <row r="39" spans="1:10" x14ac:dyDescent="0.2">
      <c r="A39" s="26" t="s">
        <v>69</v>
      </c>
      <c r="B39" s="15">
        <f t="shared" si="14"/>
        <v>1678029.9849680059</v>
      </c>
      <c r="C39" s="15">
        <f t="shared" si="10"/>
        <v>30794.943960283472</v>
      </c>
      <c r="D39" s="15">
        <f t="shared" si="11"/>
        <v>9788.5082456467026</v>
      </c>
      <c r="E39" s="15">
        <f t="shared" si="12"/>
        <v>40583.452205930174</v>
      </c>
      <c r="F39" s="15">
        <f t="shared" si="13"/>
        <v>1647235.0410077225</v>
      </c>
      <c r="G39">
        <v>34</v>
      </c>
    </row>
    <row r="40" spans="1:10" x14ac:dyDescent="0.2">
      <c r="A40" s="26" t="s">
        <v>70</v>
      </c>
      <c r="B40" s="15">
        <f t="shared" si="14"/>
        <v>1647235.0410077225</v>
      </c>
      <c r="C40" s="15">
        <f t="shared" si="10"/>
        <v>30974.581133385123</v>
      </c>
      <c r="D40" s="15">
        <f t="shared" si="11"/>
        <v>9608.8710725450492</v>
      </c>
      <c r="E40" s="15">
        <f t="shared" si="12"/>
        <v>40583.452205930174</v>
      </c>
      <c r="F40" s="15">
        <f t="shared" si="13"/>
        <v>1616260.4598743373</v>
      </c>
      <c r="G40">
        <v>35</v>
      </c>
      <c r="I40" t="s">
        <v>31</v>
      </c>
      <c r="J40" t="s">
        <v>79</v>
      </c>
    </row>
    <row r="41" spans="1:10" ht="15" x14ac:dyDescent="0.25">
      <c r="A41" s="26" t="s">
        <v>71</v>
      </c>
      <c r="B41" s="15">
        <f t="shared" si="14"/>
        <v>1616260.4598743373</v>
      </c>
      <c r="C41" s="15">
        <f t="shared" si="10"/>
        <v>31155.266189996539</v>
      </c>
      <c r="D41" s="15">
        <f t="shared" si="11"/>
        <v>9428.1860159336356</v>
      </c>
      <c r="E41" s="15">
        <f t="shared" si="12"/>
        <v>40583.452205930174</v>
      </c>
      <c r="F41" s="22">
        <f t="shared" si="13"/>
        <v>1585105.1936843407</v>
      </c>
      <c r="G41">
        <v>36</v>
      </c>
      <c r="I41" s="23">
        <f>$B$2+CUMPRINC($L$2,$L$3,$B$2,G2,G41,0)</f>
        <v>2514901.0409212001</v>
      </c>
      <c r="J41" s="24">
        <f>-CUMIPMT($L$2,$L$3,$B$2,G30,G41,0)</f>
        <v>177206.78788249864</v>
      </c>
    </row>
    <row r="42" spans="1:10" x14ac:dyDescent="0.2">
      <c r="A42" s="17" t="s">
        <v>35</v>
      </c>
      <c r="B42" s="17"/>
      <c r="C42" s="16">
        <f>SUM(C30:C41)</f>
        <v>362165.53442595992</v>
      </c>
      <c r="D42" s="22">
        <f>SUM(D30:D41)</f>
        <v>124835.8920452021</v>
      </c>
      <c r="E42" s="15"/>
      <c r="F42" s="15"/>
    </row>
    <row r="43" spans="1:10" x14ac:dyDescent="0.2">
      <c r="A43" s="14"/>
      <c r="B43" s="14"/>
      <c r="C43" s="15"/>
      <c r="D43" s="15"/>
      <c r="E43" s="15"/>
      <c r="F43" s="15"/>
    </row>
    <row r="44" spans="1:10" x14ac:dyDescent="0.2">
      <c r="A44" s="26" t="s">
        <v>99</v>
      </c>
      <c r="B44" s="15">
        <f>+F41</f>
        <v>1585105.1936843407</v>
      </c>
      <c r="C44" s="15">
        <f t="shared" ref="C44:C55" si="15">+E44-D44</f>
        <v>31337.00524277152</v>
      </c>
      <c r="D44" s="15">
        <f t="shared" ref="D44:D55" si="16">+B44*0.07/12</f>
        <v>9246.4469631586544</v>
      </c>
      <c r="E44" s="15">
        <f t="shared" ref="E44:E55" si="17">-$L$5</f>
        <v>40583.452205930174</v>
      </c>
      <c r="F44" s="15">
        <f t="shared" ref="F44:F55" si="18">+B44-C44</f>
        <v>1553768.1884415692</v>
      </c>
      <c r="G44">
        <v>37</v>
      </c>
    </row>
    <row r="45" spans="1:10" x14ac:dyDescent="0.2">
      <c r="A45" s="26" t="s">
        <v>104</v>
      </c>
      <c r="B45" s="15">
        <f t="shared" ref="B45:B55" si="19">+F44</f>
        <v>1553768.1884415692</v>
      </c>
      <c r="C45" s="15">
        <f t="shared" si="15"/>
        <v>31519.80444002102</v>
      </c>
      <c r="D45" s="15">
        <f t="shared" si="16"/>
        <v>9063.6477659091543</v>
      </c>
      <c r="E45" s="15">
        <f t="shared" si="17"/>
        <v>40583.452205930174</v>
      </c>
      <c r="F45" s="15">
        <f t="shared" si="18"/>
        <v>1522248.3840015482</v>
      </c>
      <c r="G45">
        <v>38</v>
      </c>
    </row>
    <row r="46" spans="1:10" x14ac:dyDescent="0.2">
      <c r="A46" s="26" t="s">
        <v>105</v>
      </c>
      <c r="B46" s="15">
        <f t="shared" si="19"/>
        <v>1522248.3840015482</v>
      </c>
      <c r="C46" s="15">
        <f t="shared" si="15"/>
        <v>31703.669965921144</v>
      </c>
      <c r="D46" s="15">
        <f t="shared" si="16"/>
        <v>8879.7822400090317</v>
      </c>
      <c r="E46" s="15">
        <f t="shared" si="17"/>
        <v>40583.452205930174</v>
      </c>
      <c r="F46" s="15">
        <f t="shared" si="18"/>
        <v>1490544.714035627</v>
      </c>
      <c r="G46">
        <v>39</v>
      </c>
    </row>
    <row r="47" spans="1:10" x14ac:dyDescent="0.2">
      <c r="A47" s="26" t="s">
        <v>109</v>
      </c>
      <c r="B47" s="15">
        <f t="shared" si="19"/>
        <v>1490544.714035627</v>
      </c>
      <c r="C47" s="15">
        <f t="shared" si="15"/>
        <v>31888.608040722349</v>
      </c>
      <c r="D47" s="15">
        <f t="shared" si="16"/>
        <v>8694.8441652078236</v>
      </c>
      <c r="E47" s="15">
        <f t="shared" si="17"/>
        <v>40583.452205930174</v>
      </c>
      <c r="F47" s="15">
        <f t="shared" si="18"/>
        <v>1458656.1059949046</v>
      </c>
      <c r="G47">
        <v>40</v>
      </c>
    </row>
    <row r="48" spans="1:10" x14ac:dyDescent="0.2">
      <c r="A48" s="26" t="s">
        <v>110</v>
      </c>
      <c r="B48" s="15">
        <f t="shared" si="19"/>
        <v>1458656.1059949046</v>
      </c>
      <c r="C48" s="15">
        <f t="shared" si="15"/>
        <v>32074.624920959897</v>
      </c>
      <c r="D48" s="15">
        <f t="shared" si="16"/>
        <v>8508.8272849702789</v>
      </c>
      <c r="E48" s="15">
        <f t="shared" si="17"/>
        <v>40583.452205930174</v>
      </c>
      <c r="F48" s="15">
        <f t="shared" si="18"/>
        <v>1426581.4810739448</v>
      </c>
      <c r="G48">
        <v>41</v>
      </c>
    </row>
    <row r="49" spans="1:10" x14ac:dyDescent="0.2">
      <c r="A49" s="26" t="s">
        <v>111</v>
      </c>
      <c r="B49" s="15">
        <f t="shared" si="19"/>
        <v>1426581.4810739448</v>
      </c>
      <c r="C49" s="15">
        <f t="shared" si="15"/>
        <v>32261.726899665497</v>
      </c>
      <c r="D49" s="15">
        <f t="shared" si="16"/>
        <v>8321.7253062646796</v>
      </c>
      <c r="E49" s="15">
        <f t="shared" si="17"/>
        <v>40583.452205930174</v>
      </c>
      <c r="F49" s="15">
        <f t="shared" si="18"/>
        <v>1394319.7541742793</v>
      </c>
      <c r="G49">
        <v>42</v>
      </c>
    </row>
    <row r="50" spans="1:10" x14ac:dyDescent="0.2">
      <c r="A50" s="26" t="s">
        <v>112</v>
      </c>
      <c r="B50" s="15">
        <f t="shared" si="19"/>
        <v>1394319.7541742793</v>
      </c>
      <c r="C50" s="15">
        <f t="shared" si="15"/>
        <v>32449.92030658021</v>
      </c>
      <c r="D50" s="15">
        <f t="shared" si="16"/>
        <v>8133.5318993499632</v>
      </c>
      <c r="E50" s="15">
        <f t="shared" si="17"/>
        <v>40583.452205930174</v>
      </c>
      <c r="F50" s="15">
        <f t="shared" si="18"/>
        <v>1361869.8338676991</v>
      </c>
      <c r="G50">
        <v>43</v>
      </c>
    </row>
    <row r="51" spans="1:10" x14ac:dyDescent="0.2">
      <c r="A51" s="26" t="s">
        <v>113</v>
      </c>
      <c r="B51" s="15">
        <f t="shared" si="19"/>
        <v>1361869.8338676991</v>
      </c>
      <c r="C51" s="15">
        <f t="shared" si="15"/>
        <v>32639.211508368597</v>
      </c>
      <c r="D51" s="15">
        <f t="shared" si="16"/>
        <v>7944.2406975615786</v>
      </c>
      <c r="E51" s="15">
        <f t="shared" si="17"/>
        <v>40583.452205930174</v>
      </c>
      <c r="F51" s="15">
        <f t="shared" si="18"/>
        <v>1329230.6223593305</v>
      </c>
      <c r="G51">
        <v>44</v>
      </c>
    </row>
    <row r="52" spans="1:10" x14ac:dyDescent="0.2">
      <c r="A52" s="26" t="s">
        <v>114</v>
      </c>
      <c r="B52" s="15">
        <f t="shared" si="19"/>
        <v>1329230.6223593305</v>
      </c>
      <c r="C52" s="15">
        <f t="shared" si="15"/>
        <v>32829.606908834081</v>
      </c>
      <c r="D52" s="15">
        <f t="shared" si="16"/>
        <v>7753.8452970960961</v>
      </c>
      <c r="E52" s="15">
        <f t="shared" si="17"/>
        <v>40583.452205930174</v>
      </c>
      <c r="F52" s="15">
        <f t="shared" si="18"/>
        <v>1296401.0154504965</v>
      </c>
      <c r="G52">
        <v>45</v>
      </c>
    </row>
    <row r="53" spans="1:10" x14ac:dyDescent="0.2">
      <c r="A53" s="26" t="s">
        <v>115</v>
      </c>
      <c r="B53" s="15">
        <f t="shared" si="19"/>
        <v>1296401.0154504965</v>
      </c>
      <c r="C53" s="15">
        <f t="shared" si="15"/>
        <v>33021.112949135611</v>
      </c>
      <c r="D53" s="15">
        <f t="shared" si="16"/>
        <v>7562.339256794563</v>
      </c>
      <c r="E53" s="15">
        <f t="shared" si="17"/>
        <v>40583.452205930174</v>
      </c>
      <c r="F53" s="15">
        <f t="shared" si="18"/>
        <v>1263379.9025013607</v>
      </c>
      <c r="G53">
        <v>46</v>
      </c>
    </row>
    <row r="54" spans="1:10" x14ac:dyDescent="0.2">
      <c r="A54" s="26" t="s">
        <v>116</v>
      </c>
      <c r="B54" s="15">
        <f t="shared" si="19"/>
        <v>1263379.9025013607</v>
      </c>
      <c r="C54" s="15">
        <f t="shared" si="15"/>
        <v>33213.736108005571</v>
      </c>
      <c r="D54" s="15">
        <f t="shared" si="16"/>
        <v>7369.7160979246046</v>
      </c>
      <c r="E54" s="15">
        <f t="shared" si="17"/>
        <v>40583.452205930174</v>
      </c>
      <c r="F54" s="15">
        <f t="shared" si="18"/>
        <v>1230166.1663933552</v>
      </c>
      <c r="G54">
        <v>47</v>
      </c>
      <c r="I54" t="s">
        <v>31</v>
      </c>
      <c r="J54" t="s">
        <v>79</v>
      </c>
    </row>
    <row r="55" spans="1:10" ht="15" x14ac:dyDescent="0.25">
      <c r="A55" s="26" t="s">
        <v>117</v>
      </c>
      <c r="B55" s="15">
        <f t="shared" si="19"/>
        <v>1230166.1663933552</v>
      </c>
      <c r="C55" s="15">
        <f t="shared" si="15"/>
        <v>33407.482901968935</v>
      </c>
      <c r="D55" s="15">
        <f t="shared" si="16"/>
        <v>7175.9693039612393</v>
      </c>
      <c r="E55" s="15">
        <f t="shared" si="17"/>
        <v>40583.452205930174</v>
      </c>
      <c r="F55" s="22">
        <f t="shared" si="18"/>
        <v>1196758.6834913862</v>
      </c>
      <c r="G55">
        <v>48</v>
      </c>
      <c r="H55" s="15"/>
      <c r="I55" s="23">
        <f>$B$2+CUMPRINC($L$2,$L$3,$B$2,G2,G55,0)</f>
        <v>2482338.1747269412</v>
      </c>
      <c r="J55" s="24">
        <f>-CUMIPMT($L$2,$L$3,$B$2,G44,G55,0)</f>
        <v>175011.51230164641</v>
      </c>
    </row>
    <row r="56" spans="1:10" x14ac:dyDescent="0.2">
      <c r="A56" s="17" t="s">
        <v>35</v>
      </c>
      <c r="B56" s="18"/>
      <c r="C56" s="16">
        <f>SUM(C44:C55)</f>
        <v>388346.51019295445</v>
      </c>
      <c r="D56" s="22">
        <f>SUM(D44:D55)</f>
        <v>98654.916278207675</v>
      </c>
    </row>
    <row r="58" spans="1:10" x14ac:dyDescent="0.2">
      <c r="A58" s="26" t="s">
        <v>100</v>
      </c>
      <c r="B58" s="15">
        <f>+F55</f>
        <v>1196758.6834913862</v>
      </c>
      <c r="C58" s="15">
        <f t="shared" ref="C58:C69" si="20">+E58-D58</f>
        <v>33602.359885563754</v>
      </c>
      <c r="D58" s="15">
        <f t="shared" ref="D58:D69" si="21">+B58*0.07/12</f>
        <v>6981.0923203664206</v>
      </c>
      <c r="E58" s="15">
        <f t="shared" ref="E58:E69" si="22">-$L$5</f>
        <v>40583.452205930174</v>
      </c>
      <c r="F58" s="15">
        <f t="shared" ref="F58:F69" si="23">+B58-C58</f>
        <v>1163156.3236058224</v>
      </c>
    </row>
    <row r="59" spans="1:10" x14ac:dyDescent="0.2">
      <c r="A59" s="26" t="s">
        <v>118</v>
      </c>
      <c r="B59" s="15">
        <f t="shared" ref="B59:B69" si="24">+F58</f>
        <v>1163156.3236058224</v>
      </c>
      <c r="C59" s="15">
        <f t="shared" si="20"/>
        <v>33798.373651562877</v>
      </c>
      <c r="D59" s="15">
        <f t="shared" si="21"/>
        <v>6785.0785543672982</v>
      </c>
      <c r="E59" s="15">
        <f t="shared" si="22"/>
        <v>40583.452205930174</v>
      </c>
      <c r="F59" s="15">
        <f t="shared" si="23"/>
        <v>1129357.9499542594</v>
      </c>
    </row>
    <row r="60" spans="1:10" x14ac:dyDescent="0.2">
      <c r="A60" s="26" t="s">
        <v>119</v>
      </c>
      <c r="B60" s="15">
        <f t="shared" si="24"/>
        <v>1129357.9499542594</v>
      </c>
      <c r="C60" s="15">
        <f t="shared" si="20"/>
        <v>33995.530831196993</v>
      </c>
      <c r="D60" s="15">
        <f t="shared" si="21"/>
        <v>6587.9213747331805</v>
      </c>
      <c r="E60" s="15">
        <f t="shared" si="22"/>
        <v>40583.452205930174</v>
      </c>
      <c r="F60" s="15">
        <f t="shared" si="23"/>
        <v>1095362.4191230624</v>
      </c>
    </row>
    <row r="61" spans="1:10" x14ac:dyDescent="0.2">
      <c r="A61" s="26" t="s">
        <v>120</v>
      </c>
      <c r="B61" s="15">
        <f t="shared" si="24"/>
        <v>1095362.4191230624</v>
      </c>
      <c r="C61" s="15">
        <f t="shared" si="20"/>
        <v>34193.838094378974</v>
      </c>
      <c r="D61" s="15">
        <f t="shared" si="21"/>
        <v>6389.6141115511973</v>
      </c>
      <c r="E61" s="15">
        <f t="shared" si="22"/>
        <v>40583.452205930174</v>
      </c>
      <c r="F61" s="15">
        <f t="shared" si="23"/>
        <v>1061168.5810286833</v>
      </c>
    </row>
    <row r="62" spans="1:10" x14ac:dyDescent="0.2">
      <c r="A62" s="26" t="s">
        <v>121</v>
      </c>
      <c r="B62" s="15">
        <f t="shared" si="24"/>
        <v>1061168.5810286833</v>
      </c>
      <c r="C62" s="15">
        <f t="shared" si="20"/>
        <v>34393.302149929521</v>
      </c>
      <c r="D62" s="15">
        <f t="shared" si="21"/>
        <v>6190.1500560006534</v>
      </c>
      <c r="E62" s="15">
        <f t="shared" si="22"/>
        <v>40583.452205930174</v>
      </c>
      <c r="F62" s="15">
        <f t="shared" si="23"/>
        <v>1026775.2788787538</v>
      </c>
    </row>
    <row r="63" spans="1:10" x14ac:dyDescent="0.2">
      <c r="A63" s="26" t="s">
        <v>122</v>
      </c>
      <c r="B63" s="15">
        <f t="shared" si="24"/>
        <v>1026775.2788787538</v>
      </c>
      <c r="C63" s="15">
        <f t="shared" si="20"/>
        <v>34593.929745804111</v>
      </c>
      <c r="D63" s="15">
        <f t="shared" si="21"/>
        <v>5989.5224601260643</v>
      </c>
      <c r="E63" s="15">
        <f t="shared" si="22"/>
        <v>40583.452205930174</v>
      </c>
      <c r="F63" s="15">
        <f t="shared" si="23"/>
        <v>992181.34913294972</v>
      </c>
    </row>
    <row r="64" spans="1:10" x14ac:dyDescent="0.2">
      <c r="A64" s="26" t="s">
        <v>123</v>
      </c>
      <c r="B64" s="15">
        <f t="shared" si="24"/>
        <v>992181.34913294972</v>
      </c>
      <c r="C64" s="15">
        <f t="shared" si="20"/>
        <v>34795.727669321299</v>
      </c>
      <c r="D64" s="15">
        <f t="shared" si="21"/>
        <v>5787.7245366088746</v>
      </c>
      <c r="E64" s="15">
        <f t="shared" si="22"/>
        <v>40583.452205930174</v>
      </c>
      <c r="F64" s="15">
        <f t="shared" si="23"/>
        <v>957385.62146362837</v>
      </c>
    </row>
    <row r="65" spans="1:6" x14ac:dyDescent="0.2">
      <c r="A65" s="26" t="s">
        <v>124</v>
      </c>
      <c r="B65" s="15">
        <f t="shared" si="24"/>
        <v>957385.62146362837</v>
      </c>
      <c r="C65" s="15">
        <f t="shared" si="20"/>
        <v>34998.702747392344</v>
      </c>
      <c r="D65" s="15">
        <f t="shared" si="21"/>
        <v>5584.7494585378327</v>
      </c>
      <c r="E65" s="15">
        <f t="shared" si="22"/>
        <v>40583.452205930174</v>
      </c>
      <c r="F65" s="15">
        <f t="shared" si="23"/>
        <v>922386.91871623602</v>
      </c>
    </row>
    <row r="66" spans="1:6" x14ac:dyDescent="0.2">
      <c r="A66" s="26" t="s">
        <v>125</v>
      </c>
      <c r="B66" s="15">
        <f t="shared" si="24"/>
        <v>922386.91871623602</v>
      </c>
      <c r="C66" s="15">
        <f t="shared" si="20"/>
        <v>35202.86184675213</v>
      </c>
      <c r="D66" s="15">
        <f t="shared" si="21"/>
        <v>5380.5903591780434</v>
      </c>
      <c r="E66" s="15">
        <f t="shared" si="22"/>
        <v>40583.452205930174</v>
      </c>
      <c r="F66" s="15">
        <f t="shared" si="23"/>
        <v>887184.0568694839</v>
      </c>
    </row>
    <row r="67" spans="1:6" x14ac:dyDescent="0.2">
      <c r="A67" s="26" t="s">
        <v>126</v>
      </c>
      <c r="B67" s="15">
        <f t="shared" si="24"/>
        <v>887184.0568694839</v>
      </c>
      <c r="C67" s="15">
        <f t="shared" si="20"/>
        <v>35408.211874191518</v>
      </c>
      <c r="D67" s="15">
        <f t="shared" si="21"/>
        <v>5175.240331738657</v>
      </c>
      <c r="E67" s="15">
        <f t="shared" si="22"/>
        <v>40583.452205930174</v>
      </c>
      <c r="F67" s="15">
        <f t="shared" si="23"/>
        <v>851775.84499529237</v>
      </c>
    </row>
    <row r="68" spans="1:6" x14ac:dyDescent="0.2">
      <c r="A68" s="26" t="s">
        <v>127</v>
      </c>
      <c r="B68" s="15">
        <f t="shared" si="24"/>
        <v>851775.84499529237</v>
      </c>
      <c r="C68" s="15">
        <f t="shared" si="20"/>
        <v>35614.759776790968</v>
      </c>
      <c r="D68" s="15">
        <f t="shared" si="21"/>
        <v>4968.6924291392061</v>
      </c>
      <c r="E68" s="15">
        <f t="shared" si="22"/>
        <v>40583.452205930174</v>
      </c>
      <c r="F68" s="15">
        <f t="shared" si="23"/>
        <v>816161.08521850139</v>
      </c>
    </row>
    <row r="69" spans="1:6" x14ac:dyDescent="0.2">
      <c r="A69" s="26" t="s">
        <v>128</v>
      </c>
      <c r="B69" s="15">
        <f t="shared" si="24"/>
        <v>816161.08521850139</v>
      </c>
      <c r="C69" s="15">
        <f t="shared" si="20"/>
        <v>35822.512542155586</v>
      </c>
      <c r="D69" s="15">
        <f t="shared" si="21"/>
        <v>4760.9396637745922</v>
      </c>
      <c r="E69" s="15">
        <f t="shared" si="22"/>
        <v>40583.452205930174</v>
      </c>
      <c r="F69" s="22">
        <f t="shared" si="23"/>
        <v>780338.57267634582</v>
      </c>
    </row>
    <row r="70" spans="1:6" x14ac:dyDescent="0.2">
      <c r="A70" s="17" t="s">
        <v>35</v>
      </c>
      <c r="B70" s="18"/>
      <c r="C70" s="16">
        <f>SUM(C58:C69)</f>
        <v>416420.11081504001</v>
      </c>
      <c r="D70" s="22">
        <f>SUM(D58:D69)</f>
        <v>70581.315656122024</v>
      </c>
    </row>
    <row r="72" spans="1:6" x14ac:dyDescent="0.2">
      <c r="A72" s="26" t="s">
        <v>101</v>
      </c>
      <c r="B72" s="15">
        <f>+F69</f>
        <v>780338.57267634582</v>
      </c>
      <c r="C72" s="15">
        <f t="shared" ref="C72:C83" si="25">+E72-D72</f>
        <v>36031.47719865149</v>
      </c>
      <c r="D72" s="15">
        <f t="shared" ref="D72:D83" si="26">+B72*0.07/12</f>
        <v>4551.9750072786846</v>
      </c>
      <c r="E72" s="15">
        <f t="shared" ref="E72:E83" si="27">-$L$5</f>
        <v>40583.452205930174</v>
      </c>
      <c r="F72" s="15">
        <f t="shared" ref="F72:F83" si="28">+B72-C72</f>
        <v>744307.0954776943</v>
      </c>
    </row>
    <row r="73" spans="1:6" x14ac:dyDescent="0.2">
      <c r="A73" s="26" t="s">
        <v>129</v>
      </c>
      <c r="B73" s="15">
        <f t="shared" ref="B73:B83" si="29">+F72</f>
        <v>744307.0954776943</v>
      </c>
      <c r="C73" s="15">
        <f t="shared" si="25"/>
        <v>36241.660815643627</v>
      </c>
      <c r="D73" s="15">
        <f t="shared" si="26"/>
        <v>4341.7913902865503</v>
      </c>
      <c r="E73" s="15">
        <f t="shared" si="27"/>
        <v>40583.452205930174</v>
      </c>
      <c r="F73" s="15">
        <f t="shared" si="28"/>
        <v>708065.43466205068</v>
      </c>
    </row>
    <row r="74" spans="1:6" x14ac:dyDescent="0.2">
      <c r="A74" s="26" t="s">
        <v>130</v>
      </c>
      <c r="B74" s="15">
        <f t="shared" si="29"/>
        <v>708065.43466205068</v>
      </c>
      <c r="C74" s="15">
        <f t="shared" si="25"/>
        <v>36453.070503734882</v>
      </c>
      <c r="D74" s="15">
        <f t="shared" si="26"/>
        <v>4130.3817021952955</v>
      </c>
      <c r="E74" s="15">
        <f t="shared" si="27"/>
        <v>40583.452205930174</v>
      </c>
      <c r="F74" s="15">
        <f t="shared" si="28"/>
        <v>671612.36415831582</v>
      </c>
    </row>
    <row r="75" spans="1:6" x14ac:dyDescent="0.2">
      <c r="A75" s="26" t="s">
        <v>131</v>
      </c>
      <c r="B75" s="15">
        <f t="shared" si="29"/>
        <v>671612.36415831582</v>
      </c>
      <c r="C75" s="15">
        <f t="shared" si="25"/>
        <v>36665.713415006663</v>
      </c>
      <c r="D75" s="15">
        <f t="shared" si="26"/>
        <v>3917.7387909235094</v>
      </c>
      <c r="E75" s="15">
        <f t="shared" si="27"/>
        <v>40583.452205930174</v>
      </c>
      <c r="F75" s="15">
        <f t="shared" si="28"/>
        <v>634946.65074330918</v>
      </c>
    </row>
    <row r="76" spans="1:6" x14ac:dyDescent="0.2">
      <c r="A76" s="26" t="s">
        <v>132</v>
      </c>
      <c r="B76" s="15">
        <f t="shared" si="29"/>
        <v>634946.65074330918</v>
      </c>
      <c r="C76" s="15">
        <f t="shared" si="25"/>
        <v>36879.596743260874</v>
      </c>
      <c r="D76" s="15">
        <f t="shared" si="26"/>
        <v>3703.855462669304</v>
      </c>
      <c r="E76" s="15">
        <f t="shared" si="27"/>
        <v>40583.452205930174</v>
      </c>
      <c r="F76" s="15">
        <f t="shared" si="28"/>
        <v>598067.05400004832</v>
      </c>
    </row>
    <row r="77" spans="1:6" x14ac:dyDescent="0.2">
      <c r="A77" s="26" t="s">
        <v>133</v>
      </c>
      <c r="B77" s="15">
        <f t="shared" si="29"/>
        <v>598067.05400004832</v>
      </c>
      <c r="C77" s="15">
        <f t="shared" si="25"/>
        <v>37094.727724263226</v>
      </c>
      <c r="D77" s="15">
        <f t="shared" si="26"/>
        <v>3488.7244816669486</v>
      </c>
      <c r="E77" s="15">
        <f t="shared" si="27"/>
        <v>40583.452205930174</v>
      </c>
      <c r="F77" s="15">
        <f t="shared" si="28"/>
        <v>560972.3262757851</v>
      </c>
    </row>
    <row r="78" spans="1:6" x14ac:dyDescent="0.2">
      <c r="A78" s="26" t="s">
        <v>134</v>
      </c>
      <c r="B78" s="15">
        <f t="shared" si="29"/>
        <v>560972.3262757851</v>
      </c>
      <c r="C78" s="15">
        <f t="shared" si="25"/>
        <v>37311.113635988091</v>
      </c>
      <c r="D78" s="15">
        <f t="shared" si="26"/>
        <v>3272.3385699420801</v>
      </c>
      <c r="E78" s="15">
        <f t="shared" si="27"/>
        <v>40583.452205930174</v>
      </c>
      <c r="F78" s="15">
        <f t="shared" si="28"/>
        <v>523661.21263979701</v>
      </c>
    </row>
    <row r="79" spans="1:6" x14ac:dyDescent="0.2">
      <c r="A79" s="26" t="s">
        <v>135</v>
      </c>
      <c r="B79" s="15">
        <f t="shared" si="29"/>
        <v>523661.21263979701</v>
      </c>
      <c r="C79" s="15">
        <f t="shared" si="25"/>
        <v>37528.761798864689</v>
      </c>
      <c r="D79" s="15">
        <f t="shared" si="26"/>
        <v>3054.6904070654832</v>
      </c>
      <c r="E79" s="15">
        <f t="shared" si="27"/>
        <v>40583.452205930174</v>
      </c>
      <c r="F79" s="15">
        <f t="shared" si="28"/>
        <v>486132.45084093232</v>
      </c>
    </row>
    <row r="80" spans="1:6" x14ac:dyDescent="0.2">
      <c r="A80" s="26" t="s">
        <v>136</v>
      </c>
      <c r="B80" s="15">
        <f t="shared" si="29"/>
        <v>486132.45084093232</v>
      </c>
      <c r="C80" s="15">
        <f t="shared" si="25"/>
        <v>37747.679576024733</v>
      </c>
      <c r="D80" s="15">
        <f t="shared" si="26"/>
        <v>2835.7726299054389</v>
      </c>
      <c r="E80" s="15">
        <f t="shared" si="27"/>
        <v>40583.452205930174</v>
      </c>
      <c r="F80" s="15">
        <f t="shared" si="28"/>
        <v>448384.77126490755</v>
      </c>
    </row>
    <row r="81" spans="1:6" x14ac:dyDescent="0.2">
      <c r="A81" s="26" t="s">
        <v>137</v>
      </c>
      <c r="B81" s="15">
        <f t="shared" si="29"/>
        <v>448384.77126490755</v>
      </c>
      <c r="C81" s="15">
        <f t="shared" si="25"/>
        <v>37967.874373551545</v>
      </c>
      <c r="D81" s="15">
        <f t="shared" si="26"/>
        <v>2615.5778323786276</v>
      </c>
      <c r="E81" s="15">
        <f t="shared" si="27"/>
        <v>40583.452205930174</v>
      </c>
      <c r="F81" s="15">
        <f t="shared" si="28"/>
        <v>410416.89689135598</v>
      </c>
    </row>
    <row r="82" spans="1:6" x14ac:dyDescent="0.2">
      <c r="A82" s="26" t="s">
        <v>138</v>
      </c>
      <c r="B82" s="15">
        <f t="shared" si="29"/>
        <v>410416.89689135598</v>
      </c>
      <c r="C82" s="15">
        <f t="shared" si="25"/>
        <v>38189.353640730595</v>
      </c>
      <c r="D82" s="15">
        <f t="shared" si="26"/>
        <v>2394.0985651995766</v>
      </c>
      <c r="E82" s="15">
        <f t="shared" si="27"/>
        <v>40583.452205930174</v>
      </c>
      <c r="F82" s="15">
        <f t="shared" si="28"/>
        <v>372227.54325062537</v>
      </c>
    </row>
    <row r="83" spans="1:6" x14ac:dyDescent="0.2">
      <c r="A83" s="26" t="s">
        <v>139</v>
      </c>
      <c r="B83" s="15">
        <f t="shared" si="29"/>
        <v>372227.54325062537</v>
      </c>
      <c r="C83" s="15">
        <f t="shared" si="25"/>
        <v>38412.12487030153</v>
      </c>
      <c r="D83" s="15">
        <f t="shared" si="26"/>
        <v>2171.3273356286481</v>
      </c>
      <c r="E83" s="15">
        <f t="shared" si="27"/>
        <v>40583.452205930174</v>
      </c>
      <c r="F83" s="22">
        <f t="shared" si="28"/>
        <v>333815.41838032386</v>
      </c>
    </row>
    <row r="84" spans="1:6" x14ac:dyDescent="0.2">
      <c r="A84" s="17" t="s">
        <v>35</v>
      </c>
      <c r="B84" s="18"/>
      <c r="C84" s="16">
        <f>SUM(C72:C83)</f>
        <v>446523.15429602197</v>
      </c>
      <c r="D84" s="22">
        <f>SUM(D72:D83)</f>
        <v>40478.272175140155</v>
      </c>
    </row>
    <row r="86" spans="1:6" x14ac:dyDescent="0.2">
      <c r="A86" s="26" t="s">
        <v>102</v>
      </c>
      <c r="B86" s="15">
        <f>+F83</f>
        <v>333815.41838032386</v>
      </c>
      <c r="C86" s="15">
        <f t="shared" ref="C86:C97" si="30">+E86-D86</f>
        <v>38636.195598711616</v>
      </c>
      <c r="D86" s="15">
        <f t="shared" ref="D86:D97" si="31">+B86*0.07/12</f>
        <v>1947.2566072185562</v>
      </c>
      <c r="E86" s="15">
        <f t="shared" ref="E86:E97" si="32">-$L$5</f>
        <v>40583.452205930174</v>
      </c>
      <c r="F86" s="15">
        <f t="shared" ref="F86:F97" si="33">+B86-C86</f>
        <v>295179.22278161225</v>
      </c>
    </row>
    <row r="87" spans="1:6" x14ac:dyDescent="0.2">
      <c r="A87" s="26" t="s">
        <v>140</v>
      </c>
      <c r="B87" s="15">
        <f t="shared" ref="B87:B97" si="34">+F86</f>
        <v>295179.22278161225</v>
      </c>
      <c r="C87" s="15">
        <f t="shared" si="30"/>
        <v>38861.573406370771</v>
      </c>
      <c r="D87" s="15">
        <f t="shared" si="31"/>
        <v>1721.8787995594048</v>
      </c>
      <c r="E87" s="15">
        <f t="shared" si="32"/>
        <v>40583.452205930174</v>
      </c>
      <c r="F87" s="15">
        <f t="shared" si="33"/>
        <v>256317.64937524148</v>
      </c>
    </row>
    <row r="88" spans="1:6" x14ac:dyDescent="0.2">
      <c r="A88" s="26" t="s">
        <v>141</v>
      </c>
      <c r="B88" s="15">
        <f t="shared" si="34"/>
        <v>256317.64937524148</v>
      </c>
      <c r="C88" s="15">
        <f t="shared" si="30"/>
        <v>39088.265917907935</v>
      </c>
      <c r="D88" s="15">
        <f t="shared" si="31"/>
        <v>1495.1862880222423</v>
      </c>
      <c r="E88" s="15">
        <f t="shared" si="32"/>
        <v>40583.452205930174</v>
      </c>
      <c r="F88" s="15">
        <f t="shared" si="33"/>
        <v>217229.38345733355</v>
      </c>
    </row>
    <row r="89" spans="1:6" x14ac:dyDescent="0.2">
      <c r="A89" s="26" t="s">
        <v>142</v>
      </c>
      <c r="B89" s="15">
        <f t="shared" si="34"/>
        <v>217229.38345733355</v>
      </c>
      <c r="C89" s="15">
        <f t="shared" si="30"/>
        <v>39316.280802429064</v>
      </c>
      <c r="D89" s="15">
        <f t="shared" si="31"/>
        <v>1267.1714035011125</v>
      </c>
      <c r="E89" s="15">
        <f t="shared" si="32"/>
        <v>40583.452205930174</v>
      </c>
      <c r="F89" s="15">
        <f t="shared" si="33"/>
        <v>177913.10265490448</v>
      </c>
    </row>
    <row r="90" spans="1:6" x14ac:dyDescent="0.2">
      <c r="A90" s="26" t="s">
        <v>143</v>
      </c>
      <c r="B90" s="15">
        <f t="shared" si="34"/>
        <v>177913.10265490448</v>
      </c>
      <c r="C90" s="15">
        <f t="shared" si="30"/>
        <v>39545.625773776563</v>
      </c>
      <c r="D90" s="15">
        <f t="shared" si="31"/>
        <v>1037.8264321536096</v>
      </c>
      <c r="E90" s="15">
        <f t="shared" si="32"/>
        <v>40583.452205930174</v>
      </c>
      <c r="F90" s="15">
        <f t="shared" si="33"/>
        <v>138367.47688112792</v>
      </c>
    </row>
    <row r="91" spans="1:6" x14ac:dyDescent="0.2">
      <c r="A91" s="26" t="s">
        <v>144</v>
      </c>
      <c r="B91" s="15">
        <f t="shared" si="34"/>
        <v>138367.47688112792</v>
      </c>
      <c r="C91" s="15">
        <f t="shared" si="30"/>
        <v>39776.308590790264</v>
      </c>
      <c r="D91" s="15">
        <f t="shared" si="31"/>
        <v>807.14361513991298</v>
      </c>
      <c r="E91" s="15">
        <f t="shared" si="32"/>
        <v>40583.452205930174</v>
      </c>
      <c r="F91" s="15">
        <f t="shared" si="33"/>
        <v>98591.168290337664</v>
      </c>
    </row>
    <row r="92" spans="1:6" x14ac:dyDescent="0.2">
      <c r="A92" s="26" t="s">
        <v>145</v>
      </c>
      <c r="B92" s="15">
        <f t="shared" si="34"/>
        <v>98591.168290337664</v>
      </c>
      <c r="C92" s="15">
        <f t="shared" si="30"/>
        <v>40008.337057569872</v>
      </c>
      <c r="D92" s="15">
        <f t="shared" si="31"/>
        <v>575.11514836030312</v>
      </c>
      <c r="E92" s="15">
        <f t="shared" si="32"/>
        <v>40583.452205930174</v>
      </c>
      <c r="F92" s="15">
        <f t="shared" si="33"/>
        <v>58582.831232767792</v>
      </c>
    </row>
    <row r="93" spans="1:6" x14ac:dyDescent="0.2">
      <c r="A93" s="26" t="s">
        <v>146</v>
      </c>
      <c r="B93" s="15">
        <f t="shared" si="34"/>
        <v>58582.831232767792</v>
      </c>
      <c r="C93" s="15">
        <f t="shared" si="30"/>
        <v>40241.719023739031</v>
      </c>
      <c r="D93" s="15">
        <f t="shared" si="31"/>
        <v>341.73318219114549</v>
      </c>
      <c r="E93" s="15">
        <f t="shared" si="32"/>
        <v>40583.452205930174</v>
      </c>
      <c r="F93" s="15">
        <f t="shared" si="33"/>
        <v>18341.112209028761</v>
      </c>
    </row>
    <row r="94" spans="1:6" x14ac:dyDescent="0.2">
      <c r="A94" s="26" t="s">
        <v>147</v>
      </c>
      <c r="B94" s="15">
        <f t="shared" si="34"/>
        <v>18341.112209028761</v>
      </c>
      <c r="C94" s="15">
        <f t="shared" si="30"/>
        <v>40476.462384710838</v>
      </c>
      <c r="D94" s="15">
        <f t="shared" si="31"/>
        <v>106.98982121933444</v>
      </c>
      <c r="E94" s="15">
        <f t="shared" si="32"/>
        <v>40583.452205930174</v>
      </c>
      <c r="F94" s="15">
        <f t="shared" si="33"/>
        <v>-22135.350175682077</v>
      </c>
    </row>
    <row r="95" spans="1:6" x14ac:dyDescent="0.2">
      <c r="A95" s="26" t="s">
        <v>148</v>
      </c>
      <c r="B95" s="15">
        <f t="shared" si="34"/>
        <v>-22135.350175682077</v>
      </c>
      <c r="C95" s="15">
        <f t="shared" si="30"/>
        <v>40712.575081954987</v>
      </c>
      <c r="D95" s="15">
        <f t="shared" si="31"/>
        <v>-129.12287602481214</v>
      </c>
      <c r="E95" s="15">
        <f t="shared" si="32"/>
        <v>40583.452205930174</v>
      </c>
      <c r="F95" s="15">
        <f t="shared" si="33"/>
        <v>-62847.925257637064</v>
      </c>
    </row>
    <row r="96" spans="1:6" x14ac:dyDescent="0.2">
      <c r="A96" s="26" t="s">
        <v>149</v>
      </c>
      <c r="B96" s="15">
        <f t="shared" si="34"/>
        <v>-62847.925257637064</v>
      </c>
      <c r="C96" s="15">
        <f t="shared" si="30"/>
        <v>40950.065103266388</v>
      </c>
      <c r="D96" s="15">
        <f t="shared" si="31"/>
        <v>-366.61289733621624</v>
      </c>
      <c r="E96" s="15">
        <f t="shared" si="32"/>
        <v>40583.452205930174</v>
      </c>
      <c r="F96" s="15">
        <f t="shared" si="33"/>
        <v>-103797.99036090345</v>
      </c>
    </row>
    <row r="97" spans="1:6" x14ac:dyDescent="0.2">
      <c r="A97" s="26" t="s">
        <v>150</v>
      </c>
      <c r="B97" s="15">
        <f t="shared" si="34"/>
        <v>-103797.99036090345</v>
      </c>
      <c r="C97" s="15">
        <f t="shared" si="30"/>
        <v>41188.940483035447</v>
      </c>
      <c r="D97" s="15">
        <f t="shared" si="31"/>
        <v>-605.48827710527019</v>
      </c>
      <c r="E97" s="15">
        <f t="shared" si="32"/>
        <v>40583.452205930174</v>
      </c>
      <c r="F97" s="22">
        <f t="shared" si="33"/>
        <v>-144986.9308439389</v>
      </c>
    </row>
    <row r="98" spans="1:6" x14ac:dyDescent="0.2">
      <c r="A98" s="17" t="s">
        <v>35</v>
      </c>
      <c r="B98" s="18"/>
      <c r="C98" s="16">
        <f>SUM(C86:C97)</f>
        <v>478802.34922426281</v>
      </c>
      <c r="D98" s="22">
        <f>SUM(D86:D97)</f>
        <v>8199.0772468993237</v>
      </c>
    </row>
    <row r="100" spans="1:6" x14ac:dyDescent="0.2">
      <c r="A100" s="26" t="s">
        <v>103</v>
      </c>
      <c r="B100" s="15">
        <f>+F97</f>
        <v>-144986.9308439389</v>
      </c>
      <c r="C100" s="15">
        <f t="shared" ref="C100:C111" si="35">+E100-D100</f>
        <v>41429.209302519819</v>
      </c>
      <c r="D100" s="15">
        <f t="shared" ref="D100:D111" si="36">+B100*0.07/12</f>
        <v>-845.75709658964377</v>
      </c>
      <c r="E100" s="15">
        <f t="shared" ref="E100:E111" si="37">-$L$5</f>
        <v>40583.452205930174</v>
      </c>
      <c r="F100" s="15">
        <f t="shared" ref="F100:F111" si="38">+B100-C100</f>
        <v>-186416.14014645873</v>
      </c>
    </row>
    <row r="101" spans="1:6" x14ac:dyDescent="0.2">
      <c r="A101" s="26" t="s">
        <v>151</v>
      </c>
      <c r="B101" s="15">
        <f t="shared" ref="B101:B111" si="39">+F100</f>
        <v>-186416.14014645873</v>
      </c>
      <c r="C101" s="15">
        <f t="shared" si="35"/>
        <v>41670.87969011785</v>
      </c>
      <c r="D101" s="15">
        <f t="shared" si="36"/>
        <v>-1087.4274841876761</v>
      </c>
      <c r="E101" s="15">
        <f t="shared" si="37"/>
        <v>40583.452205930174</v>
      </c>
      <c r="F101" s="15">
        <f t="shared" si="38"/>
        <v>-228087.01983657657</v>
      </c>
    </row>
    <row r="102" spans="1:6" x14ac:dyDescent="0.2">
      <c r="A102" s="26" t="s">
        <v>152</v>
      </c>
      <c r="B102" s="15">
        <f t="shared" si="39"/>
        <v>-228087.01983657657</v>
      </c>
      <c r="C102" s="15">
        <f t="shared" si="35"/>
        <v>41913.959821643541</v>
      </c>
      <c r="D102" s="15">
        <f t="shared" si="36"/>
        <v>-1330.5076157133633</v>
      </c>
      <c r="E102" s="15">
        <f t="shared" si="37"/>
        <v>40583.452205930174</v>
      </c>
      <c r="F102" s="15">
        <f t="shared" si="38"/>
        <v>-270000.97965822008</v>
      </c>
    </row>
    <row r="103" spans="1:6" x14ac:dyDescent="0.2">
      <c r="A103" s="26" t="s">
        <v>153</v>
      </c>
      <c r="B103" s="15">
        <f t="shared" si="39"/>
        <v>-270000.97965822008</v>
      </c>
      <c r="C103" s="15">
        <f t="shared" si="35"/>
        <v>42158.457920603127</v>
      </c>
      <c r="D103" s="15">
        <f t="shared" si="36"/>
        <v>-1575.0057146729505</v>
      </c>
      <c r="E103" s="15">
        <f t="shared" si="37"/>
        <v>40583.452205930174</v>
      </c>
      <c r="F103" s="15">
        <f t="shared" si="38"/>
        <v>-312159.43757882318</v>
      </c>
    </row>
    <row r="104" spans="1:6" x14ac:dyDescent="0.2">
      <c r="A104" s="26" t="s">
        <v>154</v>
      </c>
      <c r="B104" s="15">
        <f t="shared" si="39"/>
        <v>-312159.43757882318</v>
      </c>
      <c r="C104" s="15">
        <f t="shared" si="35"/>
        <v>42404.382258473313</v>
      </c>
      <c r="D104" s="15">
        <f t="shared" si="36"/>
        <v>-1820.9300525431354</v>
      </c>
      <c r="E104" s="15">
        <f t="shared" si="37"/>
        <v>40583.452205930174</v>
      </c>
      <c r="F104" s="15">
        <f t="shared" si="38"/>
        <v>-354563.8198372965</v>
      </c>
    </row>
    <row r="105" spans="1:6" x14ac:dyDescent="0.2">
      <c r="A105" s="26" t="s">
        <v>155</v>
      </c>
      <c r="B105" s="15">
        <f t="shared" si="39"/>
        <v>-354563.8198372965</v>
      </c>
      <c r="C105" s="15">
        <f t="shared" si="35"/>
        <v>42651.741154981071</v>
      </c>
      <c r="D105" s="15">
        <f t="shared" si="36"/>
        <v>-2068.2889490508965</v>
      </c>
      <c r="E105" s="15">
        <f t="shared" si="37"/>
        <v>40583.452205930174</v>
      </c>
      <c r="F105" s="15">
        <f t="shared" si="38"/>
        <v>-397215.56099227758</v>
      </c>
    </row>
    <row r="106" spans="1:6" x14ac:dyDescent="0.2">
      <c r="A106" s="26" t="s">
        <v>156</v>
      </c>
      <c r="B106" s="15">
        <f t="shared" si="39"/>
        <v>-397215.56099227758</v>
      </c>
      <c r="C106" s="15">
        <f t="shared" si="35"/>
        <v>42900.542978385129</v>
      </c>
      <c r="D106" s="15">
        <f t="shared" si="36"/>
        <v>-2317.0907724549529</v>
      </c>
      <c r="E106" s="15">
        <f t="shared" si="37"/>
        <v>40583.452205930174</v>
      </c>
      <c r="F106" s="15">
        <f t="shared" si="38"/>
        <v>-440116.10397066269</v>
      </c>
    </row>
    <row r="107" spans="1:6" x14ac:dyDescent="0.2">
      <c r="A107" s="26" t="s">
        <v>157</v>
      </c>
      <c r="B107" s="15">
        <f t="shared" si="39"/>
        <v>-440116.10397066269</v>
      </c>
      <c r="C107" s="15">
        <f t="shared" si="35"/>
        <v>43150.796145759043</v>
      </c>
      <c r="D107" s="15">
        <f t="shared" si="36"/>
        <v>-2567.343939828866</v>
      </c>
      <c r="E107" s="15">
        <f t="shared" si="37"/>
        <v>40583.452205930174</v>
      </c>
      <c r="F107" s="15">
        <f t="shared" si="38"/>
        <v>-483266.90011642175</v>
      </c>
    </row>
    <row r="108" spans="1:6" x14ac:dyDescent="0.2">
      <c r="A108" s="26" t="s">
        <v>158</v>
      </c>
      <c r="B108" s="15">
        <f t="shared" si="39"/>
        <v>-483266.90011642175</v>
      </c>
      <c r="C108" s="15">
        <f t="shared" si="35"/>
        <v>43402.509123275966</v>
      </c>
      <c r="D108" s="15">
        <f t="shared" si="36"/>
        <v>-2819.0569173457939</v>
      </c>
      <c r="E108" s="15">
        <f t="shared" si="37"/>
        <v>40583.452205930174</v>
      </c>
      <c r="F108" s="15">
        <f t="shared" si="38"/>
        <v>-526669.40923969774</v>
      </c>
    </row>
    <row r="109" spans="1:6" x14ac:dyDescent="0.2">
      <c r="A109" s="26" t="s">
        <v>159</v>
      </c>
      <c r="B109" s="15">
        <f t="shared" si="39"/>
        <v>-526669.40923969774</v>
      </c>
      <c r="C109" s="15">
        <f t="shared" si="35"/>
        <v>43655.690426495079</v>
      </c>
      <c r="D109" s="15">
        <f t="shared" si="36"/>
        <v>-3072.2382205649042</v>
      </c>
      <c r="E109" s="15">
        <f t="shared" si="37"/>
        <v>40583.452205930174</v>
      </c>
      <c r="F109" s="15">
        <f t="shared" si="38"/>
        <v>-570325.09966619278</v>
      </c>
    </row>
    <row r="110" spans="1:6" x14ac:dyDescent="0.2">
      <c r="A110" s="26" t="s">
        <v>160</v>
      </c>
      <c r="B110" s="15">
        <f t="shared" si="39"/>
        <v>-570325.09966619278</v>
      </c>
      <c r="C110" s="15">
        <f t="shared" si="35"/>
        <v>43910.348620649631</v>
      </c>
      <c r="D110" s="15">
        <f t="shared" si="36"/>
        <v>-3326.8964147194583</v>
      </c>
      <c r="E110" s="15">
        <f t="shared" si="37"/>
        <v>40583.452205930174</v>
      </c>
      <c r="F110" s="15">
        <f t="shared" si="38"/>
        <v>-614235.44828684244</v>
      </c>
    </row>
    <row r="111" spans="1:6" x14ac:dyDescent="0.2">
      <c r="A111" s="26" t="s">
        <v>161</v>
      </c>
      <c r="B111" s="15">
        <f t="shared" si="39"/>
        <v>-614235.44828684244</v>
      </c>
      <c r="C111" s="15">
        <f t="shared" si="35"/>
        <v>44166.492320936755</v>
      </c>
      <c r="D111" s="15">
        <f t="shared" si="36"/>
        <v>-3583.0401150065813</v>
      </c>
      <c r="E111" s="15">
        <f t="shared" si="37"/>
        <v>40583.452205930174</v>
      </c>
      <c r="F111" s="22">
        <f t="shared" si="38"/>
        <v>-658401.94060777919</v>
      </c>
    </row>
    <row r="112" spans="1:6" x14ac:dyDescent="0.2">
      <c r="A112" s="17" t="s">
        <v>35</v>
      </c>
      <c r="B112" s="18"/>
      <c r="C112" s="16">
        <f>SUM(C100:C111)</f>
        <v>513415.00976384035</v>
      </c>
      <c r="D112" s="22">
        <f>SUM(D100:D111)</f>
        <v>-26413.583292678224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Answer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2013-12-02T21:19:46Z</dcterms:created>
  <dcterms:modified xsi:type="dcterms:W3CDTF">2019-07-17T21:27:20Z</dcterms:modified>
</cp:coreProperties>
</file>