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225" windowWidth="6675" windowHeight="7620"/>
  </bookViews>
  <sheets>
    <sheet name="Forecast" sheetId="1" r:id="rId1"/>
    <sheet name="Mortgage" sheetId="5" r:id="rId2"/>
    <sheet name="Rate Assumptions" sheetId="6" r:id="rId3"/>
    <sheet name="Issues" sheetId="7" r:id="rId4"/>
    <sheet name="Electricity" sheetId="9" r:id="rId5"/>
    <sheet name="Water&amp;Waste" sheetId="11" r:id="rId6"/>
    <sheet name="TV&amp;Internet" sheetId="12" r:id="rId7"/>
  </sheets>
  <calcPr calcId="145621"/>
</workbook>
</file>

<file path=xl/calcChain.xml><?xml version="1.0" encoding="utf-8"?>
<calcChain xmlns="http://schemas.openxmlformats.org/spreadsheetml/2006/main">
  <c r="E108" i="1" l="1"/>
  <c r="D111" i="1"/>
  <c r="D151" i="1" l="1"/>
  <c r="D148" i="1"/>
  <c r="D130" i="1"/>
  <c r="D147" i="1"/>
  <c r="D129" i="1"/>
  <c r="D146" i="1"/>
  <c r="D128" i="1"/>
  <c r="D142" i="1"/>
  <c r="D152" i="1"/>
  <c r="H138" i="1"/>
  <c r="I173" i="1"/>
  <c r="F44" i="1" l="1"/>
  <c r="F91" i="1" l="1"/>
  <c r="F180" i="1" s="1"/>
  <c r="E91" i="1"/>
  <c r="E180" i="1" s="1"/>
  <c r="E58" i="1"/>
  <c r="G40" i="1"/>
  <c r="G91" i="1" s="1"/>
  <c r="D167" i="1"/>
  <c r="O160" i="1"/>
  <c r="E82" i="1"/>
  <c r="G180" i="1" l="1"/>
  <c r="G58" i="1"/>
  <c r="D133" i="1"/>
  <c r="D134" i="1" s="1"/>
  <c r="D124" i="1"/>
  <c r="H120" i="1"/>
  <c r="E105" i="1" l="1"/>
  <c r="F105" i="1"/>
  <c r="G105" i="1"/>
  <c r="H105" i="1"/>
  <c r="I105" i="1"/>
  <c r="J105" i="1"/>
  <c r="K105" i="1"/>
  <c r="L105" i="1"/>
  <c r="M105" i="1"/>
  <c r="D105" i="1"/>
  <c r="E56" i="1"/>
  <c r="G108" i="1" s="1"/>
  <c r="F108" i="1" l="1"/>
  <c r="E65" i="1"/>
  <c r="E67" i="1"/>
  <c r="F67" i="1" s="1"/>
  <c r="G67" i="1" s="1"/>
  <c r="H67" i="1" s="1"/>
  <c r="I67" i="1" s="1"/>
  <c r="J67" i="1" s="1"/>
  <c r="K67" i="1" s="1"/>
  <c r="L67" i="1" s="1"/>
  <c r="M67" i="1" s="1"/>
  <c r="N67" i="1" s="1"/>
  <c r="E62" i="1"/>
  <c r="F62" i="1" s="1"/>
  <c r="G62" i="1" s="1"/>
  <c r="H62" i="1" s="1"/>
  <c r="I62" i="1" s="1"/>
  <c r="J62" i="1" s="1"/>
  <c r="K62" i="1" s="1"/>
  <c r="L62" i="1" s="1"/>
  <c r="M62" i="1" s="1"/>
  <c r="N62" i="1" s="1"/>
  <c r="D21" i="12"/>
  <c r="D20" i="12"/>
  <c r="E66" i="1" l="1"/>
  <c r="F66" i="1" s="1"/>
  <c r="G66" i="1" s="1"/>
  <c r="H66" i="1" s="1"/>
  <c r="I66" i="1" s="1"/>
  <c r="J66" i="1" s="1"/>
  <c r="K66" i="1" s="1"/>
  <c r="L66" i="1" s="1"/>
  <c r="M66" i="1" s="1"/>
  <c r="N66" i="1" s="1"/>
  <c r="O26" i="11"/>
  <c r="P26" i="11" s="1"/>
  <c r="F65" i="1"/>
  <c r="G65" i="1" s="1"/>
  <c r="H65" i="1" s="1"/>
  <c r="I65" i="1" s="1"/>
  <c r="J65" i="1" s="1"/>
  <c r="K65" i="1" s="1"/>
  <c r="L65" i="1" s="1"/>
  <c r="M65" i="1" s="1"/>
  <c r="N65" i="1" s="1"/>
  <c r="O10" i="11"/>
  <c r="P9" i="11"/>
  <c r="P10" i="11" s="1"/>
  <c r="O9" i="11"/>
  <c r="B3" i="6" l="1"/>
  <c r="E63" i="1"/>
  <c r="K15" i="9"/>
  <c r="K14" i="9"/>
  <c r="K16" i="9"/>
  <c r="E30" i="1"/>
  <c r="F63" i="1" l="1"/>
  <c r="G63" i="1" s="1"/>
  <c r="H63" i="1" s="1"/>
  <c r="I63" i="1" s="1"/>
  <c r="J63" i="1" s="1"/>
  <c r="K63" i="1" s="1"/>
  <c r="L63" i="1" s="1"/>
  <c r="M63" i="1" s="1"/>
  <c r="N63" i="1" s="1"/>
  <c r="P105" i="6"/>
  <c r="F82" i="1" l="1"/>
  <c r="G82" i="1"/>
  <c r="H82" i="1"/>
  <c r="I82" i="1"/>
  <c r="J82" i="1"/>
  <c r="K82" i="1"/>
  <c r="L82" i="1"/>
  <c r="M82" i="1"/>
  <c r="N82" i="1"/>
  <c r="H84" i="1"/>
  <c r="I84" i="1"/>
  <c r="J84" i="1"/>
  <c r="K84" i="1"/>
  <c r="L84" i="1"/>
  <c r="M84" i="1"/>
  <c r="N84" i="1"/>
  <c r="P170" i="1" s="1"/>
  <c r="N170" i="1" s="1"/>
  <c r="P171" i="1" s="1"/>
  <c r="N172" i="1" s="1"/>
  <c r="H85" i="1"/>
  <c r="I85" i="1"/>
  <c r="J85" i="1"/>
  <c r="K85" i="1"/>
  <c r="L85" i="1"/>
  <c r="M85" i="1"/>
  <c r="N85" i="1"/>
  <c r="F84" i="1"/>
  <c r="G84" i="1"/>
  <c r="F85" i="1"/>
  <c r="G85" i="1"/>
  <c r="E85" i="1"/>
  <c r="E84" i="1"/>
  <c r="D168" i="1" s="1"/>
  <c r="D188" i="1" s="1"/>
  <c r="J74" i="1"/>
  <c r="F74" i="1"/>
  <c r="G74" i="1"/>
  <c r="H74" i="1"/>
  <c r="I74" i="1"/>
  <c r="K74" i="1"/>
  <c r="L74" i="1"/>
  <c r="M74" i="1"/>
  <c r="N74" i="1"/>
  <c r="E74" i="1"/>
  <c r="F3" i="5"/>
  <c r="F9" i="5"/>
  <c r="F8" i="5"/>
  <c r="F68" i="1" l="1"/>
  <c r="G68" i="1"/>
  <c r="H68" i="1"/>
  <c r="I68" i="1"/>
  <c r="J68" i="1"/>
  <c r="K68" i="1"/>
  <c r="L68" i="1"/>
  <c r="M68" i="1"/>
  <c r="N68" i="1"/>
  <c r="E68" i="1"/>
  <c r="G43" i="1"/>
  <c r="F58" i="1"/>
  <c r="H40" i="1"/>
  <c r="H91" i="1" s="1"/>
  <c r="H180" i="1" s="1"/>
  <c r="I40" i="1"/>
  <c r="I91" i="1" s="1"/>
  <c r="J40" i="1"/>
  <c r="J91" i="1" s="1"/>
  <c r="J180" i="1" s="1"/>
  <c r="K40" i="1"/>
  <c r="K91" i="1" s="1"/>
  <c r="L40" i="1"/>
  <c r="L91" i="1" s="1"/>
  <c r="L180" i="1" s="1"/>
  <c r="M40" i="1"/>
  <c r="M91" i="1" s="1"/>
  <c r="N40" i="1"/>
  <c r="N91" i="1" s="1"/>
  <c r="F30" i="1"/>
  <c r="G30" i="1"/>
  <c r="H30" i="1"/>
  <c r="E32" i="1"/>
  <c r="E31" i="1"/>
  <c r="F26" i="1"/>
  <c r="G26" i="1" s="1"/>
  <c r="H26" i="1" s="1"/>
  <c r="I26" i="1" s="1"/>
  <c r="J26" i="1" s="1"/>
  <c r="K26" i="1" s="1"/>
  <c r="L26" i="1" s="1"/>
  <c r="M26" i="1" s="1"/>
  <c r="N26" i="1" s="1"/>
  <c r="F25" i="1"/>
  <c r="G25" i="1" s="1"/>
  <c r="H25" i="1" s="1"/>
  <c r="I25" i="1" s="1"/>
  <c r="J25" i="1" s="1"/>
  <c r="K25" i="1" s="1"/>
  <c r="L25" i="1" s="1"/>
  <c r="M25" i="1" s="1"/>
  <c r="N25" i="1" s="1"/>
  <c r="F24" i="1"/>
  <c r="G24" i="1" s="1"/>
  <c r="H24" i="1" s="1"/>
  <c r="I24" i="1" s="1"/>
  <c r="J24" i="1" s="1"/>
  <c r="K24" i="1" s="1"/>
  <c r="L24" i="1" s="1"/>
  <c r="M24" i="1" s="1"/>
  <c r="N24" i="1" s="1"/>
  <c r="F21" i="1"/>
  <c r="F32" i="1" s="1"/>
  <c r="F22" i="1"/>
  <c r="F18" i="1"/>
  <c r="G18" i="1" s="1"/>
  <c r="H18" i="1" s="1"/>
  <c r="I18" i="1" s="1"/>
  <c r="J18" i="1" s="1"/>
  <c r="K18" i="1" s="1"/>
  <c r="L18" i="1" s="1"/>
  <c r="M18" i="1" s="1"/>
  <c r="N18" i="1" s="1"/>
  <c r="F17" i="1"/>
  <c r="G17" i="1" s="1"/>
  <c r="H17" i="1" s="1"/>
  <c r="I17" i="1" s="1"/>
  <c r="J17" i="1" s="1"/>
  <c r="K17" i="1" s="1"/>
  <c r="L17" i="1" s="1"/>
  <c r="M17" i="1" s="1"/>
  <c r="N17" i="1" s="1"/>
  <c r="F16" i="1"/>
  <c r="G16" i="1" s="1"/>
  <c r="H16" i="1" s="1"/>
  <c r="I16" i="1" s="1"/>
  <c r="J16" i="1" s="1"/>
  <c r="K16" i="1" s="1"/>
  <c r="L16" i="1" s="1"/>
  <c r="M16" i="1" s="1"/>
  <c r="N16" i="1" s="1"/>
  <c r="M180" i="1" l="1"/>
  <c r="K180" i="1"/>
  <c r="I180" i="1"/>
  <c r="N186" i="1"/>
  <c r="N180" i="1"/>
  <c r="K58" i="1"/>
  <c r="N58" i="1"/>
  <c r="J58" i="1"/>
  <c r="M58" i="1"/>
  <c r="I58" i="1"/>
  <c r="L58" i="1"/>
  <c r="H58" i="1"/>
  <c r="G72" i="1"/>
  <c r="G160" i="1" s="1"/>
  <c r="G163" i="1" s="1"/>
  <c r="E72" i="1"/>
  <c r="H44" i="1"/>
  <c r="F4" i="5" s="1"/>
  <c r="L16" i="5" s="1"/>
  <c r="H96" i="1"/>
  <c r="L96" i="1"/>
  <c r="F96" i="1"/>
  <c r="J96" i="1"/>
  <c r="N96" i="1"/>
  <c r="D144" i="1" s="1"/>
  <c r="G96" i="1"/>
  <c r="K96" i="1"/>
  <c r="E96" i="1"/>
  <c r="D126" i="1" s="1"/>
  <c r="I96" i="1"/>
  <c r="M96" i="1"/>
  <c r="E57" i="1"/>
  <c r="E59" i="1" s="1"/>
  <c r="E69" i="1" s="1"/>
  <c r="E159" i="1" s="1"/>
  <c r="M72" i="1"/>
  <c r="M160" i="1" s="1"/>
  <c r="M163" i="1" s="1"/>
  <c r="I72" i="1"/>
  <c r="I160" i="1" s="1"/>
  <c r="I163" i="1" s="1"/>
  <c r="N72" i="1"/>
  <c r="N160" i="1" s="1"/>
  <c r="N163" i="1" s="1"/>
  <c r="J72" i="1"/>
  <c r="J160" i="1" s="1"/>
  <c r="J163" i="1" s="1"/>
  <c r="F72" i="1"/>
  <c r="F160" i="1" s="1"/>
  <c r="F163" i="1" s="1"/>
  <c r="L72" i="1"/>
  <c r="L160" i="1" s="1"/>
  <c r="L163" i="1" s="1"/>
  <c r="H72" i="1"/>
  <c r="H160" i="1" s="1"/>
  <c r="H163" i="1" s="1"/>
  <c r="K72" i="1"/>
  <c r="K160" i="1" s="1"/>
  <c r="K163" i="1" s="1"/>
  <c r="F31" i="1"/>
  <c r="F57" i="1" s="1"/>
  <c r="F56" i="1"/>
  <c r="E160" i="1" l="1"/>
  <c r="E163" i="1" s="1"/>
  <c r="E86" i="1"/>
  <c r="F86" i="1" s="1"/>
  <c r="G86" i="1" s="1"/>
  <c r="H86" i="1" s="1"/>
  <c r="I86" i="1" s="1"/>
  <c r="J86" i="1" s="1"/>
  <c r="K86" i="1" s="1"/>
  <c r="L86" i="1" s="1"/>
  <c r="M86" i="1" s="1"/>
  <c r="N86" i="1" s="1"/>
  <c r="P166" i="1" s="1"/>
  <c r="N169" i="1" s="1"/>
  <c r="P167" i="1" s="1"/>
  <c r="N171" i="1" s="1"/>
  <c r="F10" i="5"/>
  <c r="F59" i="1"/>
  <c r="F69" i="1" s="1"/>
  <c r="F159" i="1" s="1"/>
  <c r="F161" i="1" s="1"/>
  <c r="I88" i="1"/>
  <c r="E88" i="1"/>
  <c r="N88" i="1"/>
  <c r="G88" i="1"/>
  <c r="F88" i="1"/>
  <c r="F11" i="5" l="1"/>
  <c r="F12" i="5" s="1"/>
  <c r="H10" i="5"/>
  <c r="E161" i="1"/>
  <c r="E162" i="1" s="1"/>
  <c r="E179" i="1" s="1"/>
  <c r="L88" i="1"/>
  <c r="K88" i="1"/>
  <c r="H88" i="1"/>
  <c r="J88" i="1"/>
  <c r="M88" i="1"/>
  <c r="F162" i="1"/>
  <c r="D17" i="5"/>
  <c r="H17" i="5" s="1"/>
  <c r="P17" i="5" s="1"/>
  <c r="G21" i="1"/>
  <c r="H21" i="1"/>
  <c r="I21" i="1"/>
  <c r="I56" i="1" s="1"/>
  <c r="I59" i="1" s="1"/>
  <c r="I69" i="1" s="1"/>
  <c r="I159" i="1" s="1"/>
  <c r="I161" i="1" s="1"/>
  <c r="J21" i="1"/>
  <c r="J56" i="1" s="1"/>
  <c r="J59" i="1" s="1"/>
  <c r="J69" i="1" s="1"/>
  <c r="J159" i="1" s="1"/>
  <c r="J161" i="1" s="1"/>
  <c r="K21" i="1"/>
  <c r="K56" i="1" s="1"/>
  <c r="K59" i="1" s="1"/>
  <c r="K69" i="1" s="1"/>
  <c r="K159" i="1" s="1"/>
  <c r="K161" i="1" s="1"/>
  <c r="L21" i="1"/>
  <c r="L56" i="1" s="1"/>
  <c r="L59" i="1" s="1"/>
  <c r="L69" i="1" s="1"/>
  <c r="L159" i="1" s="1"/>
  <c r="L161" i="1" s="1"/>
  <c r="M21" i="1"/>
  <c r="M56" i="1" s="1"/>
  <c r="M59" i="1" s="1"/>
  <c r="M69" i="1" s="1"/>
  <c r="M159" i="1" s="1"/>
  <c r="M161" i="1" s="1"/>
  <c r="N21" i="1"/>
  <c r="N56" i="1" s="1"/>
  <c r="N59" i="1" s="1"/>
  <c r="N69" i="1" s="1"/>
  <c r="N159" i="1" s="1"/>
  <c r="N161" i="1" s="1"/>
  <c r="F179" i="1" l="1"/>
  <c r="F164" i="1"/>
  <c r="F188" i="1" s="1"/>
  <c r="N162" i="1"/>
  <c r="M162" i="1"/>
  <c r="I162" i="1"/>
  <c r="L162" i="1"/>
  <c r="K162" i="1"/>
  <c r="K164" i="1" s="1"/>
  <c r="J162" i="1"/>
  <c r="J164" i="1" s="1"/>
  <c r="F17" i="5"/>
  <c r="N17" i="5" s="1"/>
  <c r="H56" i="1"/>
  <c r="H32" i="1"/>
  <c r="H31" i="1"/>
  <c r="G56" i="1"/>
  <c r="G31" i="1"/>
  <c r="G32" i="1"/>
  <c r="N164" i="1" l="1"/>
  <c r="N185" i="1"/>
  <c r="K179" i="1"/>
  <c r="K188" i="1" s="1"/>
  <c r="N179" i="1"/>
  <c r="I164" i="1"/>
  <c r="L179" i="1"/>
  <c r="M179" i="1"/>
  <c r="J179" i="1"/>
  <c r="J188" i="1" s="1"/>
  <c r="L164" i="1"/>
  <c r="M164" i="1"/>
  <c r="L17" i="5"/>
  <c r="D18" i="5" s="1"/>
  <c r="H18" i="5" s="1"/>
  <c r="F18" i="5" s="1"/>
  <c r="L18" i="5" s="1"/>
  <c r="D19" i="5" s="1"/>
  <c r="H19" i="5" s="1"/>
  <c r="H57" i="1"/>
  <c r="H59" i="1" s="1"/>
  <c r="H69" i="1" s="1"/>
  <c r="H159" i="1" s="1"/>
  <c r="H161" i="1" s="1"/>
  <c r="G57" i="1"/>
  <c r="G59" i="1" s="1"/>
  <c r="G69" i="1" s="1"/>
  <c r="G159" i="1" s="1"/>
  <c r="G161" i="1" s="1"/>
  <c r="L188" i="1" l="1"/>
  <c r="M188" i="1"/>
  <c r="G162" i="1"/>
  <c r="G179" i="1" s="1"/>
  <c r="H162" i="1"/>
  <c r="N18" i="5"/>
  <c r="P18" i="5"/>
  <c r="P19" i="5" s="1"/>
  <c r="F19" i="5"/>
  <c r="G164" i="1" l="1"/>
  <c r="G188" i="1" s="1"/>
  <c r="H179" i="1"/>
  <c r="I179" i="1"/>
  <c r="I188" i="1" s="1"/>
  <c r="H164" i="1"/>
  <c r="H188" i="1" s="1"/>
  <c r="N19" i="5"/>
  <c r="L19" i="5"/>
  <c r="D20" i="5" s="1"/>
  <c r="H20" i="5" s="1"/>
  <c r="F20" i="5" s="1"/>
  <c r="L20" i="5" s="1"/>
  <c r="D21" i="5" s="1"/>
  <c r="P20" i="5" l="1"/>
  <c r="N20" i="5"/>
  <c r="H21" i="5"/>
  <c r="F21" i="5" s="1"/>
  <c r="L21" i="5" s="1"/>
  <c r="D22" i="5" s="1"/>
  <c r="P21" i="5" l="1"/>
  <c r="H22" i="5"/>
  <c r="F22" i="5" s="1"/>
  <c r="L22" i="5" s="1"/>
  <c r="D23" i="5" s="1"/>
  <c r="N21" i="5"/>
  <c r="P22" i="5" l="1"/>
  <c r="N22" i="5"/>
  <c r="H23" i="5"/>
  <c r="P23" i="5" l="1"/>
  <c r="F23" i="5"/>
  <c r="L23" i="5" l="1"/>
  <c r="D24" i="5" s="1"/>
  <c r="N23" i="5"/>
  <c r="H24" i="5" l="1"/>
  <c r="P24" i="5" s="1"/>
  <c r="F24" i="5" l="1"/>
  <c r="L24" i="5" s="1"/>
  <c r="D25" i="5" s="1"/>
  <c r="H25" i="5" s="1"/>
  <c r="P25" i="5" s="1"/>
  <c r="N24" i="5" l="1"/>
  <c r="F25" i="5"/>
  <c r="N25" i="5" l="1"/>
  <c r="L25" i="5"/>
  <c r="D26" i="5" s="1"/>
  <c r="H26" i="5" l="1"/>
  <c r="P26" i="5" s="1"/>
  <c r="F26" i="5" l="1"/>
  <c r="L26" i="5" l="1"/>
  <c r="D27" i="5" s="1"/>
  <c r="N26" i="5"/>
  <c r="H27" i="5" l="1"/>
  <c r="P27" i="5" s="1"/>
  <c r="F27" i="5" l="1"/>
  <c r="L27" i="5" l="1"/>
  <c r="D28" i="5" s="1"/>
  <c r="N27" i="5"/>
  <c r="H28" i="5" l="1"/>
  <c r="F28" i="5" s="1"/>
  <c r="L28" i="5" s="1"/>
  <c r="E93" i="1" s="1"/>
  <c r="D125" i="1" l="1"/>
  <c r="D117" i="1"/>
  <c r="N28" i="5"/>
  <c r="B29" i="5"/>
  <c r="P28" i="5"/>
  <c r="E73" i="1" l="1"/>
  <c r="Q28" i="5"/>
  <c r="H29" i="5"/>
  <c r="P29" i="5" s="1"/>
  <c r="D29" i="5"/>
  <c r="E76" i="1" l="1"/>
  <c r="F29" i="5"/>
  <c r="N29" i="5" s="1"/>
  <c r="E77" i="1" l="1"/>
  <c r="E92" i="1" s="1"/>
  <c r="D115" i="1" s="1"/>
  <c r="L29" i="5"/>
  <c r="B30" i="5" s="1"/>
  <c r="D30" i="5" s="1"/>
  <c r="D104" i="1" l="1"/>
  <c r="D106" i="1" s="1"/>
  <c r="D112" i="1" s="1"/>
  <c r="E78" i="1"/>
  <c r="H30" i="5"/>
  <c r="P30" i="5" s="1"/>
  <c r="E97" i="1" l="1"/>
  <c r="D127" i="1" s="1"/>
  <c r="D116" i="1"/>
  <c r="D113" i="1"/>
  <c r="F30" i="5"/>
  <c r="E99" i="1" l="1"/>
  <c r="E101" i="1" s="1"/>
  <c r="H123" i="1"/>
  <c r="N30" i="5"/>
  <c r="L30" i="5"/>
  <c r="B31" i="5" s="1"/>
  <c r="D31" i="5" l="1"/>
  <c r="H31" i="5"/>
  <c r="P31" i="5" s="1"/>
  <c r="F31" i="5" l="1"/>
  <c r="L31" i="5" s="1"/>
  <c r="B32" i="5" s="1"/>
  <c r="H32" i="5" s="1"/>
  <c r="P32" i="5" s="1"/>
  <c r="N31" i="5" l="1"/>
  <c r="D32" i="5"/>
  <c r="F32" i="5" s="1"/>
  <c r="L32" i="5" s="1"/>
  <c r="B33" i="5" s="1"/>
  <c r="H33" i="5" s="1"/>
  <c r="P33" i="5" s="1"/>
  <c r="D33" i="5" l="1"/>
  <c r="F33" i="5" s="1"/>
  <c r="L33" i="5" s="1"/>
  <c r="B34" i="5" s="1"/>
  <c r="N32" i="5"/>
  <c r="H34" i="5" l="1"/>
  <c r="P34" i="5" s="1"/>
  <c r="D34" i="5"/>
  <c r="N33" i="5"/>
  <c r="F34" i="5" l="1"/>
  <c r="L34" i="5" s="1"/>
  <c r="B35" i="5" s="1"/>
  <c r="D35" i="5" l="1"/>
  <c r="H35" i="5"/>
  <c r="P35" i="5" s="1"/>
  <c r="N34" i="5"/>
  <c r="F35" i="5" l="1"/>
  <c r="L35" i="5" s="1"/>
  <c r="B36" i="5" s="1"/>
  <c r="H36" i="5" l="1"/>
  <c r="P36" i="5" s="1"/>
  <c r="D36" i="5"/>
  <c r="N35" i="5"/>
  <c r="F36" i="5" l="1"/>
  <c r="L36" i="5" s="1"/>
  <c r="B37" i="5" s="1"/>
  <c r="H37" i="5" s="1"/>
  <c r="P37" i="5" s="1"/>
  <c r="N36" i="5" l="1"/>
  <c r="D37" i="5"/>
  <c r="F37" i="5" s="1"/>
  <c r="L37" i="5" s="1"/>
  <c r="B38" i="5" s="1"/>
  <c r="H38" i="5" s="1"/>
  <c r="P38" i="5" s="1"/>
  <c r="D38" i="5" l="1"/>
  <c r="F38" i="5" s="1"/>
  <c r="N37" i="5"/>
  <c r="N38" i="5" l="1"/>
  <c r="L38" i="5"/>
  <c r="B39" i="5" s="1"/>
  <c r="H39" i="5" s="1"/>
  <c r="P39" i="5" s="1"/>
  <c r="D39" i="5" l="1"/>
  <c r="F39" i="5" s="1"/>
  <c r="L39" i="5" l="1"/>
  <c r="B40" i="5" s="1"/>
  <c r="N39" i="5"/>
  <c r="H40" i="5" l="1"/>
  <c r="P40" i="5" s="1"/>
  <c r="D40" i="5"/>
  <c r="F73" i="1" l="1"/>
  <c r="Q40" i="5"/>
  <c r="F40" i="5"/>
  <c r="L40" i="5" s="1"/>
  <c r="F76" i="1" l="1"/>
  <c r="F93" i="1"/>
  <c r="E117" i="1" s="1"/>
  <c r="N40" i="5"/>
  <c r="B41" i="5"/>
  <c r="D41" i="5" s="1"/>
  <c r="F77" i="1" l="1"/>
  <c r="F92" i="1" s="1"/>
  <c r="E115" i="1" s="1"/>
  <c r="H41" i="5"/>
  <c r="P41" i="5" s="1"/>
  <c r="E104" i="1" l="1"/>
  <c r="E106" i="1" s="1"/>
  <c r="F41" i="5"/>
  <c r="N41" i="5" s="1"/>
  <c r="E111" i="1" l="1"/>
  <c r="E112" i="1"/>
  <c r="E113" i="1"/>
  <c r="L41" i="5"/>
  <c r="B42" i="5" s="1"/>
  <c r="D42" i="5" s="1"/>
  <c r="H42" i="5" l="1"/>
  <c r="P42" i="5" s="1"/>
  <c r="F42" i="5" l="1"/>
  <c r="L42" i="5" s="1"/>
  <c r="B43" i="5" s="1"/>
  <c r="N42" i="5" l="1"/>
  <c r="D43" i="5"/>
  <c r="H43" i="5"/>
  <c r="P43" i="5" s="1"/>
  <c r="F43" i="5" l="1"/>
  <c r="N43" i="5" s="1"/>
  <c r="L43" i="5" l="1"/>
  <c r="B44" i="5" s="1"/>
  <c r="D44" i="5" s="1"/>
  <c r="H44" i="5" l="1"/>
  <c r="P44" i="5" s="1"/>
  <c r="F44" i="5" l="1"/>
  <c r="L44" i="5" s="1"/>
  <c r="B45" i="5" s="1"/>
  <c r="D45" i="5" s="1"/>
  <c r="N44" i="5" l="1"/>
  <c r="H45" i="5"/>
  <c r="P45" i="5" s="1"/>
  <c r="F45" i="5" l="1"/>
  <c r="N45" i="5" l="1"/>
  <c r="L45" i="5"/>
  <c r="B46" i="5" s="1"/>
  <c r="D46" i="5" l="1"/>
  <c r="H46" i="5"/>
  <c r="P46" i="5" s="1"/>
  <c r="F46" i="5" l="1"/>
  <c r="N46" i="5" s="1"/>
  <c r="L46" i="5" l="1"/>
  <c r="B47" i="5" s="1"/>
  <c r="D47" i="5" s="1"/>
  <c r="H47" i="5" l="1"/>
  <c r="P47" i="5" s="1"/>
  <c r="F47" i="5" l="1"/>
  <c r="N47" i="5" l="1"/>
  <c r="L47" i="5"/>
  <c r="B48" i="5" s="1"/>
  <c r="H48" i="5" l="1"/>
  <c r="P48" i="5" s="1"/>
  <c r="D48" i="5"/>
  <c r="F48" i="5" l="1"/>
  <c r="N48" i="5" s="1"/>
  <c r="L48" i="5" l="1"/>
  <c r="B49" i="5" s="1"/>
  <c r="D49" i="5" s="1"/>
  <c r="H49" i="5" l="1"/>
  <c r="P49" i="5" s="1"/>
  <c r="F49" i="5" l="1"/>
  <c r="L49" i="5" s="1"/>
  <c r="B50" i="5" s="1"/>
  <c r="H50" i="5" s="1"/>
  <c r="P50" i="5" s="1"/>
  <c r="N49" i="5" l="1"/>
  <c r="D50" i="5"/>
  <c r="F50" i="5" s="1"/>
  <c r="N50" i="5" l="1"/>
  <c r="L50" i="5"/>
  <c r="B51" i="5" s="1"/>
  <c r="D51" i="5" s="1"/>
  <c r="H51" i="5" l="1"/>
  <c r="P51" i="5" s="1"/>
  <c r="F51" i="5" l="1"/>
  <c r="L51" i="5" s="1"/>
  <c r="B52" i="5" s="1"/>
  <c r="N51" i="5" l="1"/>
  <c r="H52" i="5"/>
  <c r="P52" i="5" s="1"/>
  <c r="Q52" i="5" s="1"/>
  <c r="G73" i="1" s="1"/>
  <c r="D52" i="5"/>
  <c r="F52" i="5" l="1"/>
  <c r="N52" i="5" s="1"/>
  <c r="L52" i="5" l="1"/>
  <c r="G93" i="1" s="1"/>
  <c r="F117" i="1" s="1"/>
  <c r="G76" i="1"/>
  <c r="G77" i="1" l="1"/>
  <c r="B53" i="5"/>
  <c r="H53" i="5" s="1"/>
  <c r="P53" i="5" s="1"/>
  <c r="F104" i="1" l="1"/>
  <c r="F106" i="1" s="1"/>
  <c r="F111" i="1" s="1"/>
  <c r="G92" i="1"/>
  <c r="F115" i="1" s="1"/>
  <c r="G78" i="1"/>
  <c r="F116" i="1" s="1"/>
  <c r="D53" i="5"/>
  <c r="F53" i="5" s="1"/>
  <c r="L53" i="5" s="1"/>
  <c r="B54" i="5" s="1"/>
  <c r="D54" i="5" s="1"/>
  <c r="F113" i="1" l="1"/>
  <c r="F112" i="1"/>
  <c r="N184" i="1"/>
  <c r="N53" i="5"/>
  <c r="H54" i="5"/>
  <c r="P54" i="5" s="1"/>
  <c r="N188" i="1" l="1"/>
  <c r="F54" i="5"/>
  <c r="L54" i="5" s="1"/>
  <c r="B55" i="5" s="1"/>
  <c r="D55" i="5" s="1"/>
  <c r="N54" i="5" l="1"/>
  <c r="H55" i="5"/>
  <c r="P55" i="5" s="1"/>
  <c r="F55" i="5" l="1"/>
  <c r="L55" i="5" s="1"/>
  <c r="B56" i="5" s="1"/>
  <c r="H56" i="5" s="1"/>
  <c r="P56" i="5" s="1"/>
  <c r="N55" i="5" l="1"/>
  <c r="D56" i="5"/>
  <c r="F56" i="5" s="1"/>
  <c r="L56" i="5" s="1"/>
  <c r="B57" i="5" s="1"/>
  <c r="H57" i="5" s="1"/>
  <c r="P57" i="5" s="1"/>
  <c r="D57" i="5" l="1"/>
  <c r="F57" i="5" s="1"/>
  <c r="L57" i="5" s="1"/>
  <c r="B58" i="5" s="1"/>
  <c r="H58" i="5" s="1"/>
  <c r="P58" i="5" s="1"/>
  <c r="N56" i="5"/>
  <c r="N57" i="5" l="1"/>
  <c r="D58" i="5"/>
  <c r="F58" i="5" s="1"/>
  <c r="N58" i="5" l="1"/>
  <c r="L58" i="5"/>
  <c r="B59" i="5" s="1"/>
  <c r="D59" i="5" s="1"/>
  <c r="H59" i="5" l="1"/>
  <c r="P59" i="5" s="1"/>
  <c r="F59" i="5" l="1"/>
  <c r="L59" i="5" s="1"/>
  <c r="B60" i="5" s="1"/>
  <c r="H60" i="5" s="1"/>
  <c r="P60" i="5" s="1"/>
  <c r="D60" i="5" l="1"/>
  <c r="F60" i="5" s="1"/>
  <c r="N59" i="5"/>
  <c r="N60" i="5" l="1"/>
  <c r="L60" i="5"/>
  <c r="B61" i="5" s="1"/>
  <c r="D61" i="5" s="1"/>
  <c r="H61" i="5" l="1"/>
  <c r="P61" i="5" s="1"/>
  <c r="F61" i="5" l="1"/>
  <c r="N61" i="5" l="1"/>
  <c r="L61" i="5"/>
  <c r="B62" i="5" s="1"/>
  <c r="D62" i="5" l="1"/>
  <c r="H62" i="5"/>
  <c r="P62" i="5" s="1"/>
  <c r="F62" i="5" l="1"/>
  <c r="N62" i="5" l="1"/>
  <c r="L62" i="5"/>
  <c r="B63" i="5" s="1"/>
  <c r="D63" i="5" l="1"/>
  <c r="H63" i="5"/>
  <c r="P63" i="5" s="1"/>
  <c r="F63" i="5" l="1"/>
  <c r="L63" i="5" l="1"/>
  <c r="B64" i="5" s="1"/>
  <c r="N63" i="5"/>
  <c r="D64" i="5" l="1"/>
  <c r="H64" i="5"/>
  <c r="P64" i="5" s="1"/>
  <c r="Q64" i="5" s="1"/>
  <c r="H73" i="1" s="1"/>
  <c r="F64" i="5" l="1"/>
  <c r="H76" i="1" l="1"/>
  <c r="L64" i="5"/>
  <c r="N64" i="5"/>
  <c r="H77" i="1" l="1"/>
  <c r="H93" i="1"/>
  <c r="G117" i="1" s="1"/>
  <c r="B65" i="5"/>
  <c r="G104" i="1" l="1"/>
  <c r="G106" i="1" s="1"/>
  <c r="G111" i="1" s="1"/>
  <c r="H92" i="1"/>
  <c r="G115" i="1" s="1"/>
  <c r="H78" i="1"/>
  <c r="G116" i="1" s="1"/>
  <c r="D65" i="5"/>
  <c r="H65" i="5"/>
  <c r="P65" i="5" s="1"/>
  <c r="G112" i="1" l="1"/>
  <c r="G113" i="1"/>
  <c r="F65" i="5"/>
  <c r="L65" i="5" s="1"/>
  <c r="B66" i="5" s="1"/>
  <c r="N65" i="5" l="1"/>
  <c r="D66" i="5"/>
  <c r="H66" i="5"/>
  <c r="P66" i="5" s="1"/>
  <c r="F66" i="5" l="1"/>
  <c r="L66" i="5" l="1"/>
  <c r="B67" i="5" s="1"/>
  <c r="N66" i="5"/>
  <c r="D67" i="5" l="1"/>
  <c r="H67" i="5"/>
  <c r="P67" i="5" s="1"/>
  <c r="F67" i="5" l="1"/>
  <c r="L67" i="5" l="1"/>
  <c r="B68" i="5" s="1"/>
  <c r="N67" i="5"/>
  <c r="H68" i="5" l="1"/>
  <c r="P68" i="5" s="1"/>
  <c r="D68" i="5"/>
  <c r="F68" i="5" l="1"/>
  <c r="L68" i="5" l="1"/>
  <c r="B69" i="5" s="1"/>
  <c r="N68" i="5"/>
  <c r="H69" i="5" l="1"/>
  <c r="P69" i="5" s="1"/>
  <c r="D69" i="5"/>
  <c r="F69" i="5" l="1"/>
  <c r="N69" i="5" s="1"/>
  <c r="L69" i="5" l="1"/>
  <c r="B70" i="5" s="1"/>
  <c r="D70" i="5" s="1"/>
  <c r="H70" i="5" l="1"/>
  <c r="P70" i="5" s="1"/>
  <c r="F70" i="5" l="1"/>
  <c r="L70" i="5" l="1"/>
  <c r="B71" i="5" s="1"/>
  <c r="N70" i="5"/>
  <c r="D71" i="5" l="1"/>
  <c r="H71" i="5"/>
  <c r="P71" i="5" s="1"/>
  <c r="F71" i="5" l="1"/>
  <c r="L71" i="5" s="1"/>
  <c r="B72" i="5" s="1"/>
  <c r="D72" i="5" s="1"/>
  <c r="N71" i="5" l="1"/>
  <c r="H72" i="5"/>
  <c r="P72" i="5" s="1"/>
  <c r="F72" i="5" l="1"/>
  <c r="N72" i="5" s="1"/>
  <c r="L72" i="5" l="1"/>
  <c r="B73" i="5" s="1"/>
  <c r="D73" i="5" s="1"/>
  <c r="H73" i="5" l="1"/>
  <c r="P73" i="5" s="1"/>
  <c r="F73" i="5" l="1"/>
  <c r="L73" i="5" s="1"/>
  <c r="B74" i="5" s="1"/>
  <c r="D74" i="5" s="1"/>
  <c r="H74" i="5" l="1"/>
  <c r="P74" i="5" s="1"/>
  <c r="N73" i="5"/>
  <c r="F74" i="5" l="1"/>
  <c r="L74" i="5" s="1"/>
  <c r="B75" i="5" s="1"/>
  <c r="H75" i="5" s="1"/>
  <c r="P75" i="5" s="1"/>
  <c r="D75" i="5" l="1"/>
  <c r="F75" i="5" s="1"/>
  <c r="N74" i="5"/>
  <c r="N75" i="5" l="1"/>
  <c r="L75" i="5"/>
  <c r="B76" i="5" s="1"/>
  <c r="D76" i="5" s="1"/>
  <c r="H76" i="5" l="1"/>
  <c r="P76" i="5" s="1"/>
  <c r="Q76" i="5" s="1"/>
  <c r="I73" i="1" s="1"/>
  <c r="I76" i="1" s="1"/>
  <c r="F76" i="5" l="1"/>
  <c r="I77" i="1" l="1"/>
  <c r="I92" i="1" s="1"/>
  <c r="H115" i="1" s="1"/>
  <c r="L76" i="5"/>
  <c r="N76" i="5"/>
  <c r="I78" i="1" l="1"/>
  <c r="H116" i="1" s="1"/>
  <c r="H104" i="1"/>
  <c r="H106" i="1" s="1"/>
  <c r="B77" i="5"/>
  <c r="I93" i="1"/>
  <c r="H117" i="1" s="1"/>
  <c r="E164" i="1" l="1"/>
  <c r="E188" i="1" s="1"/>
  <c r="D190" i="1" s="1"/>
  <c r="H112" i="1"/>
  <c r="H113" i="1"/>
  <c r="H111" i="1"/>
  <c r="D77" i="5"/>
  <c r="H77" i="5"/>
  <c r="P77" i="5" s="1"/>
  <c r="F77" i="5" l="1"/>
  <c r="L77" i="5" l="1"/>
  <c r="B78" i="5" s="1"/>
  <c r="N77" i="5"/>
  <c r="H78" i="5" l="1"/>
  <c r="P78" i="5" s="1"/>
  <c r="D78" i="5"/>
  <c r="F78" i="5" l="1"/>
  <c r="L78" i="5" s="1"/>
  <c r="B79" i="5" s="1"/>
  <c r="N78" i="5" l="1"/>
  <c r="H79" i="5"/>
  <c r="P79" i="5" s="1"/>
  <c r="D79" i="5"/>
  <c r="F79" i="5" l="1"/>
  <c r="L79" i="5" s="1"/>
  <c r="B80" i="5" s="1"/>
  <c r="N79" i="5" l="1"/>
  <c r="H80" i="5"/>
  <c r="P80" i="5" s="1"/>
  <c r="D80" i="5"/>
  <c r="F80" i="5" l="1"/>
  <c r="N80" i="5" s="1"/>
  <c r="L80" i="5" l="1"/>
  <c r="B81" i="5" s="1"/>
  <c r="D81" i="5" s="1"/>
  <c r="H81" i="5" l="1"/>
  <c r="P81" i="5" s="1"/>
  <c r="F81" i="5" l="1"/>
  <c r="N81" i="5" s="1"/>
  <c r="L81" i="5" l="1"/>
  <c r="B82" i="5" s="1"/>
  <c r="D82" i="5" s="1"/>
  <c r="H82" i="5" l="1"/>
  <c r="P82" i="5" s="1"/>
  <c r="F82" i="5" l="1"/>
  <c r="L82" i="5" s="1"/>
  <c r="B83" i="5" s="1"/>
  <c r="N82" i="5" l="1"/>
  <c r="D83" i="5"/>
  <c r="H83" i="5"/>
  <c r="P83" i="5" s="1"/>
  <c r="F83" i="5" l="1"/>
  <c r="N83" i="5" l="1"/>
  <c r="L83" i="5"/>
  <c r="B84" i="5" s="1"/>
  <c r="H84" i="5" l="1"/>
  <c r="P84" i="5" s="1"/>
  <c r="D84" i="5"/>
  <c r="F84" i="5" l="1"/>
  <c r="L84" i="5" s="1"/>
  <c r="B85" i="5" s="1"/>
  <c r="D85" i="5" s="1"/>
  <c r="H85" i="5" l="1"/>
  <c r="P85" i="5" s="1"/>
  <c r="N84" i="5"/>
  <c r="F85" i="5" l="1"/>
  <c r="L85" i="5" s="1"/>
  <c r="B86" i="5" s="1"/>
  <c r="H86" i="5" l="1"/>
  <c r="P86" i="5" s="1"/>
  <c r="D86" i="5"/>
  <c r="N85" i="5"/>
  <c r="F86" i="5" l="1"/>
  <c r="N86" i="5" s="1"/>
  <c r="L86" i="5" l="1"/>
  <c r="B87" i="5" s="1"/>
  <c r="D87" i="5" s="1"/>
  <c r="H87" i="5" l="1"/>
  <c r="P87" i="5" s="1"/>
  <c r="F87" i="5" l="1"/>
  <c r="N87" i="5" s="1"/>
  <c r="L87" i="5" l="1"/>
  <c r="B88" i="5" s="1"/>
  <c r="D88" i="5" s="1"/>
  <c r="H88" i="5" l="1"/>
  <c r="P88" i="5" s="1"/>
  <c r="Q88" i="5" s="1"/>
  <c r="J73" i="1" s="1"/>
  <c r="F88" i="5" l="1"/>
  <c r="L88" i="5" s="1"/>
  <c r="B89" i="5" s="1"/>
  <c r="D89" i="5" s="1"/>
  <c r="J76" i="1"/>
  <c r="N88" i="5" l="1"/>
  <c r="H89" i="5"/>
  <c r="P89" i="5" s="1"/>
  <c r="J93" i="1"/>
  <c r="I117" i="1" s="1"/>
  <c r="J77" i="1"/>
  <c r="I104" i="1" l="1"/>
  <c r="I106" i="1" s="1"/>
  <c r="H122" i="1" s="1"/>
  <c r="J92" i="1"/>
  <c r="I115" i="1" s="1"/>
  <c r="F89" i="5"/>
  <c r="L89" i="5" s="1"/>
  <c r="B90" i="5" s="1"/>
  <c r="D90" i="5" s="1"/>
  <c r="J78" i="1"/>
  <c r="I116" i="1" s="1"/>
  <c r="H124" i="1"/>
  <c r="D132" i="1" s="1"/>
  <c r="H121" i="1" l="1"/>
  <c r="D131" i="1"/>
  <c r="I113" i="1"/>
  <c r="I111" i="1"/>
  <c r="I112" i="1"/>
  <c r="H90" i="5"/>
  <c r="P90" i="5" s="1"/>
  <c r="N89" i="5"/>
  <c r="H130" i="1" l="1"/>
  <c r="H131" i="1" s="1"/>
  <c r="H133" i="1"/>
  <c r="F90" i="5"/>
  <c r="L90" i="5" s="1"/>
  <c r="B91" i="5" s="1"/>
  <c r="D91" i="5" s="1"/>
  <c r="H91" i="5" l="1"/>
  <c r="P91" i="5" s="1"/>
  <c r="N90" i="5"/>
  <c r="H127" i="1"/>
  <c r="F91" i="5" l="1"/>
  <c r="N91" i="5" s="1"/>
  <c r="L91" i="5" l="1"/>
  <c r="B92" i="5" s="1"/>
  <c r="D92" i="5" s="1"/>
  <c r="H132" i="1"/>
  <c r="H128" i="1"/>
  <c r="H129" i="1" s="1"/>
  <c r="H135" i="1" l="1"/>
  <c r="H134" i="1"/>
  <c r="H92" i="5"/>
  <c r="P92" i="5" s="1"/>
  <c r="D192" i="1"/>
  <c r="D196" i="1" s="1"/>
  <c r="D193" i="1"/>
  <c r="F192" i="1"/>
  <c r="J192" i="1"/>
  <c r="N192" i="1"/>
  <c r="G192" i="1"/>
  <c r="K192" i="1"/>
  <c r="E192" i="1"/>
  <c r="M192" i="1"/>
  <c r="H192" i="1"/>
  <c r="L192" i="1"/>
  <c r="I192" i="1"/>
  <c r="F92" i="5"/>
  <c r="L92" i="5" s="1"/>
  <c r="B93" i="5" s="1"/>
  <c r="N92" i="5" l="1"/>
  <c r="H93" i="5"/>
  <c r="P93" i="5" s="1"/>
  <c r="D93" i="5"/>
  <c r="F93" i="5" l="1"/>
  <c r="N93" i="5" s="1"/>
  <c r="L93" i="5" l="1"/>
  <c r="B94" i="5" s="1"/>
  <c r="H94" i="5" s="1"/>
  <c r="P94" i="5" s="1"/>
  <c r="D94" i="5" l="1"/>
  <c r="F94" i="5" s="1"/>
  <c r="L94" i="5" s="1"/>
  <c r="B95" i="5" s="1"/>
  <c r="D95" i="5" l="1"/>
  <c r="H95" i="5"/>
  <c r="P95" i="5" s="1"/>
  <c r="N94" i="5"/>
  <c r="F95" i="5" l="1"/>
  <c r="L95" i="5" s="1"/>
  <c r="B96" i="5" s="1"/>
  <c r="H96" i="5" s="1"/>
  <c r="P96" i="5" s="1"/>
  <c r="N95" i="5" l="1"/>
  <c r="D96" i="5"/>
  <c r="F96" i="5" s="1"/>
  <c r="L96" i="5" s="1"/>
  <c r="B97" i="5" s="1"/>
  <c r="D97" i="5" s="1"/>
  <c r="N96" i="5" l="1"/>
  <c r="H97" i="5"/>
  <c r="P97" i="5" s="1"/>
  <c r="F97" i="5" l="1"/>
  <c r="L97" i="5" l="1"/>
  <c r="B98" i="5" s="1"/>
  <c r="N97" i="5"/>
  <c r="H98" i="5" l="1"/>
  <c r="P98" i="5" s="1"/>
  <c r="D98" i="5"/>
  <c r="F98" i="5" l="1"/>
  <c r="N98" i="5" l="1"/>
  <c r="L98" i="5"/>
  <c r="B99" i="5" s="1"/>
  <c r="H99" i="5" l="1"/>
  <c r="P99" i="5" s="1"/>
  <c r="D99" i="5"/>
  <c r="F99" i="5" l="1"/>
  <c r="N99" i="5" s="1"/>
  <c r="L99" i="5" l="1"/>
  <c r="B100" i="5" s="1"/>
  <c r="H100" i="5" s="1"/>
  <c r="P100" i="5" s="1"/>
  <c r="Q100" i="5" s="1"/>
  <c r="K73" i="1" s="1"/>
  <c r="D100" i="5" l="1"/>
  <c r="F100" i="5" s="1"/>
  <c r="L100" i="5" s="1"/>
  <c r="K76" i="1" l="1"/>
  <c r="N100" i="5"/>
  <c r="B101" i="5"/>
  <c r="K93" i="1"/>
  <c r="J117" i="1" s="1"/>
  <c r="K77" i="1" l="1"/>
  <c r="K92" i="1" s="1"/>
  <c r="J115" i="1" s="1"/>
  <c r="H101" i="5"/>
  <c r="P101" i="5" s="1"/>
  <c r="D101" i="5"/>
  <c r="K78" i="1" l="1"/>
  <c r="J116" i="1" s="1"/>
  <c r="J104" i="1"/>
  <c r="J106" i="1" s="1"/>
  <c r="J112" i="1" s="1"/>
  <c r="F101" i="5"/>
  <c r="L101" i="5" s="1"/>
  <c r="B102" i="5" s="1"/>
  <c r="J113" i="1" l="1"/>
  <c r="J111" i="1"/>
  <c r="N101" i="5"/>
  <c r="D102" i="5"/>
  <c r="H102" i="5"/>
  <c r="P102" i="5" s="1"/>
  <c r="F102" i="5" l="1"/>
  <c r="L102" i="5" s="1"/>
  <c r="B103" i="5" s="1"/>
  <c r="D103" i="5" s="1"/>
  <c r="N102" i="5" l="1"/>
  <c r="H103" i="5"/>
  <c r="P103" i="5" s="1"/>
  <c r="F103" i="5" l="1"/>
  <c r="N103" i="5" l="1"/>
  <c r="L103" i="5"/>
  <c r="B104" i="5" s="1"/>
  <c r="D104" i="5" l="1"/>
  <c r="H104" i="5"/>
  <c r="P104" i="5" s="1"/>
  <c r="F104" i="5" l="1"/>
  <c r="N104" i="5" s="1"/>
  <c r="L104" i="5" l="1"/>
  <c r="B105" i="5" s="1"/>
  <c r="D105" i="5" s="1"/>
  <c r="H105" i="5" l="1"/>
  <c r="P105" i="5" s="1"/>
  <c r="F105" i="5" l="1"/>
  <c r="N105" i="5" s="1"/>
  <c r="L105" i="5" l="1"/>
  <c r="B106" i="5" s="1"/>
  <c r="D106" i="5" s="1"/>
  <c r="H106" i="5" l="1"/>
  <c r="P106" i="5" s="1"/>
  <c r="F106" i="5" l="1"/>
  <c r="L106" i="5" l="1"/>
  <c r="B107" i="5" s="1"/>
  <c r="N106" i="5"/>
  <c r="H107" i="5" l="1"/>
  <c r="P107" i="5" s="1"/>
  <c r="D107" i="5"/>
  <c r="F107" i="5" l="1"/>
  <c r="N107" i="5" s="1"/>
  <c r="L107" i="5" l="1"/>
  <c r="B108" i="5" s="1"/>
  <c r="D108" i="5" s="1"/>
  <c r="H108" i="5" l="1"/>
  <c r="P108" i="5" s="1"/>
  <c r="F108" i="5" l="1"/>
  <c r="N108" i="5" s="1"/>
  <c r="L108" i="5" l="1"/>
  <c r="B109" i="5" s="1"/>
  <c r="D109" i="5" s="1"/>
  <c r="H109" i="5" l="1"/>
  <c r="P109" i="5" s="1"/>
  <c r="F109" i="5" l="1"/>
  <c r="N109" i="5" l="1"/>
  <c r="L109" i="5"/>
  <c r="B110" i="5" s="1"/>
  <c r="D110" i="5" l="1"/>
  <c r="H110" i="5"/>
  <c r="P110" i="5" s="1"/>
  <c r="F110" i="5" l="1"/>
  <c r="N110" i="5" l="1"/>
  <c r="L110" i="5"/>
  <c r="B111" i="5" s="1"/>
  <c r="D111" i="5" l="1"/>
  <c r="H111" i="5"/>
  <c r="P111" i="5" s="1"/>
  <c r="F111" i="5" l="1"/>
  <c r="N111" i="5" s="1"/>
  <c r="L111" i="5" l="1"/>
  <c r="B112" i="5" s="1"/>
  <c r="H112" i="5" s="1"/>
  <c r="P112" i="5" s="1"/>
  <c r="Q112" i="5" s="1"/>
  <c r="L73" i="1" s="1"/>
  <c r="D112" i="5" l="1"/>
  <c r="F112" i="5" s="1"/>
  <c r="N112" i="5" s="1"/>
  <c r="L76" i="1"/>
  <c r="L77" i="1" l="1"/>
  <c r="L112" i="5"/>
  <c r="L93" i="1" s="1"/>
  <c r="K117" i="1" s="1"/>
  <c r="K104" i="1" l="1"/>
  <c r="K106" i="1" s="1"/>
  <c r="K111" i="1" s="1"/>
  <c r="L92" i="1"/>
  <c r="K115" i="1" s="1"/>
  <c r="B113" i="5"/>
  <c r="D113" i="5" s="1"/>
  <c r="L78" i="1"/>
  <c r="K116" i="1" s="1"/>
  <c r="K113" i="1"/>
  <c r="K112" i="1" l="1"/>
  <c r="H113" i="5"/>
  <c r="P113" i="5" s="1"/>
  <c r="F113" i="5" l="1"/>
  <c r="N113" i="5" s="1"/>
  <c r="L113" i="5" l="1"/>
  <c r="B114" i="5" s="1"/>
  <c r="H114" i="5" s="1"/>
  <c r="P114" i="5" s="1"/>
  <c r="D114" i="5" l="1"/>
  <c r="F114" i="5" s="1"/>
  <c r="L114" i="5" l="1"/>
  <c r="B115" i="5" s="1"/>
  <c r="N114" i="5"/>
  <c r="D115" i="5" l="1"/>
  <c r="H115" i="5"/>
  <c r="P115" i="5" s="1"/>
  <c r="F115" i="5" l="1"/>
  <c r="L115" i="5" s="1"/>
  <c r="B116" i="5" s="1"/>
  <c r="N115" i="5" l="1"/>
  <c r="H116" i="5"/>
  <c r="P116" i="5" s="1"/>
  <c r="D116" i="5"/>
  <c r="F116" i="5" l="1"/>
  <c r="L116" i="5" l="1"/>
  <c r="B117" i="5" s="1"/>
  <c r="N116" i="5"/>
  <c r="H117" i="5" l="1"/>
  <c r="P117" i="5" s="1"/>
  <c r="D117" i="5"/>
  <c r="F117" i="5" l="1"/>
  <c r="L117" i="5" l="1"/>
  <c r="B118" i="5" s="1"/>
  <c r="N117" i="5"/>
  <c r="D118" i="5" l="1"/>
  <c r="H118" i="5"/>
  <c r="P118" i="5" s="1"/>
  <c r="F118" i="5" l="1"/>
  <c r="N118" i="5" s="1"/>
  <c r="L118" i="5" l="1"/>
  <c r="B119" i="5" s="1"/>
  <c r="H119" i="5" s="1"/>
  <c r="P119" i="5" s="1"/>
  <c r="D119" i="5" l="1"/>
  <c r="F119" i="5" s="1"/>
  <c r="L119" i="5" s="1"/>
  <c r="B120" i="5" s="1"/>
  <c r="N119" i="5" l="1"/>
  <c r="D120" i="5"/>
  <c r="H120" i="5"/>
  <c r="P120" i="5" s="1"/>
  <c r="F120" i="5" l="1"/>
  <c r="N120" i="5" s="1"/>
  <c r="L120" i="5" l="1"/>
  <c r="B121" i="5" s="1"/>
  <c r="H121" i="5" s="1"/>
  <c r="P121" i="5" s="1"/>
  <c r="D121" i="5" l="1"/>
  <c r="F121" i="5" s="1"/>
  <c r="L121" i="5" l="1"/>
  <c r="B122" i="5" s="1"/>
  <c r="N121" i="5"/>
  <c r="D122" i="5" l="1"/>
  <c r="H122" i="5"/>
  <c r="P122" i="5" s="1"/>
  <c r="F122" i="5" l="1"/>
  <c r="L122" i="5" s="1"/>
  <c r="B123" i="5" s="1"/>
  <c r="N122" i="5" l="1"/>
  <c r="H123" i="5"/>
  <c r="P123" i="5" s="1"/>
  <c r="D123" i="5"/>
  <c r="F123" i="5" l="1"/>
  <c r="N123" i="5" s="1"/>
  <c r="L123" i="5" l="1"/>
  <c r="B124" i="5" s="1"/>
  <c r="D124" i="5" s="1"/>
  <c r="H124" i="5" l="1"/>
  <c r="P124" i="5" s="1"/>
  <c r="Q124" i="5" s="1"/>
  <c r="M73" i="1" s="1"/>
  <c r="M76" i="1" s="1"/>
  <c r="F124" i="5" l="1"/>
  <c r="L124" i="5" s="1"/>
  <c r="M93" i="1" s="1"/>
  <c r="L117" i="1" s="1"/>
  <c r="M77" i="1"/>
  <c r="L104" i="1" l="1"/>
  <c r="L106" i="1" s="1"/>
  <c r="L113" i="1" s="1"/>
  <c r="M92" i="1"/>
  <c r="L115" i="1" s="1"/>
  <c r="B125" i="5"/>
  <c r="H125" i="5" s="1"/>
  <c r="P125" i="5" s="1"/>
  <c r="N124" i="5"/>
  <c r="M78" i="1"/>
  <c r="L116" i="1" s="1"/>
  <c r="L112" i="1" l="1"/>
  <c r="L111" i="1"/>
  <c r="D125" i="5"/>
  <c r="F125" i="5" s="1"/>
  <c r="L125" i="5" s="1"/>
  <c r="B126" i="5" s="1"/>
  <c r="D126" i="5" s="1"/>
  <c r="H126" i="5" l="1"/>
  <c r="P126" i="5" s="1"/>
  <c r="N125" i="5"/>
  <c r="F126" i="5" l="1"/>
  <c r="N126" i="5" s="1"/>
  <c r="L126" i="5" l="1"/>
  <c r="B127" i="5" s="1"/>
  <c r="H127" i="5" s="1"/>
  <c r="P127" i="5" s="1"/>
  <c r="D127" i="5" l="1"/>
  <c r="F127" i="5" s="1"/>
  <c r="L127" i="5" s="1"/>
  <c r="B128" i="5" s="1"/>
  <c r="D128" i="5" s="1"/>
  <c r="H128" i="5" l="1"/>
  <c r="P128" i="5" s="1"/>
  <c r="N127" i="5"/>
  <c r="F128" i="5" l="1"/>
  <c r="L128" i="5" s="1"/>
  <c r="B129" i="5" s="1"/>
  <c r="D129" i="5" s="1"/>
  <c r="N128" i="5" l="1"/>
  <c r="H129" i="5"/>
  <c r="P129" i="5" s="1"/>
  <c r="F129" i="5" l="1"/>
  <c r="L129" i="5" s="1"/>
  <c r="B130" i="5" s="1"/>
  <c r="D130" i="5" s="1"/>
  <c r="H130" i="5" l="1"/>
  <c r="P130" i="5" s="1"/>
  <c r="N129" i="5"/>
  <c r="F130" i="5" l="1"/>
  <c r="L130" i="5" s="1"/>
  <c r="B131" i="5" s="1"/>
  <c r="D131" i="5" s="1"/>
  <c r="N130" i="5" l="1"/>
  <c r="H131" i="5"/>
  <c r="P131" i="5" s="1"/>
  <c r="F131" i="5" l="1"/>
  <c r="L131" i="5" s="1"/>
  <c r="B132" i="5" s="1"/>
  <c r="D132" i="5" s="1"/>
  <c r="N131" i="5" l="1"/>
  <c r="H132" i="5"/>
  <c r="P132" i="5" s="1"/>
  <c r="F132" i="5" l="1"/>
  <c r="N132" i="5" s="1"/>
  <c r="L132" i="5" l="1"/>
  <c r="B133" i="5" s="1"/>
  <c r="D133" i="5" s="1"/>
  <c r="H133" i="5" l="1"/>
  <c r="P133" i="5" s="1"/>
  <c r="F133" i="5" l="1"/>
  <c r="N133" i="5" s="1"/>
  <c r="L133" i="5" l="1"/>
  <c r="B134" i="5" s="1"/>
  <c r="D134" i="5" s="1"/>
  <c r="H134" i="5" l="1"/>
  <c r="P134" i="5" s="1"/>
  <c r="F134" i="5" l="1"/>
  <c r="N134" i="5" s="1"/>
  <c r="L134" i="5" l="1"/>
  <c r="B135" i="5" s="1"/>
  <c r="H135" i="5" s="1"/>
  <c r="P135" i="5" s="1"/>
  <c r="D135" i="5" l="1"/>
  <c r="F135" i="5" s="1"/>
  <c r="L135" i="5" s="1"/>
  <c r="B136" i="5" s="1"/>
  <c r="D136" i="5" s="1"/>
  <c r="H136" i="5" l="1"/>
  <c r="P136" i="5" s="1"/>
  <c r="Q136" i="5" s="1"/>
  <c r="N73" i="1" s="1"/>
  <c r="N76" i="1" s="1"/>
  <c r="N135" i="5"/>
  <c r="F136" i="5" l="1"/>
  <c r="N136" i="5" s="1"/>
  <c r="N77" i="1"/>
  <c r="N92" i="1" s="1"/>
  <c r="M115" i="1" s="1"/>
  <c r="L136" i="5" l="1"/>
  <c r="B137" i="5" s="1"/>
  <c r="D137" i="5" s="1"/>
  <c r="N78" i="1"/>
  <c r="M116" i="1" s="1"/>
  <c r="M104" i="1"/>
  <c r="M106" i="1" s="1"/>
  <c r="H137" i="5" l="1"/>
  <c r="P137" i="5" s="1"/>
  <c r="N93" i="1"/>
  <c r="M111" i="1"/>
  <c r="M112" i="1"/>
  <c r="M113" i="1"/>
  <c r="M117" i="1" l="1"/>
  <c r="D143" i="1"/>
  <c r="H140" i="1" s="1"/>
  <c r="F137" i="5"/>
  <c r="L137" i="5" s="1"/>
  <c r="B138" i="5" s="1"/>
  <c r="H138" i="5" s="1"/>
  <c r="P138" i="5" s="1"/>
  <c r="H139" i="1" l="1"/>
  <c r="H151" i="1" s="1"/>
  <c r="D138" i="5"/>
  <c r="F138" i="5" s="1"/>
  <c r="N137" i="5"/>
  <c r="N138" i="5" l="1"/>
  <c r="L138" i="5"/>
  <c r="B139" i="5" s="1"/>
  <c r="D139" i="5" s="1"/>
  <c r="H139" i="5" l="1"/>
  <c r="P139" i="5" s="1"/>
  <c r="F139" i="5" l="1"/>
  <c r="L139" i="5" s="1"/>
  <c r="B140" i="5" s="1"/>
  <c r="N139" i="5" l="1"/>
  <c r="H140" i="5"/>
  <c r="P140" i="5" s="1"/>
  <c r="D140" i="5"/>
  <c r="F140" i="5" l="1"/>
  <c r="L140" i="5" s="1"/>
  <c r="B141" i="5" s="1"/>
  <c r="D141" i="5" s="1"/>
  <c r="N140" i="5" l="1"/>
  <c r="H141" i="5"/>
  <c r="P141" i="5" s="1"/>
  <c r="F141" i="5" l="1"/>
  <c r="L141" i="5" s="1"/>
  <c r="B142" i="5" s="1"/>
  <c r="D142" i="5" s="1"/>
  <c r="N141" i="5" l="1"/>
  <c r="H142" i="5"/>
  <c r="P142" i="5" s="1"/>
  <c r="F142" i="5" l="1"/>
  <c r="L142" i="5" s="1"/>
  <c r="B143" i="5" s="1"/>
  <c r="D143" i="5" s="1"/>
  <c r="H143" i="5" l="1"/>
  <c r="P143" i="5" s="1"/>
  <c r="N142" i="5"/>
  <c r="F143" i="5" l="1"/>
  <c r="L143" i="5" s="1"/>
  <c r="B144" i="5" s="1"/>
  <c r="H144" i="5" s="1"/>
  <c r="P144" i="5" s="1"/>
  <c r="N143" i="5" l="1"/>
  <c r="D144" i="5"/>
  <c r="F144" i="5" s="1"/>
  <c r="L144" i="5" s="1"/>
  <c r="B145" i="5" s="1"/>
  <c r="D145" i="5" s="1"/>
  <c r="H145" i="5" l="1"/>
  <c r="P145" i="5" s="1"/>
  <c r="N144" i="5"/>
  <c r="F145" i="5" l="1"/>
  <c r="L145" i="5" s="1"/>
  <c r="B146" i="5" s="1"/>
  <c r="D146" i="5" s="1"/>
  <c r="N145" i="5" l="1"/>
  <c r="H146" i="5"/>
  <c r="P146" i="5" s="1"/>
  <c r="F146" i="5" l="1"/>
  <c r="L146" i="5" s="1"/>
  <c r="B147" i="5" s="1"/>
  <c r="N146" i="5" l="1"/>
  <c r="H147" i="5"/>
  <c r="P147" i="5" s="1"/>
  <c r="D147" i="5"/>
  <c r="F147" i="5" l="1"/>
  <c r="L147" i="5" s="1"/>
  <c r="B148" i="5" s="1"/>
  <c r="D148" i="5" s="1"/>
  <c r="N147" i="5" l="1"/>
  <c r="H148" i="5"/>
  <c r="P148" i="5" s="1"/>
  <c r="Q148" i="5" s="1"/>
  <c r="F78" i="1"/>
  <c r="F148" i="5" l="1"/>
  <c r="L148" i="5" s="1"/>
  <c r="B149" i="5" s="1"/>
  <c r="H149" i="5" s="1"/>
  <c r="P149" i="5" s="1"/>
  <c r="F97" i="1"/>
  <c r="E116" i="1"/>
  <c r="G97" i="1" l="1"/>
  <c r="G99" i="1" s="1"/>
  <c r="G101" i="1" s="1"/>
  <c r="F99" i="1"/>
  <c r="F101" i="1" s="1"/>
  <c r="N148" i="5"/>
  <c r="D149" i="5"/>
  <c r="F149" i="5" s="1"/>
  <c r="L149" i="5" s="1"/>
  <c r="B150" i="5" s="1"/>
  <c r="H150" i="5" s="1"/>
  <c r="P150" i="5" s="1"/>
  <c r="H97" i="1" l="1"/>
  <c r="H99" i="1" s="1"/>
  <c r="H101" i="1" s="1"/>
  <c r="N149" i="5"/>
  <c r="D150" i="5"/>
  <c r="F150" i="5" s="1"/>
  <c r="L150" i="5" s="1"/>
  <c r="B151" i="5" s="1"/>
  <c r="I97" i="1" l="1"/>
  <c r="I99" i="1" s="1"/>
  <c r="I101" i="1" s="1"/>
  <c r="N150" i="5"/>
  <c r="H151" i="5"/>
  <c r="P151" i="5" s="1"/>
  <c r="D151" i="5"/>
  <c r="J97" i="1"/>
  <c r="J99" i="1" s="1"/>
  <c r="F151" i="5" l="1"/>
  <c r="L151" i="5" s="1"/>
  <c r="B152" i="5" s="1"/>
  <c r="H152" i="5" s="1"/>
  <c r="P152" i="5" s="1"/>
  <c r="K97" i="1"/>
  <c r="K99" i="1" s="1"/>
  <c r="J101" i="1"/>
  <c r="N151" i="5" l="1"/>
  <c r="D152" i="5"/>
  <c r="F152" i="5" s="1"/>
  <c r="L152" i="5" s="1"/>
  <c r="B153" i="5" s="1"/>
  <c r="D153" i="5" s="1"/>
  <c r="L97" i="1"/>
  <c r="L99" i="1" s="1"/>
  <c r="K101" i="1"/>
  <c r="N152" i="5" l="1"/>
  <c r="H153" i="5"/>
  <c r="P153" i="5" s="1"/>
  <c r="M97" i="1"/>
  <c r="M99" i="1" s="1"/>
  <c r="L101" i="1"/>
  <c r="F153" i="5" l="1"/>
  <c r="L153" i="5" s="1"/>
  <c r="B154" i="5" s="1"/>
  <c r="N97" i="1"/>
  <c r="D145" i="1" s="1"/>
  <c r="H141" i="1" s="1"/>
  <c r="M101" i="1"/>
  <c r="D150" i="1" l="1"/>
  <c r="H146" i="1" s="1"/>
  <c r="H142" i="1"/>
  <c r="D149" i="1" s="1"/>
  <c r="N99" i="1"/>
  <c r="N101" i="1" s="1"/>
  <c r="N153" i="5"/>
  <c r="D154" i="5"/>
  <c r="H154" i="5"/>
  <c r="P154" i="5" s="1"/>
  <c r="H148" i="1" l="1"/>
  <c r="H149" i="1" s="1"/>
  <c r="H150" i="1" s="1"/>
  <c r="H152" i="1" s="1"/>
  <c r="H153" i="1" s="1"/>
  <c r="H145" i="1"/>
  <c r="H147" i="1" s="1"/>
  <c r="D194" i="1" s="1"/>
  <c r="F154" i="5"/>
  <c r="N154" i="5" s="1"/>
  <c r="L154" i="5" l="1"/>
  <c r="B155" i="5" s="1"/>
  <c r="D155" i="5" s="1"/>
  <c r="H155" i="5" l="1"/>
  <c r="P155" i="5" s="1"/>
  <c r="F155" i="5" l="1"/>
  <c r="L155" i="5" l="1"/>
  <c r="B156" i="5" s="1"/>
  <c r="N155" i="5"/>
  <c r="D156" i="5" l="1"/>
  <c r="H156" i="5"/>
  <c r="P156" i="5" s="1"/>
  <c r="F156" i="5" l="1"/>
  <c r="N156" i="5" s="1"/>
  <c r="L156" i="5" l="1"/>
  <c r="B157" i="5" s="1"/>
  <c r="D157" i="5" s="1"/>
  <c r="H157" i="5" l="1"/>
  <c r="P157" i="5" s="1"/>
  <c r="F157" i="5" l="1"/>
  <c r="L157" i="5" l="1"/>
  <c r="B158" i="5" s="1"/>
  <c r="N157" i="5"/>
  <c r="H158" i="5" l="1"/>
  <c r="P158" i="5" s="1"/>
  <c r="D158" i="5"/>
  <c r="F158" i="5" l="1"/>
  <c r="L158" i="5" s="1"/>
  <c r="B159" i="5" s="1"/>
  <c r="D159" i="5" s="1"/>
  <c r="N158" i="5" l="1"/>
  <c r="H159" i="5"/>
  <c r="P159" i="5" s="1"/>
  <c r="F159" i="5" l="1"/>
  <c r="N159" i="5" s="1"/>
  <c r="L159" i="5" l="1"/>
  <c r="B160" i="5" s="1"/>
  <c r="H160" i="5" s="1"/>
  <c r="P160" i="5" s="1"/>
  <c r="D160" i="5" l="1"/>
  <c r="F160" i="5" s="1"/>
  <c r="N160" i="5" s="1"/>
  <c r="L160" i="5" l="1"/>
  <c r="B161" i="5" s="1"/>
  <c r="H161" i="5" s="1"/>
  <c r="P161" i="5" s="1"/>
  <c r="D161" i="5" l="1"/>
  <c r="F161" i="5" s="1"/>
  <c r="N161" i="5" s="1"/>
  <c r="L161" i="5" l="1"/>
  <c r="B162" i="5" s="1"/>
  <c r="H162" i="5" s="1"/>
  <c r="P162" i="5" s="1"/>
  <c r="D162" i="5" l="1"/>
  <c r="F162" i="5" s="1"/>
  <c r="L162" i="5" s="1"/>
  <c r="B163" i="5" s="1"/>
  <c r="H163" i="5" s="1"/>
  <c r="P163" i="5" s="1"/>
  <c r="D163" i="5" l="1"/>
  <c r="F163" i="5" s="1"/>
  <c r="L163" i="5" s="1"/>
  <c r="B164" i="5" s="1"/>
  <c r="D164" i="5" s="1"/>
  <c r="N162" i="5"/>
  <c r="H164" i="5" l="1"/>
  <c r="P164" i="5" s="1"/>
  <c r="N163" i="5"/>
  <c r="F164" i="5" l="1"/>
  <c r="N164" i="5" l="1"/>
  <c r="L164" i="5"/>
  <c r="B165" i="5" s="1"/>
  <c r="D165" i="5" l="1"/>
  <c r="H165" i="5"/>
  <c r="P165" i="5" s="1"/>
  <c r="F165" i="5" l="1"/>
  <c r="N165" i="5" s="1"/>
  <c r="L165" i="5" l="1"/>
  <c r="B166" i="5" s="1"/>
  <c r="H166" i="5" s="1"/>
  <c r="P166" i="5" s="1"/>
  <c r="D166" i="5" l="1"/>
  <c r="F166" i="5" s="1"/>
  <c r="L166" i="5" s="1"/>
  <c r="B167" i="5" s="1"/>
  <c r="D167" i="5" s="1"/>
  <c r="H167" i="5" l="1"/>
  <c r="P167" i="5" s="1"/>
  <c r="N166" i="5"/>
  <c r="F167" i="5" l="1"/>
  <c r="N167" i="5" s="1"/>
  <c r="L167" i="5" l="1"/>
  <c r="B168" i="5" s="1"/>
  <c r="D168" i="5" s="1"/>
  <c r="H168" i="5" l="1"/>
  <c r="P168" i="5" s="1"/>
  <c r="F168" i="5" l="1"/>
  <c r="L168" i="5" s="1"/>
  <c r="B169" i="5" s="1"/>
  <c r="D169" i="5" s="1"/>
  <c r="N168" i="5" l="1"/>
  <c r="H169" i="5"/>
  <c r="P169" i="5" s="1"/>
  <c r="F169" i="5" l="1"/>
  <c r="N169" i="5" s="1"/>
  <c r="L169" i="5" l="1"/>
  <c r="B170" i="5" s="1"/>
  <c r="H170" i="5" s="1"/>
  <c r="P170" i="5" s="1"/>
  <c r="D170" i="5" l="1"/>
  <c r="F170" i="5" s="1"/>
  <c r="N170" i="5" s="1"/>
  <c r="L170" i="5" l="1"/>
  <c r="B171" i="5" s="1"/>
  <c r="H171" i="5" s="1"/>
  <c r="P171" i="5" s="1"/>
  <c r="D171" i="5" l="1"/>
  <c r="F171" i="5" s="1"/>
  <c r="N171" i="5" s="1"/>
  <c r="L171" i="5" l="1"/>
  <c r="B172" i="5" s="1"/>
  <c r="D172" i="5" s="1"/>
  <c r="H172" i="5" l="1"/>
  <c r="P172" i="5" s="1"/>
  <c r="F172" i="5" l="1"/>
  <c r="N172" i="5" l="1"/>
  <c r="L172" i="5"/>
  <c r="B173" i="5" s="1"/>
  <c r="D173" i="5" l="1"/>
  <c r="H173" i="5"/>
  <c r="P173" i="5" s="1"/>
  <c r="F173" i="5" l="1"/>
  <c r="N173" i="5" s="1"/>
  <c r="L173" i="5" l="1"/>
  <c r="B174" i="5" s="1"/>
  <c r="H174" i="5" s="1"/>
  <c r="P174" i="5" s="1"/>
  <c r="D174" i="5" l="1"/>
  <c r="F174" i="5" s="1"/>
  <c r="L174" i="5" s="1"/>
  <c r="B175" i="5" s="1"/>
  <c r="H175" i="5" s="1"/>
  <c r="P175" i="5" s="1"/>
  <c r="D175" i="5" l="1"/>
  <c r="F175" i="5" s="1"/>
  <c r="L175" i="5" s="1"/>
  <c r="B176" i="5" s="1"/>
  <c r="D176" i="5" s="1"/>
  <c r="N174" i="5"/>
  <c r="N175" i="5" l="1"/>
  <c r="H176" i="5"/>
  <c r="P176" i="5" s="1"/>
  <c r="F176" i="5" l="1"/>
  <c r="L176" i="5" s="1"/>
  <c r="B177" i="5" s="1"/>
  <c r="D177" i="5" s="1"/>
  <c r="N176" i="5" l="1"/>
  <c r="H177" i="5"/>
  <c r="P177" i="5" s="1"/>
  <c r="F177" i="5" l="1"/>
  <c r="L177" i="5" s="1"/>
  <c r="B178" i="5" s="1"/>
  <c r="D178" i="5" s="1"/>
  <c r="N177" i="5" l="1"/>
  <c r="H178" i="5"/>
  <c r="P178" i="5" s="1"/>
  <c r="F178" i="5" l="1"/>
  <c r="L178" i="5" s="1"/>
  <c r="B179" i="5" s="1"/>
  <c r="H179" i="5" s="1"/>
  <c r="P179" i="5" s="1"/>
  <c r="D179" i="5" l="1"/>
  <c r="F179" i="5" s="1"/>
  <c r="L179" i="5" s="1"/>
  <c r="B180" i="5" s="1"/>
  <c r="H180" i="5" s="1"/>
  <c r="P180" i="5" s="1"/>
  <c r="N178" i="5"/>
  <c r="N179" i="5" l="1"/>
  <c r="D180" i="5"/>
  <c r="F180" i="5" s="1"/>
  <c r="L180" i="5" s="1"/>
  <c r="B181" i="5" s="1"/>
  <c r="H181" i="5" s="1"/>
  <c r="P181" i="5" s="1"/>
  <c r="N180" i="5" l="1"/>
  <c r="D181" i="5"/>
  <c r="F181" i="5" s="1"/>
  <c r="L181" i="5" s="1"/>
  <c r="B182" i="5" s="1"/>
  <c r="H182" i="5" s="1"/>
  <c r="P182" i="5" s="1"/>
  <c r="N181" i="5" l="1"/>
  <c r="D182" i="5"/>
  <c r="F182" i="5" s="1"/>
  <c r="L182" i="5" s="1"/>
  <c r="B183" i="5" s="1"/>
  <c r="D183" i="5" s="1"/>
  <c r="H183" i="5" l="1"/>
  <c r="P183" i="5" s="1"/>
  <c r="N182" i="5"/>
  <c r="F183" i="5" l="1"/>
  <c r="L183" i="5" s="1"/>
  <c r="B184" i="5" s="1"/>
  <c r="H184" i="5" s="1"/>
  <c r="P184" i="5" s="1"/>
  <c r="N183" i="5" l="1"/>
  <c r="D184" i="5"/>
  <c r="F184" i="5" s="1"/>
  <c r="L184" i="5" s="1"/>
  <c r="B185" i="5" s="1"/>
  <c r="H185" i="5" s="1"/>
  <c r="P185" i="5" s="1"/>
  <c r="N184" i="5" l="1"/>
  <c r="D185" i="5"/>
  <c r="F185" i="5" s="1"/>
  <c r="N185" i="5" l="1"/>
  <c r="L185" i="5"/>
  <c r="B186" i="5" s="1"/>
  <c r="H186" i="5" s="1"/>
  <c r="P186" i="5" s="1"/>
  <c r="D186" i="5" l="1"/>
  <c r="F186" i="5" s="1"/>
  <c r="L186" i="5" s="1"/>
  <c r="B187" i="5" s="1"/>
  <c r="H187" i="5" s="1"/>
  <c r="P187" i="5" s="1"/>
  <c r="D187" i="5" l="1"/>
  <c r="F187" i="5" s="1"/>
  <c r="N186" i="5"/>
  <c r="N187" i="5" l="1"/>
  <c r="L187" i="5"/>
  <c r="B188" i="5" s="1"/>
  <c r="D188" i="5" l="1"/>
  <c r="H188" i="5"/>
  <c r="P188" i="5" s="1"/>
  <c r="F188" i="5" l="1"/>
  <c r="L188" i="5" l="1"/>
  <c r="B189" i="5" s="1"/>
  <c r="N188" i="5"/>
  <c r="H189" i="5" l="1"/>
  <c r="P189" i="5" s="1"/>
  <c r="D189" i="5"/>
  <c r="F189" i="5" l="1"/>
  <c r="N189" i="5" l="1"/>
  <c r="L189" i="5"/>
  <c r="B190" i="5" s="1"/>
  <c r="D190" i="5" l="1"/>
  <c r="H190" i="5"/>
  <c r="P190" i="5" s="1"/>
  <c r="F190" i="5" l="1"/>
  <c r="L190" i="5" s="1"/>
  <c r="B191" i="5" s="1"/>
  <c r="H191" i="5" s="1"/>
  <c r="P191" i="5" s="1"/>
  <c r="D191" i="5" l="1"/>
  <c r="F191" i="5" s="1"/>
  <c r="N190" i="5"/>
  <c r="N191" i="5" l="1"/>
  <c r="L191" i="5"/>
  <c r="B192" i="5" s="1"/>
  <c r="H192" i="5" l="1"/>
  <c r="P192" i="5" s="1"/>
  <c r="D192" i="5"/>
  <c r="F192" i="5" l="1"/>
  <c r="N192" i="5" l="1"/>
  <c r="L192" i="5"/>
  <c r="B193" i="5" s="1"/>
  <c r="H193" i="5" l="1"/>
  <c r="P193" i="5" s="1"/>
  <c r="D193" i="5"/>
  <c r="F193" i="5" l="1"/>
  <c r="N193" i="5" l="1"/>
  <c r="L193" i="5"/>
  <c r="B194" i="5" s="1"/>
  <c r="H194" i="5" l="1"/>
  <c r="P194" i="5" s="1"/>
  <c r="D194" i="5"/>
  <c r="F194" i="5" l="1"/>
  <c r="N194" i="5" s="1"/>
  <c r="L194" i="5" l="1"/>
  <c r="B195" i="5" s="1"/>
  <c r="D195" i="5" s="1"/>
  <c r="H195" i="5" l="1"/>
  <c r="P195" i="5" s="1"/>
  <c r="F195" i="5" l="1"/>
  <c r="N195" i="5" s="1"/>
  <c r="L195" i="5" l="1"/>
  <c r="B196" i="5" s="1"/>
  <c r="D196" i="5" s="1"/>
  <c r="H196" i="5" l="1"/>
  <c r="P196" i="5" s="1"/>
  <c r="F196" i="5" l="1"/>
  <c r="L196" i="5" l="1"/>
  <c r="B197" i="5" s="1"/>
  <c r="N196" i="5"/>
  <c r="D197" i="5" l="1"/>
  <c r="H197" i="5"/>
  <c r="P197" i="5" s="1"/>
  <c r="F197" i="5" l="1"/>
  <c r="N197" i="5" s="1"/>
  <c r="L197" i="5" l="1"/>
  <c r="B198" i="5" s="1"/>
  <c r="D198" i="5" s="1"/>
  <c r="H198" i="5" l="1"/>
  <c r="P198" i="5" s="1"/>
  <c r="F198" i="5" l="1"/>
  <c r="N198" i="5" s="1"/>
  <c r="L198" i="5" l="1"/>
  <c r="B199" i="5" s="1"/>
  <c r="H199" i="5" s="1"/>
  <c r="P199" i="5" s="1"/>
  <c r="D199" i="5" l="1"/>
  <c r="F199" i="5" s="1"/>
  <c r="L199" i="5" l="1"/>
  <c r="B200" i="5" s="1"/>
  <c r="N199" i="5"/>
  <c r="D200" i="5" l="1"/>
  <c r="H200" i="5"/>
  <c r="P200" i="5" s="1"/>
  <c r="F200" i="5" l="1"/>
  <c r="L200" i="5" s="1"/>
  <c r="B201" i="5" s="1"/>
  <c r="D201" i="5" s="1"/>
  <c r="H201" i="5" l="1"/>
  <c r="P201" i="5" s="1"/>
  <c r="N200" i="5"/>
  <c r="F201" i="5" l="1"/>
  <c r="L201" i="5" s="1"/>
  <c r="B202" i="5" s="1"/>
  <c r="N201" i="5" l="1"/>
  <c r="H202" i="5"/>
  <c r="P202" i="5" s="1"/>
  <c r="D202" i="5"/>
  <c r="F202" i="5" l="1"/>
  <c r="N202" i="5" s="1"/>
  <c r="L202" i="5" l="1"/>
  <c r="B203" i="5" s="1"/>
  <c r="D203" i="5" s="1"/>
  <c r="H203" i="5" l="1"/>
  <c r="P203" i="5" s="1"/>
  <c r="F203" i="5" l="1"/>
  <c r="L203" i="5" s="1"/>
  <c r="B204" i="5" s="1"/>
  <c r="D204" i="5" s="1"/>
  <c r="H204" i="5" l="1"/>
  <c r="P204" i="5" s="1"/>
  <c r="N203" i="5"/>
  <c r="F204" i="5" l="1"/>
  <c r="N204" i="5" s="1"/>
  <c r="L204" i="5" l="1"/>
  <c r="B205" i="5" s="1"/>
  <c r="H205" i="5" s="1"/>
  <c r="P205" i="5" s="1"/>
  <c r="D205" i="5" l="1"/>
  <c r="F205" i="5" s="1"/>
  <c r="N205" i="5" s="1"/>
  <c r="L205" i="5" l="1"/>
  <c r="B206" i="5" s="1"/>
  <c r="D206" i="5" s="1"/>
  <c r="H206" i="5" l="1"/>
  <c r="P206" i="5" s="1"/>
  <c r="F206" i="5" l="1"/>
  <c r="N206" i="5" s="1"/>
  <c r="L206" i="5" l="1"/>
  <c r="B207" i="5" s="1"/>
  <c r="H207" i="5" s="1"/>
  <c r="P207" i="5" s="1"/>
  <c r="D207" i="5" l="1"/>
  <c r="F207" i="5" s="1"/>
  <c r="L207" i="5" s="1"/>
  <c r="B208" i="5" s="1"/>
  <c r="H208" i="5" s="1"/>
  <c r="P208" i="5" s="1"/>
  <c r="N207" i="5" l="1"/>
  <c r="D208" i="5"/>
  <c r="F208" i="5" s="1"/>
  <c r="N208" i="5" l="1"/>
  <c r="L208" i="5"/>
  <c r="B209" i="5" s="1"/>
  <c r="D209" i="5" s="1"/>
  <c r="H209" i="5" l="1"/>
  <c r="P209" i="5" s="1"/>
  <c r="F209" i="5" l="1"/>
  <c r="L209" i="5" s="1"/>
  <c r="B210" i="5" s="1"/>
  <c r="H210" i="5" s="1"/>
  <c r="P210" i="5" s="1"/>
  <c r="N209" i="5" l="1"/>
  <c r="D210" i="5"/>
  <c r="F210" i="5" s="1"/>
  <c r="N210" i="5" l="1"/>
  <c r="L210" i="5"/>
  <c r="B211" i="5" s="1"/>
  <c r="D211" i="5" s="1"/>
  <c r="H211" i="5" l="1"/>
  <c r="P211" i="5" s="1"/>
  <c r="F211" i="5" l="1"/>
  <c r="N211" i="5" l="1"/>
  <c r="L211" i="5"/>
  <c r="B212" i="5" s="1"/>
  <c r="D212" i="5" l="1"/>
  <c r="H212" i="5"/>
  <c r="P212" i="5" s="1"/>
  <c r="F212" i="5" l="1"/>
  <c r="L212" i="5" s="1"/>
  <c r="B213" i="5" s="1"/>
  <c r="N212" i="5" l="1"/>
  <c r="D213" i="5"/>
  <c r="H213" i="5"/>
  <c r="P213" i="5" s="1"/>
  <c r="F213" i="5" l="1"/>
  <c r="N213" i="5" s="1"/>
  <c r="L213" i="5" l="1"/>
  <c r="B214" i="5" s="1"/>
  <c r="D214" i="5" s="1"/>
  <c r="H214" i="5" l="1"/>
  <c r="P214" i="5" s="1"/>
  <c r="F214" i="5" l="1"/>
  <c r="N214" i="5" l="1"/>
  <c r="L214" i="5"/>
  <c r="B215" i="5" s="1"/>
  <c r="H215" i="5" l="1"/>
  <c r="P215" i="5" s="1"/>
  <c r="D215" i="5"/>
  <c r="F215" i="5" l="1"/>
  <c r="L215" i="5" s="1"/>
  <c r="B216" i="5" s="1"/>
  <c r="H216" i="5" s="1"/>
  <c r="P216" i="5" s="1"/>
  <c r="N215" i="5" l="1"/>
  <c r="D216" i="5"/>
  <c r="F216" i="5" s="1"/>
  <c r="N216" i="5" l="1"/>
  <c r="L216" i="5"/>
  <c r="B217" i="5" s="1"/>
  <c r="H217" i="5" s="1"/>
  <c r="P217" i="5" s="1"/>
  <c r="D217" i="5" l="1"/>
  <c r="F217" i="5" s="1"/>
  <c r="N217" i="5" s="1"/>
  <c r="L217" i="5" l="1"/>
  <c r="B218" i="5" s="1"/>
  <c r="D218" i="5" s="1"/>
  <c r="H218" i="5" l="1"/>
  <c r="P218" i="5" s="1"/>
  <c r="F218" i="5" l="1"/>
  <c r="L218" i="5" l="1"/>
  <c r="B219" i="5" s="1"/>
  <c r="N218" i="5"/>
  <c r="H219" i="5" l="1"/>
  <c r="P219" i="5" s="1"/>
  <c r="D219" i="5"/>
  <c r="F219" i="5" l="1"/>
  <c r="L219" i="5" l="1"/>
  <c r="B220" i="5" s="1"/>
  <c r="N219" i="5"/>
  <c r="H220" i="5" l="1"/>
  <c r="P220" i="5" s="1"/>
  <c r="D220" i="5"/>
  <c r="F220" i="5" l="1"/>
  <c r="L220" i="5" l="1"/>
  <c r="B221" i="5" s="1"/>
  <c r="N220" i="5"/>
  <c r="D221" i="5" l="1"/>
  <c r="H221" i="5"/>
  <c r="P221" i="5" s="1"/>
  <c r="F221" i="5" l="1"/>
  <c r="N221" i="5" s="1"/>
  <c r="L221" i="5" l="1"/>
  <c r="B222" i="5" s="1"/>
  <c r="D222" i="5" s="1"/>
  <c r="H222" i="5" l="1"/>
  <c r="P222" i="5" s="1"/>
  <c r="F222" i="5" l="1"/>
  <c r="N222" i="5" s="1"/>
  <c r="L222" i="5" l="1"/>
  <c r="B223" i="5" s="1"/>
  <c r="H223" i="5" s="1"/>
  <c r="P223" i="5" s="1"/>
  <c r="D223" i="5" l="1"/>
  <c r="F223" i="5" s="1"/>
  <c r="L223" i="5" l="1"/>
  <c r="B224" i="5" s="1"/>
  <c r="D224" i="5" s="1"/>
  <c r="N223" i="5"/>
  <c r="H224" i="5" l="1"/>
  <c r="P224" i="5" s="1"/>
  <c r="F224" i="5" l="1"/>
  <c r="N224" i="5" s="1"/>
  <c r="L224" i="5" l="1"/>
  <c r="B225" i="5" s="1"/>
  <c r="H225" i="5" s="1"/>
  <c r="P225" i="5" s="1"/>
  <c r="D225" i="5" l="1"/>
  <c r="F225" i="5" s="1"/>
  <c r="L225" i="5" s="1"/>
  <c r="B226" i="5" s="1"/>
  <c r="N225" i="5" l="1"/>
  <c r="D226" i="5"/>
  <c r="H226" i="5"/>
  <c r="P226" i="5" s="1"/>
  <c r="F226" i="5" l="1"/>
  <c r="N226" i="5" s="1"/>
  <c r="L226" i="5" l="1"/>
  <c r="B227" i="5" s="1"/>
  <c r="H227" i="5" s="1"/>
  <c r="P227" i="5" s="1"/>
  <c r="D227" i="5" l="1"/>
  <c r="F227" i="5" s="1"/>
  <c r="L227" i="5" s="1"/>
  <c r="B228" i="5" s="1"/>
  <c r="D228" i="5" s="1"/>
  <c r="N227" i="5" l="1"/>
  <c r="H228" i="5"/>
  <c r="P228" i="5" s="1"/>
  <c r="F228" i="5" l="1"/>
  <c r="L228" i="5" l="1"/>
  <c r="B229" i="5" s="1"/>
  <c r="N228" i="5"/>
  <c r="H229" i="5" l="1"/>
  <c r="P229" i="5" s="1"/>
  <c r="D229" i="5"/>
  <c r="F229" i="5" l="1"/>
  <c r="N229" i="5" s="1"/>
  <c r="L229" i="5" l="1"/>
  <c r="B230" i="5" s="1"/>
  <c r="D230" i="5" s="1"/>
  <c r="H230" i="5" l="1"/>
  <c r="P230" i="5" s="1"/>
  <c r="F230" i="5" l="1"/>
  <c r="N230" i="5" s="1"/>
  <c r="L230" i="5" l="1"/>
  <c r="B231" i="5" s="1"/>
  <c r="D231" i="5" s="1"/>
  <c r="H231" i="5" l="1"/>
  <c r="P231" i="5" s="1"/>
  <c r="F231" i="5" l="1"/>
  <c r="L231" i="5" s="1"/>
  <c r="B232" i="5" s="1"/>
  <c r="H232" i="5" s="1"/>
  <c r="P232" i="5" s="1"/>
  <c r="D232" i="5" l="1"/>
  <c r="F232" i="5" s="1"/>
  <c r="L232" i="5" s="1"/>
  <c r="B233" i="5" s="1"/>
  <c r="N231" i="5"/>
  <c r="N232" i="5" l="1"/>
  <c r="D233" i="5"/>
  <c r="H233" i="5"/>
  <c r="P233" i="5" s="1"/>
  <c r="F233" i="5" l="1"/>
  <c r="L233" i="5" s="1"/>
  <c r="B234" i="5" s="1"/>
  <c r="D234" i="5" s="1"/>
  <c r="H234" i="5" l="1"/>
  <c r="P234" i="5" s="1"/>
  <c r="N233" i="5"/>
  <c r="F234" i="5" l="1"/>
  <c r="L234" i="5" s="1"/>
  <c r="B235" i="5" s="1"/>
  <c r="N234" i="5" l="1"/>
  <c r="H235" i="5"/>
  <c r="P235" i="5" s="1"/>
  <c r="D235" i="5"/>
  <c r="F235" i="5" l="1"/>
  <c r="L235" i="5" l="1"/>
  <c r="B236" i="5" s="1"/>
  <c r="N235" i="5"/>
  <c r="D236" i="5" l="1"/>
  <c r="H236" i="5"/>
  <c r="P236" i="5" s="1"/>
  <c r="F236" i="5" l="1"/>
  <c r="L236" i="5" s="1"/>
  <c r="B237" i="5" s="1"/>
  <c r="H237" i="5" s="1"/>
  <c r="P237" i="5" s="1"/>
  <c r="N236" i="5" l="1"/>
  <c r="D237" i="5"/>
  <c r="F237" i="5" s="1"/>
  <c r="L237" i="5" l="1"/>
  <c r="B238" i="5" s="1"/>
  <c r="N237" i="5"/>
  <c r="D238" i="5" l="1"/>
  <c r="H238" i="5"/>
  <c r="P238" i="5" s="1"/>
  <c r="F238" i="5" l="1"/>
  <c r="N238" i="5" l="1"/>
  <c r="L238" i="5"/>
  <c r="B239" i="5" s="1"/>
  <c r="H239" i="5" l="1"/>
  <c r="P239" i="5" s="1"/>
  <c r="D239" i="5"/>
  <c r="F239" i="5" l="1"/>
  <c r="L239" i="5" s="1"/>
  <c r="B240" i="5" s="1"/>
  <c r="H240" i="5" s="1"/>
  <c r="P240" i="5" s="1"/>
  <c r="N239" i="5" l="1"/>
  <c r="D240" i="5"/>
  <c r="F240" i="5" s="1"/>
  <c r="L240" i="5" s="1"/>
  <c r="B241" i="5" s="1"/>
  <c r="D241" i="5" s="1"/>
  <c r="N240" i="5" l="1"/>
  <c r="H241" i="5"/>
  <c r="P241" i="5" s="1"/>
  <c r="F241" i="5" l="1"/>
  <c r="L241" i="5" s="1"/>
  <c r="B242" i="5" s="1"/>
  <c r="H242" i="5" s="1"/>
  <c r="P242" i="5" s="1"/>
  <c r="N241" i="5" l="1"/>
  <c r="D242" i="5"/>
  <c r="F242" i="5" s="1"/>
  <c r="L242" i="5" s="1"/>
  <c r="B243" i="5" s="1"/>
  <c r="H243" i="5" s="1"/>
  <c r="P243" i="5" s="1"/>
  <c r="N242" i="5" l="1"/>
  <c r="D243" i="5"/>
  <c r="F243" i="5" s="1"/>
  <c r="L243" i="5" s="1"/>
  <c r="B244" i="5" s="1"/>
  <c r="H244" i="5" s="1"/>
  <c r="P244" i="5" s="1"/>
  <c r="D244" i="5" l="1"/>
  <c r="F244" i="5" s="1"/>
  <c r="N243" i="5"/>
  <c r="L244" i="5" l="1"/>
  <c r="B245" i="5" s="1"/>
  <c r="N244" i="5"/>
  <c r="H245" i="5" l="1"/>
  <c r="P245" i="5" s="1"/>
  <c r="D245" i="5"/>
  <c r="F245" i="5" l="1"/>
  <c r="L245" i="5" l="1"/>
  <c r="B246" i="5" s="1"/>
  <c r="N245" i="5"/>
  <c r="D246" i="5" l="1"/>
  <c r="H246" i="5"/>
  <c r="P246" i="5" s="1"/>
  <c r="F246" i="5" l="1"/>
  <c r="N246" i="5" s="1"/>
  <c r="L246" i="5" l="1"/>
  <c r="B247" i="5" s="1"/>
  <c r="D247" i="5" s="1"/>
  <c r="H247" i="5" l="1"/>
  <c r="P247" i="5" s="1"/>
  <c r="F247" i="5" l="1"/>
  <c r="L247" i="5" l="1"/>
  <c r="B248" i="5" s="1"/>
  <c r="N247" i="5"/>
  <c r="D248" i="5" l="1"/>
  <c r="H248" i="5"/>
  <c r="P248" i="5" s="1"/>
  <c r="F248" i="5" l="1"/>
  <c r="N248" i="5" s="1"/>
  <c r="L248" i="5" l="1"/>
  <c r="B249" i="5" s="1"/>
  <c r="D249" i="5" s="1"/>
  <c r="H249" i="5" l="1"/>
  <c r="P249" i="5" s="1"/>
  <c r="F249" i="5" l="1"/>
  <c r="N249" i="5" s="1"/>
  <c r="L249" i="5" l="1"/>
  <c r="B250" i="5" s="1"/>
  <c r="D250" i="5" s="1"/>
  <c r="H250" i="5" l="1"/>
  <c r="P250" i="5" s="1"/>
  <c r="F250" i="5" l="1"/>
  <c r="N250" i="5" s="1"/>
  <c r="L250" i="5" l="1"/>
  <c r="B251" i="5" s="1"/>
  <c r="D251" i="5" s="1"/>
  <c r="H251" i="5" l="1"/>
  <c r="P251" i="5" s="1"/>
  <c r="F251" i="5" l="1"/>
  <c r="N251" i="5" s="1"/>
  <c r="L251" i="5" l="1"/>
  <c r="B252" i="5" s="1"/>
  <c r="H252" i="5" s="1"/>
  <c r="P252" i="5" s="1"/>
  <c r="D252" i="5" l="1"/>
  <c r="F252" i="5" s="1"/>
  <c r="N252" i="5" s="1"/>
  <c r="L252" i="5" l="1"/>
  <c r="B253" i="5" s="1"/>
  <c r="D253" i="5" s="1"/>
  <c r="H253" i="5" l="1"/>
  <c r="P253" i="5" s="1"/>
  <c r="F253" i="5" l="1"/>
  <c r="N253" i="5" s="1"/>
  <c r="L253" i="5" l="1"/>
  <c r="B254" i="5" s="1"/>
  <c r="H254" i="5" s="1"/>
  <c r="P254" i="5" s="1"/>
  <c r="D254" i="5" l="1"/>
  <c r="F254" i="5" s="1"/>
  <c r="N254" i="5" s="1"/>
  <c r="L254" i="5" l="1"/>
  <c r="B255" i="5" s="1"/>
  <c r="D255" i="5" s="1"/>
  <c r="H255" i="5" l="1"/>
  <c r="P255" i="5" s="1"/>
  <c r="F255" i="5" l="1"/>
  <c r="N255" i="5" s="1"/>
  <c r="L255" i="5" l="1"/>
  <c r="B256" i="5" s="1"/>
  <c r="D256" i="5" s="1"/>
  <c r="H256" i="5" l="1"/>
  <c r="P256" i="5" s="1"/>
  <c r="F256" i="5" l="1"/>
  <c r="N256" i="5" s="1"/>
  <c r="L256" i="5" l="1"/>
  <c r="B257" i="5" s="1"/>
  <c r="H257" i="5" s="1"/>
  <c r="P257" i="5" s="1"/>
  <c r="D257" i="5" l="1"/>
  <c r="F257" i="5" s="1"/>
  <c r="N257" i="5" s="1"/>
  <c r="L257" i="5" l="1"/>
  <c r="B258" i="5" s="1"/>
  <c r="H258" i="5" s="1"/>
  <c r="P258" i="5" s="1"/>
  <c r="D258" i="5" l="1"/>
  <c r="F258" i="5" s="1"/>
  <c r="N258" i="5" l="1"/>
  <c r="L258" i="5"/>
  <c r="B259" i="5" s="1"/>
  <c r="D259" i="5" l="1"/>
  <c r="H259" i="5"/>
  <c r="P259" i="5" s="1"/>
  <c r="F259" i="5" l="1"/>
  <c r="L259" i="5" s="1"/>
  <c r="B260" i="5" s="1"/>
  <c r="N259" i="5" l="1"/>
  <c r="H260" i="5"/>
  <c r="P260" i="5" s="1"/>
  <c r="D260" i="5"/>
  <c r="F260" i="5" l="1"/>
  <c r="L260" i="5" s="1"/>
  <c r="B261" i="5" s="1"/>
  <c r="N260" i="5" l="1"/>
  <c r="D261" i="5"/>
  <c r="H261" i="5"/>
  <c r="P261" i="5" s="1"/>
  <c r="F261" i="5" l="1"/>
  <c r="N261" i="5" s="1"/>
  <c r="L261" i="5" l="1"/>
  <c r="B262" i="5" s="1"/>
  <c r="H262" i="5" s="1"/>
  <c r="P262" i="5" s="1"/>
  <c r="D262" i="5" l="1"/>
  <c r="F262" i="5" s="1"/>
  <c r="L262" i="5" s="1"/>
  <c r="B263" i="5" s="1"/>
  <c r="H263" i="5" s="1"/>
  <c r="P263" i="5" s="1"/>
  <c r="D263" i="5" l="1"/>
  <c r="F263" i="5" s="1"/>
  <c r="L263" i="5" s="1"/>
  <c r="B264" i="5" s="1"/>
  <c r="N262" i="5"/>
  <c r="N263" i="5" l="1"/>
  <c r="D264" i="5"/>
  <c r="H264" i="5"/>
  <c r="P264" i="5" s="1"/>
  <c r="F264" i="5" l="1"/>
  <c r="N264" i="5" s="1"/>
  <c r="L264" i="5" l="1"/>
  <c r="B265" i="5" s="1"/>
  <c r="D265" i="5" s="1"/>
  <c r="H265" i="5" l="1"/>
  <c r="P265" i="5" s="1"/>
  <c r="F265" i="5" l="1"/>
  <c r="L265" i="5" l="1"/>
  <c r="B266" i="5" s="1"/>
  <c r="N265" i="5"/>
  <c r="H266" i="5" l="1"/>
  <c r="P266" i="5" s="1"/>
  <c r="D266" i="5"/>
  <c r="F266" i="5" l="1"/>
  <c r="N266" i="5" s="1"/>
  <c r="L266" i="5" l="1"/>
  <c r="B267" i="5" s="1"/>
  <c r="D267" i="5" s="1"/>
  <c r="H267" i="5" l="1"/>
  <c r="P267" i="5" s="1"/>
  <c r="F267" i="5" l="1"/>
  <c r="N267" i="5" s="1"/>
  <c r="L267" i="5" l="1"/>
  <c r="B268" i="5" s="1"/>
  <c r="D268" i="5" s="1"/>
  <c r="H268" i="5" l="1"/>
  <c r="P268" i="5" s="1"/>
  <c r="F268" i="5" l="1"/>
  <c r="N268" i="5" s="1"/>
  <c r="L268" i="5" l="1"/>
  <c r="B269" i="5" s="1"/>
  <c r="H269" i="5" s="1"/>
  <c r="P269" i="5" s="1"/>
  <c r="D269" i="5" l="1"/>
  <c r="F269" i="5" s="1"/>
  <c r="N269" i="5" s="1"/>
  <c r="L269" i="5" l="1"/>
  <c r="B270" i="5" s="1"/>
  <c r="H270" i="5" s="1"/>
  <c r="P270" i="5" s="1"/>
  <c r="D270" i="5" l="1"/>
  <c r="F270" i="5" s="1"/>
  <c r="L270" i="5" s="1"/>
  <c r="B271" i="5" s="1"/>
  <c r="D271" i="5" s="1"/>
  <c r="N270" i="5" l="1"/>
  <c r="H271" i="5"/>
  <c r="P271" i="5" s="1"/>
  <c r="F271" i="5" l="1"/>
  <c r="L271" i="5" s="1"/>
  <c r="B272" i="5" s="1"/>
  <c r="D272" i="5" s="1"/>
  <c r="N271" i="5" l="1"/>
  <c r="H272" i="5"/>
  <c r="P272" i="5" s="1"/>
  <c r="F272" i="5" l="1"/>
  <c r="L272" i="5" s="1"/>
  <c r="B273" i="5" s="1"/>
  <c r="D273" i="5" s="1"/>
  <c r="H273" i="5" l="1"/>
  <c r="P273" i="5" s="1"/>
  <c r="N272" i="5"/>
  <c r="F273" i="5" l="1"/>
  <c r="N273" i="5" s="1"/>
  <c r="L273" i="5" l="1"/>
  <c r="B274" i="5" s="1"/>
  <c r="H274" i="5" s="1"/>
  <c r="P274" i="5" s="1"/>
  <c r="D274" i="5" l="1"/>
  <c r="F274" i="5" s="1"/>
  <c r="N274" i="5" s="1"/>
  <c r="L274" i="5" l="1"/>
  <c r="B275" i="5" s="1"/>
  <c r="H275" i="5" s="1"/>
  <c r="P275" i="5" s="1"/>
  <c r="D275" i="5" l="1"/>
  <c r="F275" i="5" s="1"/>
  <c r="L275" i="5" s="1"/>
  <c r="B276" i="5" s="1"/>
  <c r="H276" i="5" s="1"/>
  <c r="P276" i="5" s="1"/>
  <c r="D276" i="5" l="1"/>
  <c r="F276" i="5" s="1"/>
  <c r="L276" i="5" s="1"/>
  <c r="B277" i="5" s="1"/>
  <c r="N275" i="5"/>
  <c r="N276" i="5" l="1"/>
  <c r="D277" i="5"/>
  <c r="H277" i="5"/>
  <c r="P277" i="5" s="1"/>
  <c r="F277" i="5" l="1"/>
  <c r="L277" i="5" s="1"/>
  <c r="B278" i="5" s="1"/>
  <c r="D278" i="5" s="1"/>
  <c r="N277" i="5" l="1"/>
  <c r="H278" i="5"/>
  <c r="P278" i="5" s="1"/>
  <c r="F278" i="5" l="1"/>
  <c r="L278" i="5" s="1"/>
  <c r="B279" i="5" s="1"/>
  <c r="D279" i="5" s="1"/>
  <c r="H279" i="5" l="1"/>
  <c r="P279" i="5" s="1"/>
  <c r="N278" i="5"/>
  <c r="F279" i="5" l="1"/>
  <c r="N279" i="5" s="1"/>
  <c r="L279" i="5" l="1"/>
  <c r="B280" i="5" s="1"/>
  <c r="D280" i="5" s="1"/>
  <c r="H280" i="5" l="1"/>
  <c r="P280" i="5" s="1"/>
  <c r="F280" i="5" l="1"/>
  <c r="N280" i="5" s="1"/>
  <c r="L280" i="5" l="1"/>
  <c r="B281" i="5" s="1"/>
  <c r="H281" i="5" s="1"/>
  <c r="P281" i="5" s="1"/>
  <c r="D281" i="5" l="1"/>
  <c r="F281" i="5" s="1"/>
  <c r="N281" i="5" s="1"/>
  <c r="L281" i="5" l="1"/>
  <c r="B282" i="5" s="1"/>
  <c r="H282" i="5" s="1"/>
  <c r="P282" i="5" s="1"/>
  <c r="D282" i="5" l="1"/>
  <c r="F282" i="5" s="1"/>
  <c r="L282" i="5" s="1"/>
  <c r="B283" i="5" s="1"/>
  <c r="H283" i="5" s="1"/>
  <c r="P283" i="5" s="1"/>
  <c r="D283" i="5" l="1"/>
  <c r="F283" i="5" s="1"/>
  <c r="L283" i="5" s="1"/>
  <c r="B284" i="5" s="1"/>
  <c r="N282" i="5"/>
  <c r="N283" i="5" l="1"/>
  <c r="D284" i="5"/>
  <c r="H284" i="5"/>
  <c r="P284" i="5" s="1"/>
  <c r="F284" i="5" l="1"/>
  <c r="L284" i="5" s="1"/>
  <c r="B285" i="5" s="1"/>
  <c r="N284" i="5" l="1"/>
  <c r="D285" i="5"/>
  <c r="H285" i="5"/>
  <c r="P285" i="5" s="1"/>
  <c r="F285" i="5" l="1"/>
  <c r="N285" i="5" s="1"/>
  <c r="L285" i="5" l="1"/>
  <c r="B286" i="5" s="1"/>
  <c r="D286" i="5" s="1"/>
  <c r="H286" i="5" l="1"/>
  <c r="P286" i="5" s="1"/>
  <c r="F286" i="5" l="1"/>
  <c r="L286" i="5" l="1"/>
  <c r="B287" i="5" s="1"/>
  <c r="N286" i="5"/>
  <c r="D287" i="5" l="1"/>
  <c r="H287" i="5"/>
  <c r="P287" i="5" s="1"/>
  <c r="F287" i="5" l="1"/>
  <c r="N287" i="5" s="1"/>
  <c r="L287" i="5" l="1"/>
  <c r="B288" i="5" s="1"/>
  <c r="D288" i="5" s="1"/>
  <c r="H288" i="5" l="1"/>
  <c r="P288" i="5" s="1"/>
  <c r="F288" i="5" l="1"/>
  <c r="N288" i="5" s="1"/>
  <c r="L288" i="5" l="1"/>
  <c r="B289" i="5" s="1"/>
  <c r="D289" i="5" s="1"/>
  <c r="H289" i="5" l="1"/>
  <c r="P289" i="5" s="1"/>
  <c r="F289" i="5" l="1"/>
  <c r="N289" i="5" s="1"/>
  <c r="L289" i="5" l="1"/>
  <c r="B290" i="5" s="1"/>
  <c r="D290" i="5" s="1"/>
  <c r="H290" i="5" l="1"/>
  <c r="P290" i="5" s="1"/>
  <c r="F290" i="5" l="1"/>
  <c r="L290" i="5" s="1"/>
  <c r="B291" i="5" s="1"/>
  <c r="D291" i="5" s="1"/>
  <c r="N290" i="5" l="1"/>
  <c r="H291" i="5"/>
  <c r="P291" i="5" s="1"/>
  <c r="F291" i="5" l="1"/>
  <c r="L291" i="5" s="1"/>
  <c r="B292" i="5" s="1"/>
  <c r="H292" i="5" s="1"/>
  <c r="P292" i="5" s="1"/>
  <c r="D292" i="5" l="1"/>
  <c r="F292" i="5" s="1"/>
  <c r="L292" i="5" s="1"/>
  <c r="B293" i="5" s="1"/>
  <c r="D293" i="5" s="1"/>
  <c r="N291" i="5"/>
  <c r="H293" i="5" l="1"/>
  <c r="P293" i="5" s="1"/>
  <c r="N292" i="5"/>
  <c r="F293" i="5" l="1"/>
  <c r="N293" i="5" s="1"/>
  <c r="L293" i="5" l="1"/>
  <c r="B294" i="5" s="1"/>
  <c r="H294" i="5" s="1"/>
  <c r="P294" i="5" s="1"/>
  <c r="D294" i="5" l="1"/>
  <c r="F294" i="5" s="1"/>
  <c r="L294" i="5" s="1"/>
  <c r="B295" i="5" s="1"/>
  <c r="H295" i="5" s="1"/>
  <c r="P295" i="5" s="1"/>
  <c r="N294" i="5" l="1"/>
  <c r="D295" i="5"/>
  <c r="F295" i="5" s="1"/>
  <c r="L295" i="5" s="1"/>
  <c r="B296" i="5" s="1"/>
  <c r="N295" i="5" l="1"/>
  <c r="H296" i="5"/>
  <c r="P296" i="5" s="1"/>
  <c r="D296" i="5"/>
  <c r="F296" i="5" l="1"/>
  <c r="L296" i="5" l="1"/>
  <c r="B297" i="5" s="1"/>
  <c r="N296" i="5"/>
  <c r="D297" i="5" l="1"/>
  <c r="H297" i="5"/>
  <c r="P297" i="5" s="1"/>
  <c r="F297" i="5" l="1"/>
  <c r="N297" i="5" s="1"/>
  <c r="L297" i="5" l="1"/>
  <c r="B298" i="5" s="1"/>
  <c r="D298" i="5" s="1"/>
  <c r="H298" i="5" l="1"/>
  <c r="P298" i="5" s="1"/>
  <c r="F298" i="5" l="1"/>
  <c r="L298" i="5" l="1"/>
  <c r="B299" i="5" s="1"/>
  <c r="N298" i="5"/>
  <c r="D299" i="5" l="1"/>
  <c r="H299" i="5"/>
  <c r="P299" i="5" s="1"/>
  <c r="F299" i="5" l="1"/>
  <c r="L299" i="5" s="1"/>
  <c r="B300" i="5" s="1"/>
  <c r="H300" i="5" s="1"/>
  <c r="P300" i="5" s="1"/>
  <c r="D300" i="5" l="1"/>
  <c r="F300" i="5" s="1"/>
  <c r="L300" i="5" s="1"/>
  <c r="B301" i="5" s="1"/>
  <c r="D301" i="5" s="1"/>
  <c r="N299" i="5"/>
  <c r="N300" i="5" l="1"/>
  <c r="H301" i="5"/>
  <c r="P301" i="5" s="1"/>
  <c r="F301" i="5" l="1"/>
  <c r="L301" i="5" l="1"/>
  <c r="B302" i="5" s="1"/>
  <c r="N301" i="5"/>
  <c r="D302" i="5" l="1"/>
  <c r="H302" i="5"/>
  <c r="P302" i="5" s="1"/>
  <c r="F302" i="5" l="1"/>
  <c r="N302" i="5" s="1"/>
  <c r="L302" i="5" l="1"/>
  <c r="B303" i="5" s="1"/>
  <c r="H303" i="5" s="1"/>
  <c r="P303" i="5" s="1"/>
  <c r="D303" i="5" l="1"/>
  <c r="F303" i="5" s="1"/>
  <c r="L303" i="5" l="1"/>
  <c r="B304" i="5" s="1"/>
  <c r="N303" i="5"/>
  <c r="H304" i="5" l="1"/>
  <c r="P304" i="5" s="1"/>
  <c r="D304" i="5"/>
  <c r="F304" i="5" l="1"/>
  <c r="L304" i="5" s="1"/>
  <c r="B305" i="5" s="1"/>
  <c r="N304" i="5" l="1"/>
  <c r="H305" i="5"/>
  <c r="P305" i="5" s="1"/>
  <c r="D305" i="5"/>
  <c r="F305" i="5" l="1"/>
  <c r="N305" i="5" s="1"/>
  <c r="L305" i="5" l="1"/>
  <c r="B306" i="5" s="1"/>
  <c r="H306" i="5" s="1"/>
  <c r="P306" i="5" s="1"/>
  <c r="D306" i="5" l="1"/>
  <c r="F306" i="5" s="1"/>
  <c r="N306" i="5" s="1"/>
  <c r="L306" i="5" l="1"/>
  <c r="B307" i="5" s="1"/>
  <c r="D307" i="5" s="1"/>
  <c r="H307" i="5" l="1"/>
  <c r="P307" i="5" s="1"/>
  <c r="F307" i="5" l="1"/>
  <c r="N307" i="5" s="1"/>
  <c r="L307" i="5" l="1"/>
  <c r="B308" i="5" s="1"/>
  <c r="H308" i="5" s="1"/>
  <c r="P308" i="5" s="1"/>
  <c r="D308" i="5" l="1"/>
  <c r="F308" i="5" s="1"/>
  <c r="L308" i="5" s="1"/>
  <c r="B309" i="5" s="1"/>
  <c r="D309" i="5" s="1"/>
  <c r="N308" i="5" l="1"/>
  <c r="H309" i="5"/>
  <c r="P309" i="5" s="1"/>
  <c r="F309" i="5" l="1"/>
  <c r="L309" i="5" s="1"/>
  <c r="B310" i="5" s="1"/>
  <c r="H310" i="5" s="1"/>
  <c r="P310" i="5" s="1"/>
  <c r="D310" i="5" l="1"/>
  <c r="F310" i="5" s="1"/>
  <c r="N309" i="5"/>
  <c r="N310" i="5" l="1"/>
  <c r="L310" i="5"/>
  <c r="B311" i="5" s="1"/>
  <c r="H311" i="5" l="1"/>
  <c r="P311" i="5" s="1"/>
  <c r="D311" i="5"/>
  <c r="F311" i="5" l="1"/>
  <c r="L311" i="5" l="1"/>
  <c r="B312" i="5" s="1"/>
  <c r="N311" i="5"/>
  <c r="D312" i="5" l="1"/>
  <c r="H312" i="5"/>
  <c r="P312" i="5" s="1"/>
  <c r="F312" i="5" l="1"/>
  <c r="N312" i="5" s="1"/>
  <c r="L312" i="5" l="1"/>
  <c r="B313" i="5" s="1"/>
  <c r="H313" i="5" s="1"/>
  <c r="P313" i="5" s="1"/>
  <c r="D313" i="5" l="1"/>
  <c r="F313" i="5" s="1"/>
  <c r="L313" i="5" l="1"/>
  <c r="B314" i="5" s="1"/>
  <c r="N313" i="5"/>
  <c r="H314" i="5" l="1"/>
  <c r="P314" i="5" s="1"/>
  <c r="D314" i="5"/>
  <c r="F314" i="5" l="1"/>
  <c r="N314" i="5" l="1"/>
  <c r="L314" i="5"/>
  <c r="B315" i="5" s="1"/>
  <c r="H315" i="5" l="1"/>
  <c r="P315" i="5" s="1"/>
  <c r="D315" i="5"/>
  <c r="F315" i="5" l="1"/>
  <c r="N315" i="5" l="1"/>
  <c r="L315" i="5"/>
  <c r="B316" i="5" s="1"/>
  <c r="H316" i="5" l="1"/>
  <c r="P316" i="5" s="1"/>
  <c r="D316" i="5"/>
  <c r="F316" i="5" l="1"/>
  <c r="L316" i="5" s="1"/>
  <c r="B317" i="5" s="1"/>
  <c r="D317" i="5" s="1"/>
  <c r="N316" i="5" l="1"/>
  <c r="H317" i="5"/>
  <c r="P317" i="5" s="1"/>
  <c r="F317" i="5" l="1"/>
  <c r="L317" i="5" l="1"/>
  <c r="B318" i="5" s="1"/>
  <c r="N317" i="5"/>
  <c r="D318" i="5" l="1"/>
  <c r="H318" i="5"/>
  <c r="P318" i="5" s="1"/>
  <c r="F318" i="5" l="1"/>
  <c r="N318" i="5" l="1"/>
  <c r="L318" i="5"/>
  <c r="B319" i="5" s="1"/>
  <c r="H319" i="5" l="1"/>
  <c r="P319" i="5" s="1"/>
  <c r="D319" i="5"/>
  <c r="F319" i="5" l="1"/>
  <c r="L319" i="5" l="1"/>
  <c r="B320" i="5" s="1"/>
  <c r="N319" i="5"/>
  <c r="D320" i="5" l="1"/>
  <c r="H320" i="5"/>
  <c r="P320" i="5" s="1"/>
  <c r="F320" i="5" l="1"/>
  <c r="L320" i="5" s="1"/>
  <c r="B321" i="5" s="1"/>
  <c r="D321" i="5" s="1"/>
  <c r="N320" i="5" l="1"/>
  <c r="H321" i="5"/>
  <c r="P321" i="5" s="1"/>
  <c r="F321" i="5" l="1"/>
  <c r="L321" i="5" s="1"/>
  <c r="B322" i="5" s="1"/>
  <c r="H322" i="5" s="1"/>
  <c r="P322" i="5" s="1"/>
  <c r="D322" i="5" l="1"/>
  <c r="F322" i="5" s="1"/>
  <c r="N321" i="5"/>
  <c r="L322" i="5" l="1"/>
  <c r="B323" i="5" s="1"/>
  <c r="N322" i="5"/>
  <c r="D323" i="5" l="1"/>
  <c r="H323" i="5"/>
  <c r="P323" i="5" s="1"/>
  <c r="F323" i="5" l="1"/>
  <c r="N323" i="5" l="1"/>
  <c r="L323" i="5"/>
  <c r="B324" i="5" s="1"/>
  <c r="D324" i="5" l="1"/>
  <c r="H324" i="5"/>
  <c r="P324" i="5" s="1"/>
  <c r="F324" i="5" l="1"/>
  <c r="N324" i="5" s="1"/>
  <c r="L324" i="5" l="1"/>
  <c r="B325" i="5" s="1"/>
  <c r="D325" i="5" s="1"/>
  <c r="H325" i="5" l="1"/>
  <c r="P325" i="5" s="1"/>
  <c r="F325" i="5" l="1"/>
  <c r="L325" i="5" l="1"/>
  <c r="B326" i="5" s="1"/>
  <c r="N325" i="5"/>
  <c r="D326" i="5" l="1"/>
  <c r="H326" i="5"/>
  <c r="P326" i="5" s="1"/>
  <c r="F326" i="5" l="1"/>
  <c r="L326" i="5" s="1"/>
  <c r="B327" i="5" s="1"/>
  <c r="H327" i="5" s="1"/>
  <c r="P327" i="5" s="1"/>
  <c r="N326" i="5" l="1"/>
  <c r="D327" i="5"/>
  <c r="F327" i="5" s="1"/>
  <c r="N327" i="5" l="1"/>
  <c r="L327" i="5"/>
  <c r="B328" i="5" s="1"/>
  <c r="D328" i="5" s="1"/>
  <c r="H328" i="5" l="1"/>
  <c r="P328" i="5" s="1"/>
  <c r="F328" i="5" l="1"/>
  <c r="L328" i="5" s="1"/>
  <c r="B329" i="5" s="1"/>
  <c r="N328" i="5" l="1"/>
  <c r="D329" i="5"/>
  <c r="H329" i="5"/>
  <c r="P329" i="5" s="1"/>
  <c r="F329" i="5" l="1"/>
  <c r="N329" i="5" s="1"/>
  <c r="L329" i="5" l="1"/>
  <c r="B330" i="5" s="1"/>
  <c r="H330" i="5" s="1"/>
  <c r="P330" i="5" s="1"/>
  <c r="D330" i="5" l="1"/>
  <c r="F330" i="5" s="1"/>
  <c r="N330" i="5" l="1"/>
  <c r="L330" i="5"/>
  <c r="B331" i="5" s="1"/>
  <c r="D331" i="5" l="1"/>
  <c r="H331" i="5"/>
  <c r="P331" i="5" s="1"/>
  <c r="F331" i="5" l="1"/>
  <c r="L331" i="5" l="1"/>
  <c r="B332" i="5" s="1"/>
  <c r="N331" i="5"/>
  <c r="H332" i="5" l="1"/>
  <c r="P332" i="5" s="1"/>
  <c r="D332" i="5"/>
  <c r="F332" i="5" l="1"/>
  <c r="N332" i="5" s="1"/>
  <c r="L332" i="5" l="1"/>
  <c r="B333" i="5" s="1"/>
  <c r="H333" i="5" s="1"/>
  <c r="P333" i="5" s="1"/>
  <c r="D333" i="5" l="1"/>
  <c r="F333" i="5" s="1"/>
  <c r="L333" i="5" s="1"/>
  <c r="B334" i="5" s="1"/>
  <c r="D334" i="5" s="1"/>
  <c r="H334" i="5" l="1"/>
  <c r="P334" i="5" s="1"/>
  <c r="N333" i="5"/>
  <c r="F334" i="5" l="1"/>
  <c r="L334" i="5" s="1"/>
  <c r="B335" i="5" s="1"/>
  <c r="D335" i="5" s="1"/>
  <c r="N334" i="5" l="1"/>
  <c r="H335" i="5"/>
  <c r="P335" i="5" s="1"/>
  <c r="F335" i="5" l="1"/>
  <c r="N335" i="5" s="1"/>
  <c r="L335" i="5" l="1"/>
  <c r="B336" i="5" s="1"/>
  <c r="D336" i="5" s="1"/>
  <c r="H336" i="5" l="1"/>
  <c r="P336" i="5" s="1"/>
  <c r="F336" i="5" l="1"/>
  <c r="N336" i="5" s="1"/>
  <c r="L336" i="5" l="1"/>
  <c r="B337" i="5" s="1"/>
  <c r="D337" i="5" s="1"/>
  <c r="H337" i="5" l="1"/>
  <c r="P337" i="5" s="1"/>
  <c r="F337" i="5" l="1"/>
  <c r="L337" i="5" s="1"/>
  <c r="B338" i="5" s="1"/>
  <c r="N337" i="5" l="1"/>
  <c r="H338" i="5"/>
  <c r="P338" i="5" s="1"/>
  <c r="D338" i="5"/>
  <c r="F338" i="5" l="1"/>
  <c r="L338" i="5" s="1"/>
  <c r="B339" i="5" s="1"/>
  <c r="D339" i="5" s="1"/>
  <c r="N338" i="5" l="1"/>
  <c r="H339" i="5"/>
  <c r="P339" i="5" s="1"/>
  <c r="F339" i="5" l="1"/>
  <c r="N339" i="5" s="1"/>
  <c r="L339" i="5" l="1"/>
  <c r="B340" i="5" s="1"/>
  <c r="D340" i="5" s="1"/>
  <c r="H340" i="5" l="1"/>
  <c r="P340" i="5" s="1"/>
  <c r="F340" i="5" l="1"/>
  <c r="N340" i="5" s="1"/>
  <c r="L340" i="5" l="1"/>
  <c r="B341" i="5" s="1"/>
  <c r="H341" i="5" s="1"/>
  <c r="P341" i="5" s="1"/>
  <c r="D341" i="5" l="1"/>
  <c r="F341" i="5" s="1"/>
  <c r="L341" i="5" s="1"/>
  <c r="B342" i="5" s="1"/>
  <c r="H342" i="5" s="1"/>
  <c r="P342" i="5" s="1"/>
  <c r="D342" i="5" l="1"/>
  <c r="F342" i="5" s="1"/>
  <c r="N341" i="5"/>
  <c r="N342" i="5" l="1"/>
  <c r="L342" i="5"/>
  <c r="B343" i="5" s="1"/>
  <c r="D343" i="5" s="1"/>
  <c r="H343" i="5" l="1"/>
  <c r="P343" i="5" s="1"/>
  <c r="F343" i="5" l="1"/>
  <c r="L343" i="5" s="1"/>
  <c r="B344" i="5" s="1"/>
  <c r="D344" i="5" s="1"/>
  <c r="H344" i="5" l="1"/>
  <c r="P344" i="5" s="1"/>
  <c r="N343" i="5"/>
  <c r="F344" i="5" l="1"/>
  <c r="N344" i="5" s="1"/>
  <c r="L344" i="5" l="1"/>
  <c r="B345" i="5" s="1"/>
  <c r="D345" i="5" s="1"/>
  <c r="H345" i="5" l="1"/>
  <c r="P345" i="5" s="1"/>
  <c r="F345" i="5" l="1"/>
  <c r="L345" i="5" s="1"/>
  <c r="B346" i="5" s="1"/>
  <c r="D346" i="5" s="1"/>
  <c r="H346" i="5" l="1"/>
  <c r="P346" i="5" s="1"/>
  <c r="N345" i="5"/>
  <c r="F346" i="5" l="1"/>
  <c r="L346" i="5" s="1"/>
  <c r="B347" i="5" s="1"/>
  <c r="D347" i="5" s="1"/>
  <c r="N346" i="5" l="1"/>
  <c r="H347" i="5"/>
  <c r="P347" i="5" s="1"/>
  <c r="F347" i="5" l="1"/>
  <c r="N347" i="5" s="1"/>
  <c r="L347" i="5" l="1"/>
  <c r="B348" i="5" s="1"/>
  <c r="D348" i="5" s="1"/>
  <c r="H348" i="5" l="1"/>
  <c r="P348" i="5" s="1"/>
  <c r="F348" i="5" l="1"/>
  <c r="L348" i="5" s="1"/>
  <c r="B349" i="5" s="1"/>
  <c r="D349" i="5" s="1"/>
  <c r="H349" i="5" l="1"/>
  <c r="P349" i="5" s="1"/>
  <c r="N348" i="5"/>
  <c r="F349" i="5" l="1"/>
  <c r="N349" i="5" s="1"/>
  <c r="L349" i="5" l="1"/>
  <c r="B350" i="5" s="1"/>
  <c r="H350" i="5" s="1"/>
  <c r="P350" i="5" s="1"/>
  <c r="D350" i="5" l="1"/>
  <c r="F350" i="5" s="1"/>
  <c r="N350" i="5" s="1"/>
  <c r="L350" i="5" l="1"/>
  <c r="B351" i="5" s="1"/>
  <c r="D351" i="5" s="1"/>
  <c r="H351" i="5" l="1"/>
  <c r="P351" i="5" s="1"/>
  <c r="F351" i="5" l="1"/>
  <c r="L351" i="5" s="1"/>
  <c r="B352" i="5" s="1"/>
  <c r="H352" i="5" s="1"/>
  <c r="P352" i="5" s="1"/>
  <c r="D352" i="5" l="1"/>
  <c r="F352" i="5" s="1"/>
  <c r="L352" i="5" s="1"/>
  <c r="B353" i="5" s="1"/>
  <c r="H353" i="5" s="1"/>
  <c r="P353" i="5" s="1"/>
  <c r="N351" i="5"/>
  <c r="N352" i="5" l="1"/>
  <c r="D353" i="5"/>
  <c r="F353" i="5" s="1"/>
  <c r="L353" i="5" s="1"/>
  <c r="B354" i="5" s="1"/>
  <c r="H354" i="5" s="1"/>
  <c r="P354" i="5" s="1"/>
  <c r="D354" i="5" l="1"/>
  <c r="F354" i="5" s="1"/>
  <c r="N353" i="5"/>
  <c r="L354" i="5" l="1"/>
  <c r="B355" i="5" s="1"/>
  <c r="N354" i="5"/>
  <c r="D355" i="5" l="1"/>
  <c r="H355" i="5"/>
  <c r="P355" i="5" s="1"/>
  <c r="F355" i="5" l="1"/>
  <c r="N355" i="5" s="1"/>
  <c r="L355" i="5" l="1"/>
  <c r="B356" i="5" s="1"/>
  <c r="D356" i="5" s="1"/>
  <c r="H356" i="5" l="1"/>
  <c r="P356" i="5" s="1"/>
  <c r="F356" i="5" l="1"/>
  <c r="N356" i="5" s="1"/>
  <c r="L356" i="5" l="1"/>
  <c r="B357" i="5" s="1"/>
  <c r="H357" i="5" s="1"/>
  <c r="P357" i="5" s="1"/>
  <c r="D357" i="5" l="1"/>
  <c r="F357" i="5" s="1"/>
  <c r="N357" i="5" s="1"/>
  <c r="L357" i="5" l="1"/>
  <c r="B358" i="5" s="1"/>
  <c r="H358" i="5" s="1"/>
  <c r="P358" i="5" s="1"/>
  <c r="D358" i="5" l="1"/>
  <c r="F358" i="5" s="1"/>
  <c r="L358" i="5" s="1"/>
  <c r="B359" i="5" s="1"/>
  <c r="D359" i="5" s="1"/>
  <c r="N358" i="5" l="1"/>
  <c r="H359" i="5"/>
  <c r="P359" i="5" s="1"/>
  <c r="F359" i="5" l="1"/>
  <c r="L359" i="5" s="1"/>
  <c r="B360" i="5" s="1"/>
  <c r="H360" i="5" s="1"/>
  <c r="P360" i="5" s="1"/>
  <c r="D360" i="5" l="1"/>
  <c r="F360" i="5" s="1"/>
  <c r="L360" i="5" s="1"/>
  <c r="B361" i="5" s="1"/>
  <c r="N359" i="5"/>
  <c r="N360" i="5" l="1"/>
  <c r="D361" i="5"/>
  <c r="H361" i="5"/>
  <c r="P361" i="5" s="1"/>
  <c r="F361" i="5" l="1"/>
  <c r="L361" i="5" l="1"/>
  <c r="B362" i="5" s="1"/>
  <c r="N361" i="5"/>
  <c r="D362" i="5" l="1"/>
  <c r="H362" i="5"/>
  <c r="P362" i="5" s="1"/>
  <c r="F362" i="5" l="1"/>
  <c r="N362" i="5" l="1"/>
  <c r="L362" i="5"/>
  <c r="B363" i="5" s="1"/>
  <c r="H363" i="5" l="1"/>
  <c r="P363" i="5" s="1"/>
  <c r="D363" i="5"/>
  <c r="F363" i="5" l="1"/>
  <c r="L363" i="5" s="1"/>
  <c r="B364" i="5" s="1"/>
  <c r="H364" i="5" s="1"/>
  <c r="P364" i="5" s="1"/>
  <c r="N363" i="5" l="1"/>
  <c r="D364" i="5"/>
  <c r="F364" i="5" s="1"/>
  <c r="L364" i="5" s="1"/>
  <c r="B365" i="5" s="1"/>
  <c r="H365" i="5" s="1"/>
  <c r="P365" i="5" s="1"/>
  <c r="D365" i="5" l="1"/>
  <c r="F365" i="5" s="1"/>
  <c r="L365" i="5" s="1"/>
  <c r="B366" i="5" s="1"/>
  <c r="D366" i="5" s="1"/>
  <c r="N364" i="5"/>
  <c r="N365" i="5" l="1"/>
  <c r="H366" i="5"/>
  <c r="P366" i="5" s="1"/>
  <c r="F366" i="5" l="1"/>
  <c r="N366" i="5" s="1"/>
  <c r="L366" i="5" l="1"/>
  <c r="B367" i="5" s="1"/>
  <c r="H367" i="5" s="1"/>
  <c r="P367" i="5" s="1"/>
  <c r="D367" i="5" l="1"/>
  <c r="F367" i="5" s="1"/>
  <c r="L367" i="5" s="1"/>
  <c r="B368" i="5" s="1"/>
  <c r="N367" i="5" l="1"/>
  <c r="D368" i="5"/>
  <c r="H368" i="5"/>
  <c r="P368" i="5" s="1"/>
  <c r="F368" i="5" l="1"/>
  <c r="L368" i="5" s="1"/>
  <c r="B369" i="5" s="1"/>
  <c r="N368" i="5" l="1"/>
  <c r="D369" i="5"/>
  <c r="H369" i="5"/>
  <c r="P369" i="5" s="1"/>
  <c r="F369" i="5" l="1"/>
  <c r="N369" i="5" s="1"/>
  <c r="L369" i="5" l="1"/>
  <c r="B370" i="5" s="1"/>
  <c r="D370" i="5" s="1"/>
  <c r="H370" i="5" l="1"/>
  <c r="P370" i="5" s="1"/>
  <c r="F370" i="5" l="1"/>
  <c r="N370" i="5" l="1"/>
  <c r="L370" i="5"/>
  <c r="B371" i="5" s="1"/>
  <c r="D371" i="5" l="1"/>
  <c r="H371" i="5"/>
  <c r="P371" i="5" s="1"/>
  <c r="F371" i="5" l="1"/>
  <c r="L371" i="5" s="1"/>
  <c r="B372" i="5" s="1"/>
  <c r="N371" i="5" l="1"/>
  <c r="D372" i="5"/>
  <c r="H372" i="5"/>
  <c r="P372" i="5" s="1"/>
  <c r="F372" i="5" l="1"/>
  <c r="L372" i="5" s="1"/>
  <c r="B373" i="5" s="1"/>
  <c r="H373" i="5" s="1"/>
  <c r="P373" i="5" s="1"/>
  <c r="N372" i="5" l="1"/>
  <c r="D373" i="5"/>
  <c r="F373" i="5" s="1"/>
  <c r="L373" i="5" l="1"/>
  <c r="B374" i="5" s="1"/>
  <c r="N373" i="5"/>
  <c r="H374" i="5" l="1"/>
  <c r="P374" i="5" s="1"/>
  <c r="D374" i="5"/>
  <c r="F374" i="5" l="1"/>
  <c r="L374" i="5" s="1"/>
  <c r="B375" i="5" s="1"/>
  <c r="H375" i="5" s="1"/>
  <c r="P375" i="5" s="1"/>
  <c r="N374" i="5" l="1"/>
  <c r="D375" i="5"/>
  <c r="F375" i="5" s="1"/>
  <c r="L375" i="5" s="1"/>
  <c r="B376" i="5" s="1"/>
  <c r="N375" i="5" l="1"/>
  <c r="D376" i="5"/>
  <c r="H376" i="5"/>
  <c r="P376" i="5" s="1"/>
  <c r="F376" i="5" l="1"/>
  <c r="L376" i="5" l="1"/>
  <c r="N376" i="5"/>
</calcChain>
</file>

<file path=xl/sharedStrings.xml><?xml version="1.0" encoding="utf-8"?>
<sst xmlns="http://schemas.openxmlformats.org/spreadsheetml/2006/main" count="331" uniqueCount="243">
  <si>
    <t>Income Statement</t>
  </si>
  <si>
    <t>Operating Profit</t>
  </si>
  <si>
    <t>Operating Expenses</t>
  </si>
  <si>
    <t>Depreciation Expense</t>
  </si>
  <si>
    <t>Mortgage Interest Expense</t>
  </si>
  <si>
    <t>Bank Loan Interest Expense</t>
  </si>
  <si>
    <t xml:space="preserve">Taxable Income </t>
  </si>
  <si>
    <t>Income Tax</t>
  </si>
  <si>
    <t>Net Income</t>
  </si>
  <si>
    <t>Balance Sheet</t>
  </si>
  <si>
    <t>Assets</t>
  </si>
  <si>
    <t>Buildings</t>
  </si>
  <si>
    <t>Accumulated Depreciation</t>
  </si>
  <si>
    <t>Total Assets</t>
  </si>
  <si>
    <t>Liabilities and Equity</t>
  </si>
  <si>
    <t>Mortgage</t>
  </si>
  <si>
    <t>Bank Loan</t>
  </si>
  <si>
    <t>Retained Earnings</t>
  </si>
  <si>
    <t>Total Liabilities and Shareholder's Equity</t>
  </si>
  <si>
    <t>Rent per semester</t>
  </si>
  <si>
    <t>Number of students</t>
  </si>
  <si>
    <t>Units</t>
  </si>
  <si>
    <t>Payment</t>
  </si>
  <si>
    <t>Land</t>
  </si>
  <si>
    <t>Insurance</t>
  </si>
  <si>
    <t>BYU-I Student Approved Housing</t>
  </si>
  <si>
    <t>Summer break</t>
  </si>
  <si>
    <t>Winter</t>
  </si>
  <si>
    <t>Rent Revenue</t>
  </si>
  <si>
    <t>Price per load</t>
  </si>
  <si>
    <t>Loads per week</t>
  </si>
  <si>
    <t>ASSUMPTIONS</t>
  </si>
  <si>
    <t xml:space="preserve"> </t>
  </si>
  <si>
    <t>Increase/Decrease</t>
  </si>
  <si>
    <t>Student Rent Revenue Related Numbers</t>
  </si>
  <si>
    <r>
      <rPr>
        <sz val="11"/>
        <rFont val="Calibri"/>
        <family val="2"/>
        <scheme val="minor"/>
      </rPr>
      <t>House for sale on</t>
    </r>
    <r>
      <rPr>
        <u/>
        <sz val="11"/>
        <color theme="10"/>
        <rFont val="Calibri"/>
        <family val="2"/>
        <scheme val="minor"/>
      </rPr>
      <t xml:space="preserve"> snakeriver</t>
    </r>
    <r>
      <rPr>
        <sz val="11"/>
        <rFont val="Calibri"/>
        <family val="2"/>
        <scheme val="minor"/>
      </rPr>
      <t xml:space="preserve"> for</t>
    </r>
  </si>
  <si>
    <t>Student Housing</t>
  </si>
  <si>
    <t>Expenses</t>
  </si>
  <si>
    <t>Cable TV</t>
  </si>
  <si>
    <t>Gas</t>
  </si>
  <si>
    <t>Electric</t>
  </si>
  <si>
    <t>Waste Removal</t>
  </si>
  <si>
    <t>Dryer</t>
  </si>
  <si>
    <t>Laundry Hookups</t>
  </si>
  <si>
    <t>Microwave</t>
  </si>
  <si>
    <t>Refrigerator</t>
  </si>
  <si>
    <t>Stove</t>
  </si>
  <si>
    <t>Washer</t>
  </si>
  <si>
    <t>Manager Housing</t>
  </si>
  <si>
    <t>Rent per semester (Fall, Winter, Spring)</t>
  </si>
  <si>
    <t>Winter break</t>
  </si>
  <si>
    <t>Semester Occupancy</t>
  </si>
  <si>
    <t>Break Occupancy (Summer &amp; Winter)</t>
  </si>
  <si>
    <t>Freezer</t>
  </si>
  <si>
    <t>Parking spaces</t>
  </si>
  <si>
    <t xml:space="preserve"> Manager Revenue Related Numbers</t>
  </si>
  <si>
    <t xml:space="preserve"> Laundry Revenue Related Numbers (coin operated)</t>
  </si>
  <si>
    <t xml:space="preserve"> New Revenue Sources</t>
  </si>
  <si>
    <t>Laundry Revenue</t>
  </si>
  <si>
    <t>Amount</t>
  </si>
  <si>
    <t>Non-refundable amount</t>
  </si>
  <si>
    <t>Total Revenue</t>
  </si>
  <si>
    <t>Loads per semester</t>
  </si>
  <si>
    <t>Loads winter break</t>
  </si>
  <si>
    <t>Loads summer break</t>
  </si>
  <si>
    <t>Average number of deposit fees</t>
  </si>
  <si>
    <t>Earned portion of previous deposit fees</t>
  </si>
  <si>
    <t>Water expense</t>
  </si>
  <si>
    <t>Tax</t>
  </si>
  <si>
    <t>Building</t>
  </si>
  <si>
    <t>Years</t>
  </si>
  <si>
    <t>Annual depreciation</t>
  </si>
  <si>
    <t>Cable TV Expense</t>
  </si>
  <si>
    <t>Electric Expense</t>
  </si>
  <si>
    <t>Waste Removal Expense</t>
  </si>
  <si>
    <t>Internet Expense</t>
  </si>
  <si>
    <t>Total Operating Expense</t>
  </si>
  <si>
    <t>Other Assumptions</t>
  </si>
  <si>
    <t>Amortization Worksheet</t>
  </si>
  <si>
    <t>Annual interest rate</t>
  </si>
  <si>
    <t>Amount of the Loan</t>
  </si>
  <si>
    <t>Length of the loan (years)</t>
  </si>
  <si>
    <t># of payments per year</t>
  </si>
  <si>
    <t>rate per period</t>
  </si>
  <si>
    <t>total payments</t>
  </si>
  <si>
    <t>payment</t>
  </si>
  <si>
    <t>total paid</t>
  </si>
  <si>
    <t>total interest</t>
  </si>
  <si>
    <t>Amount of Payment</t>
  </si>
  <si>
    <t>Extra</t>
  </si>
  <si>
    <t>Total Principle</t>
  </si>
  <si>
    <t xml:space="preserve">Total Interest </t>
  </si>
  <si>
    <t>Yearly Payment</t>
  </si>
  <si>
    <t>Number</t>
  </si>
  <si>
    <t>to Principal</t>
  </si>
  <si>
    <t>to Interest</t>
  </si>
  <si>
    <t>Remaining</t>
  </si>
  <si>
    <t>Paid</t>
  </si>
  <si>
    <t>Bank Loan Interest Rate</t>
  </si>
  <si>
    <t>Mortgage Interest Rate</t>
  </si>
  <si>
    <t>Inflation Rate</t>
  </si>
  <si>
    <t>Estimated Effective Tax Rate</t>
  </si>
  <si>
    <t>Minimum Cash Balance</t>
  </si>
  <si>
    <t>Cash Over Minimum</t>
  </si>
  <si>
    <t>Difference</t>
  </si>
  <si>
    <t>ROA</t>
  </si>
  <si>
    <t>Current Ratio</t>
  </si>
  <si>
    <t>** 2017 free laundry will be included at an additional fee of: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</si>
  <si>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</si>
  <si>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</si>
  <si>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</si>
  <si>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</si>
  <si>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</si>
  <si>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</si>
  <si>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</si>
  <si>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</si>
  <si>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</si>
  <si>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</si>
  <si>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</si>
  <si>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</si>
  <si>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</si>
  <si>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</si>
  <si>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US Inflation Rate Statistics</t>
  </si>
  <si>
    <t xml:space="preserve">Internet </t>
  </si>
  <si>
    <t>We need to do more research to see what the average amount of expenses is for student housing here.</t>
  </si>
  <si>
    <t>Bank Loan Rate</t>
  </si>
  <si>
    <t xml:space="preserve">They did not mention having internet, so we might have to buy a router. </t>
  </si>
  <si>
    <t>May change - after a few years, upgrade appliances</t>
  </si>
  <si>
    <t>Need to find average bank loan rate for Rexburg</t>
  </si>
  <si>
    <t>We think that the rate that we are using might be too high, we are going to research business taxes for student housing</t>
  </si>
  <si>
    <t>Maintenance</t>
  </si>
  <si>
    <t>Extras Included - info from website</t>
  </si>
  <si>
    <t>http://www.puc.idaho.gov/fileroom/rates.pdf</t>
  </si>
  <si>
    <t>Idaho Power Company</t>
  </si>
  <si>
    <t>June - Aug</t>
  </si>
  <si>
    <t>Jan-May, Sep- Dec</t>
  </si>
  <si>
    <t>*increase due to inflation</t>
  </si>
  <si>
    <t>Property Tax Rate</t>
  </si>
  <si>
    <t>Water/sewer Expense</t>
  </si>
  <si>
    <t>Water</t>
  </si>
  <si>
    <t>Sewer</t>
  </si>
  <si>
    <t># of individuals (10)</t>
  </si>
  <si>
    <t>Total each year</t>
  </si>
  <si>
    <t>Garbage</t>
  </si>
  <si>
    <t>Weekly removal</t>
  </si>
  <si>
    <t>Month</t>
  </si>
  <si>
    <t>Cable and Internet Link</t>
  </si>
  <si>
    <t>Yearly Expense for Internet</t>
  </si>
  <si>
    <t>Yearly Expense for Cable</t>
  </si>
  <si>
    <t>Breakeven price</t>
  </si>
  <si>
    <t>Revenue from manager - fixed</t>
  </si>
  <si>
    <t>Semester</t>
  </si>
  <si>
    <t>Summer</t>
  </si>
  <si>
    <t>Breakeven revenue total students</t>
  </si>
  <si>
    <t>Breakeven</t>
  </si>
  <si>
    <t>**Breakeven = minimum revenue could charge to break even</t>
  </si>
  <si>
    <t>Debt Ratio</t>
  </si>
  <si>
    <t>Input values</t>
  </si>
  <si>
    <t>Expected return equity</t>
  </si>
  <si>
    <t>Beta (at forecasted debt/equity)</t>
  </si>
  <si>
    <t>Blended Debt interest rate</t>
  </si>
  <si>
    <t>Return on T-Bills</t>
  </si>
  <si>
    <t>Total debt</t>
  </si>
  <si>
    <t>Return on S&amp;P 500</t>
  </si>
  <si>
    <t>Total equity</t>
  </si>
  <si>
    <t>Bank loan</t>
  </si>
  <si>
    <t>Total capital</t>
  </si>
  <si>
    <t>New Debt</t>
  </si>
  <si>
    <t>Capital Stock</t>
  </si>
  <si>
    <t>New Equity</t>
  </si>
  <si>
    <t>Debt</t>
  </si>
  <si>
    <t>Bank loan rate</t>
  </si>
  <si>
    <t>Equity</t>
  </si>
  <si>
    <t>Original WACC</t>
  </si>
  <si>
    <t>Tax rate</t>
  </si>
  <si>
    <t>Old Debt proportion</t>
  </si>
  <si>
    <t>Old Equity proportion</t>
  </si>
  <si>
    <t>New CAPM</t>
  </si>
  <si>
    <t>Market about T Bills</t>
  </si>
  <si>
    <t>Beta above T Bills</t>
  </si>
  <si>
    <t>New WACC</t>
  </si>
  <si>
    <t>Shareholder's Equity</t>
  </si>
  <si>
    <t>We are assuming that we are contributing $200/Month to an Escrow for insurance and property tax. Our mortgage expense includes this amount.</t>
  </si>
  <si>
    <t>Gas Expense</t>
  </si>
  <si>
    <t xml:space="preserve">Capital Expenditures </t>
  </si>
  <si>
    <t>Amount for gas expense is based on the average amount paid for gas by a homeowner in Idaho.</t>
  </si>
  <si>
    <t>Income Tax Payable</t>
  </si>
  <si>
    <t>Cash from Operating Income</t>
  </si>
  <si>
    <t>Less: NON CASH TAX DEDUCTIONS</t>
  </si>
  <si>
    <t>Taxable Operating Income</t>
  </si>
  <si>
    <t>Taxes on Operations Only (=Payable)</t>
  </si>
  <si>
    <t>ADD BACK: NON CASH TAX DEDUCTIONS</t>
  </si>
  <si>
    <t>TOTAL CASH FROM OPERATIONS</t>
  </si>
  <si>
    <t>Cash In/Out from Capital Expenditures</t>
  </si>
  <si>
    <t>Buy Building</t>
  </si>
  <si>
    <t>Sell Building</t>
  </si>
  <si>
    <t>Book Value</t>
  </si>
  <si>
    <t>Pay Taxes on Sale of Building</t>
  </si>
  <si>
    <t>Gain</t>
  </si>
  <si>
    <t>Cash In/Out from Working Capital Changes</t>
  </si>
  <si>
    <t>-</t>
  </si>
  <si>
    <t>Accounts Receivable</t>
  </si>
  <si>
    <t>Inventory</t>
  </si>
  <si>
    <t>+</t>
  </si>
  <si>
    <t>Income Tax Payable (OPERATIONS ONLY)</t>
  </si>
  <si>
    <t>Accounts Payable - COGS</t>
  </si>
  <si>
    <t>Cash In/Out from Liquidating Working Capital</t>
  </si>
  <si>
    <t>TOTAL FREE CASH FLOWS (OPERATIONS)</t>
  </si>
  <si>
    <t>Tax Rate</t>
  </si>
  <si>
    <t>Buy Land</t>
  </si>
  <si>
    <t>sold at 70% of Book Value</t>
  </si>
  <si>
    <t>Land is sold at 105% of Book Value and Building is sold at 70% of its Book Value.</t>
  </si>
  <si>
    <t>Sell Land</t>
  </si>
  <si>
    <t>sold at 105% of Book Value</t>
  </si>
  <si>
    <t>Pay Taxes on Sale of Land</t>
  </si>
  <si>
    <t>% of refundable deposit fee forfeited by complex</t>
  </si>
  <si>
    <t>Deposit Fee Payable</t>
  </si>
  <si>
    <t xml:space="preserve">Accounts Payable </t>
  </si>
  <si>
    <t>Capital Expenditures</t>
  </si>
  <si>
    <t>Capital Expenditures/Net Present Value/ Internal Rate of Return</t>
  </si>
  <si>
    <t>Forecast</t>
  </si>
  <si>
    <t>Present Value of Free Cash Flows</t>
  </si>
  <si>
    <t>Net Present Value</t>
  </si>
  <si>
    <t>WACC: 2022</t>
  </si>
  <si>
    <t>WACC: 2013 (Current Year)</t>
  </si>
  <si>
    <t>Internal Rate of Return</t>
  </si>
  <si>
    <t>Weighted Average Cost of Capital: Current Year (2013)</t>
  </si>
  <si>
    <t>Weighted Average Cost of Capital: Last Year (2022)</t>
  </si>
  <si>
    <t>Refrigerator (2)</t>
  </si>
  <si>
    <t>2013 Parking permit charge:</t>
  </si>
  <si>
    <t>Deposit fee</t>
  </si>
  <si>
    <t>We are assuming a 30% down payment</t>
  </si>
  <si>
    <t>Down payment</t>
  </si>
  <si>
    <t xml:space="preserve">Capital expenditures will be in the amount of $8,000 in year 2017. Capital expenditures will include new furniture and home improvements (i.e.. paint, carpet, etc.) </t>
  </si>
  <si>
    <t>Breakeven analysis</t>
  </si>
  <si>
    <t>Releverage</t>
  </si>
  <si>
    <t>Unleverage</t>
  </si>
  <si>
    <t>Ratios</t>
  </si>
  <si>
    <t>All of our appliances and heating are electric and gas.</t>
  </si>
  <si>
    <t>Lawn care expense will be part of the manager's responsibility.</t>
  </si>
  <si>
    <t>Interest</t>
  </si>
  <si>
    <t>Yearly</t>
  </si>
  <si>
    <t xml:space="preserve">When calculating brea-even, because our number of students in the apartment cannot change, we calculated our break-even based of of how much we will charge per student per each semester.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</si>
</sst>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%"/>
    <numFmt numFmtId="167" formatCode="0.0%"/>
    <numFmt numFmtId="168" formatCode="_(\$* #,##0_);_(\$* \(#,##0\);_(\$* \-??_);_(@_)"/>
    <numFmt numFmtId="169" formatCode="_(* #,##0.00_);_(* \(#,##0.00\);_(* \-??_);_(@_)"/>
    <numFmt numFmtId="170" formatCode="_(&quot;$&quot;* #,##0_);_(&quot;$&quot;* \(#,##0\);_(&quot;$&quot;* &quot;-&quot;??_);_(@_)"/>
    <numFmt numFmtId="171" formatCode="0.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40"/>
      <name val="Arial"/>
      <family val="2"/>
    </font>
    <font>
      <b/>
      <sz val="9"/>
      <color rgb="FF202020"/>
      <name val="Arial"/>
      <family val="2"/>
    </font>
    <font>
      <sz val="9"/>
      <color rgb="FF20202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9FC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</cellStyleXfs>
  <cellXfs count="215">
    <xf numFmtId="0" fontId="0" fillId="0" borderId="0" xfId="0"/>
    <xf numFmtId="0" fontId="0" fillId="0" borderId="0" xfId="0" applyAlignment="1">
      <alignment horizontal="left" indent="2"/>
    </xf>
    <xf numFmtId="0" fontId="2" fillId="0" borderId="0" xfId="0" applyFont="1"/>
    <xf numFmtId="8" fontId="0" fillId="0" borderId="0" xfId="0" applyNumberFormat="1"/>
    <xf numFmtId="164" fontId="0" fillId="0" borderId="1" xfId="1" applyNumberFormat="1" applyFont="1" applyBorder="1"/>
    <xf numFmtId="164" fontId="0" fillId="0" borderId="0" xfId="1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2" borderId="0" xfId="0" applyFill="1"/>
    <xf numFmtId="9" fontId="0" fillId="2" borderId="0" xfId="2" applyFont="1" applyFill="1"/>
    <xf numFmtId="0" fontId="0" fillId="2" borderId="0" xfId="2" applyNumberFormat="1" applyFont="1" applyFill="1"/>
    <xf numFmtId="0" fontId="0" fillId="3" borderId="0" xfId="0" applyFill="1"/>
    <xf numFmtId="0" fontId="0" fillId="3" borderId="0" xfId="2" applyNumberFormat="1" applyFont="1" applyFill="1" applyBorder="1"/>
    <xf numFmtId="0" fontId="0" fillId="2" borderId="0" xfId="2" applyNumberFormat="1" applyFont="1" applyFill="1" applyBorder="1"/>
    <xf numFmtId="0" fontId="0" fillId="0" borderId="2" xfId="0" applyBorder="1"/>
    <xf numFmtId="9" fontId="0" fillId="2" borderId="0" xfId="0" applyNumberFormat="1" applyFill="1"/>
    <xf numFmtId="6" fontId="0" fillId="0" borderId="0" xfId="0" applyNumberFormat="1"/>
    <xf numFmtId="0" fontId="4" fillId="0" borderId="0" xfId="4"/>
    <xf numFmtId="0" fontId="6" fillId="0" borderId="0" xfId="0" applyFont="1"/>
    <xf numFmtId="0" fontId="3" fillId="0" borderId="0" xfId="0" applyFont="1"/>
    <xf numFmtId="0" fontId="2" fillId="0" borderId="3" xfId="0" applyFont="1" applyBorder="1"/>
    <xf numFmtId="0" fontId="2" fillId="0" borderId="2" xfId="0" applyFont="1" applyBorder="1"/>
    <xf numFmtId="0" fontId="0" fillId="4" borderId="6" xfId="0" applyFill="1" applyBorder="1"/>
    <xf numFmtId="0" fontId="0" fillId="4" borderId="8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9" xfId="0" applyFill="1" applyBorder="1"/>
    <xf numFmtId="0" fontId="2" fillId="0" borderId="0" xfId="0" applyFont="1" applyFill="1" applyBorder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6" fontId="2" fillId="0" borderId="0" xfId="0" applyNumberFormat="1" applyFont="1"/>
    <xf numFmtId="9" fontId="0" fillId="3" borderId="0" xfId="2" applyFont="1" applyFill="1"/>
    <xf numFmtId="1" fontId="0" fillId="2" borderId="0" xfId="0" applyNumberFormat="1" applyFill="1"/>
    <xf numFmtId="9" fontId="0" fillId="3" borderId="0" xfId="0" applyNumberFormat="1" applyFill="1"/>
    <xf numFmtId="9" fontId="0" fillId="2" borderId="0" xfId="2" applyNumberFormat="1" applyFont="1" applyFill="1"/>
    <xf numFmtId="1" fontId="0" fillId="3" borderId="0" xfId="0" applyNumberFormat="1" applyFill="1"/>
    <xf numFmtId="6" fontId="0" fillId="2" borderId="0" xfId="0" applyNumberFormat="1" applyFill="1"/>
    <xf numFmtId="10" fontId="0" fillId="0" borderId="0" xfId="0" applyNumberFormat="1"/>
    <xf numFmtId="0" fontId="0" fillId="6" borderId="0" xfId="0" applyFill="1"/>
    <xf numFmtId="0" fontId="0" fillId="7" borderId="0" xfId="0" applyFill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/>
    <xf numFmtId="8" fontId="0" fillId="0" borderId="0" xfId="3" applyNumberFormat="1" applyFont="1"/>
    <xf numFmtId="44" fontId="0" fillId="0" borderId="0" xfId="3" applyFont="1"/>
    <xf numFmtId="44" fontId="0" fillId="0" borderId="0" xfId="0" applyNumberFormat="1"/>
    <xf numFmtId="9" fontId="0" fillId="0" borderId="0" xfId="0" applyNumberFormat="1"/>
    <xf numFmtId="0" fontId="8" fillId="8" borderId="10" xfId="0" applyFont="1" applyFill="1" applyBorder="1" applyAlignment="1">
      <alignment horizontal="center" vertical="top" wrapText="1"/>
    </xf>
    <xf numFmtId="0" fontId="8" fillId="8" borderId="10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wrapText="1"/>
    </xf>
    <xf numFmtId="0" fontId="8" fillId="9" borderId="1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wrapText="1"/>
    </xf>
    <xf numFmtId="10" fontId="0" fillId="0" borderId="0" xfId="2" applyNumberFormat="1" applyFont="1"/>
    <xf numFmtId="10" fontId="4" fillId="0" borderId="0" xfId="4" applyNumberFormat="1"/>
    <xf numFmtId="0" fontId="0" fillId="0" borderId="0" xfId="0" applyFill="1" applyBorder="1"/>
    <xf numFmtId="166" fontId="4" fillId="0" borderId="0" xfId="2" applyNumberFormat="1" applyFont="1"/>
    <xf numFmtId="164" fontId="0" fillId="0" borderId="0" xfId="1" applyNumberFormat="1" applyFont="1" applyFill="1" applyBorder="1"/>
    <xf numFmtId="0" fontId="0" fillId="0" borderId="12" xfId="0" applyBorder="1"/>
    <xf numFmtId="164" fontId="0" fillId="0" borderId="0" xfId="0" applyNumberFormat="1" applyBorder="1"/>
    <xf numFmtId="0" fontId="10" fillId="0" borderId="15" xfId="5" applyBorder="1" applyAlignment="1">
      <alignment horizontal="left"/>
    </xf>
    <xf numFmtId="0" fontId="10" fillId="0" borderId="16" xfId="5" applyBorder="1" applyAlignment="1">
      <alignment horizontal="left"/>
    </xf>
    <xf numFmtId="0" fontId="10" fillId="0" borderId="0" xfId="5" applyBorder="1"/>
    <xf numFmtId="0" fontId="0" fillId="0" borderId="6" xfId="0" applyBorder="1" applyAlignment="1">
      <alignment horizontal="left"/>
    </xf>
    <xf numFmtId="0" fontId="0" fillId="0" borderId="18" xfId="0" applyBorder="1" applyAlignment="1">
      <alignment horizontal="left"/>
    </xf>
    <xf numFmtId="10" fontId="12" fillId="0" borderId="19" xfId="2" applyNumberFormat="1" applyFont="1" applyFill="1" applyBorder="1"/>
    <xf numFmtId="0" fontId="10" fillId="0" borderId="20" xfId="5" applyBorder="1" applyAlignment="1">
      <alignment horizontal="left"/>
    </xf>
    <xf numFmtId="0" fontId="10" fillId="0" borderId="18" xfId="5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168" fontId="0" fillId="0" borderId="22" xfId="0" applyNumberFormat="1" applyFill="1" applyBorder="1"/>
    <xf numFmtId="0" fontId="10" fillId="0" borderId="23" xfId="5" applyBorder="1" applyAlignment="1">
      <alignment horizontal="left"/>
    </xf>
    <xf numFmtId="0" fontId="10" fillId="0" borderId="24" xfId="5" applyBorder="1" applyAlignment="1">
      <alignment horizontal="left"/>
    </xf>
    <xf numFmtId="168" fontId="0" fillId="0" borderId="25" xfId="0" applyNumberFormat="1" applyFill="1" applyBorder="1"/>
    <xf numFmtId="168" fontId="10" fillId="0" borderId="0" xfId="5" applyNumberFormat="1" applyBorder="1"/>
    <xf numFmtId="0" fontId="0" fillId="0" borderId="7" xfId="0" applyBorder="1" applyAlignment="1">
      <alignment horizontal="left"/>
    </xf>
    <xf numFmtId="0" fontId="0" fillId="0" borderId="24" xfId="0" applyBorder="1" applyAlignment="1">
      <alignment horizontal="left"/>
    </xf>
    <xf numFmtId="168" fontId="1" fillId="0" borderId="19" xfId="3" applyNumberFormat="1" applyFill="1" applyBorder="1"/>
    <xf numFmtId="0" fontId="0" fillId="0" borderId="20" xfId="0" applyBorder="1" applyAlignment="1">
      <alignment horizontal="left"/>
    </xf>
    <xf numFmtId="167" fontId="0" fillId="0" borderId="22" xfId="2" applyNumberFormat="1" applyFont="1" applyFill="1" applyBorder="1"/>
    <xf numFmtId="10" fontId="1" fillId="0" borderId="25" xfId="2" applyNumberFormat="1" applyFill="1" applyBorder="1"/>
    <xf numFmtId="0" fontId="0" fillId="0" borderId="15" xfId="0" applyBorder="1" applyAlignment="1">
      <alignment horizontal="left"/>
    </xf>
    <xf numFmtId="0" fontId="0" fillId="0" borderId="23" xfId="0" applyBorder="1" applyAlignment="1">
      <alignment horizontal="left"/>
    </xf>
    <xf numFmtId="10" fontId="10" fillId="0" borderId="8" xfId="5" applyNumberFormat="1" applyBorder="1"/>
    <xf numFmtId="0" fontId="10" fillId="0" borderId="28" xfId="5" applyBorder="1" applyAlignment="1">
      <alignment horizontal="left"/>
    </xf>
    <xf numFmtId="0" fontId="10" fillId="0" borderId="29" xfId="5" applyBorder="1" applyAlignment="1">
      <alignment horizontal="left"/>
    </xf>
    <xf numFmtId="0" fontId="10" fillId="0" borderId="30" xfId="5" applyBorder="1"/>
    <xf numFmtId="0" fontId="10" fillId="0" borderId="12" xfId="5" applyBorder="1"/>
    <xf numFmtId="0" fontId="10" fillId="0" borderId="0" xfId="5"/>
    <xf numFmtId="9" fontId="1" fillId="0" borderId="0" xfId="2"/>
    <xf numFmtId="168" fontId="10" fillId="0" borderId="0" xfId="5" applyNumberFormat="1"/>
    <xf numFmtId="168" fontId="10" fillId="0" borderId="33" xfId="5" applyNumberFormat="1" applyBorder="1"/>
    <xf numFmtId="10" fontId="10" fillId="0" borderId="0" xfId="5" applyNumberFormat="1"/>
    <xf numFmtId="9" fontId="10" fillId="0" borderId="0" xfId="5" applyNumberFormat="1"/>
    <xf numFmtId="4" fontId="0" fillId="0" borderId="0" xfId="0" applyNumberFormat="1"/>
    <xf numFmtId="4" fontId="0" fillId="0" borderId="0" xfId="0" applyNumberFormat="1" applyBorder="1"/>
    <xf numFmtId="167" fontId="0" fillId="0" borderId="0" xfId="0" applyNumberFormat="1"/>
    <xf numFmtId="2" fontId="0" fillId="0" borderId="0" xfId="0" applyNumberFormat="1"/>
    <xf numFmtId="0" fontId="0" fillId="0" borderId="0" xfId="0" applyAlignment="1">
      <alignment horizontal="centerContinuous"/>
    </xf>
    <xf numFmtId="168" fontId="0" fillId="0" borderId="0" xfId="0" applyNumberFormat="1"/>
    <xf numFmtId="0" fontId="0" fillId="0" borderId="0" xfId="0" applyBorder="1"/>
    <xf numFmtId="9" fontId="0" fillId="0" borderId="0" xfId="2" applyFont="1" applyBorder="1"/>
    <xf numFmtId="0" fontId="0" fillId="0" borderId="20" xfId="0" applyBorder="1"/>
    <xf numFmtId="164" fontId="0" fillId="0" borderId="25" xfId="0" applyNumberFormat="1" applyBorder="1"/>
    <xf numFmtId="0" fontId="0" fillId="0" borderId="20" xfId="0" applyBorder="1" applyAlignment="1">
      <alignment horizontal="left"/>
    </xf>
    <xf numFmtId="0" fontId="0" fillId="0" borderId="25" xfId="0" applyBorder="1"/>
    <xf numFmtId="0" fontId="0" fillId="0" borderId="0" xfId="0" applyBorder="1" applyAlignment="1">
      <alignment horizontal="right"/>
    </xf>
    <xf numFmtId="43" fontId="0" fillId="0" borderId="0" xfId="0" applyNumberFormat="1" applyBorder="1"/>
    <xf numFmtId="43" fontId="0" fillId="0" borderId="25" xfId="0" applyNumberFormat="1" applyBorder="1"/>
    <xf numFmtId="0" fontId="0" fillId="0" borderId="28" xfId="0" applyBorder="1"/>
    <xf numFmtId="0" fontId="0" fillId="0" borderId="12" xfId="0" applyBorder="1" applyAlignment="1">
      <alignment horizontal="right"/>
    </xf>
    <xf numFmtId="43" fontId="0" fillId="0" borderId="12" xfId="0" applyNumberFormat="1" applyBorder="1"/>
    <xf numFmtId="43" fontId="0" fillId="0" borderId="32" xfId="0" applyNumberFormat="1" applyBorder="1"/>
    <xf numFmtId="10" fontId="0" fillId="0" borderId="0" xfId="2" applyNumberFormat="1" applyFont="1" applyBorder="1"/>
    <xf numFmtId="10" fontId="0" fillId="0" borderId="25" xfId="2" applyNumberFormat="1" applyFont="1" applyBorder="1"/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168" fontId="10" fillId="0" borderId="0" xfId="5" applyNumberFormat="1" applyFill="1"/>
    <xf numFmtId="0" fontId="11" fillId="0" borderId="23" xfId="5" applyFont="1" applyBorder="1" applyAlignment="1">
      <alignment horizontal="center"/>
    </xf>
    <xf numFmtId="0" fontId="11" fillId="0" borderId="33" xfId="5" applyFont="1" applyBorder="1" applyAlignment="1">
      <alignment horizontal="center"/>
    </xf>
    <xf numFmtId="0" fontId="11" fillId="0" borderId="24" xfId="5" applyFont="1" applyBorder="1" applyAlignment="1">
      <alignment horizontal="center"/>
    </xf>
    <xf numFmtId="167" fontId="12" fillId="0" borderId="25" xfId="2" applyNumberFormat="1" applyFont="1" applyFill="1" applyBorder="1"/>
    <xf numFmtId="2" fontId="10" fillId="3" borderId="17" xfId="5" applyNumberFormat="1" applyFill="1" applyBorder="1"/>
    <xf numFmtId="10" fontId="1" fillId="3" borderId="8" xfId="2" applyNumberFormat="1" applyFill="1" applyBorder="1"/>
    <xf numFmtId="10" fontId="1" fillId="3" borderId="9" xfId="2" applyNumberFormat="1" applyFill="1" applyBorder="1"/>
    <xf numFmtId="168" fontId="1" fillId="3" borderId="17" xfId="3" applyNumberFormat="1" applyFill="1" applyBorder="1"/>
    <xf numFmtId="168" fontId="0" fillId="3" borderId="8" xfId="0" applyNumberFormat="1" applyFill="1" applyBorder="1"/>
    <xf numFmtId="9" fontId="12" fillId="3" borderId="8" xfId="2" applyFont="1" applyFill="1" applyBorder="1"/>
    <xf numFmtId="0" fontId="0" fillId="0" borderId="20" xfId="0" applyFill="1" applyBorder="1"/>
    <xf numFmtId="0" fontId="2" fillId="0" borderId="0" xfId="0" applyFont="1" applyBorder="1"/>
    <xf numFmtId="0" fontId="0" fillId="0" borderId="25" xfId="0" applyFill="1" applyBorder="1"/>
    <xf numFmtId="0" fontId="2" fillId="0" borderId="20" xfId="0" applyFont="1" applyBorder="1"/>
    <xf numFmtId="0" fontId="0" fillId="0" borderId="20" xfId="0" applyFont="1" applyBorder="1"/>
    <xf numFmtId="1" fontId="0" fillId="0" borderId="0" xfId="0" applyNumberFormat="1" applyBorder="1"/>
    <xf numFmtId="0" fontId="0" fillId="0" borderId="20" xfId="0" applyBorder="1" applyAlignment="1">
      <alignment horizontal="left" indent="2"/>
    </xf>
    <xf numFmtId="0" fontId="0" fillId="0" borderId="35" xfId="0" applyFill="1" applyBorder="1" applyAlignment="1">
      <alignment horizontal="left" indent="2"/>
    </xf>
    <xf numFmtId="0" fontId="0" fillId="0" borderId="20" xfId="0" applyFill="1" applyBorder="1" applyAlignment="1">
      <alignment horizontal="left"/>
    </xf>
    <xf numFmtId="0" fontId="0" fillId="0" borderId="20" xfId="0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164" fontId="0" fillId="0" borderId="0" xfId="1" applyNumberFormat="1" applyFont="1" applyBorder="1" applyAlignment="1">
      <alignment horizontal="left" indent="2"/>
    </xf>
    <xf numFmtId="0" fontId="0" fillId="0" borderId="25" xfId="0" applyBorder="1" applyAlignment="1">
      <alignment horizontal="left" indent="2"/>
    </xf>
    <xf numFmtId="6" fontId="0" fillId="0" borderId="0" xfId="0" applyNumberFormat="1" applyBorder="1"/>
    <xf numFmtId="1" fontId="0" fillId="0" borderId="0" xfId="0" applyNumberFormat="1" applyFill="1" applyBorder="1"/>
    <xf numFmtId="0" fontId="0" fillId="0" borderId="28" xfId="0" applyBorder="1" applyAlignment="1">
      <alignment horizontal="left" indent="2"/>
    </xf>
    <xf numFmtId="164" fontId="0" fillId="0" borderId="12" xfId="0" applyNumberFormat="1" applyFill="1" applyBorder="1"/>
    <xf numFmtId="0" fontId="0" fillId="0" borderId="32" xfId="0" applyBorder="1"/>
    <xf numFmtId="0" fontId="10" fillId="0" borderId="20" xfId="5" applyBorder="1"/>
    <xf numFmtId="0" fontId="11" fillId="0" borderId="0" xfId="5" applyFont="1" applyBorder="1"/>
    <xf numFmtId="0" fontId="11" fillId="0" borderId="25" xfId="5" applyFont="1" applyBorder="1"/>
    <xf numFmtId="0" fontId="11" fillId="0" borderId="20" xfId="5" applyFont="1" applyBorder="1"/>
    <xf numFmtId="168" fontId="10" fillId="0" borderId="25" xfId="5" applyNumberFormat="1" applyBorder="1"/>
    <xf numFmtId="168" fontId="10" fillId="0" borderId="19" xfId="5" applyNumberFormat="1" applyBorder="1"/>
    <xf numFmtId="168" fontId="1" fillId="0" borderId="0" xfId="3" applyNumberFormat="1" applyBorder="1"/>
    <xf numFmtId="168" fontId="1" fillId="0" borderId="25" xfId="3" applyNumberFormat="1" applyBorder="1"/>
    <xf numFmtId="0" fontId="10" fillId="0" borderId="0" xfId="5" applyFill="1" applyBorder="1"/>
    <xf numFmtId="170" fontId="10" fillId="0" borderId="25" xfId="3" applyNumberFormat="1" applyFont="1" applyBorder="1"/>
    <xf numFmtId="170" fontId="0" fillId="0" borderId="25" xfId="3" applyNumberFormat="1" applyFont="1" applyBorder="1"/>
    <xf numFmtId="44" fontId="0" fillId="0" borderId="0" xfId="3" applyFont="1" applyBorder="1"/>
    <xf numFmtId="0" fontId="10" fillId="0" borderId="20" xfId="5" quotePrefix="1" applyBorder="1"/>
    <xf numFmtId="6" fontId="10" fillId="0" borderId="0" xfId="5" applyNumberFormat="1" applyBorder="1"/>
    <xf numFmtId="6" fontId="10" fillId="0" borderId="25" xfId="5" applyNumberFormat="1" applyBorder="1"/>
    <xf numFmtId="0" fontId="10" fillId="0" borderId="28" xfId="5" applyBorder="1"/>
    <xf numFmtId="6" fontId="10" fillId="5" borderId="12" xfId="5" applyNumberFormat="1" applyFill="1" applyBorder="1"/>
    <xf numFmtId="166" fontId="10" fillId="5" borderId="0" xfId="5" applyNumberFormat="1" applyFill="1" applyBorder="1"/>
    <xf numFmtId="0" fontId="10" fillId="0" borderId="20" xfId="5" applyFill="1" applyBorder="1" applyAlignment="1">
      <alignment horizontal="left"/>
    </xf>
    <xf numFmtId="0" fontId="10" fillId="0" borderId="0" xfId="5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0" fillId="0" borderId="0" xfId="5" applyFill="1"/>
    <xf numFmtId="9" fontId="0" fillId="0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0" fontId="0" fillId="0" borderId="21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169" fontId="1" fillId="0" borderId="22" xfId="1" applyNumberFormat="1" applyFill="1" applyBorder="1"/>
    <xf numFmtId="0" fontId="0" fillId="0" borderId="7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10" fontId="10" fillId="0" borderId="27" xfId="5" applyNumberFormat="1" applyFill="1" applyBorder="1"/>
    <xf numFmtId="0" fontId="0" fillId="0" borderId="6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43" fontId="1" fillId="0" borderId="19" xfId="1" applyNumberFormat="1" applyFill="1" applyBorder="1"/>
    <xf numFmtId="0" fontId="0" fillId="5" borderId="7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166" fontId="1" fillId="5" borderId="19" xfId="2" applyNumberFormat="1" applyFill="1" applyBorder="1"/>
    <xf numFmtId="0" fontId="0" fillId="5" borderId="31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10" fillId="3" borderId="6" xfId="5" applyFill="1" applyBorder="1" applyAlignment="1">
      <alignment horizontal="left"/>
    </xf>
    <xf numFmtId="0" fontId="10" fillId="3" borderId="18" xfId="5" applyFill="1" applyBorder="1" applyAlignment="1">
      <alignment horizontal="left"/>
    </xf>
    <xf numFmtId="10" fontId="10" fillId="3" borderId="26" xfId="5" applyNumberFormat="1" applyFill="1" applyBorder="1"/>
    <xf numFmtId="167" fontId="12" fillId="5" borderId="17" xfId="2" applyNumberFormat="1" applyFont="1" applyFill="1" applyBorder="1"/>
    <xf numFmtId="10" fontId="12" fillId="5" borderId="9" xfId="2" applyNumberFormat="1" applyFont="1" applyFill="1" applyBorder="1"/>
    <xf numFmtId="10" fontId="10" fillId="5" borderId="0" xfId="5" applyNumberFormat="1" applyFill="1" applyBorder="1"/>
    <xf numFmtId="2" fontId="1" fillId="0" borderId="19" xfId="1" applyNumberFormat="1" applyFill="1" applyBorder="1"/>
    <xf numFmtId="2" fontId="1" fillId="0" borderId="25" xfId="2" applyNumberFormat="1" applyFill="1" applyBorder="1"/>
    <xf numFmtId="171" fontId="0" fillId="0" borderId="0" xfId="0" applyNumberFormat="1"/>
    <xf numFmtId="166" fontId="1" fillId="5" borderId="32" xfId="2" applyNumberFormat="1" applyFill="1" applyBorder="1"/>
    <xf numFmtId="0" fontId="0" fillId="10" borderId="0" xfId="0" applyFill="1"/>
    <xf numFmtId="1" fontId="0" fillId="10" borderId="0" xfId="0" applyNumberFormat="1" applyFill="1"/>
    <xf numFmtId="0" fontId="2" fillId="0" borderId="0" xfId="0" applyNumberFormat="1" applyFont="1" applyBorder="1"/>
    <xf numFmtId="0" fontId="2" fillId="0" borderId="0" xfId="2" applyNumberFormat="1" applyFont="1" applyBorder="1"/>
    <xf numFmtId="0" fontId="2" fillId="0" borderId="25" xfId="2" applyNumberFormat="1" applyFont="1" applyBorder="1"/>
    <xf numFmtId="43" fontId="0" fillId="0" borderId="0" xfId="2" applyNumberFormat="1" applyFont="1" applyBorder="1"/>
    <xf numFmtId="0" fontId="0" fillId="0" borderId="33" xfId="0" applyBorder="1" applyAlignment="1">
      <alignment horizontal="center"/>
    </xf>
    <xf numFmtId="43" fontId="0" fillId="0" borderId="25" xfId="2" applyNumberFormat="1" applyFont="1" applyBorder="1"/>
    <xf numFmtId="0" fontId="2" fillId="5" borderId="3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6">
    <cellStyle name="Comma" xfId="1" builtinId="3"/>
    <cellStyle name="Currency" xfId="3" builtinId="4"/>
    <cellStyle name="Excel Built-in Normal" xfId="5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tmp"/><Relationship Id="rId1" Type="http://schemas.openxmlformats.org/officeDocument/2006/relationships/image" Target="../media/image3.tm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9524</xdr:rowOff>
    </xdr:from>
    <xdr:to>
      <xdr:col>2</xdr:col>
      <xdr:colOff>1115046</xdr:colOff>
      <xdr:row>11</xdr:row>
      <xdr:rowOff>190499</xdr:rowOff>
    </xdr:to>
    <xdr:pic>
      <xdr:nvPicPr>
        <xdr:cNvPr id="2" name="Picture 1" descr="Listing Photo 1786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0024"/>
          <a:ext cx="2753346" cy="2085975"/>
        </a:xfrm>
        <a:prstGeom prst="rect">
          <a:avLst/>
        </a:prstGeom>
        <a:noFill/>
        <a:ln w="952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0</xdr:rowOff>
    </xdr:from>
    <xdr:to>
      <xdr:col>8</xdr:col>
      <xdr:colOff>352426</xdr:colOff>
      <xdr:row>33</xdr:row>
      <xdr:rowOff>133350</xdr:rowOff>
    </xdr:to>
    <xdr:pic>
      <xdr:nvPicPr>
        <xdr:cNvPr id="2" name="Picture 1" descr="www.puc.idaho.gov/fileroom/rates.pdf - Google Chrome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126" y="381000"/>
          <a:ext cx="4610100" cy="60388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590552</xdr:colOff>
      <xdr:row>0</xdr:row>
      <xdr:rowOff>126326</xdr:rowOff>
    </xdr:from>
    <xdr:to>
      <xdr:col>11</xdr:col>
      <xdr:colOff>466726</xdr:colOff>
      <xdr:row>22</xdr:row>
      <xdr:rowOff>118942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2" y="126326"/>
          <a:ext cx="5362574" cy="418361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22</xdr:row>
      <xdr:rowOff>182302</xdr:rowOff>
    </xdr:from>
    <xdr:to>
      <xdr:col>11</xdr:col>
      <xdr:colOff>323850</xdr:colOff>
      <xdr:row>36</xdr:row>
      <xdr:rowOff>124324</xdr:rowOff>
    </xdr:to>
    <xdr:pic>
      <xdr:nvPicPr>
        <xdr:cNvPr id="3" name="Picture 2" descr="Screen Clippi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4373302"/>
          <a:ext cx="4800600" cy="26090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8</xdr:col>
      <xdr:colOff>151772</xdr:colOff>
      <xdr:row>17</xdr:row>
      <xdr:rowOff>37763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5028572" cy="2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333029</xdr:colOff>
      <xdr:row>3</xdr:row>
      <xdr:rowOff>9452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71429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amls.net/snakeriver/default.asp?content=expanded&amp;search_content=results&amp;this_format=2&amp;mls_number=178652&amp;page=1&amp;query_id=125135727&amp;sortby=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rowidahofalls.org/metro-area/quality-of-life.html" TargetMode="External"/><Relationship Id="rId1" Type="http://schemas.openxmlformats.org/officeDocument/2006/relationships/hyperlink" Target="http://newsok.com/mortgage-rates-reach-record-low/article/371583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uc.idaho.gov/fileroom/rates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abletv.com/id-rexburg-comcast-cabl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4"/>
  <sheetViews>
    <sheetView tabSelected="1" zoomScale="90" zoomScaleNormal="90" workbookViewId="0">
      <selection activeCell="E109" sqref="E109"/>
    </sheetView>
  </sheetViews>
  <sheetFormatPr defaultRowHeight="15" x14ac:dyDescent="0.25"/>
  <cols>
    <col min="1" max="1" width="5.85546875" customWidth="1"/>
    <col min="2" max="2" width="24.7109375" customWidth="1"/>
    <col min="3" max="3" width="19.140625" customWidth="1"/>
    <col min="4" max="4" width="16.85546875" customWidth="1"/>
    <col min="5" max="5" width="13.5703125" customWidth="1"/>
    <col min="6" max="6" width="19.28515625" customWidth="1"/>
    <col min="7" max="7" width="15.85546875" customWidth="1"/>
    <col min="8" max="8" width="14.85546875" customWidth="1"/>
    <col min="9" max="9" width="16.42578125" customWidth="1"/>
    <col min="10" max="10" width="18.85546875" customWidth="1"/>
    <col min="11" max="11" width="13.140625" customWidth="1"/>
    <col min="12" max="12" width="12.42578125" customWidth="1"/>
    <col min="13" max="13" width="12.7109375" customWidth="1"/>
    <col min="14" max="14" width="13" customWidth="1"/>
    <col min="15" max="15" width="23.7109375" customWidth="1"/>
    <col min="16" max="16" width="24.42578125" customWidth="1"/>
    <col min="17" max="17" width="25" bestFit="1" customWidth="1"/>
    <col min="18" max="18" width="14.5703125" customWidth="1"/>
  </cols>
  <sheetData>
    <row r="1" spans="1:15" x14ac:dyDescent="0.25">
      <c r="A1" s="7"/>
      <c r="B1" s="211" t="s">
        <v>25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</row>
    <row r="2" spans="1:15" x14ac:dyDescent="0.25">
      <c r="F2" s="17" t="s">
        <v>35</v>
      </c>
      <c r="H2" s="32">
        <v>169900</v>
      </c>
      <c r="I2" t="s">
        <v>54</v>
      </c>
      <c r="J2" s="2">
        <v>16</v>
      </c>
    </row>
    <row r="3" spans="1:15" x14ac:dyDescent="0.25">
      <c r="F3" s="208" t="s">
        <v>131</v>
      </c>
      <c r="G3" s="209"/>
      <c r="H3" s="210"/>
      <c r="O3" s="19"/>
    </row>
    <row r="4" spans="1:15" x14ac:dyDescent="0.25">
      <c r="F4" s="20" t="s">
        <v>36</v>
      </c>
      <c r="G4" s="21" t="s">
        <v>48</v>
      </c>
      <c r="H4" s="21" t="s">
        <v>37</v>
      </c>
      <c r="I4" s="28"/>
    </row>
    <row r="5" spans="1:15" x14ac:dyDescent="0.25">
      <c r="F5" s="22" t="s">
        <v>38</v>
      </c>
      <c r="G5" s="23" t="s">
        <v>38</v>
      </c>
      <c r="H5" s="23" t="s">
        <v>38</v>
      </c>
      <c r="I5" s="55"/>
    </row>
    <row r="6" spans="1:15" x14ac:dyDescent="0.25">
      <c r="F6" s="24" t="s">
        <v>42</v>
      </c>
      <c r="G6" s="25" t="s">
        <v>42</v>
      </c>
      <c r="H6" s="25" t="s">
        <v>39</v>
      </c>
      <c r="I6" s="55"/>
      <c r="L6" s="28"/>
    </row>
    <row r="7" spans="1:15" x14ac:dyDescent="0.25">
      <c r="F7" s="22" t="s">
        <v>43</v>
      </c>
      <c r="G7" s="23" t="s">
        <v>44</v>
      </c>
      <c r="H7" s="23" t="s">
        <v>24</v>
      </c>
      <c r="I7" s="55"/>
      <c r="L7" s="28"/>
    </row>
    <row r="8" spans="1:15" x14ac:dyDescent="0.25">
      <c r="F8" s="24" t="s">
        <v>44</v>
      </c>
      <c r="G8" s="25" t="s">
        <v>45</v>
      </c>
      <c r="H8" s="25" t="s">
        <v>40</v>
      </c>
      <c r="I8" s="55"/>
    </row>
    <row r="9" spans="1:15" x14ac:dyDescent="0.25">
      <c r="F9" s="22" t="s">
        <v>228</v>
      </c>
      <c r="G9" s="23" t="s">
        <v>46</v>
      </c>
      <c r="H9" s="23" t="s">
        <v>41</v>
      </c>
      <c r="I9" s="31"/>
    </row>
    <row r="10" spans="1:15" x14ac:dyDescent="0.25">
      <c r="F10" s="24" t="s">
        <v>46</v>
      </c>
      <c r="G10" s="25"/>
      <c r="H10" s="25" t="s">
        <v>67</v>
      </c>
      <c r="I10" s="31"/>
      <c r="J10" s="18"/>
    </row>
    <row r="11" spans="1:15" x14ac:dyDescent="0.25">
      <c r="F11" s="22" t="s">
        <v>53</v>
      </c>
      <c r="G11" s="23"/>
      <c r="H11" s="23"/>
      <c r="J11" s="29"/>
      <c r="K11" s="30"/>
    </row>
    <row r="12" spans="1:15" x14ac:dyDescent="0.25">
      <c r="F12" s="26" t="s">
        <v>47</v>
      </c>
      <c r="G12" s="27"/>
      <c r="H12" s="27"/>
      <c r="J12" s="30"/>
      <c r="K12" s="31"/>
    </row>
    <row r="13" spans="1:15" x14ac:dyDescent="0.25">
      <c r="B13" s="211" t="s">
        <v>31</v>
      </c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3"/>
    </row>
    <row r="14" spans="1:15" x14ac:dyDescent="0.25">
      <c r="A14" s="2"/>
      <c r="E14">
        <v>2013</v>
      </c>
      <c r="F14">
        <v>2014</v>
      </c>
      <c r="G14">
        <v>2015</v>
      </c>
      <c r="H14">
        <v>2016</v>
      </c>
      <c r="I14">
        <v>2017</v>
      </c>
      <c r="J14">
        <v>2018</v>
      </c>
      <c r="K14">
        <v>2019</v>
      </c>
      <c r="L14">
        <v>2020</v>
      </c>
      <c r="M14">
        <v>2021</v>
      </c>
      <c r="N14">
        <v>2022</v>
      </c>
    </row>
    <row r="15" spans="1:15" x14ac:dyDescent="0.25">
      <c r="A15" s="2"/>
      <c r="B15" s="208" t="s">
        <v>34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10"/>
      <c r="O15" s="14" t="s">
        <v>33</v>
      </c>
    </row>
    <row r="16" spans="1:15" x14ac:dyDescent="0.25">
      <c r="B16" s="8" t="s">
        <v>49</v>
      </c>
      <c r="C16" s="8"/>
      <c r="D16" s="8"/>
      <c r="E16" s="8">
        <v>750</v>
      </c>
      <c r="F16" s="34">
        <f>E16*(1+$O$16)</f>
        <v>772.5</v>
      </c>
      <c r="G16" s="34">
        <f t="shared" ref="G16:N16" si="0">F16*(1+$O$16)</f>
        <v>795.67500000000007</v>
      </c>
      <c r="H16" s="34">
        <f t="shared" si="0"/>
        <v>819.54525000000012</v>
      </c>
      <c r="I16" s="34">
        <f t="shared" si="0"/>
        <v>844.1316075000002</v>
      </c>
      <c r="J16" s="34">
        <f t="shared" si="0"/>
        <v>869.45555572500018</v>
      </c>
      <c r="K16" s="34">
        <f t="shared" si="0"/>
        <v>895.53922239675023</v>
      </c>
      <c r="L16" s="34">
        <f t="shared" si="0"/>
        <v>922.40539906865274</v>
      </c>
      <c r="M16" s="34">
        <f t="shared" si="0"/>
        <v>950.07756104071234</v>
      </c>
      <c r="N16" s="34">
        <f t="shared" si="0"/>
        <v>978.57988787193369</v>
      </c>
      <c r="O16" s="15">
        <v>0.03</v>
      </c>
    </row>
    <row r="17" spans="1:16" x14ac:dyDescent="0.25">
      <c r="B17" s="11" t="s">
        <v>26</v>
      </c>
      <c r="C17" s="11"/>
      <c r="D17" s="11"/>
      <c r="E17" s="11">
        <v>250</v>
      </c>
      <c r="F17" s="37">
        <f>E17*(1+$O$17)</f>
        <v>257.5</v>
      </c>
      <c r="G17" s="37">
        <f t="shared" ref="G17:N17" si="1">F17*(1+$O$17)</f>
        <v>265.22500000000002</v>
      </c>
      <c r="H17" s="37">
        <f t="shared" si="1"/>
        <v>273.18175000000002</v>
      </c>
      <c r="I17" s="37">
        <f t="shared" si="1"/>
        <v>281.37720250000001</v>
      </c>
      <c r="J17" s="37">
        <f t="shared" si="1"/>
        <v>289.81851857500004</v>
      </c>
      <c r="K17" s="37">
        <f t="shared" si="1"/>
        <v>298.51307413225004</v>
      </c>
      <c r="L17" s="37">
        <f t="shared" si="1"/>
        <v>307.46846635621756</v>
      </c>
      <c r="M17" s="37">
        <f t="shared" si="1"/>
        <v>316.69252034690408</v>
      </c>
      <c r="N17" s="37">
        <f t="shared" si="1"/>
        <v>326.19329595731119</v>
      </c>
      <c r="O17" s="35">
        <v>0.03</v>
      </c>
    </row>
    <row r="18" spans="1:16" x14ac:dyDescent="0.25">
      <c r="B18" s="8" t="s">
        <v>50</v>
      </c>
      <c r="C18" s="8"/>
      <c r="D18" s="8"/>
      <c r="E18" s="8">
        <v>150</v>
      </c>
      <c r="F18" s="34">
        <f>E18*(1+$O$18)</f>
        <v>154.5</v>
      </c>
      <c r="G18" s="34">
        <f t="shared" ref="G18:N18" si="2">F18*(1+$O$18)</f>
        <v>159.13499999999999</v>
      </c>
      <c r="H18" s="34">
        <f t="shared" si="2"/>
        <v>163.90905000000001</v>
      </c>
      <c r="I18" s="34">
        <f t="shared" si="2"/>
        <v>168.82632150000001</v>
      </c>
      <c r="J18" s="34">
        <f t="shared" si="2"/>
        <v>173.891111145</v>
      </c>
      <c r="K18" s="34">
        <f t="shared" si="2"/>
        <v>179.10784447935001</v>
      </c>
      <c r="L18" s="34">
        <f t="shared" si="2"/>
        <v>184.4810798137305</v>
      </c>
      <c r="M18" s="34">
        <f t="shared" si="2"/>
        <v>190.01551220814241</v>
      </c>
      <c r="N18" s="34">
        <f t="shared" si="2"/>
        <v>195.7159775743867</v>
      </c>
      <c r="O18" s="15">
        <v>0.03</v>
      </c>
    </row>
    <row r="19" spans="1:16" x14ac:dyDescent="0.25">
      <c r="B19" s="11" t="s">
        <v>20</v>
      </c>
      <c r="C19" s="11"/>
      <c r="D19" s="11"/>
      <c r="E19" s="11">
        <v>8</v>
      </c>
      <c r="F19" s="11">
        <v>8</v>
      </c>
      <c r="G19" s="11">
        <v>8</v>
      </c>
      <c r="H19" s="11">
        <v>8</v>
      </c>
      <c r="I19" s="11">
        <v>8</v>
      </c>
      <c r="J19" s="11">
        <v>8</v>
      </c>
      <c r="K19" s="11">
        <v>8</v>
      </c>
      <c r="L19" s="11">
        <v>8</v>
      </c>
      <c r="M19" s="11">
        <v>8</v>
      </c>
      <c r="N19" s="11">
        <v>8</v>
      </c>
      <c r="O19" s="35"/>
      <c r="P19" t="s">
        <v>32</v>
      </c>
    </row>
    <row r="20" spans="1:16" x14ac:dyDescent="0.25">
      <c r="B20" s="8" t="s">
        <v>51</v>
      </c>
      <c r="C20" s="8"/>
      <c r="D20" s="8"/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15"/>
    </row>
    <row r="21" spans="1:16" x14ac:dyDescent="0.25">
      <c r="B21" s="11" t="s">
        <v>52</v>
      </c>
      <c r="C21" s="11"/>
      <c r="D21" s="11"/>
      <c r="E21" s="33">
        <v>0.75</v>
      </c>
      <c r="F21" s="33">
        <f t="shared" ref="F21:N21" si="3">$E$21</f>
        <v>0.75</v>
      </c>
      <c r="G21" s="33">
        <f t="shared" si="3"/>
        <v>0.75</v>
      </c>
      <c r="H21" s="33">
        <f t="shared" si="3"/>
        <v>0.75</v>
      </c>
      <c r="I21" s="33">
        <f t="shared" si="3"/>
        <v>0.75</v>
      </c>
      <c r="J21" s="33">
        <f t="shared" si="3"/>
        <v>0.75</v>
      </c>
      <c r="K21" s="33">
        <f t="shared" si="3"/>
        <v>0.75</v>
      </c>
      <c r="L21" s="33">
        <f t="shared" si="3"/>
        <v>0.75</v>
      </c>
      <c r="M21" s="33">
        <f t="shared" si="3"/>
        <v>0.75</v>
      </c>
      <c r="N21" s="33">
        <f t="shared" si="3"/>
        <v>0.75</v>
      </c>
      <c r="O21" s="35"/>
    </row>
    <row r="22" spans="1:16" x14ac:dyDescent="0.25">
      <c r="A22" s="6"/>
      <c r="B22" s="8" t="s">
        <v>21</v>
      </c>
      <c r="C22" s="8"/>
      <c r="D22" s="8"/>
      <c r="E22" s="10">
        <v>1</v>
      </c>
      <c r="F22" s="34">
        <f>E22*(1+$O$20)</f>
        <v>1</v>
      </c>
      <c r="G22" s="10">
        <v>1</v>
      </c>
      <c r="H22" s="10">
        <v>1</v>
      </c>
      <c r="I22" s="10">
        <v>1</v>
      </c>
      <c r="J22" s="10">
        <v>1</v>
      </c>
      <c r="K22" s="10">
        <v>1</v>
      </c>
      <c r="L22" s="10">
        <v>1</v>
      </c>
      <c r="M22" s="10">
        <v>1</v>
      </c>
      <c r="N22" s="10">
        <v>1</v>
      </c>
      <c r="O22" s="36"/>
    </row>
    <row r="23" spans="1:16" x14ac:dyDescent="0.25">
      <c r="B23" s="208" t="s">
        <v>55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10"/>
      <c r="O23" s="14" t="s">
        <v>33</v>
      </c>
    </row>
    <row r="24" spans="1:16" x14ac:dyDescent="0.25">
      <c r="B24" s="8" t="s">
        <v>19</v>
      </c>
      <c r="C24" s="8"/>
      <c r="D24" s="8"/>
      <c r="E24" s="8">
        <v>400</v>
      </c>
      <c r="F24" s="34">
        <f>E24*(1+$O$24)</f>
        <v>412</v>
      </c>
      <c r="G24" s="34">
        <f t="shared" ref="G24:N24" si="4">F24*(1+$O$24)</f>
        <v>424.36</v>
      </c>
      <c r="H24" s="34">
        <f t="shared" si="4"/>
        <v>437.0908</v>
      </c>
      <c r="I24" s="34">
        <f t="shared" si="4"/>
        <v>450.20352400000002</v>
      </c>
      <c r="J24" s="34">
        <f t="shared" si="4"/>
        <v>463.70962972000001</v>
      </c>
      <c r="K24" s="34">
        <f t="shared" si="4"/>
        <v>477.62091861160002</v>
      </c>
      <c r="L24" s="34">
        <f t="shared" si="4"/>
        <v>491.94954616994801</v>
      </c>
      <c r="M24" s="34">
        <f t="shared" si="4"/>
        <v>506.70803255504649</v>
      </c>
      <c r="N24" s="34">
        <f t="shared" si="4"/>
        <v>521.90927353169786</v>
      </c>
      <c r="O24" s="15">
        <v>0.03</v>
      </c>
    </row>
    <row r="25" spans="1:16" x14ac:dyDescent="0.25">
      <c r="B25" s="11" t="s">
        <v>26</v>
      </c>
      <c r="C25" s="11"/>
      <c r="D25" s="11"/>
      <c r="E25" s="11">
        <v>100</v>
      </c>
      <c r="F25" s="11">
        <f>E25*(1+$O$25)</f>
        <v>103</v>
      </c>
      <c r="G25" s="37">
        <f t="shared" ref="G25:N25" si="5">F25*(1+$O$25)</f>
        <v>106.09</v>
      </c>
      <c r="H25" s="37">
        <f t="shared" si="5"/>
        <v>109.2727</v>
      </c>
      <c r="I25" s="37">
        <f t="shared" si="5"/>
        <v>112.550881</v>
      </c>
      <c r="J25" s="37">
        <f t="shared" si="5"/>
        <v>115.92740743</v>
      </c>
      <c r="K25" s="37">
        <f t="shared" si="5"/>
        <v>119.4052296529</v>
      </c>
      <c r="L25" s="37">
        <f t="shared" si="5"/>
        <v>122.987386542487</v>
      </c>
      <c r="M25" s="37">
        <f t="shared" si="5"/>
        <v>126.67700813876162</v>
      </c>
      <c r="N25" s="37">
        <f t="shared" si="5"/>
        <v>130.47731838292447</v>
      </c>
      <c r="O25" s="35">
        <v>0.03</v>
      </c>
    </row>
    <row r="26" spans="1:16" x14ac:dyDescent="0.25">
      <c r="B26" s="8" t="s">
        <v>27</v>
      </c>
      <c r="C26" s="8"/>
      <c r="D26" s="8"/>
      <c r="E26" s="8">
        <v>50</v>
      </c>
      <c r="F26" s="34">
        <f>E26*(1+$O$26)</f>
        <v>51.5</v>
      </c>
      <c r="G26" s="34">
        <f t="shared" ref="G26:N26" si="6">F26*(1+$O$26)</f>
        <v>53.045000000000002</v>
      </c>
      <c r="H26" s="34">
        <f t="shared" si="6"/>
        <v>54.63635</v>
      </c>
      <c r="I26" s="34">
        <f t="shared" si="6"/>
        <v>56.275440500000002</v>
      </c>
      <c r="J26" s="34">
        <f t="shared" si="6"/>
        <v>57.963703715000001</v>
      </c>
      <c r="K26" s="34">
        <f t="shared" si="6"/>
        <v>59.702614826450002</v>
      </c>
      <c r="L26" s="34">
        <f t="shared" si="6"/>
        <v>61.493693271243501</v>
      </c>
      <c r="M26" s="34">
        <f t="shared" si="6"/>
        <v>63.338504069380811</v>
      </c>
      <c r="N26" s="34">
        <f t="shared" si="6"/>
        <v>65.238659191462233</v>
      </c>
      <c r="O26" s="15">
        <v>0.03</v>
      </c>
    </row>
    <row r="27" spans="1:16" x14ac:dyDescent="0.25">
      <c r="B27" s="208" t="s">
        <v>56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10"/>
      <c r="O27" s="14" t="s">
        <v>33</v>
      </c>
    </row>
    <row r="28" spans="1:16" x14ac:dyDescent="0.25">
      <c r="B28" s="11" t="s">
        <v>29</v>
      </c>
      <c r="C28" s="11"/>
      <c r="D28" s="11"/>
      <c r="E28" s="12">
        <v>3</v>
      </c>
      <c r="F28" s="11">
        <v>3</v>
      </c>
      <c r="G28" s="12">
        <v>3</v>
      </c>
      <c r="H28" s="11">
        <v>3</v>
      </c>
      <c r="I28" s="12"/>
      <c r="J28" s="11"/>
      <c r="K28" s="12"/>
      <c r="L28" s="11"/>
      <c r="M28" s="12"/>
      <c r="N28" s="11"/>
      <c r="O28" s="11"/>
    </row>
    <row r="29" spans="1:16" x14ac:dyDescent="0.25">
      <c r="B29" s="8" t="s">
        <v>30</v>
      </c>
      <c r="C29" s="8"/>
      <c r="D29" s="8"/>
      <c r="E29" s="8">
        <v>1</v>
      </c>
      <c r="F29" s="8">
        <v>1</v>
      </c>
      <c r="G29" s="8">
        <v>1</v>
      </c>
      <c r="H29" s="8">
        <v>1</v>
      </c>
      <c r="I29" s="8"/>
      <c r="J29" s="8"/>
      <c r="K29" s="8"/>
      <c r="L29" s="8"/>
      <c r="M29" s="8"/>
      <c r="N29" s="8"/>
      <c r="O29" s="8"/>
    </row>
    <row r="30" spans="1:16" x14ac:dyDescent="0.25">
      <c r="B30" s="11" t="s">
        <v>62</v>
      </c>
      <c r="C30" s="11"/>
      <c r="D30" s="11"/>
      <c r="E30" s="12">
        <f>14*E19*E20</f>
        <v>112</v>
      </c>
      <c r="F30" s="12">
        <f t="shared" ref="F30:H30" si="7">14*F19*F20</f>
        <v>112</v>
      </c>
      <c r="G30" s="12">
        <f t="shared" si="7"/>
        <v>112</v>
      </c>
      <c r="H30" s="12">
        <f t="shared" si="7"/>
        <v>112</v>
      </c>
      <c r="I30" s="12"/>
      <c r="J30" s="11"/>
      <c r="K30" s="12"/>
      <c r="L30" s="11"/>
      <c r="M30" s="12"/>
      <c r="N30" s="11"/>
      <c r="O30" s="11"/>
    </row>
    <row r="31" spans="1:16" x14ac:dyDescent="0.25">
      <c r="B31" s="8" t="s">
        <v>64</v>
      </c>
      <c r="C31" s="8"/>
      <c r="D31" s="8"/>
      <c r="E31" s="13">
        <f>7*E21*E19</f>
        <v>42</v>
      </c>
      <c r="F31" s="13">
        <f t="shared" ref="F31:H31" si="8">7*F21*F19</f>
        <v>42</v>
      </c>
      <c r="G31" s="13">
        <f t="shared" si="8"/>
        <v>42</v>
      </c>
      <c r="H31" s="13">
        <f t="shared" si="8"/>
        <v>42</v>
      </c>
      <c r="I31" s="13" t="s">
        <v>32</v>
      </c>
      <c r="J31" s="8"/>
      <c r="K31" s="13"/>
      <c r="L31" s="8"/>
      <c r="M31" s="13"/>
      <c r="N31" s="8"/>
      <c r="O31" s="8"/>
    </row>
    <row r="32" spans="1:16" x14ac:dyDescent="0.25">
      <c r="B32" s="11" t="s">
        <v>63</v>
      </c>
      <c r="C32" s="11"/>
      <c r="D32" s="11"/>
      <c r="E32" s="12">
        <f>2*E21*E19</f>
        <v>12</v>
      </c>
      <c r="F32" s="12">
        <f t="shared" ref="F32:H32" si="9">2*F21*F19</f>
        <v>12</v>
      </c>
      <c r="G32" s="12">
        <f t="shared" si="9"/>
        <v>12</v>
      </c>
      <c r="H32" s="12">
        <f t="shared" si="9"/>
        <v>12</v>
      </c>
      <c r="I32" s="12"/>
      <c r="J32" s="11"/>
      <c r="K32" s="12"/>
      <c r="L32" s="11"/>
      <c r="M32" s="12"/>
      <c r="N32" s="11"/>
      <c r="O32" s="11"/>
    </row>
    <row r="33" spans="2:15" ht="14.25" customHeight="1" x14ac:dyDescent="0.25">
      <c r="B33" s="208" t="s">
        <v>57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10"/>
      <c r="O33" s="14" t="s">
        <v>33</v>
      </c>
    </row>
    <row r="34" spans="2:15" x14ac:dyDescent="0.25">
      <c r="B34" s="11" t="s">
        <v>107</v>
      </c>
      <c r="C34" s="11"/>
      <c r="D34" s="11"/>
      <c r="E34" s="11"/>
      <c r="F34" s="11"/>
      <c r="G34" s="11"/>
      <c r="H34" s="11"/>
      <c r="I34" s="11">
        <v>50</v>
      </c>
      <c r="J34" s="11">
        <v>50</v>
      </c>
      <c r="K34" s="11">
        <v>50</v>
      </c>
      <c r="L34" s="11">
        <v>50</v>
      </c>
      <c r="M34" s="11">
        <v>50</v>
      </c>
      <c r="N34" s="11">
        <v>50</v>
      </c>
      <c r="O34" s="11" t="s">
        <v>32</v>
      </c>
    </row>
    <row r="35" spans="2:15" s="31" customFormat="1" x14ac:dyDescent="0.25">
      <c r="B35" s="8" t="s">
        <v>229</v>
      </c>
      <c r="C35" s="8"/>
      <c r="D35" s="8"/>
      <c r="E35" s="8">
        <v>10</v>
      </c>
      <c r="F35" s="8">
        <v>10</v>
      </c>
      <c r="G35" s="8">
        <v>10</v>
      </c>
      <c r="H35" s="8">
        <v>10</v>
      </c>
      <c r="I35" s="8">
        <v>10</v>
      </c>
      <c r="J35" s="8">
        <v>10</v>
      </c>
      <c r="K35" s="8">
        <v>10</v>
      </c>
      <c r="L35" s="8">
        <v>10</v>
      </c>
      <c r="M35" s="8">
        <v>10</v>
      </c>
      <c r="N35" s="8">
        <v>10</v>
      </c>
      <c r="O35" s="8"/>
    </row>
    <row r="36" spans="2:15" s="31" customFormat="1" x14ac:dyDescent="0.25">
      <c r="B36" s="208" t="s">
        <v>230</v>
      </c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10"/>
      <c r="O36" s="14" t="s">
        <v>33</v>
      </c>
    </row>
    <row r="37" spans="2:15" s="31" customFormat="1" x14ac:dyDescent="0.25">
      <c r="B37" s="11" t="s">
        <v>230</v>
      </c>
      <c r="C37" s="11"/>
      <c r="D37" s="11"/>
      <c r="E37" s="11">
        <v>100</v>
      </c>
      <c r="F37" s="11">
        <v>100</v>
      </c>
      <c r="G37" s="11">
        <v>100</v>
      </c>
      <c r="H37" s="11">
        <v>100</v>
      </c>
      <c r="I37" s="11">
        <v>100</v>
      </c>
      <c r="J37" s="11">
        <v>100</v>
      </c>
      <c r="K37" s="11">
        <v>100</v>
      </c>
      <c r="L37" s="11">
        <v>100</v>
      </c>
      <c r="M37" s="11">
        <v>100</v>
      </c>
      <c r="N37" s="11">
        <v>100</v>
      </c>
      <c r="O37" s="11"/>
    </row>
    <row r="38" spans="2:15" s="31" customFormat="1" x14ac:dyDescent="0.25">
      <c r="B38" s="8" t="s">
        <v>65</v>
      </c>
      <c r="C38" s="8"/>
      <c r="D38" s="8"/>
      <c r="E38" s="8">
        <v>12</v>
      </c>
      <c r="F38" s="8">
        <v>12</v>
      </c>
      <c r="G38" s="8">
        <v>12</v>
      </c>
      <c r="H38" s="8">
        <v>12</v>
      </c>
      <c r="I38" s="8">
        <v>12</v>
      </c>
      <c r="J38" s="8">
        <v>12</v>
      </c>
      <c r="K38" s="8">
        <v>12</v>
      </c>
      <c r="L38" s="8">
        <v>12</v>
      </c>
      <c r="M38" s="8">
        <v>12</v>
      </c>
      <c r="N38" s="8">
        <v>12</v>
      </c>
      <c r="O38" s="8"/>
    </row>
    <row r="39" spans="2:15" s="31" customFormat="1" x14ac:dyDescent="0.25">
      <c r="B39" s="11" t="s">
        <v>60</v>
      </c>
      <c r="C39" s="11"/>
      <c r="D39" s="11"/>
      <c r="E39" s="11">
        <v>50</v>
      </c>
      <c r="F39" s="11">
        <v>50</v>
      </c>
      <c r="G39" s="11">
        <v>50</v>
      </c>
      <c r="H39" s="11">
        <v>50</v>
      </c>
      <c r="I39" s="11">
        <v>50</v>
      </c>
      <c r="J39" s="11">
        <v>50</v>
      </c>
      <c r="K39" s="11">
        <v>50</v>
      </c>
      <c r="L39" s="11">
        <v>50</v>
      </c>
      <c r="M39" s="11">
        <v>50</v>
      </c>
      <c r="N39" s="11">
        <v>50</v>
      </c>
      <c r="O39" s="11"/>
    </row>
    <row r="40" spans="2:15" s="31" customFormat="1" x14ac:dyDescent="0.25">
      <c r="B40" s="8" t="s">
        <v>66</v>
      </c>
      <c r="C40" s="8"/>
      <c r="D40" s="8"/>
      <c r="E40" s="8"/>
      <c r="F40" s="8"/>
      <c r="G40" s="8">
        <f>E38*E39*(1-G41)</f>
        <v>119.99999999999997</v>
      </c>
      <c r="H40" s="8">
        <f t="shared" ref="H40:N40" si="10">F38*F39*(1-H41)</f>
        <v>119.99999999999997</v>
      </c>
      <c r="I40" s="8">
        <f t="shared" si="10"/>
        <v>119.99999999999997</v>
      </c>
      <c r="J40" s="8">
        <f t="shared" si="10"/>
        <v>119.99999999999997</v>
      </c>
      <c r="K40" s="8">
        <f t="shared" si="10"/>
        <v>119.99999999999997</v>
      </c>
      <c r="L40" s="8">
        <f t="shared" si="10"/>
        <v>119.99999999999997</v>
      </c>
      <c r="M40" s="8">
        <f t="shared" si="10"/>
        <v>119.99999999999997</v>
      </c>
      <c r="N40" s="8">
        <f t="shared" si="10"/>
        <v>119.99999999999997</v>
      </c>
      <c r="O40" s="8"/>
    </row>
    <row r="41" spans="2:15" s="31" customFormat="1" x14ac:dyDescent="0.25">
      <c r="B41" s="11" t="s">
        <v>215</v>
      </c>
      <c r="C41" s="11"/>
      <c r="D41" s="11"/>
      <c r="E41" s="35">
        <v>0.8</v>
      </c>
      <c r="F41" s="35">
        <v>0.8</v>
      </c>
      <c r="G41" s="35">
        <v>0.8</v>
      </c>
      <c r="H41" s="35">
        <v>0.8</v>
      </c>
      <c r="I41" s="35">
        <v>0.8</v>
      </c>
      <c r="J41" s="35">
        <v>0.8</v>
      </c>
      <c r="K41" s="35">
        <v>0.8</v>
      </c>
      <c r="L41" s="35">
        <v>0.8</v>
      </c>
      <c r="M41" s="35">
        <v>0.8</v>
      </c>
      <c r="N41" s="35">
        <v>0.8</v>
      </c>
      <c r="O41" s="11"/>
    </row>
    <row r="42" spans="2:15" s="31" customFormat="1" x14ac:dyDescent="0.25">
      <c r="B42" s="208" t="s">
        <v>77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10"/>
      <c r="O42" s="14" t="s">
        <v>33</v>
      </c>
    </row>
    <row r="43" spans="2:15" s="31" customFormat="1" x14ac:dyDescent="0.25">
      <c r="B43" s="11" t="s">
        <v>69</v>
      </c>
      <c r="C43" s="11">
        <v>100000</v>
      </c>
      <c r="D43" s="11" t="s">
        <v>70</v>
      </c>
      <c r="E43" s="11">
        <v>30</v>
      </c>
      <c r="F43" s="11" t="s">
        <v>71</v>
      </c>
      <c r="G43" s="37">
        <f>C43/E43</f>
        <v>3333.3333333333335</v>
      </c>
      <c r="H43" s="11"/>
      <c r="I43" s="11"/>
      <c r="J43" s="11"/>
      <c r="K43" s="11"/>
      <c r="L43" s="11"/>
      <c r="M43" s="11"/>
      <c r="N43" s="11"/>
      <c r="O43" s="11"/>
    </row>
    <row r="44" spans="2:15" s="31" customFormat="1" x14ac:dyDescent="0.25">
      <c r="B44" s="8" t="s">
        <v>231</v>
      </c>
      <c r="C44" s="8"/>
      <c r="D44" s="8"/>
      <c r="E44" s="8" t="s">
        <v>232</v>
      </c>
      <c r="F44" s="38">
        <f>H2*0.3</f>
        <v>50970</v>
      </c>
      <c r="G44" s="34" t="s">
        <v>15</v>
      </c>
      <c r="H44" s="38">
        <f>H2-F44</f>
        <v>118930</v>
      </c>
      <c r="I44" s="8"/>
      <c r="J44" s="8"/>
      <c r="K44" s="8"/>
      <c r="L44" s="8"/>
      <c r="M44" s="8"/>
      <c r="N44" s="8"/>
      <c r="O44" s="8"/>
    </row>
    <row r="45" spans="2:15" s="31" customFormat="1" x14ac:dyDescent="0.25">
      <c r="B45" s="11" t="s">
        <v>238</v>
      </c>
      <c r="C45" s="11"/>
      <c r="D45" s="11"/>
      <c r="E45" s="11"/>
      <c r="F45" s="11"/>
      <c r="G45" s="37"/>
      <c r="H45" s="11"/>
      <c r="I45" s="11"/>
      <c r="J45" s="11"/>
      <c r="K45" s="11"/>
      <c r="L45" s="11"/>
      <c r="M45" s="11"/>
      <c r="N45" s="11"/>
      <c r="O45" s="11"/>
    </row>
    <row r="46" spans="2:15" s="31" customFormat="1" x14ac:dyDescent="0.25">
      <c r="B46" s="197" t="s">
        <v>185</v>
      </c>
      <c r="C46" s="197"/>
      <c r="D46" s="197"/>
      <c r="E46" s="197"/>
      <c r="F46" s="197"/>
      <c r="G46" s="198"/>
      <c r="H46" s="197"/>
      <c r="I46" s="197"/>
      <c r="J46" s="197"/>
      <c r="K46" s="197"/>
      <c r="L46" s="197"/>
      <c r="M46" s="197"/>
      <c r="N46" s="197"/>
      <c r="O46" s="197"/>
    </row>
    <row r="47" spans="2:15" s="31" customFormat="1" x14ac:dyDescent="0.25">
      <c r="B47" s="11" t="s">
        <v>233</v>
      </c>
      <c r="C47" s="11"/>
      <c r="D47" s="11"/>
      <c r="E47" s="11"/>
      <c r="F47" s="11"/>
      <c r="G47" s="37"/>
      <c r="H47" s="11"/>
      <c r="I47" s="11"/>
      <c r="J47" s="11"/>
      <c r="K47" s="11"/>
      <c r="L47" s="11"/>
      <c r="M47" s="11"/>
      <c r="N47" s="11"/>
      <c r="O47" s="11"/>
    </row>
    <row r="48" spans="2:15" s="31" customFormat="1" x14ac:dyDescent="0.25">
      <c r="B48" s="197" t="s">
        <v>239</v>
      </c>
      <c r="C48" s="197"/>
      <c r="D48" s="197"/>
      <c r="E48" s="197"/>
      <c r="F48" s="197"/>
      <c r="G48" s="198"/>
      <c r="H48" s="197"/>
      <c r="I48" s="197"/>
      <c r="J48" s="197"/>
      <c r="K48" s="197"/>
      <c r="L48" s="197"/>
      <c r="M48" s="197"/>
      <c r="N48" s="197"/>
      <c r="O48" s="197"/>
    </row>
    <row r="49" spans="1:15" s="31" customFormat="1" x14ac:dyDescent="0.25">
      <c r="B49" s="11" t="s">
        <v>182</v>
      </c>
      <c r="C49" s="11"/>
      <c r="D49" s="11"/>
      <c r="E49" s="11"/>
      <c r="F49" s="11"/>
      <c r="G49" s="37"/>
      <c r="H49" s="11"/>
      <c r="I49" s="11"/>
      <c r="J49" s="11"/>
      <c r="K49" s="11"/>
      <c r="L49" s="11"/>
      <c r="M49" s="11"/>
      <c r="N49" s="11"/>
      <c r="O49" s="11"/>
    </row>
    <row r="50" spans="1:15" s="31" customFormat="1" x14ac:dyDescent="0.25">
      <c r="B50" s="8" t="s">
        <v>211</v>
      </c>
      <c r="C50" s="8"/>
      <c r="D50" s="8"/>
      <c r="E50" s="8"/>
      <c r="F50" s="8"/>
      <c r="G50" s="34"/>
      <c r="H50" s="8"/>
      <c r="I50" s="8"/>
      <c r="J50" s="8"/>
      <c r="K50" s="8"/>
      <c r="L50" s="8"/>
      <c r="M50" s="8"/>
      <c r="N50" s="8"/>
      <c r="O50" s="8"/>
    </row>
    <row r="51" spans="1:15" s="31" customFormat="1" x14ac:dyDescent="0.25">
      <c r="B51" s="8" t="s">
        <v>242</v>
      </c>
      <c r="C51" s="8"/>
      <c r="D51" s="8"/>
      <c r="E51" s="8"/>
      <c r="F51" s="8"/>
      <c r="G51" s="34"/>
      <c r="H51" s="8"/>
      <c r="I51" s="8"/>
      <c r="J51" s="8"/>
      <c r="K51" s="8"/>
      <c r="L51" s="8"/>
      <c r="M51" s="8"/>
      <c r="N51" s="8"/>
      <c r="O51" s="8"/>
    </row>
    <row r="52" spans="1:15" s="31" customFormat="1" ht="15.75" thickBot="1" x14ac:dyDescent="0.3">
      <c r="F52" s="31" t="s">
        <v>32</v>
      </c>
    </row>
    <row r="53" spans="1:15" s="31" customFormat="1" x14ac:dyDescent="0.25">
      <c r="A53" s="205" t="s">
        <v>220</v>
      </c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7"/>
    </row>
    <row r="54" spans="1:15" s="31" customFormat="1" x14ac:dyDescent="0.25">
      <c r="A54" s="128"/>
      <c r="B54" s="55"/>
      <c r="C54" s="55"/>
      <c r="D54" s="55"/>
      <c r="E54" s="129">
        <v>2013</v>
      </c>
      <c r="F54" s="129">
        <v>2014</v>
      </c>
      <c r="G54" s="129">
        <v>2015</v>
      </c>
      <c r="H54" s="129">
        <v>2016</v>
      </c>
      <c r="I54" s="129">
        <v>2017</v>
      </c>
      <c r="J54" s="129">
        <v>2018</v>
      </c>
      <c r="K54" s="129">
        <v>2019</v>
      </c>
      <c r="L54" s="129">
        <v>2020</v>
      </c>
      <c r="M54" s="129">
        <v>2021</v>
      </c>
      <c r="N54" s="129">
        <v>2022</v>
      </c>
      <c r="O54" s="130" t="s">
        <v>32</v>
      </c>
    </row>
    <row r="55" spans="1:15" x14ac:dyDescent="0.25">
      <c r="A55" s="131" t="s">
        <v>0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5"/>
    </row>
    <row r="56" spans="1:15" x14ac:dyDescent="0.25">
      <c r="A56" s="132" t="s">
        <v>28</v>
      </c>
      <c r="B56" s="100"/>
      <c r="C56" s="100"/>
      <c r="D56" s="100"/>
      <c r="E56" s="100">
        <f>(E16*E19*E20*3)+(E17*E19*E21)+(E18*E19*E21)</f>
        <v>20400</v>
      </c>
      <c r="F56" s="100">
        <f>(F16*F19*F20*3)+(F17*F19*F21)+(F18*F19*F21)</f>
        <v>21012</v>
      </c>
      <c r="G56" s="133">
        <f>(G16*G19*G20*3)+(G17*G19*G21)+(G18*G19*G21)</f>
        <v>21642.36</v>
      </c>
      <c r="H56" s="133">
        <f>(H16*H19*H20*3)+(H17*H19*H21)+(H18*H19*H21)</f>
        <v>22291.630800000003</v>
      </c>
      <c r="I56" s="133">
        <f t="shared" ref="I56:N56" si="11">(I16*I19*I20*3)+(I17*I19*I21)+(I18*I19*I21)+(I34*I19*I20*3)+(I34*I19*I21)+(I34*I19*I21)</f>
        <v>24760.379724000002</v>
      </c>
      <c r="J56" s="133">
        <f t="shared" si="11"/>
        <v>25449.191115720005</v>
      </c>
      <c r="K56" s="133">
        <f t="shared" si="11"/>
        <v>26158.666849191606</v>
      </c>
      <c r="L56" s="133">
        <f t="shared" si="11"/>
        <v>26889.426854667356</v>
      </c>
      <c r="M56" s="133">
        <f t="shared" si="11"/>
        <v>27642.109660307378</v>
      </c>
      <c r="N56" s="133">
        <f t="shared" si="11"/>
        <v>28417.372950116598</v>
      </c>
      <c r="O56" s="105"/>
    </row>
    <row r="57" spans="1:15" x14ac:dyDescent="0.25">
      <c r="A57" s="132" t="s">
        <v>58</v>
      </c>
      <c r="B57" s="100"/>
      <c r="C57" s="100"/>
      <c r="D57" s="100"/>
      <c r="E57" s="100">
        <f>(E30*E28*3)+(E31*E28)+(E32*3)</f>
        <v>1170</v>
      </c>
      <c r="F57" s="100">
        <f>(F30*F28*3)+(F31*F28)+(F32*3)</f>
        <v>1170</v>
      </c>
      <c r="G57" s="100">
        <f>(G30*G28*3)+(G31*G28)+(G32*3)</f>
        <v>1170</v>
      </c>
      <c r="H57" s="100">
        <f>(H30*H28*3)+(H31*H28)+(H32*3)</f>
        <v>1170</v>
      </c>
      <c r="I57" s="100"/>
      <c r="J57" s="100"/>
      <c r="K57" s="100"/>
      <c r="L57" s="100"/>
      <c r="M57" s="100"/>
      <c r="N57" s="100"/>
      <c r="O57" s="105"/>
    </row>
    <row r="58" spans="1:15" x14ac:dyDescent="0.25">
      <c r="A58" s="132" t="s">
        <v>230</v>
      </c>
      <c r="B58" s="100"/>
      <c r="C58" s="100"/>
      <c r="D58" s="100"/>
      <c r="E58" s="100">
        <f>E38*(E37-E39)+E40</f>
        <v>600</v>
      </c>
      <c r="F58" s="100">
        <f t="shared" ref="F58:N58" si="12">F38*(F37-F39)+F40</f>
        <v>600</v>
      </c>
      <c r="G58" s="100">
        <f>G38*(G37-G39)+G40</f>
        <v>720</v>
      </c>
      <c r="H58" s="100">
        <f>H38*(H37-H39)+H40</f>
        <v>720</v>
      </c>
      <c r="I58" s="100">
        <f>I38*(I37-I39)+I40</f>
        <v>720</v>
      </c>
      <c r="J58" s="100">
        <f t="shared" si="12"/>
        <v>720</v>
      </c>
      <c r="K58" s="100">
        <f t="shared" si="12"/>
        <v>720</v>
      </c>
      <c r="L58" s="100">
        <f t="shared" si="12"/>
        <v>720</v>
      </c>
      <c r="M58" s="100">
        <f t="shared" si="12"/>
        <v>720</v>
      </c>
      <c r="N58" s="100">
        <f t="shared" si="12"/>
        <v>720</v>
      </c>
      <c r="O58" s="105"/>
    </row>
    <row r="59" spans="1:15" x14ac:dyDescent="0.25">
      <c r="A59" s="134" t="s">
        <v>61</v>
      </c>
      <c r="B59" s="100"/>
      <c r="C59" s="100"/>
      <c r="D59" s="100"/>
      <c r="E59" s="5">
        <f>SUM(E56:E58)</f>
        <v>22170</v>
      </c>
      <c r="F59" s="5">
        <f t="shared" ref="F59:N59" si="13">SUM(F56:F58)</f>
        <v>22782</v>
      </c>
      <c r="G59" s="5">
        <f t="shared" si="13"/>
        <v>23532.36</v>
      </c>
      <c r="H59" s="5">
        <f t="shared" si="13"/>
        <v>24181.630800000003</v>
      </c>
      <c r="I59" s="5">
        <f t="shared" si="13"/>
        <v>25480.379724000002</v>
      </c>
      <c r="J59" s="5">
        <f t="shared" si="13"/>
        <v>26169.191115720005</v>
      </c>
      <c r="K59" s="5">
        <f t="shared" si="13"/>
        <v>26878.666849191606</v>
      </c>
      <c r="L59" s="5">
        <f t="shared" si="13"/>
        <v>27609.426854667356</v>
      </c>
      <c r="M59" s="5">
        <f t="shared" si="13"/>
        <v>28362.109660307378</v>
      </c>
      <c r="N59" s="5">
        <f t="shared" si="13"/>
        <v>29137.372950116598</v>
      </c>
      <c r="O59" s="105"/>
    </row>
    <row r="60" spans="1:15" x14ac:dyDescent="0.25">
      <c r="A60" s="102"/>
      <c r="B60" s="100"/>
      <c r="C60" s="100"/>
      <c r="D60" s="100"/>
      <c r="E60" s="5"/>
      <c r="F60" s="5"/>
      <c r="G60" s="5"/>
      <c r="H60" s="100"/>
      <c r="I60" s="100"/>
      <c r="J60" s="100"/>
      <c r="K60" s="100"/>
      <c r="L60" s="100"/>
      <c r="M60" s="100"/>
      <c r="N60" s="100"/>
      <c r="O60" s="105"/>
    </row>
    <row r="61" spans="1:15" x14ac:dyDescent="0.25">
      <c r="A61" s="132" t="s">
        <v>2</v>
      </c>
      <c r="B61" s="100"/>
      <c r="C61" s="100"/>
      <c r="D61" s="100"/>
      <c r="E61" s="5"/>
      <c r="F61" s="5"/>
      <c r="G61" s="5"/>
      <c r="H61" s="100"/>
      <c r="I61" s="100"/>
      <c r="J61" s="100"/>
      <c r="K61" s="100"/>
      <c r="L61" s="100"/>
      <c r="M61" s="100"/>
      <c r="N61" s="100"/>
      <c r="O61" s="105"/>
    </row>
    <row r="62" spans="1:15" x14ac:dyDescent="0.25">
      <c r="A62" s="135" t="s">
        <v>72</v>
      </c>
      <c r="B62" s="100"/>
      <c r="C62" s="100"/>
      <c r="D62" s="100"/>
      <c r="E62" s="5">
        <f>'TV&amp;Internet'!D21</f>
        <v>79.98</v>
      </c>
      <c r="F62" s="5">
        <f>E62*(1+'Rate Assumptions'!$B$3)</f>
        <v>81.943145454545473</v>
      </c>
      <c r="G62" s="5">
        <f>F62*(1+'Rate Assumptions'!$B$3)</f>
        <v>83.9544772066116</v>
      </c>
      <c r="H62" s="5">
        <f>G62*(1+'Rate Assumptions'!$B$3)</f>
        <v>86.015178010773894</v>
      </c>
      <c r="I62" s="5">
        <f>H62*(1+'Rate Assumptions'!$B$3)</f>
        <v>88.126459652856539</v>
      </c>
      <c r="J62" s="5">
        <f>I62*(1+'Rate Assumptions'!$B$3)</f>
        <v>90.289563662517565</v>
      </c>
      <c r="K62" s="5">
        <f>J62*(1+'Rate Assumptions'!$B$3)</f>
        <v>92.505762043324822</v>
      </c>
      <c r="L62" s="5">
        <f>K62*(1+'Rate Assumptions'!$B$3)</f>
        <v>94.7763580207519</v>
      </c>
      <c r="M62" s="5">
        <f>L62*(1+'Rate Assumptions'!$B$3)</f>
        <v>97.102686808534003</v>
      </c>
      <c r="N62" s="5">
        <f>M62*(1+'Rate Assumptions'!$B$3)</f>
        <v>99.486116393834394</v>
      </c>
      <c r="O62" s="105" t="s">
        <v>136</v>
      </c>
    </row>
    <row r="63" spans="1:15" x14ac:dyDescent="0.25">
      <c r="A63" s="135" t="s">
        <v>73</v>
      </c>
      <c r="B63" s="100"/>
      <c r="C63" s="100"/>
      <c r="D63" s="100"/>
      <c r="E63" s="5">
        <f>Electricity!$K$14</f>
        <v>539.88</v>
      </c>
      <c r="F63" s="5">
        <f>E63*(1+'Rate Assumptions'!$B$3)</f>
        <v>553.13160000000005</v>
      </c>
      <c r="G63" s="5">
        <f>F63*(1+'Rate Assumptions'!$B$3)</f>
        <v>566.7084665454546</v>
      </c>
      <c r="H63" s="5">
        <f>G63*(1+'Rate Assumptions'!$B$3)</f>
        <v>580.61858345157032</v>
      </c>
      <c r="I63" s="5">
        <f>H63*(1+'Rate Assumptions'!$B$3)</f>
        <v>594.87013049992709</v>
      </c>
      <c r="J63" s="5">
        <f>I63*(1+'Rate Assumptions'!$B$3)</f>
        <v>609.47148824856174</v>
      </c>
      <c r="K63" s="5">
        <f>J63*(1+'Rate Assumptions'!$B$3)</f>
        <v>624.4312429601174</v>
      </c>
      <c r="L63" s="5">
        <f>K63*(1+'Rate Assumptions'!$B$3)</f>
        <v>639.75819165095675</v>
      </c>
      <c r="M63" s="5">
        <f>L63*(1+'Rate Assumptions'!$B$3)</f>
        <v>655.46134726420757</v>
      </c>
      <c r="N63" s="5">
        <f>M63*(1+'Rate Assumptions'!$B$3)</f>
        <v>671.54994396978361</v>
      </c>
      <c r="O63" s="105" t="s">
        <v>136</v>
      </c>
    </row>
    <row r="64" spans="1:15" x14ac:dyDescent="0.25">
      <c r="A64" s="135" t="s">
        <v>183</v>
      </c>
      <c r="B64" s="100"/>
      <c r="C64" s="100"/>
      <c r="D64" s="100"/>
      <c r="E64" s="5">
        <v>50</v>
      </c>
      <c r="F64" s="5">
        <v>50</v>
      </c>
      <c r="G64" s="5">
        <v>50</v>
      </c>
      <c r="H64" s="5">
        <v>50</v>
      </c>
      <c r="I64" s="5">
        <v>50</v>
      </c>
      <c r="J64" s="5">
        <v>50</v>
      </c>
      <c r="K64" s="5">
        <v>50</v>
      </c>
      <c r="L64" s="5">
        <v>50</v>
      </c>
      <c r="M64" s="5">
        <v>50</v>
      </c>
      <c r="N64" s="5">
        <v>50</v>
      </c>
      <c r="O64" s="105"/>
    </row>
    <row r="65" spans="1:15" x14ac:dyDescent="0.25">
      <c r="A65" s="135" t="s">
        <v>138</v>
      </c>
      <c r="B65" s="100"/>
      <c r="C65" s="100"/>
      <c r="D65" s="100"/>
      <c r="E65" s="5">
        <f>'Water&amp;Waste'!$O$10</f>
        <v>675</v>
      </c>
      <c r="F65" s="5">
        <f>E65*(1+'Rate Assumptions'!$B$3)</f>
        <v>691.56818181818187</v>
      </c>
      <c r="G65" s="5">
        <f>F65*(1+'Rate Assumptions'!$B$3)</f>
        <v>708.54303719008271</v>
      </c>
      <c r="H65" s="5">
        <f>G65*(1+'Rate Assumptions'!$B$3)</f>
        <v>725.93454810293031</v>
      </c>
      <c r="I65" s="5">
        <f>H65*(1+'Rate Assumptions'!$B$3)</f>
        <v>743.75294155636595</v>
      </c>
      <c r="J65" s="5">
        <f>I65*(1+'Rate Assumptions'!$B$3)</f>
        <v>762.00869557638589</v>
      </c>
      <c r="K65" s="5">
        <f>J65*(1+'Rate Assumptions'!$B$3)</f>
        <v>780.71254537689731</v>
      </c>
      <c r="L65" s="5">
        <f>K65*(1+'Rate Assumptions'!$B$3)</f>
        <v>799.87548967251212</v>
      </c>
      <c r="M65" s="5">
        <f>L65*(1+'Rate Assumptions'!$B$3)</f>
        <v>819.50879714629207</v>
      </c>
      <c r="N65" s="5">
        <f>M65*(1+'Rate Assumptions'!$B$3)</f>
        <v>839.62401307624657</v>
      </c>
      <c r="O65" s="105" t="s">
        <v>136</v>
      </c>
    </row>
    <row r="66" spans="1:15" x14ac:dyDescent="0.25">
      <c r="A66" s="135" t="s">
        <v>74</v>
      </c>
      <c r="B66" s="100"/>
      <c r="C66" s="100"/>
      <c r="D66" s="100"/>
      <c r="E66" s="57">
        <f>'Water&amp;Waste'!$P$26</f>
        <v>453.36</v>
      </c>
      <c r="F66" s="5">
        <f>E66*(1+'Rate Assumptions'!$B$3)</f>
        <v>464.48792727272735</v>
      </c>
      <c r="G66" s="5">
        <f>F66*(1+'Rate Assumptions'!$B$3)</f>
        <v>475.8889945785125</v>
      </c>
      <c r="H66" s="5">
        <f>G66*(1+'Rate Assumptions'!$B$3)</f>
        <v>487.56990626362148</v>
      </c>
      <c r="I66" s="5">
        <f>H66*(1+'Rate Assumptions'!$B$3)</f>
        <v>499.53753123554679</v>
      </c>
      <c r="J66" s="5">
        <f>I66*(1+'Rate Assumptions'!$B$3)</f>
        <v>511.79890700223751</v>
      </c>
      <c r="K66" s="5">
        <f>J66*(1+'Rate Assumptions'!$B$3)</f>
        <v>524.36124381047432</v>
      </c>
      <c r="L66" s="5">
        <f>K66*(1+'Rate Assumptions'!$B$3)</f>
        <v>537.23192888582241</v>
      </c>
      <c r="M66" s="5">
        <f>L66*(1+'Rate Assumptions'!$B$3)</f>
        <v>550.41853077665633</v>
      </c>
      <c r="N66" s="5">
        <f>M66*(1+'Rate Assumptions'!$B$3)</f>
        <v>563.92880380481063</v>
      </c>
      <c r="O66" s="105" t="s">
        <v>136</v>
      </c>
    </row>
    <row r="67" spans="1:15" x14ac:dyDescent="0.25">
      <c r="A67" s="134" t="s">
        <v>75</v>
      </c>
      <c r="B67" s="100"/>
      <c r="C67" s="100"/>
      <c r="D67" s="100"/>
      <c r="E67" s="5">
        <f>'TV&amp;Internet'!D20</f>
        <v>59.98</v>
      </c>
      <c r="F67" s="5">
        <f>E67*(1+'Rate Assumptions'!$B$3)</f>
        <v>61.452236363636366</v>
      </c>
      <c r="G67" s="5">
        <f>F67*(1+'Rate Assumptions'!$B$3)</f>
        <v>62.96060943801654</v>
      </c>
      <c r="H67" s="5">
        <f>G67*(1+'Rate Assumptions'!$B$3)</f>
        <v>64.506006215131492</v>
      </c>
      <c r="I67" s="5">
        <f>H67*(1+'Rate Assumptions'!$B$3)</f>
        <v>66.089335458593823</v>
      </c>
      <c r="J67" s="5">
        <f>I67*(1+'Rate Assumptions'!$B$3)</f>
        <v>67.711528238032045</v>
      </c>
      <c r="K67" s="5">
        <f>J67*(1+'Rate Assumptions'!$B$3)</f>
        <v>69.373538476601937</v>
      </c>
      <c r="L67" s="5">
        <f>K67*(1+'Rate Assumptions'!$B$3)</f>
        <v>71.076343511936713</v>
      </c>
      <c r="M67" s="5">
        <f>L67*(1+'Rate Assumptions'!$B$3)</f>
        <v>72.820944670866069</v>
      </c>
      <c r="N67" s="5">
        <f>M67*(1+'Rate Assumptions'!$B$3)</f>
        <v>74.608367858241877</v>
      </c>
      <c r="O67" s="105" t="s">
        <v>136</v>
      </c>
    </row>
    <row r="68" spans="1:15" x14ac:dyDescent="0.25">
      <c r="A68" s="136" t="s">
        <v>76</v>
      </c>
      <c r="B68" s="100"/>
      <c r="C68" s="100"/>
      <c r="D68" s="100"/>
      <c r="E68" s="5">
        <f t="shared" ref="E68:N68" si="14">SUM(E62:E67)</f>
        <v>1858.2000000000003</v>
      </c>
      <c r="F68" s="5">
        <f t="shared" si="14"/>
        <v>1902.583090909091</v>
      </c>
      <c r="G68" s="5">
        <f t="shared" si="14"/>
        <v>1948.0555849586779</v>
      </c>
      <c r="H68" s="5">
        <f t="shared" si="14"/>
        <v>1994.6442220440274</v>
      </c>
      <c r="I68" s="5">
        <f t="shared" si="14"/>
        <v>2042.3763984032901</v>
      </c>
      <c r="J68" s="5">
        <f t="shared" si="14"/>
        <v>2091.2801827277349</v>
      </c>
      <c r="K68" s="5">
        <f t="shared" si="14"/>
        <v>2141.3843326674155</v>
      </c>
      <c r="L68" s="5">
        <f t="shared" si="14"/>
        <v>2192.71831174198</v>
      </c>
      <c r="M68" s="5">
        <f t="shared" si="14"/>
        <v>2245.3123066665557</v>
      </c>
      <c r="N68" s="5">
        <f t="shared" si="14"/>
        <v>2299.1972451029169</v>
      </c>
      <c r="O68" s="105" t="s">
        <v>32</v>
      </c>
    </row>
    <row r="69" spans="1:15" x14ac:dyDescent="0.25">
      <c r="A69" s="132" t="s">
        <v>1</v>
      </c>
      <c r="B69" s="100"/>
      <c r="C69" s="100"/>
      <c r="D69" s="100"/>
      <c r="E69" s="5">
        <f>E59-E68</f>
        <v>20311.8</v>
      </c>
      <c r="F69" s="5">
        <f t="shared" ref="F69:N69" si="15">F59-F68</f>
        <v>20879.416909090909</v>
      </c>
      <c r="G69" s="5">
        <f t="shared" si="15"/>
        <v>21584.304415041322</v>
      </c>
      <c r="H69" s="5">
        <f t="shared" si="15"/>
        <v>22186.986577955977</v>
      </c>
      <c r="I69" s="5">
        <f t="shared" si="15"/>
        <v>23438.003325596714</v>
      </c>
      <c r="J69" s="5">
        <f t="shared" si="15"/>
        <v>24077.910932992268</v>
      </c>
      <c r="K69" s="5">
        <f t="shared" si="15"/>
        <v>24737.282516524192</v>
      </c>
      <c r="L69" s="5">
        <f t="shared" si="15"/>
        <v>25416.708542925375</v>
      </c>
      <c r="M69" s="5">
        <f t="shared" si="15"/>
        <v>26116.797353640824</v>
      </c>
      <c r="N69" s="5">
        <f t="shared" si="15"/>
        <v>26838.17570501368</v>
      </c>
      <c r="O69" s="105"/>
    </row>
    <row r="70" spans="1:15" x14ac:dyDescent="0.25">
      <c r="A70" s="102"/>
      <c r="B70" s="100"/>
      <c r="C70" s="100"/>
      <c r="D70" s="100"/>
      <c r="E70" s="5"/>
      <c r="F70" s="5"/>
      <c r="G70" s="5"/>
      <c r="H70" s="100"/>
      <c r="I70" s="100"/>
      <c r="J70" s="100"/>
      <c r="K70" s="100"/>
      <c r="L70" s="100"/>
      <c r="M70" s="100"/>
      <c r="N70" s="100"/>
      <c r="O70" s="105"/>
    </row>
    <row r="71" spans="1:15" x14ac:dyDescent="0.25">
      <c r="A71" s="102" t="s">
        <v>184</v>
      </c>
      <c r="B71" s="100"/>
      <c r="C71" s="100"/>
      <c r="D71" s="100"/>
      <c r="E71" s="5"/>
      <c r="F71" s="5"/>
      <c r="G71" s="5"/>
      <c r="H71" s="100"/>
      <c r="I71" s="100">
        <v>8000</v>
      </c>
      <c r="J71" s="100"/>
      <c r="K71" s="100"/>
      <c r="L71" s="100"/>
      <c r="M71" s="100"/>
      <c r="N71" s="100"/>
      <c r="O71" s="105"/>
    </row>
    <row r="72" spans="1:15" x14ac:dyDescent="0.25">
      <c r="A72" s="102" t="s">
        <v>3</v>
      </c>
      <c r="B72" s="100"/>
      <c r="C72" s="100"/>
      <c r="D72" s="100"/>
      <c r="E72" s="5">
        <f>$G$43</f>
        <v>3333.3333333333335</v>
      </c>
      <c r="F72" s="5">
        <f t="shared" ref="F72:N72" si="16">$G$43</f>
        <v>3333.3333333333335</v>
      </c>
      <c r="G72" s="5">
        <f t="shared" si="16"/>
        <v>3333.3333333333335</v>
      </c>
      <c r="H72" s="5">
        <f t="shared" si="16"/>
        <v>3333.3333333333335</v>
      </c>
      <c r="I72" s="5">
        <f t="shared" si="16"/>
        <v>3333.3333333333335</v>
      </c>
      <c r="J72" s="5">
        <f t="shared" si="16"/>
        <v>3333.3333333333335</v>
      </c>
      <c r="K72" s="5">
        <f t="shared" si="16"/>
        <v>3333.3333333333335</v>
      </c>
      <c r="L72" s="5">
        <f t="shared" si="16"/>
        <v>3333.3333333333335</v>
      </c>
      <c r="M72" s="5">
        <f t="shared" si="16"/>
        <v>3333.3333333333335</v>
      </c>
      <c r="N72" s="5">
        <f t="shared" si="16"/>
        <v>3333.3333333333335</v>
      </c>
      <c r="O72" s="105" t="s">
        <v>32</v>
      </c>
    </row>
    <row r="73" spans="1:15" x14ac:dyDescent="0.25">
      <c r="A73" s="102" t="s">
        <v>4</v>
      </c>
      <c r="B73" s="100"/>
      <c r="C73" s="100"/>
      <c r="D73" s="100"/>
      <c r="E73" s="5">
        <f>Mortgage!Q28+2400</f>
        <v>5815.5882965791488</v>
      </c>
      <c r="F73" s="5">
        <f>Mortgage!Q40+2400</f>
        <v>5741.3915505541408</v>
      </c>
      <c r="G73" s="5">
        <f>Mortgage!Q52+2400</f>
        <v>5665.0142674958506</v>
      </c>
      <c r="H73" s="5">
        <f>Mortgage!Q64+2400</f>
        <v>5586.3923645164432</v>
      </c>
      <c r="I73" s="5">
        <f>Mortgage!Q76+2400</f>
        <v>5505.4598754229737</v>
      </c>
      <c r="J73" s="5">
        <f>Mortgage!Q88+2400</f>
        <v>5422.1488953697535</v>
      </c>
      <c r="K73" s="5">
        <f>Mortgage!Q100+2400</f>
        <v>5336.389523884056</v>
      </c>
      <c r="L73" s="5">
        <f>Mortgage!Q112+2400</f>
        <v>5248.1098062175115</v>
      </c>
      <c r="M73" s="5">
        <f>Mortgage!Q124+2400</f>
        <v>5157.2356729738349</v>
      </c>
      <c r="N73" s="5">
        <f>Mortgage!Q136+2400</f>
        <v>5063.6908779623591</v>
      </c>
      <c r="O73" s="105"/>
    </row>
    <row r="74" spans="1:15" x14ac:dyDescent="0.25">
      <c r="A74" s="102" t="s">
        <v>5</v>
      </c>
      <c r="B74" s="100"/>
      <c r="C74" s="100"/>
      <c r="D74" s="100"/>
      <c r="E74" s="57">
        <f>+E94*'Rate Assumptions'!$B$2</f>
        <v>0</v>
      </c>
      <c r="F74" s="57">
        <f>+F94*'Rate Assumptions'!$B$2</f>
        <v>0</v>
      </c>
      <c r="G74" s="57">
        <f>+G94*'Rate Assumptions'!$B$2</f>
        <v>0</v>
      </c>
      <c r="H74" s="57">
        <f>+H94*'Rate Assumptions'!$B$2</f>
        <v>0</v>
      </c>
      <c r="I74" s="57">
        <f>+I94*'Rate Assumptions'!$B$2</f>
        <v>0</v>
      </c>
      <c r="J74" s="57">
        <f>+J94*'Rate Assumptions'!$B$2</f>
        <v>0</v>
      </c>
      <c r="K74" s="57">
        <f>+K94*'Rate Assumptions'!$B$2</f>
        <v>0</v>
      </c>
      <c r="L74" s="57">
        <f>+L94*'Rate Assumptions'!$B$2</f>
        <v>0</v>
      </c>
      <c r="M74" s="57">
        <f>+M94*'Rate Assumptions'!$B$2</f>
        <v>0</v>
      </c>
      <c r="N74" s="57">
        <f>+N94*'Rate Assumptions'!$B$2</f>
        <v>0</v>
      </c>
      <c r="O74" s="105"/>
    </row>
    <row r="75" spans="1:15" x14ac:dyDescent="0.25">
      <c r="A75" s="102"/>
      <c r="B75" s="100"/>
      <c r="C75" s="100"/>
      <c r="D75" s="100"/>
      <c r="E75" s="5"/>
      <c r="F75" s="5"/>
      <c r="G75" s="5"/>
      <c r="H75" s="100"/>
      <c r="I75" s="100"/>
      <c r="J75" s="100"/>
      <c r="K75" s="100"/>
      <c r="L75" s="100"/>
      <c r="M75" s="100"/>
      <c r="N75" s="100"/>
      <c r="O75" s="105"/>
    </row>
    <row r="76" spans="1:15" x14ac:dyDescent="0.25">
      <c r="A76" s="102" t="s">
        <v>6</v>
      </c>
      <c r="B76" s="100"/>
      <c r="C76" s="100"/>
      <c r="D76" s="100"/>
      <c r="E76" s="5">
        <f t="shared" ref="E76:M76" si="17">+E69-SUM(E72:E74)</f>
        <v>11162.878370087517</v>
      </c>
      <c r="F76" s="5">
        <f t="shared" si="17"/>
        <v>11804.692025203434</v>
      </c>
      <c r="G76" s="5">
        <f t="shared" si="17"/>
        <v>12585.956814212139</v>
      </c>
      <c r="H76" s="5">
        <f t="shared" si="17"/>
        <v>13267.2608801062</v>
      </c>
      <c r="I76" s="5">
        <f>+I69-SUM(I71:I74)</f>
        <v>6599.2101168404042</v>
      </c>
      <c r="J76" s="5">
        <f t="shared" si="17"/>
        <v>15322.428704289181</v>
      </c>
      <c r="K76" s="5">
        <f t="shared" si="17"/>
        <v>16067.559659306802</v>
      </c>
      <c r="L76" s="5">
        <f t="shared" si="17"/>
        <v>16835.265403374528</v>
      </c>
      <c r="M76" s="5">
        <f t="shared" si="17"/>
        <v>17626.228347333657</v>
      </c>
      <c r="N76" s="5">
        <f>+N69-SUM(N71:N74)</f>
        <v>18441.151493717989</v>
      </c>
      <c r="O76" s="105"/>
    </row>
    <row r="77" spans="1:15" x14ac:dyDescent="0.25">
      <c r="A77" s="102" t="s">
        <v>7</v>
      </c>
      <c r="B77" s="100"/>
      <c r="C77" s="100"/>
      <c r="D77" s="100"/>
      <c r="E77" s="5">
        <f>IF(E76&lt;0,0,E76*'Rate Assumptions'!$B$4)</f>
        <v>2232.5756740175034</v>
      </c>
      <c r="F77" s="5">
        <f>IF(F76&lt;0,0,F76*'Rate Assumptions'!$B$4)</f>
        <v>2360.938405040687</v>
      </c>
      <c r="G77" s="5">
        <f>IF(G76&lt;0,0,G76*'Rate Assumptions'!$B$4)</f>
        <v>2517.1913628424281</v>
      </c>
      <c r="H77" s="5">
        <f>IF(H76&lt;0,0,H76*'Rate Assumptions'!$B$4)</f>
        <v>2653.4521760212401</v>
      </c>
      <c r="I77" s="5">
        <f>IF(I76&lt;0,0,I76*'Rate Assumptions'!$B$4)</f>
        <v>1319.8420233680808</v>
      </c>
      <c r="J77" s="5">
        <f>IF(J76&lt;0,0,J76*'Rate Assumptions'!$B$4)</f>
        <v>3064.4857408578364</v>
      </c>
      <c r="K77" s="5">
        <f>IF(K76&lt;0,0,K76*'Rate Assumptions'!$B$4)</f>
        <v>3213.5119318613606</v>
      </c>
      <c r="L77" s="5">
        <f>IF(L76&lt;0,0,L76*'Rate Assumptions'!$B$4)</f>
        <v>3367.0530806749057</v>
      </c>
      <c r="M77" s="5">
        <f>IF(M76&lt;0,0,M76*'Rate Assumptions'!$B$4)</f>
        <v>3525.2456694667317</v>
      </c>
      <c r="N77" s="5">
        <f>IF(N76&lt;0,0,N76*'Rate Assumptions'!$B$4)</f>
        <v>3688.2302987435978</v>
      </c>
      <c r="O77" s="105"/>
    </row>
    <row r="78" spans="1:15" ht="15.75" thickBot="1" x14ac:dyDescent="0.3">
      <c r="A78" s="102" t="s">
        <v>8</v>
      </c>
      <c r="B78" s="100"/>
      <c r="C78" s="100"/>
      <c r="D78" s="100"/>
      <c r="E78" s="4">
        <f>+E76-E77</f>
        <v>8930.3026960700136</v>
      </c>
      <c r="F78" s="4">
        <f t="shared" ref="F78:M78" si="18">+F76-F77</f>
        <v>9443.7536201627481</v>
      </c>
      <c r="G78" s="4">
        <f t="shared" si="18"/>
        <v>10068.765451369711</v>
      </c>
      <c r="H78" s="4">
        <f t="shared" si="18"/>
        <v>10613.80870408496</v>
      </c>
      <c r="I78" s="4">
        <f t="shared" si="18"/>
        <v>5279.3680934723234</v>
      </c>
      <c r="J78" s="4">
        <f t="shared" si="18"/>
        <v>12257.942963431346</v>
      </c>
      <c r="K78" s="4">
        <f t="shared" si="18"/>
        <v>12854.047727445442</v>
      </c>
      <c r="L78" s="4">
        <f t="shared" si="18"/>
        <v>13468.212322699623</v>
      </c>
      <c r="M78" s="4">
        <f t="shared" si="18"/>
        <v>14100.982677866927</v>
      </c>
      <c r="N78" s="4">
        <f>+N76-N77</f>
        <v>14752.921194974391</v>
      </c>
      <c r="O78" s="105"/>
    </row>
    <row r="79" spans="1:15" ht="15.75" thickTop="1" x14ac:dyDescent="0.25">
      <c r="A79" s="102"/>
      <c r="B79" s="100"/>
      <c r="C79" s="100"/>
      <c r="D79" s="100"/>
      <c r="E79" s="5"/>
      <c r="F79" s="5"/>
      <c r="G79" s="5"/>
      <c r="H79" s="100"/>
      <c r="I79" s="100"/>
      <c r="J79" s="100"/>
      <c r="K79" s="100"/>
      <c r="L79" s="100"/>
      <c r="M79" s="100"/>
      <c r="N79" s="100"/>
      <c r="O79" s="105"/>
    </row>
    <row r="80" spans="1:15" x14ac:dyDescent="0.25">
      <c r="A80" s="131" t="s">
        <v>9</v>
      </c>
      <c r="B80" s="100"/>
      <c r="C80" s="100"/>
      <c r="D80" s="100"/>
      <c r="E80" s="5"/>
      <c r="F80" s="5"/>
      <c r="G80" s="5"/>
      <c r="H80" s="100"/>
      <c r="I80" s="100"/>
      <c r="J80" s="100"/>
      <c r="K80" s="100"/>
      <c r="L80" s="100"/>
      <c r="M80" s="100"/>
      <c r="N80" s="100"/>
      <c r="O80" s="105"/>
    </row>
    <row r="81" spans="1:15" x14ac:dyDescent="0.25">
      <c r="A81" s="132" t="s">
        <v>10</v>
      </c>
      <c r="B81" s="100"/>
      <c r="C81" s="100"/>
      <c r="D81" s="100"/>
      <c r="E81" s="5"/>
      <c r="F81" s="5"/>
      <c r="G81" s="5"/>
      <c r="H81" s="100"/>
      <c r="I81" s="100"/>
      <c r="J81" s="100"/>
      <c r="K81" s="100"/>
      <c r="L81" s="100"/>
      <c r="M81" s="100"/>
      <c r="N81" s="100"/>
      <c r="O81" s="105"/>
    </row>
    <row r="82" spans="1:15" s="1" customFormat="1" x14ac:dyDescent="0.25">
      <c r="A82" s="137" t="s">
        <v>102</v>
      </c>
      <c r="B82" s="138"/>
      <c r="C82" s="138"/>
      <c r="D82" s="138">
        <v>1000</v>
      </c>
      <c r="E82" s="139">
        <f>$D$82</f>
        <v>1000</v>
      </c>
      <c r="F82" s="139">
        <f t="shared" ref="F82:N82" si="19">$D$82</f>
        <v>1000</v>
      </c>
      <c r="G82" s="139">
        <f t="shared" si="19"/>
        <v>1000</v>
      </c>
      <c r="H82" s="139">
        <f t="shared" si="19"/>
        <v>1000</v>
      </c>
      <c r="I82" s="139">
        <f t="shared" si="19"/>
        <v>1000</v>
      </c>
      <c r="J82" s="139">
        <f t="shared" si="19"/>
        <v>1000</v>
      </c>
      <c r="K82" s="139">
        <f t="shared" si="19"/>
        <v>1000</v>
      </c>
      <c r="L82" s="139">
        <f t="shared" si="19"/>
        <v>1000</v>
      </c>
      <c r="M82" s="139">
        <f t="shared" si="19"/>
        <v>1000</v>
      </c>
      <c r="N82" s="139">
        <f t="shared" si="19"/>
        <v>1000</v>
      </c>
      <c r="O82" s="140"/>
    </row>
    <row r="83" spans="1:15" x14ac:dyDescent="0.25">
      <c r="A83" s="134" t="s">
        <v>103</v>
      </c>
      <c r="B83" s="100"/>
      <c r="C83" s="100"/>
      <c r="D83" s="100"/>
      <c r="E83" s="57">
        <v>10971.532215443453</v>
      </c>
      <c r="F83" s="57">
        <v>21278.105665960076</v>
      </c>
      <c r="G83" s="57">
        <v>32161.203891404086</v>
      </c>
      <c r="H83" s="57">
        <v>43490.731321961022</v>
      </c>
      <c r="I83" s="57">
        <v>47935.014686979797</v>
      </c>
      <c r="J83" s="57">
        <v>62352.815812047316</v>
      </c>
      <c r="K83" s="57">
        <v>75685.344803157059</v>
      </c>
      <c r="L83" s="57">
        <v>89548.273629664385</v>
      </c>
      <c r="M83" s="57">
        <v>103957.75011807375</v>
      </c>
      <c r="N83" s="57">
        <v>118930.41236906401</v>
      </c>
      <c r="O83" s="105"/>
    </row>
    <row r="84" spans="1:15" x14ac:dyDescent="0.25">
      <c r="A84" s="134" t="s">
        <v>23</v>
      </c>
      <c r="B84" s="100"/>
      <c r="C84" s="100"/>
      <c r="D84" s="100"/>
      <c r="E84" s="5">
        <f>$H$2-$C$43</f>
        <v>69900</v>
      </c>
      <c r="F84" s="5">
        <f t="shared" ref="F84:N84" si="20">$H$2-$C$43</f>
        <v>69900</v>
      </c>
      <c r="G84" s="5">
        <f t="shared" si="20"/>
        <v>69900</v>
      </c>
      <c r="H84" s="5">
        <f t="shared" si="20"/>
        <v>69900</v>
      </c>
      <c r="I84" s="5">
        <f t="shared" si="20"/>
        <v>69900</v>
      </c>
      <c r="J84" s="5">
        <f t="shared" si="20"/>
        <v>69900</v>
      </c>
      <c r="K84" s="5">
        <f t="shared" si="20"/>
        <v>69900</v>
      </c>
      <c r="L84" s="5">
        <f t="shared" si="20"/>
        <v>69900</v>
      </c>
      <c r="M84" s="5">
        <f t="shared" si="20"/>
        <v>69900</v>
      </c>
      <c r="N84" s="5">
        <f t="shared" si="20"/>
        <v>69900</v>
      </c>
      <c r="O84" s="105"/>
    </row>
    <row r="85" spans="1:15" x14ac:dyDescent="0.25">
      <c r="A85" s="134" t="s">
        <v>11</v>
      </c>
      <c r="B85" s="100"/>
      <c r="C85" s="100"/>
      <c r="D85" s="100"/>
      <c r="E85" s="5">
        <f>$C$43</f>
        <v>100000</v>
      </c>
      <c r="F85" s="5">
        <f t="shared" ref="F85:N85" si="21">$C$43</f>
        <v>100000</v>
      </c>
      <c r="G85" s="5">
        <f t="shared" si="21"/>
        <v>100000</v>
      </c>
      <c r="H85" s="5">
        <f t="shared" si="21"/>
        <v>100000</v>
      </c>
      <c r="I85" s="5">
        <f t="shared" si="21"/>
        <v>100000</v>
      </c>
      <c r="J85" s="5">
        <f t="shared" si="21"/>
        <v>100000</v>
      </c>
      <c r="K85" s="5">
        <f t="shared" si="21"/>
        <v>100000</v>
      </c>
      <c r="L85" s="5">
        <f t="shared" si="21"/>
        <v>100000</v>
      </c>
      <c r="M85" s="5">
        <f t="shared" si="21"/>
        <v>100000</v>
      </c>
      <c r="N85" s="5">
        <f t="shared" si="21"/>
        <v>100000</v>
      </c>
      <c r="O85" s="105"/>
    </row>
    <row r="86" spans="1:15" x14ac:dyDescent="0.25">
      <c r="A86" s="134" t="s">
        <v>12</v>
      </c>
      <c r="B86" s="100"/>
      <c r="C86" s="100"/>
      <c r="D86" s="100"/>
      <c r="E86" s="5">
        <f>+$E$72</f>
        <v>3333.3333333333335</v>
      </c>
      <c r="F86" s="5">
        <f>(F85/30)+E86</f>
        <v>6666.666666666667</v>
      </c>
      <c r="G86" s="5">
        <f t="shared" ref="G86:N86" si="22">(G85/30)+F86</f>
        <v>10000</v>
      </c>
      <c r="H86" s="5">
        <f t="shared" si="22"/>
        <v>13333.333333333334</v>
      </c>
      <c r="I86" s="5">
        <f t="shared" si="22"/>
        <v>16666.666666666668</v>
      </c>
      <c r="J86" s="5">
        <f t="shared" si="22"/>
        <v>20000</v>
      </c>
      <c r="K86" s="5">
        <f t="shared" si="22"/>
        <v>23333.333333333332</v>
      </c>
      <c r="L86" s="5">
        <f t="shared" si="22"/>
        <v>26666.666666666664</v>
      </c>
      <c r="M86" s="5">
        <f t="shared" si="22"/>
        <v>29999.999999999996</v>
      </c>
      <c r="N86" s="5">
        <f t="shared" si="22"/>
        <v>33333.333333333328</v>
      </c>
      <c r="O86" s="105"/>
    </row>
    <row r="87" spans="1:15" x14ac:dyDescent="0.25">
      <c r="A87" s="102"/>
      <c r="B87" s="100"/>
      <c r="C87" s="100"/>
      <c r="D87" s="100"/>
      <c r="E87" s="5"/>
      <c r="F87" s="5"/>
      <c r="G87" s="5"/>
      <c r="H87" s="100"/>
      <c r="I87" s="100"/>
      <c r="J87" s="100"/>
      <c r="K87" s="100"/>
      <c r="L87" s="100"/>
      <c r="M87" s="100"/>
      <c r="N87" s="100"/>
      <c r="O87" s="105"/>
    </row>
    <row r="88" spans="1:15" ht="15.75" thickBot="1" x14ac:dyDescent="0.3">
      <c r="A88" s="102" t="s">
        <v>13</v>
      </c>
      <c r="B88" s="100"/>
      <c r="C88" s="100"/>
      <c r="D88" s="100"/>
      <c r="E88" s="4">
        <f>E82+E83+E84+E85-E86</f>
        <v>178538.1988821101</v>
      </c>
      <c r="F88" s="4">
        <f t="shared" ref="F88:N88" si="23">F82+F83+F84+F85-F86</f>
        <v>185511.4389992934</v>
      </c>
      <c r="G88" s="4">
        <f t="shared" si="23"/>
        <v>193061.20389140409</v>
      </c>
      <c r="H88" s="4">
        <f t="shared" si="23"/>
        <v>201057.39798862769</v>
      </c>
      <c r="I88" s="4">
        <f t="shared" si="23"/>
        <v>202168.34802031313</v>
      </c>
      <c r="J88" s="4">
        <f t="shared" si="23"/>
        <v>213252.81581204731</v>
      </c>
      <c r="K88" s="4">
        <f t="shared" si="23"/>
        <v>223252.01146982372</v>
      </c>
      <c r="L88" s="4">
        <f t="shared" si="23"/>
        <v>233781.60696299773</v>
      </c>
      <c r="M88" s="4">
        <f t="shared" si="23"/>
        <v>244857.75011807377</v>
      </c>
      <c r="N88" s="4">
        <f t="shared" si="23"/>
        <v>256497.07903573068</v>
      </c>
      <c r="O88" s="105"/>
    </row>
    <row r="89" spans="1:15" ht="15.75" thickTop="1" x14ac:dyDescent="0.25">
      <c r="A89" s="102"/>
      <c r="B89" s="100"/>
      <c r="C89" s="100"/>
      <c r="D89" s="100"/>
      <c r="E89" s="5"/>
      <c r="F89" s="5"/>
      <c r="G89" s="5"/>
      <c r="H89" s="100"/>
      <c r="I89" s="100"/>
      <c r="J89" s="100"/>
      <c r="K89" s="59"/>
      <c r="L89" s="100"/>
      <c r="M89" s="100"/>
      <c r="N89" s="100"/>
      <c r="O89" s="105"/>
    </row>
    <row r="90" spans="1:15" x14ac:dyDescent="0.25">
      <c r="A90" s="102" t="s">
        <v>14</v>
      </c>
      <c r="B90" s="100"/>
      <c r="C90" s="100"/>
      <c r="D90" s="100"/>
      <c r="E90" s="5"/>
      <c r="F90" s="5"/>
      <c r="G90" s="5"/>
      <c r="H90" s="100"/>
      <c r="I90" s="100"/>
      <c r="J90" s="100"/>
      <c r="K90" s="100"/>
      <c r="L90" s="100"/>
      <c r="M90" s="100"/>
      <c r="N90" s="100"/>
      <c r="O90" s="105"/>
    </row>
    <row r="91" spans="1:15" x14ac:dyDescent="0.25">
      <c r="A91" s="134" t="s">
        <v>216</v>
      </c>
      <c r="B91" s="100"/>
      <c r="C91" s="100"/>
      <c r="D91" s="100"/>
      <c r="E91" s="5">
        <f>E40</f>
        <v>0</v>
      </c>
      <c r="F91" s="5">
        <f t="shared" ref="F91:N91" si="24">F40</f>
        <v>0</v>
      </c>
      <c r="G91" s="5">
        <f t="shared" si="24"/>
        <v>119.99999999999997</v>
      </c>
      <c r="H91" s="5">
        <f t="shared" si="24"/>
        <v>119.99999999999997</v>
      </c>
      <c r="I91" s="5">
        <f t="shared" si="24"/>
        <v>119.99999999999997</v>
      </c>
      <c r="J91" s="5">
        <f t="shared" si="24"/>
        <v>119.99999999999997</v>
      </c>
      <c r="K91" s="5">
        <f t="shared" si="24"/>
        <v>119.99999999999997</v>
      </c>
      <c r="L91" s="5">
        <f t="shared" si="24"/>
        <v>119.99999999999997</v>
      </c>
      <c r="M91" s="5">
        <f t="shared" si="24"/>
        <v>119.99999999999997</v>
      </c>
      <c r="N91" s="5">
        <f t="shared" si="24"/>
        <v>119.99999999999997</v>
      </c>
      <c r="O91" s="105"/>
    </row>
    <row r="92" spans="1:15" x14ac:dyDescent="0.25">
      <c r="A92" s="134" t="s">
        <v>186</v>
      </c>
      <c r="B92" s="100"/>
      <c r="C92" s="100"/>
      <c r="D92" s="100"/>
      <c r="E92" s="5">
        <f>E77</f>
        <v>2232.5756740175034</v>
      </c>
      <c r="F92" s="5">
        <f t="shared" ref="F92:N92" si="25">F77</f>
        <v>2360.938405040687</v>
      </c>
      <c r="G92" s="5">
        <f t="shared" si="25"/>
        <v>2517.1913628424281</v>
      </c>
      <c r="H92" s="5">
        <f t="shared" si="25"/>
        <v>2653.4521760212401</v>
      </c>
      <c r="I92" s="5">
        <f t="shared" si="25"/>
        <v>1319.8420233680808</v>
      </c>
      <c r="J92" s="5">
        <f t="shared" si="25"/>
        <v>3064.4857408578364</v>
      </c>
      <c r="K92" s="5">
        <f t="shared" si="25"/>
        <v>3213.5119318613606</v>
      </c>
      <c r="L92" s="5">
        <f t="shared" si="25"/>
        <v>3367.0530806749057</v>
      </c>
      <c r="M92" s="5">
        <f t="shared" si="25"/>
        <v>3525.2456694667317</v>
      </c>
      <c r="N92" s="5">
        <f t="shared" si="25"/>
        <v>3688.2302987435978</v>
      </c>
      <c r="O92" s="105"/>
    </row>
    <row r="93" spans="1:15" x14ac:dyDescent="0.25">
      <c r="A93" s="134" t="s">
        <v>15</v>
      </c>
      <c r="B93" s="100"/>
      <c r="C93" s="100"/>
      <c r="D93" s="100"/>
      <c r="E93" s="5">
        <f>Mortgage!L28</f>
        <v>116405.3205120225</v>
      </c>
      <c r="F93" s="5">
        <f>Mortgage!L40</f>
        <v>113806.44427802</v>
      </c>
      <c r="G93" s="5">
        <f>Mortgage!L52</f>
        <v>111131.1907609592</v>
      </c>
      <c r="H93" s="141">
        <f>Mortgage!L64</f>
        <v>108377.315340919</v>
      </c>
      <c r="I93" s="141">
        <f>Mortgage!L76</f>
        <v>105542.50743178533</v>
      </c>
      <c r="J93" s="141">
        <f>Mortgage!L88</f>
        <v>102624.38854259842</v>
      </c>
      <c r="K93" s="141">
        <f>Mortgage!L100</f>
        <v>99620.510281925817</v>
      </c>
      <c r="L93" s="141">
        <f>Mortgage!L112</f>
        <v>96528.352303586682</v>
      </c>
      <c r="M93" s="141">
        <f>Mortgage!L124</f>
        <v>93345.320192003899</v>
      </c>
      <c r="N93" s="141">
        <f>Mortgage!L136</f>
        <v>90068.743285409611</v>
      </c>
      <c r="O93" s="105"/>
    </row>
    <row r="94" spans="1:15" x14ac:dyDescent="0.25">
      <c r="A94" s="134" t="s">
        <v>16</v>
      </c>
      <c r="B94" s="100"/>
      <c r="C94" s="100"/>
      <c r="D94" s="100"/>
      <c r="E94" s="57"/>
      <c r="F94" s="57"/>
      <c r="G94" s="57"/>
      <c r="H94" s="142"/>
      <c r="I94" s="55"/>
      <c r="J94" s="55"/>
      <c r="K94" s="55"/>
      <c r="L94" s="55"/>
      <c r="M94" s="55"/>
      <c r="N94" s="55"/>
      <c r="O94" s="105"/>
    </row>
    <row r="95" spans="1:15" x14ac:dyDescent="0.25">
      <c r="A95" s="134"/>
      <c r="B95" s="100"/>
      <c r="C95" s="100"/>
      <c r="D95" s="100"/>
      <c r="E95" s="5"/>
      <c r="F95" s="5"/>
      <c r="G95" s="5"/>
      <c r="H95" s="100"/>
      <c r="I95" s="100"/>
      <c r="J95" s="100"/>
      <c r="K95" s="100"/>
      <c r="L95" s="100"/>
      <c r="M95" s="100"/>
      <c r="N95" s="100"/>
      <c r="O95" s="105"/>
    </row>
    <row r="96" spans="1:15" x14ac:dyDescent="0.25">
      <c r="A96" s="134" t="s">
        <v>181</v>
      </c>
      <c r="B96" s="100"/>
      <c r="C96" s="100"/>
      <c r="D96" s="100"/>
      <c r="E96" s="5">
        <f>$F$44</f>
        <v>50970</v>
      </c>
      <c r="F96" s="5">
        <f t="shared" ref="F96:N96" si="26">$F$44</f>
        <v>50970</v>
      </c>
      <c r="G96" s="5">
        <f t="shared" si="26"/>
        <v>50970</v>
      </c>
      <c r="H96" s="5">
        <f t="shared" si="26"/>
        <v>50970</v>
      </c>
      <c r="I96" s="5">
        <f t="shared" si="26"/>
        <v>50970</v>
      </c>
      <c r="J96" s="5">
        <f t="shared" si="26"/>
        <v>50970</v>
      </c>
      <c r="K96" s="5">
        <f t="shared" si="26"/>
        <v>50970</v>
      </c>
      <c r="L96" s="5">
        <f t="shared" si="26"/>
        <v>50970</v>
      </c>
      <c r="M96" s="5">
        <f t="shared" si="26"/>
        <v>50970</v>
      </c>
      <c r="N96" s="5">
        <f t="shared" si="26"/>
        <v>50970</v>
      </c>
      <c r="O96" s="105"/>
    </row>
    <row r="97" spans="1:15" x14ac:dyDescent="0.25">
      <c r="A97" s="134" t="s">
        <v>17</v>
      </c>
      <c r="B97" s="100"/>
      <c r="C97" s="100"/>
      <c r="D97" s="100"/>
      <c r="E97" s="5">
        <f>+E78</f>
        <v>8930.3026960700136</v>
      </c>
      <c r="F97" s="5">
        <f>E97+F78</f>
        <v>18374.05631623276</v>
      </c>
      <c r="G97" s="5">
        <f>F97+G78</f>
        <v>28442.821767602472</v>
      </c>
      <c r="H97" s="5">
        <f t="shared" ref="H97:N97" si="27">G97+H78</f>
        <v>39056.630471687429</v>
      </c>
      <c r="I97" s="5">
        <f t="shared" si="27"/>
        <v>44335.998565159753</v>
      </c>
      <c r="J97" s="5">
        <f t="shared" si="27"/>
        <v>56593.941528591095</v>
      </c>
      <c r="K97" s="5">
        <f t="shared" si="27"/>
        <v>69447.989256036541</v>
      </c>
      <c r="L97" s="5">
        <f t="shared" si="27"/>
        <v>82916.20157873616</v>
      </c>
      <c r="M97" s="5">
        <f t="shared" si="27"/>
        <v>97017.184256603083</v>
      </c>
      <c r="N97" s="5">
        <f t="shared" si="27"/>
        <v>111770.10545157747</v>
      </c>
      <c r="O97" s="105"/>
    </row>
    <row r="98" spans="1:15" x14ac:dyDescent="0.25">
      <c r="A98" s="102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5"/>
    </row>
    <row r="99" spans="1:15" ht="15.75" thickBot="1" x14ac:dyDescent="0.3">
      <c r="A99" s="78" t="s">
        <v>18</v>
      </c>
      <c r="B99" s="100"/>
      <c r="C99" s="100"/>
      <c r="D99" s="100"/>
      <c r="E99" s="4">
        <f>+SUM(E92:E97)</f>
        <v>178538.19888211004</v>
      </c>
      <c r="F99" s="4">
        <f t="shared" ref="F99:N99" si="28">+SUM(F92:F97)</f>
        <v>185511.43899929343</v>
      </c>
      <c r="G99" s="4">
        <f t="shared" si="28"/>
        <v>193061.20389140409</v>
      </c>
      <c r="H99" s="4">
        <f t="shared" si="28"/>
        <v>201057.39798862766</v>
      </c>
      <c r="I99" s="4">
        <f t="shared" si="28"/>
        <v>202168.34802031313</v>
      </c>
      <c r="J99" s="4">
        <f t="shared" si="28"/>
        <v>213252.81581204734</v>
      </c>
      <c r="K99" s="4">
        <f t="shared" si="28"/>
        <v>223252.01146982372</v>
      </c>
      <c r="L99" s="4">
        <f t="shared" si="28"/>
        <v>233781.60696299773</v>
      </c>
      <c r="M99" s="4">
        <f t="shared" si="28"/>
        <v>244857.75011807372</v>
      </c>
      <c r="N99" s="4">
        <f t="shared" si="28"/>
        <v>256497.07903573068</v>
      </c>
      <c r="O99" s="105"/>
    </row>
    <row r="100" spans="1:15" ht="15.75" thickTop="1" x14ac:dyDescent="0.25">
      <c r="A100" s="102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5"/>
    </row>
    <row r="101" spans="1:15" ht="15.75" thickBot="1" x14ac:dyDescent="0.3">
      <c r="A101" s="143" t="s">
        <v>104</v>
      </c>
      <c r="B101" s="58"/>
      <c r="C101" s="58"/>
      <c r="D101" s="58"/>
      <c r="E101" s="144">
        <f>+E88-E99</f>
        <v>0</v>
      </c>
      <c r="F101" s="144">
        <f t="shared" ref="F101:N101" si="29">+F88-F99</f>
        <v>0</v>
      </c>
      <c r="G101" s="144">
        <f t="shared" si="29"/>
        <v>0</v>
      </c>
      <c r="H101" s="144">
        <f t="shared" si="29"/>
        <v>0</v>
      </c>
      <c r="I101" s="144">
        <f t="shared" si="29"/>
        <v>0</v>
      </c>
      <c r="J101" s="144">
        <f t="shared" si="29"/>
        <v>0</v>
      </c>
      <c r="K101" s="144">
        <f t="shared" si="29"/>
        <v>0</v>
      </c>
      <c r="L101" s="144">
        <f t="shared" si="29"/>
        <v>0</v>
      </c>
      <c r="M101" s="144">
        <f t="shared" si="29"/>
        <v>0</v>
      </c>
      <c r="N101" s="144">
        <f t="shared" si="29"/>
        <v>0</v>
      </c>
      <c r="O101" s="145"/>
    </row>
    <row r="102" spans="1:15" ht="15.75" thickBot="1" x14ac:dyDescent="0.3"/>
    <row r="103" spans="1:15" ht="16.5" customHeight="1" x14ac:dyDescent="0.25">
      <c r="B103" s="205" t="s">
        <v>234</v>
      </c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7"/>
    </row>
    <row r="104" spans="1:15" ht="16.5" customHeight="1" x14ac:dyDescent="0.25">
      <c r="B104" s="102" t="s">
        <v>149</v>
      </c>
      <c r="C104" s="100"/>
      <c r="D104" s="59">
        <f t="shared" ref="D104:M104" si="30">SUM(E62:E67)+SUM(E72:E74)+E77</f>
        <v>13239.697303929986</v>
      </c>
      <c r="E104" s="59">
        <f t="shared" si="30"/>
        <v>13338.246379837252</v>
      </c>
      <c r="F104" s="59">
        <f t="shared" si="30"/>
        <v>13463.59454863029</v>
      </c>
      <c r="G104" s="59">
        <f t="shared" si="30"/>
        <v>13567.822095915046</v>
      </c>
      <c r="H104" s="59">
        <f t="shared" si="30"/>
        <v>12201.011630527679</v>
      </c>
      <c r="I104" s="59">
        <f t="shared" si="30"/>
        <v>13911.248152288659</v>
      </c>
      <c r="J104" s="59">
        <f t="shared" si="30"/>
        <v>14024.619121746167</v>
      </c>
      <c r="K104" s="59">
        <f t="shared" si="30"/>
        <v>14141.214531967729</v>
      </c>
      <c r="L104" s="59">
        <f t="shared" si="30"/>
        <v>14261.126982440455</v>
      </c>
      <c r="M104" s="103">
        <f t="shared" si="30"/>
        <v>14384.451755142207</v>
      </c>
    </row>
    <row r="105" spans="1:15" x14ac:dyDescent="0.25">
      <c r="B105" s="102" t="s">
        <v>150</v>
      </c>
      <c r="C105" s="100"/>
      <c r="D105" s="59">
        <f>($E$24*3)+$E$25+$E$26</f>
        <v>1350</v>
      </c>
      <c r="E105" s="59">
        <f t="shared" ref="E105:M105" si="31">($E$24*3)+$E$25+$E$26</f>
        <v>1350</v>
      </c>
      <c r="F105" s="59">
        <f t="shared" si="31"/>
        <v>1350</v>
      </c>
      <c r="G105" s="59">
        <f t="shared" si="31"/>
        <v>1350</v>
      </c>
      <c r="H105" s="59">
        <f t="shared" si="31"/>
        <v>1350</v>
      </c>
      <c r="I105" s="59">
        <f t="shared" si="31"/>
        <v>1350</v>
      </c>
      <c r="J105" s="59">
        <f t="shared" si="31"/>
        <v>1350</v>
      </c>
      <c r="K105" s="59">
        <f t="shared" si="31"/>
        <v>1350</v>
      </c>
      <c r="L105" s="59">
        <f t="shared" si="31"/>
        <v>1350</v>
      </c>
      <c r="M105" s="103">
        <f t="shared" si="31"/>
        <v>1350</v>
      </c>
    </row>
    <row r="106" spans="1:15" x14ac:dyDescent="0.25">
      <c r="B106" s="104" t="s">
        <v>153</v>
      </c>
      <c r="C106" s="115"/>
      <c r="D106" s="59">
        <f>D104-D105</f>
        <v>11889.697303929986</v>
      </c>
      <c r="E106" s="59">
        <f t="shared" ref="E106:M106" si="32">E104-E105</f>
        <v>11988.246379837252</v>
      </c>
      <c r="F106" s="59">
        <f t="shared" si="32"/>
        <v>12113.59454863029</v>
      </c>
      <c r="G106" s="59">
        <f t="shared" si="32"/>
        <v>12217.822095915046</v>
      </c>
      <c r="H106" s="59">
        <f t="shared" si="32"/>
        <v>10851.011630527679</v>
      </c>
      <c r="I106" s="59">
        <f t="shared" si="32"/>
        <v>12561.248152288659</v>
      </c>
      <c r="J106" s="59">
        <f t="shared" si="32"/>
        <v>12674.619121746167</v>
      </c>
      <c r="K106" s="59">
        <f t="shared" si="32"/>
        <v>12791.214531967729</v>
      </c>
      <c r="L106" s="59">
        <f t="shared" si="32"/>
        <v>12911.126982440455</v>
      </c>
      <c r="M106" s="103">
        <f t="shared" si="32"/>
        <v>13034.451755142207</v>
      </c>
    </row>
    <row r="107" spans="1:15" x14ac:dyDescent="0.25">
      <c r="B107" s="102"/>
      <c r="C107" s="100"/>
      <c r="D107" s="100"/>
      <c r="E107" s="100" t="s">
        <v>151</v>
      </c>
      <c r="F107" s="100" t="s">
        <v>152</v>
      </c>
      <c r="G107" s="100" t="s">
        <v>27</v>
      </c>
      <c r="H107" s="100"/>
      <c r="I107" s="100"/>
      <c r="J107" s="100"/>
      <c r="K107" s="100"/>
      <c r="L107" s="100"/>
      <c r="M107" s="105"/>
    </row>
    <row r="108" spans="1:15" x14ac:dyDescent="0.25">
      <c r="B108" s="102"/>
      <c r="C108" s="100"/>
      <c r="D108" s="100"/>
      <c r="E108" s="101">
        <f>((E16*E19*E20*3)/E56)/3</f>
        <v>0.29411764705882354</v>
      </c>
      <c r="F108" s="101">
        <f>+(E17*E19*E21)/E56</f>
        <v>7.3529411764705885E-2</v>
      </c>
      <c r="G108" s="101">
        <f>+(E18*E19*E21)/E56</f>
        <v>4.4117647058823532E-2</v>
      </c>
      <c r="H108" s="100"/>
      <c r="I108" s="100"/>
      <c r="J108" s="100"/>
      <c r="K108" s="100"/>
      <c r="L108" s="100"/>
      <c r="M108" s="105"/>
    </row>
    <row r="109" spans="1:15" x14ac:dyDescent="0.25">
      <c r="B109" s="102"/>
      <c r="C109" s="100"/>
      <c r="D109" s="199">
        <v>2013</v>
      </c>
      <c r="E109" s="200">
        <v>2014</v>
      </c>
      <c r="F109" s="199">
        <v>2015</v>
      </c>
      <c r="G109" s="200">
        <v>2016</v>
      </c>
      <c r="H109" s="199">
        <v>2017</v>
      </c>
      <c r="I109" s="200">
        <v>2018</v>
      </c>
      <c r="J109" s="199">
        <v>2019</v>
      </c>
      <c r="K109" s="200">
        <v>2020</v>
      </c>
      <c r="L109" s="199">
        <v>2021</v>
      </c>
      <c r="M109" s="201">
        <v>2022</v>
      </c>
    </row>
    <row r="110" spans="1:15" x14ac:dyDescent="0.25">
      <c r="B110" s="102"/>
      <c r="C110" s="100" t="s">
        <v>154</v>
      </c>
      <c r="D110" s="100" t="s">
        <v>155</v>
      </c>
      <c r="E110" s="100"/>
      <c r="F110" s="100"/>
      <c r="G110" s="100"/>
      <c r="H110" s="100"/>
      <c r="I110" s="100"/>
      <c r="J110" s="100"/>
      <c r="K110" s="100"/>
      <c r="L110" s="100"/>
      <c r="M110" s="105"/>
    </row>
    <row r="111" spans="1:15" x14ac:dyDescent="0.25">
      <c r="B111" s="102"/>
      <c r="C111" s="106" t="s">
        <v>151</v>
      </c>
      <c r="D111" s="107">
        <f>(D106*$E$108)/8</f>
        <v>437.12122440919069</v>
      </c>
      <c r="E111" s="107">
        <f t="shared" ref="E111:M111" si="33">(E106*$E$108)/8</f>
        <v>440.74435219989897</v>
      </c>
      <c r="F111" s="107">
        <f t="shared" si="33"/>
        <v>445.35274075846655</v>
      </c>
      <c r="G111" s="107">
        <f t="shared" si="33"/>
        <v>449.18463587922963</v>
      </c>
      <c r="H111" s="107">
        <f t="shared" si="33"/>
        <v>398.93425112234115</v>
      </c>
      <c r="I111" s="107">
        <f t="shared" si="33"/>
        <v>461.81059383414191</v>
      </c>
      <c r="J111" s="107">
        <f t="shared" si="33"/>
        <v>465.9786441818444</v>
      </c>
      <c r="K111" s="107">
        <f t="shared" si="33"/>
        <v>470.26524014587244</v>
      </c>
      <c r="L111" s="107">
        <f t="shared" si="33"/>
        <v>474.67378611913438</v>
      </c>
      <c r="M111" s="108">
        <f t="shared" si="33"/>
        <v>479.20778511552231</v>
      </c>
    </row>
    <row r="112" spans="1:15" x14ac:dyDescent="0.25">
      <c r="B112" s="102"/>
      <c r="C112" s="106" t="s">
        <v>152</v>
      </c>
      <c r="D112" s="107">
        <f t="shared" ref="D112:M112" si="34">(D106*$F$108)/8</f>
        <v>109.28030610229767</v>
      </c>
      <c r="E112" s="107">
        <f t="shared" si="34"/>
        <v>110.18608804997474</v>
      </c>
      <c r="F112" s="107">
        <f t="shared" si="34"/>
        <v>111.33818518961664</v>
      </c>
      <c r="G112" s="107">
        <f t="shared" si="34"/>
        <v>112.29615896980741</v>
      </c>
      <c r="H112" s="107">
        <f t="shared" si="34"/>
        <v>99.733562780585288</v>
      </c>
      <c r="I112" s="107">
        <f t="shared" si="34"/>
        <v>115.45264845853548</v>
      </c>
      <c r="J112" s="107">
        <f t="shared" si="34"/>
        <v>116.4946610454611</v>
      </c>
      <c r="K112" s="107">
        <f t="shared" si="34"/>
        <v>117.56631003646811</v>
      </c>
      <c r="L112" s="107">
        <f t="shared" si="34"/>
        <v>118.66844652978359</v>
      </c>
      <c r="M112" s="108">
        <f t="shared" si="34"/>
        <v>119.80194627888058</v>
      </c>
    </row>
    <row r="113" spans="2:13" ht="15.75" thickBot="1" x14ac:dyDescent="0.3">
      <c r="B113" s="109"/>
      <c r="C113" s="110" t="s">
        <v>27</v>
      </c>
      <c r="D113" s="111">
        <f t="shared" ref="D113:M113" si="35">(D106*$G$108)/8</f>
        <v>65.568183661378612</v>
      </c>
      <c r="E113" s="111">
        <f t="shared" si="35"/>
        <v>66.111652829984848</v>
      </c>
      <c r="F113" s="111">
        <f t="shared" si="35"/>
        <v>66.80291111376998</v>
      </c>
      <c r="G113" s="111">
        <f t="shared" si="35"/>
        <v>67.37769538188445</v>
      </c>
      <c r="H113" s="111">
        <f t="shared" si="35"/>
        <v>59.840137668351176</v>
      </c>
      <c r="I113" s="111">
        <f t="shared" si="35"/>
        <v>69.271589075121284</v>
      </c>
      <c r="J113" s="111">
        <f t="shared" si="35"/>
        <v>69.896796627276657</v>
      </c>
      <c r="K113" s="111">
        <f t="shared" si="35"/>
        <v>70.539786021880857</v>
      </c>
      <c r="L113" s="111">
        <f t="shared" si="35"/>
        <v>71.201067917870162</v>
      </c>
      <c r="M113" s="112">
        <f t="shared" si="35"/>
        <v>71.88116776732835</v>
      </c>
    </row>
    <row r="114" spans="2:13" x14ac:dyDescent="0.25">
      <c r="B114" s="205" t="s">
        <v>237</v>
      </c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7"/>
    </row>
    <row r="115" spans="2:13" x14ac:dyDescent="0.25">
      <c r="B115" s="102"/>
      <c r="C115" s="100" t="s">
        <v>106</v>
      </c>
      <c r="D115" s="202">
        <f>SUM(E82:E83)/(E92+E91+Mortgage!$H$10)</f>
        <v>1.4647940188899724</v>
      </c>
      <c r="E115" s="202">
        <f>SUM(F82:F83)/(F92+F91+Mortgage!$H$10)</f>
        <v>2.6837191074566862</v>
      </c>
      <c r="F115" s="202">
        <f>SUM(G82:G83)/(G92+G91+Mortgage!$H$10)</f>
        <v>3.8660870686232864</v>
      </c>
      <c r="G115" s="202">
        <f>SUM(H82:H83)/(H92+H91+Mortgage!$H$10)</f>
        <v>5.1058252414862348</v>
      </c>
      <c r="H115" s="202">
        <f>SUM(I82:I83)/(I92+I91+Mortgage!$H$10)</f>
        <v>6.630662139258904</v>
      </c>
      <c r="I115" s="202">
        <f>SUM(J82:J83)/(J92+J91+Mortgage!$H$10)</f>
        <v>6.9429618713092385</v>
      </c>
      <c r="J115" s="202">
        <f>SUM(K82:K83)/(K92+K91+Mortgage!$H$10)</f>
        <v>8.2690496375922891</v>
      </c>
      <c r="K115" s="202">
        <f>SUM(L82:L83)/(L92+L91+Mortgage!$H$10)</f>
        <v>9.6048787268513482</v>
      </c>
      <c r="L115" s="202">
        <f>SUM(M82:M83)/(M92+M91+Mortgage!$H$10)</f>
        <v>10.94962211690593</v>
      </c>
      <c r="M115" s="204">
        <f>SUM(N82:N83)/(N92+N91+Mortgage!$H$10)</f>
        <v>12.302450217896839</v>
      </c>
    </row>
    <row r="116" spans="2:13" x14ac:dyDescent="0.25">
      <c r="B116" s="102"/>
      <c r="C116" s="115" t="s">
        <v>105</v>
      </c>
      <c r="D116" s="113">
        <f t="shared" ref="D116:M116" si="36">E78/E88</f>
        <v>5.0019002947188626E-2</v>
      </c>
      <c r="E116" s="113">
        <f t="shared" si="36"/>
        <v>5.0906583826341396E-2</v>
      </c>
      <c r="F116" s="113">
        <f t="shared" si="36"/>
        <v>5.2153230418232235E-2</v>
      </c>
      <c r="G116" s="113">
        <f t="shared" si="36"/>
        <v>5.2789943619410133E-2</v>
      </c>
      <c r="H116" s="113">
        <f t="shared" si="36"/>
        <v>2.6113722277346166E-2</v>
      </c>
      <c r="I116" s="113">
        <f t="shared" si="36"/>
        <v>5.748080238356626E-2</v>
      </c>
      <c r="J116" s="113">
        <f t="shared" si="36"/>
        <v>5.7576402751394175E-2</v>
      </c>
      <c r="K116" s="113">
        <f t="shared" si="36"/>
        <v>5.7610230751948474E-2</v>
      </c>
      <c r="L116" s="113">
        <f t="shared" si="36"/>
        <v>5.758846788009462E-2</v>
      </c>
      <c r="M116" s="114">
        <f t="shared" si="36"/>
        <v>5.7516916958416014E-2</v>
      </c>
    </row>
    <row r="117" spans="2:13" ht="15.75" thickBot="1" x14ac:dyDescent="0.3">
      <c r="B117" s="109"/>
      <c r="C117" s="116" t="s">
        <v>156</v>
      </c>
      <c r="D117" s="111">
        <f t="shared" ref="D117:M117" si="37">(E93+E94)/E88</f>
        <v>0.65199112145679072</v>
      </c>
      <c r="E117" s="111">
        <f t="shared" si="37"/>
        <v>0.61347399864896468</v>
      </c>
      <c r="F117" s="111">
        <f t="shared" si="37"/>
        <v>0.57562673660457386</v>
      </c>
      <c r="G117" s="111">
        <f t="shared" si="37"/>
        <v>0.53903669511852081</v>
      </c>
      <c r="H117" s="111">
        <f t="shared" si="37"/>
        <v>0.52205257878043698</v>
      </c>
      <c r="I117" s="111">
        <f t="shared" si="37"/>
        <v>0.48123345125274941</v>
      </c>
      <c r="J117" s="111">
        <f t="shared" si="37"/>
        <v>0.44622446904757773</v>
      </c>
      <c r="K117" s="111">
        <f t="shared" si="37"/>
        <v>0.41289968683834444</v>
      </c>
      <c r="L117" s="111">
        <f t="shared" si="37"/>
        <v>0.38122264926060745</v>
      </c>
      <c r="M117" s="112">
        <f t="shared" si="37"/>
        <v>0.35114919680181939</v>
      </c>
    </row>
    <row r="118" spans="2:13" ht="15.75" thickBot="1" x14ac:dyDescent="0.3"/>
    <row r="119" spans="2:13" x14ac:dyDescent="0.25">
      <c r="B119" s="205" t="s">
        <v>224</v>
      </c>
      <c r="C119" s="206"/>
      <c r="D119" s="206"/>
      <c r="E119" s="206"/>
      <c r="F119" s="206"/>
      <c r="G119" s="206"/>
      <c r="H119" s="207"/>
    </row>
    <row r="120" spans="2:13" x14ac:dyDescent="0.25">
      <c r="B120" s="118" t="s">
        <v>157</v>
      </c>
      <c r="C120" s="119"/>
      <c r="D120" s="120"/>
      <c r="E120" s="62"/>
      <c r="F120" s="63" t="s">
        <v>158</v>
      </c>
      <c r="G120" s="64"/>
      <c r="H120" s="121">
        <f>D122+D121*(D123-D122)</f>
        <v>7.6550000000000007E-2</v>
      </c>
    </row>
    <row r="121" spans="2:13" x14ac:dyDescent="0.25">
      <c r="B121" s="60" t="s">
        <v>159</v>
      </c>
      <c r="C121" s="61"/>
      <c r="D121" s="122">
        <v>0.72</v>
      </c>
      <c r="E121" s="62"/>
      <c r="F121" s="63" t="s">
        <v>160</v>
      </c>
      <c r="G121" s="64"/>
      <c r="H121" s="65">
        <f>((D124/H122)*D128)+((D125/H122)*D129)</f>
        <v>2.9000000000000001E-2</v>
      </c>
      <c r="I121" s="88"/>
      <c r="J121" s="117"/>
      <c r="K121" s="89"/>
    </row>
    <row r="122" spans="2:13" x14ac:dyDescent="0.25">
      <c r="B122" s="66" t="s">
        <v>161</v>
      </c>
      <c r="C122" s="67"/>
      <c r="D122" s="123">
        <v>1.6250000000000001E-2</v>
      </c>
      <c r="E122" s="62"/>
      <c r="F122" s="68" t="s">
        <v>162</v>
      </c>
      <c r="G122" s="69"/>
      <c r="H122" s="70">
        <f>D125+D124</f>
        <v>116405.3205120225</v>
      </c>
      <c r="I122" s="88"/>
      <c r="J122" s="117"/>
      <c r="K122" s="89"/>
    </row>
    <row r="123" spans="2:13" x14ac:dyDescent="0.25">
      <c r="B123" s="71" t="s">
        <v>163</v>
      </c>
      <c r="C123" s="72"/>
      <c r="D123" s="124">
        <v>0.1</v>
      </c>
      <c r="E123" s="62"/>
      <c r="F123" s="63" t="s">
        <v>164</v>
      </c>
      <c r="G123" s="64"/>
      <c r="H123" s="73">
        <f>D126+D127</f>
        <v>59900.302696070015</v>
      </c>
      <c r="I123" s="88"/>
      <c r="J123" s="117"/>
      <c r="K123" s="88"/>
    </row>
    <row r="124" spans="2:13" x14ac:dyDescent="0.25">
      <c r="B124" s="60" t="s">
        <v>165</v>
      </c>
      <c r="C124" s="61"/>
      <c r="D124" s="125">
        <f>E94</f>
        <v>0</v>
      </c>
      <c r="E124" s="74"/>
      <c r="F124" s="75" t="s">
        <v>166</v>
      </c>
      <c r="G124" s="76"/>
      <c r="H124" s="77">
        <f>H122+H123</f>
        <v>176305.62320809253</v>
      </c>
      <c r="J124" s="88"/>
      <c r="K124" s="88"/>
      <c r="L124" s="88"/>
    </row>
    <row r="125" spans="2:13" x14ac:dyDescent="0.25">
      <c r="B125" s="78" t="s">
        <v>15</v>
      </c>
      <c r="C125" s="64"/>
      <c r="D125" s="126">
        <f>E93</f>
        <v>116405.3205120225</v>
      </c>
      <c r="E125" s="74"/>
      <c r="F125" s="187" t="s">
        <v>167</v>
      </c>
      <c r="G125" s="188"/>
      <c r="H125" s="189">
        <v>0.5</v>
      </c>
    </row>
    <row r="126" spans="2:13" x14ac:dyDescent="0.25">
      <c r="B126" s="78" t="s">
        <v>168</v>
      </c>
      <c r="C126" s="64"/>
      <c r="D126" s="126">
        <f>E96</f>
        <v>50970</v>
      </c>
      <c r="E126" s="74"/>
      <c r="F126" s="187" t="s">
        <v>169</v>
      </c>
      <c r="G126" s="188"/>
      <c r="H126" s="189">
        <v>0.5</v>
      </c>
    </row>
    <row r="127" spans="2:13" x14ac:dyDescent="0.25">
      <c r="B127" s="78" t="s">
        <v>17</v>
      </c>
      <c r="C127" s="64"/>
      <c r="D127" s="126">
        <f>E97</f>
        <v>8930.3026960700136</v>
      </c>
      <c r="E127" s="62"/>
      <c r="F127" s="171" t="s">
        <v>170</v>
      </c>
      <c r="G127" s="172"/>
      <c r="H127" s="79">
        <f>((D131*H121)*(1-D130))</f>
        <v>1.5317738519839584E-2</v>
      </c>
    </row>
    <row r="128" spans="2:13" x14ac:dyDescent="0.25">
      <c r="B128" s="78" t="s">
        <v>171</v>
      </c>
      <c r="C128" s="64"/>
      <c r="D128" s="123">
        <f>'Rate Assumptions'!B2</f>
        <v>0.03</v>
      </c>
      <c r="E128" s="62"/>
      <c r="F128" s="179" t="s">
        <v>172</v>
      </c>
      <c r="G128" s="180"/>
      <c r="H128" s="80">
        <f>(D132*H120)</f>
        <v>2.6008065358029311E-2</v>
      </c>
    </row>
    <row r="129" spans="2:12" x14ac:dyDescent="0.25">
      <c r="B129" s="78" t="s">
        <v>15</v>
      </c>
      <c r="C129" s="64"/>
      <c r="D129" s="123">
        <f>'Rate Assumptions'!B1</f>
        <v>2.9000000000000001E-2</v>
      </c>
      <c r="E129" s="62"/>
      <c r="F129" s="182" t="s">
        <v>173</v>
      </c>
      <c r="G129" s="183"/>
      <c r="H129" s="184">
        <f>H127+H128</f>
        <v>4.1325803877868897E-2</v>
      </c>
    </row>
    <row r="130" spans="2:12" x14ac:dyDescent="0.25">
      <c r="B130" s="78" t="s">
        <v>174</v>
      </c>
      <c r="C130" s="64"/>
      <c r="D130" s="127">
        <f>'Rate Assumptions'!B4</f>
        <v>0.2</v>
      </c>
      <c r="E130" s="62"/>
      <c r="F130" s="171" t="s">
        <v>236</v>
      </c>
      <c r="G130" s="172"/>
      <c r="H130" s="173">
        <f>D121/((1+(1-D130)*(D131/D132)))</f>
        <v>0.28183853750810972</v>
      </c>
    </row>
    <row r="131" spans="2:12" x14ac:dyDescent="0.25">
      <c r="B131" s="81" t="s">
        <v>175</v>
      </c>
      <c r="C131" s="69"/>
      <c r="D131" s="190">
        <f>H122/H124</f>
        <v>0.66024734999308543</v>
      </c>
      <c r="E131" s="62"/>
      <c r="F131" s="174" t="s">
        <v>235</v>
      </c>
      <c r="G131" s="175"/>
      <c r="H131" s="181">
        <f>(1+(1-D130)*(H125/H126))*H130</f>
        <v>0.50730936751459754</v>
      </c>
    </row>
    <row r="132" spans="2:12" x14ac:dyDescent="0.25">
      <c r="B132" s="82" t="s">
        <v>176</v>
      </c>
      <c r="C132" s="76"/>
      <c r="D132" s="191">
        <f>H123/H124</f>
        <v>0.33975265000691457</v>
      </c>
      <c r="E132" s="62"/>
      <c r="F132" s="176" t="s">
        <v>177</v>
      </c>
      <c r="G132" s="177"/>
      <c r="H132" s="178">
        <f>H131*(D123-D122)+D122</f>
        <v>5.8737159529347549E-2</v>
      </c>
      <c r="I132" t="s">
        <v>32</v>
      </c>
    </row>
    <row r="133" spans="2:12" x14ac:dyDescent="0.25">
      <c r="B133" s="66" t="s">
        <v>178</v>
      </c>
      <c r="C133" s="67"/>
      <c r="D133" s="83">
        <f>(D123-D122)*D121</f>
        <v>6.0299999999999999E-2</v>
      </c>
      <c r="E133" s="62"/>
      <c r="F133" s="171" t="s">
        <v>167</v>
      </c>
      <c r="G133" s="172"/>
      <c r="H133" s="79">
        <f>(H125*H121)*(1-D130)</f>
        <v>1.1600000000000001E-2</v>
      </c>
    </row>
    <row r="134" spans="2:12" x14ac:dyDescent="0.25">
      <c r="B134" s="66" t="s">
        <v>179</v>
      </c>
      <c r="C134" s="67"/>
      <c r="D134" s="83">
        <f>D133+D122</f>
        <v>7.6550000000000007E-2</v>
      </c>
      <c r="E134" s="62"/>
      <c r="F134" s="179" t="s">
        <v>169</v>
      </c>
      <c r="G134" s="180"/>
      <c r="H134" s="80">
        <f>H126*H132</f>
        <v>2.9368579764673775E-2</v>
      </c>
    </row>
    <row r="135" spans="2:12" ht="15.75" thickBot="1" x14ac:dyDescent="0.3">
      <c r="B135" s="84"/>
      <c r="C135" s="85"/>
      <c r="D135" s="86"/>
      <c r="E135" s="87"/>
      <c r="F135" s="185" t="s">
        <v>180</v>
      </c>
      <c r="G135" s="186"/>
      <c r="H135" s="196">
        <f>H133+H134</f>
        <v>4.0968579764673774E-2</v>
      </c>
    </row>
    <row r="136" spans="2:12" s="31" customFormat="1" ht="15.75" thickBot="1" x14ac:dyDescent="0.3">
      <c r="B136" s="164"/>
      <c r="C136" s="165"/>
      <c r="D136" s="154"/>
      <c r="E136" s="154"/>
      <c r="F136" s="166"/>
      <c r="G136" s="166"/>
      <c r="H136" s="80"/>
    </row>
    <row r="137" spans="2:12" x14ac:dyDescent="0.25">
      <c r="B137" s="205" t="s">
        <v>223</v>
      </c>
      <c r="C137" s="206"/>
      <c r="D137" s="206"/>
      <c r="E137" s="206"/>
      <c r="F137" s="206"/>
      <c r="G137" s="206"/>
      <c r="H137" s="207"/>
    </row>
    <row r="138" spans="2:12" x14ac:dyDescent="0.25">
      <c r="B138" s="118" t="s">
        <v>157</v>
      </c>
      <c r="C138" s="119"/>
      <c r="D138" s="120"/>
      <c r="E138" s="62"/>
      <c r="F138" s="63" t="s">
        <v>158</v>
      </c>
      <c r="G138" s="64"/>
      <c r="H138" s="121">
        <f>D140+D139*(D141-D140)</f>
        <v>7.6550000000000007E-2</v>
      </c>
    </row>
    <row r="139" spans="2:12" x14ac:dyDescent="0.25">
      <c r="B139" s="60" t="s">
        <v>159</v>
      </c>
      <c r="C139" s="61"/>
      <c r="D139" s="122">
        <v>0.72</v>
      </c>
      <c r="E139" s="62"/>
      <c r="F139" s="63" t="s">
        <v>160</v>
      </c>
      <c r="G139" s="64"/>
      <c r="H139" s="65">
        <f>((D142/H140)*D146)+((D143/H140)*D147)</f>
        <v>2.9000000000000001E-2</v>
      </c>
      <c r="I139" s="88"/>
      <c r="J139" s="117"/>
      <c r="K139" s="89"/>
    </row>
    <row r="140" spans="2:12" x14ac:dyDescent="0.25">
      <c r="B140" s="66" t="s">
        <v>161</v>
      </c>
      <c r="C140" s="67"/>
      <c r="D140" s="123">
        <v>1.6250000000000001E-2</v>
      </c>
      <c r="E140" s="62"/>
      <c r="F140" s="68" t="s">
        <v>162</v>
      </c>
      <c r="G140" s="69"/>
      <c r="H140" s="70">
        <f>D143+D142</f>
        <v>90068.743285409611</v>
      </c>
      <c r="I140" s="88"/>
      <c r="J140" s="117"/>
      <c r="K140" s="89"/>
    </row>
    <row r="141" spans="2:12" x14ac:dyDescent="0.25">
      <c r="B141" s="71" t="s">
        <v>163</v>
      </c>
      <c r="C141" s="72"/>
      <c r="D141" s="124">
        <v>0.1</v>
      </c>
      <c r="E141" s="62"/>
      <c r="F141" s="63" t="s">
        <v>164</v>
      </c>
      <c r="G141" s="64"/>
      <c r="H141" s="73">
        <f>D144+D145</f>
        <v>162740.10545157746</v>
      </c>
      <c r="I141" s="88"/>
      <c r="J141" s="117"/>
      <c r="K141" s="88"/>
    </row>
    <row r="142" spans="2:12" x14ac:dyDescent="0.25">
      <c r="B142" s="60" t="s">
        <v>165</v>
      </c>
      <c r="C142" s="61"/>
      <c r="D142" s="125">
        <f>N94</f>
        <v>0</v>
      </c>
      <c r="E142" s="74"/>
      <c r="F142" s="75" t="s">
        <v>166</v>
      </c>
      <c r="G142" s="76"/>
      <c r="H142" s="77">
        <f>H140+H141</f>
        <v>252808.84873698707</v>
      </c>
      <c r="J142" s="88"/>
      <c r="K142" s="88"/>
      <c r="L142" s="88"/>
    </row>
    <row r="143" spans="2:12" x14ac:dyDescent="0.25">
      <c r="B143" s="104" t="s">
        <v>15</v>
      </c>
      <c r="C143" s="64"/>
      <c r="D143" s="126">
        <f>N93</f>
        <v>90068.743285409611</v>
      </c>
      <c r="E143" s="74"/>
      <c r="F143" s="187" t="s">
        <v>167</v>
      </c>
      <c r="G143" s="188"/>
      <c r="H143" s="189">
        <v>0.2</v>
      </c>
    </row>
    <row r="144" spans="2:12" x14ac:dyDescent="0.25">
      <c r="B144" s="104" t="s">
        <v>168</v>
      </c>
      <c r="C144" s="64"/>
      <c r="D144" s="126">
        <f>N96</f>
        <v>50970</v>
      </c>
      <c r="E144" s="74"/>
      <c r="F144" s="187" t="s">
        <v>169</v>
      </c>
      <c r="G144" s="188"/>
      <c r="H144" s="189">
        <v>0.8</v>
      </c>
    </row>
    <row r="145" spans="1:16" x14ac:dyDescent="0.25">
      <c r="B145" s="104" t="s">
        <v>17</v>
      </c>
      <c r="C145" s="64"/>
      <c r="D145" s="126">
        <f>N97</f>
        <v>111770.10545157747</v>
      </c>
      <c r="E145" s="62"/>
      <c r="F145" s="68" t="s">
        <v>170</v>
      </c>
      <c r="G145" s="69"/>
      <c r="H145" s="79">
        <f>((D149*H139)*(1-D148))</f>
        <v>8.2655130730627229E-3</v>
      </c>
    </row>
    <row r="146" spans="1:16" x14ac:dyDescent="0.25">
      <c r="B146" s="104" t="s">
        <v>171</v>
      </c>
      <c r="C146" s="64"/>
      <c r="D146" s="123">
        <f>'Rate Assumptions'!B2</f>
        <v>0.03</v>
      </c>
      <c r="E146" s="62"/>
      <c r="F146" s="63" t="s">
        <v>172</v>
      </c>
      <c r="G146" s="64"/>
      <c r="H146" s="80">
        <f>(D150*H138)</f>
        <v>4.9277369580045201E-2</v>
      </c>
    </row>
    <row r="147" spans="1:16" x14ac:dyDescent="0.25">
      <c r="B147" s="104" t="s">
        <v>15</v>
      </c>
      <c r="C147" s="64"/>
      <c r="D147" s="123">
        <f>'Rate Assumptions'!B1</f>
        <v>2.9000000000000001E-2</v>
      </c>
      <c r="E147" s="62"/>
      <c r="F147" s="182" t="s">
        <v>173</v>
      </c>
      <c r="G147" s="183"/>
      <c r="H147" s="184">
        <f>H145+H146</f>
        <v>5.7542882653107925E-2</v>
      </c>
    </row>
    <row r="148" spans="1:16" x14ac:dyDescent="0.25">
      <c r="B148" s="104" t="s">
        <v>174</v>
      </c>
      <c r="C148" s="64"/>
      <c r="D148" s="127">
        <f>'Rate Assumptions'!B4</f>
        <v>0.2</v>
      </c>
      <c r="E148" s="62"/>
      <c r="F148" s="171" t="s">
        <v>236</v>
      </c>
      <c r="G148" s="172"/>
      <c r="H148" s="173">
        <f>D139/((1+(1-D148)*(D149/D150)))</f>
        <v>0.4990431056068021</v>
      </c>
      <c r="J148" s="195"/>
    </row>
    <row r="149" spans="1:16" x14ac:dyDescent="0.25">
      <c r="B149" s="81" t="s">
        <v>175</v>
      </c>
      <c r="C149" s="69"/>
      <c r="D149" s="190">
        <f>H140/H142</f>
        <v>0.35627211521822078</v>
      </c>
      <c r="E149" s="62"/>
      <c r="F149" s="174" t="s">
        <v>235</v>
      </c>
      <c r="G149" s="175"/>
      <c r="H149" s="193">
        <f>(1+(1-D148)*(H143/H144))*H148</f>
        <v>0.59885172672816245</v>
      </c>
    </row>
    <row r="150" spans="1:16" x14ac:dyDescent="0.25">
      <c r="B150" s="82" t="s">
        <v>176</v>
      </c>
      <c r="C150" s="76"/>
      <c r="D150" s="191">
        <f>H141/H142</f>
        <v>0.64372788478177922</v>
      </c>
      <c r="E150" s="62"/>
      <c r="F150" s="176" t="s">
        <v>177</v>
      </c>
      <c r="G150" s="177"/>
      <c r="H150" s="178">
        <f>H149*(D141-D140)+D140</f>
        <v>6.6403832113483607E-2</v>
      </c>
      <c r="I150" t="s">
        <v>32</v>
      </c>
    </row>
    <row r="151" spans="1:16" x14ac:dyDescent="0.25">
      <c r="B151" s="66" t="s">
        <v>178</v>
      </c>
      <c r="C151" s="67"/>
      <c r="D151" s="83">
        <f>(D141-D140)*D139</f>
        <v>6.0299999999999999E-2</v>
      </c>
      <c r="E151" s="62"/>
      <c r="F151" s="171" t="s">
        <v>167</v>
      </c>
      <c r="G151" s="172"/>
      <c r="H151" s="79">
        <f>(H143*H139)*(1-D148)</f>
        <v>4.6400000000000009E-3</v>
      </c>
    </row>
    <row r="152" spans="1:16" x14ac:dyDescent="0.25">
      <c r="B152" s="66" t="s">
        <v>179</v>
      </c>
      <c r="C152" s="67"/>
      <c r="D152" s="83">
        <f>D151+D140</f>
        <v>7.6550000000000007E-2</v>
      </c>
      <c r="E152" s="62"/>
      <c r="F152" s="179" t="s">
        <v>169</v>
      </c>
      <c r="G152" s="180"/>
      <c r="H152" s="194">
        <f>H144*H150</f>
        <v>5.312306569078689E-2</v>
      </c>
    </row>
    <row r="153" spans="1:16" ht="15.75" thickBot="1" x14ac:dyDescent="0.3">
      <c r="B153" s="84"/>
      <c r="C153" s="85"/>
      <c r="D153" s="86"/>
      <c r="E153" s="87"/>
      <c r="F153" s="185" t="s">
        <v>180</v>
      </c>
      <c r="G153" s="186"/>
      <c r="H153" s="196">
        <f>H151+H152</f>
        <v>5.7763065690786888E-2</v>
      </c>
    </row>
    <row r="154" spans="1:16" ht="15.75" thickBot="1" x14ac:dyDescent="0.3">
      <c r="B154" s="100"/>
      <c r="C154" s="100"/>
      <c r="D154" s="100"/>
      <c r="E154" s="100"/>
      <c r="F154" s="100"/>
      <c r="G154" s="100"/>
      <c r="H154" s="100"/>
    </row>
    <row r="155" spans="1:16" x14ac:dyDescent="0.25">
      <c r="A155" s="205" t="s">
        <v>219</v>
      </c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7"/>
    </row>
    <row r="156" spans="1:16" x14ac:dyDescent="0.25">
      <c r="A156" s="146"/>
      <c r="B156" s="62"/>
      <c r="C156" s="100"/>
      <c r="D156" s="147">
        <v>2012</v>
      </c>
      <c r="E156" s="147">
        <v>2013</v>
      </c>
      <c r="F156" s="147">
        <v>2014</v>
      </c>
      <c r="G156" s="147">
        <v>2015</v>
      </c>
      <c r="H156" s="147">
        <v>2016</v>
      </c>
      <c r="I156" s="147">
        <v>2017</v>
      </c>
      <c r="J156" s="147">
        <v>2018</v>
      </c>
      <c r="K156" s="147">
        <v>2019</v>
      </c>
      <c r="L156" s="147">
        <v>2020</v>
      </c>
      <c r="M156" s="147">
        <v>2021</v>
      </c>
      <c r="N156" s="148">
        <v>2022</v>
      </c>
    </row>
    <row r="157" spans="1:16" x14ac:dyDescent="0.25">
      <c r="A157" s="146"/>
      <c r="B157" s="62"/>
      <c r="C157" s="100"/>
      <c r="D157" s="62"/>
      <c r="E157" s="62"/>
      <c r="F157" s="62"/>
      <c r="G157" s="62"/>
      <c r="H157" s="62"/>
      <c r="I157" s="62"/>
      <c r="J157" s="62"/>
      <c r="K157" s="62"/>
      <c r="L157" s="100"/>
      <c r="M157" s="100"/>
      <c r="N157" s="105"/>
    </row>
    <row r="158" spans="1:16" x14ac:dyDescent="0.25">
      <c r="A158" s="149" t="s">
        <v>187</v>
      </c>
      <c r="B158" s="62"/>
      <c r="C158" s="100"/>
      <c r="D158" s="62"/>
      <c r="E158" s="62"/>
      <c r="F158" s="62"/>
      <c r="G158" s="62"/>
      <c r="H158" s="62"/>
      <c r="I158" s="62"/>
      <c r="J158" s="62"/>
      <c r="K158" s="62"/>
      <c r="L158" s="100"/>
      <c r="M158" s="100"/>
      <c r="N158" s="105"/>
    </row>
    <row r="159" spans="1:16" x14ac:dyDescent="0.25">
      <c r="A159" s="146"/>
      <c r="B159" s="62" t="s">
        <v>1</v>
      </c>
      <c r="C159" s="100"/>
      <c r="D159" s="62"/>
      <c r="E159" s="74">
        <f t="shared" ref="E159:N159" si="38">+E69</f>
        <v>20311.8</v>
      </c>
      <c r="F159" s="74">
        <f t="shared" si="38"/>
        <v>20879.416909090909</v>
      </c>
      <c r="G159" s="74">
        <f t="shared" si="38"/>
        <v>21584.304415041322</v>
      </c>
      <c r="H159" s="74">
        <f t="shared" si="38"/>
        <v>22186.986577955977</v>
      </c>
      <c r="I159" s="74">
        <f t="shared" si="38"/>
        <v>23438.003325596714</v>
      </c>
      <c r="J159" s="74">
        <f t="shared" si="38"/>
        <v>24077.910932992268</v>
      </c>
      <c r="K159" s="74">
        <f t="shared" si="38"/>
        <v>24737.282516524192</v>
      </c>
      <c r="L159" s="74">
        <f t="shared" si="38"/>
        <v>25416.708542925375</v>
      </c>
      <c r="M159" s="74">
        <f t="shared" si="38"/>
        <v>26116.797353640824</v>
      </c>
      <c r="N159" s="150">
        <f t="shared" si="38"/>
        <v>26838.17570501368</v>
      </c>
    </row>
    <row r="160" spans="1:16" x14ac:dyDescent="0.25">
      <c r="A160" s="146"/>
      <c r="B160" s="62" t="s">
        <v>188</v>
      </c>
      <c r="C160" s="100"/>
      <c r="D160" s="62"/>
      <c r="E160" s="91">
        <f t="shared" ref="E160:N160" si="39">E72</f>
        <v>3333.3333333333335</v>
      </c>
      <c r="F160" s="91">
        <f t="shared" si="39"/>
        <v>3333.3333333333335</v>
      </c>
      <c r="G160" s="91">
        <f t="shared" si="39"/>
        <v>3333.3333333333335</v>
      </c>
      <c r="H160" s="91">
        <f t="shared" si="39"/>
        <v>3333.3333333333335</v>
      </c>
      <c r="I160" s="91">
        <f t="shared" si="39"/>
        <v>3333.3333333333335</v>
      </c>
      <c r="J160" s="91">
        <f t="shared" si="39"/>
        <v>3333.3333333333335</v>
      </c>
      <c r="K160" s="91">
        <f t="shared" si="39"/>
        <v>3333.3333333333335</v>
      </c>
      <c r="L160" s="91">
        <f t="shared" si="39"/>
        <v>3333.3333333333335</v>
      </c>
      <c r="M160" s="91">
        <f t="shared" si="39"/>
        <v>3333.3333333333335</v>
      </c>
      <c r="N160" s="151">
        <f t="shared" si="39"/>
        <v>3333.3333333333335</v>
      </c>
      <c r="O160" s="92">
        <f>'Rate Assumptions'!B4</f>
        <v>0.2</v>
      </c>
      <c r="P160" t="s">
        <v>208</v>
      </c>
    </row>
    <row r="161" spans="1:16" x14ac:dyDescent="0.25">
      <c r="A161" s="146"/>
      <c r="B161" s="62" t="s">
        <v>189</v>
      </c>
      <c r="C161" s="100"/>
      <c r="D161" s="62"/>
      <c r="E161" s="74">
        <f>E159-E160</f>
        <v>16978.466666666667</v>
      </c>
      <c r="F161" s="74">
        <f t="shared" ref="F161:N161" si="40">F159-F160</f>
        <v>17546.083575757577</v>
      </c>
      <c r="G161" s="74">
        <f t="shared" si="40"/>
        <v>18250.97108170799</v>
      </c>
      <c r="H161" s="74">
        <f t="shared" si="40"/>
        <v>18853.653244622645</v>
      </c>
      <c r="I161" s="74">
        <f t="shared" si="40"/>
        <v>20104.669992263382</v>
      </c>
      <c r="J161" s="74">
        <f t="shared" si="40"/>
        <v>20744.577599658936</v>
      </c>
      <c r="K161" s="74">
        <f t="shared" si="40"/>
        <v>21403.94918319086</v>
      </c>
      <c r="L161" s="74">
        <f t="shared" si="40"/>
        <v>22083.375209592043</v>
      </c>
      <c r="M161" s="74">
        <f t="shared" si="40"/>
        <v>22783.464020307492</v>
      </c>
      <c r="N161" s="150">
        <f t="shared" si="40"/>
        <v>23504.842371680348</v>
      </c>
    </row>
    <row r="162" spans="1:16" x14ac:dyDescent="0.25">
      <c r="A162" s="146"/>
      <c r="B162" s="62" t="s">
        <v>190</v>
      </c>
      <c r="C162" s="100"/>
      <c r="D162" s="62">
        <v>0</v>
      </c>
      <c r="E162" s="152">
        <f t="shared" ref="E162:N162" si="41">E161*$O$160</f>
        <v>3395.6933333333336</v>
      </c>
      <c r="F162" s="152">
        <f t="shared" si="41"/>
        <v>3509.2167151515155</v>
      </c>
      <c r="G162" s="152">
        <f t="shared" si="41"/>
        <v>3650.1942163415983</v>
      </c>
      <c r="H162" s="152">
        <f t="shared" si="41"/>
        <v>3770.7306489245293</v>
      </c>
      <c r="I162" s="152">
        <f t="shared" si="41"/>
        <v>4020.9339984526764</v>
      </c>
      <c r="J162" s="152">
        <f t="shared" si="41"/>
        <v>4148.9155199317875</v>
      </c>
      <c r="K162" s="152">
        <f t="shared" si="41"/>
        <v>4280.7898366381723</v>
      </c>
      <c r="L162" s="152">
        <f t="shared" si="41"/>
        <v>4416.6750419184091</v>
      </c>
      <c r="M162" s="152">
        <f t="shared" si="41"/>
        <v>4556.6928040614985</v>
      </c>
      <c r="N162" s="153">
        <f t="shared" si="41"/>
        <v>4700.9684743360694</v>
      </c>
    </row>
    <row r="163" spans="1:16" x14ac:dyDescent="0.25">
      <c r="A163" s="146"/>
      <c r="B163" s="62" t="s">
        <v>191</v>
      </c>
      <c r="C163" s="100"/>
      <c r="D163" s="62"/>
      <c r="E163" s="91">
        <f>E160</f>
        <v>3333.3333333333335</v>
      </c>
      <c r="F163" s="91">
        <f t="shared" ref="F163:N163" si="42">F160</f>
        <v>3333.3333333333335</v>
      </c>
      <c r="G163" s="91">
        <f t="shared" si="42"/>
        <v>3333.3333333333335</v>
      </c>
      <c r="H163" s="91">
        <f t="shared" si="42"/>
        <v>3333.3333333333335</v>
      </c>
      <c r="I163" s="91">
        <f t="shared" si="42"/>
        <v>3333.3333333333335</v>
      </c>
      <c r="J163" s="91">
        <f t="shared" si="42"/>
        <v>3333.3333333333335</v>
      </c>
      <c r="K163" s="91">
        <f t="shared" si="42"/>
        <v>3333.3333333333335</v>
      </c>
      <c r="L163" s="91">
        <f t="shared" si="42"/>
        <v>3333.3333333333335</v>
      </c>
      <c r="M163" s="91">
        <f t="shared" si="42"/>
        <v>3333.3333333333335</v>
      </c>
      <c r="N163" s="151">
        <f t="shared" si="42"/>
        <v>3333.3333333333335</v>
      </c>
    </row>
    <row r="164" spans="1:16" x14ac:dyDescent="0.25">
      <c r="A164" s="146"/>
      <c r="B164" s="62" t="s">
        <v>192</v>
      </c>
      <c r="C164" s="100"/>
      <c r="D164" s="62"/>
      <c r="E164" s="152">
        <f>E161-E162+E163</f>
        <v>16916.106666666667</v>
      </c>
      <c r="F164" s="152">
        <f t="shared" ref="F164:N164" si="43">F161-F162+F163</f>
        <v>17370.200193939396</v>
      </c>
      <c r="G164" s="152">
        <f t="shared" si="43"/>
        <v>17934.110198699724</v>
      </c>
      <c r="H164" s="152">
        <f t="shared" si="43"/>
        <v>18416.255929031449</v>
      </c>
      <c r="I164" s="152">
        <f t="shared" si="43"/>
        <v>19417.06932714404</v>
      </c>
      <c r="J164" s="152">
        <f t="shared" si="43"/>
        <v>19928.995413060482</v>
      </c>
      <c r="K164" s="152">
        <f t="shared" si="43"/>
        <v>20456.492679886022</v>
      </c>
      <c r="L164" s="152">
        <f t="shared" si="43"/>
        <v>21000.033501006965</v>
      </c>
      <c r="M164" s="152">
        <f t="shared" si="43"/>
        <v>21560.104549579326</v>
      </c>
      <c r="N164" s="153">
        <f t="shared" si="43"/>
        <v>22137.20723067761</v>
      </c>
    </row>
    <row r="165" spans="1:16" x14ac:dyDescent="0.25">
      <c r="A165" s="146"/>
      <c r="B165" s="62"/>
      <c r="C165" s="100"/>
      <c r="D165" s="62"/>
      <c r="E165" s="62"/>
      <c r="F165" s="62"/>
      <c r="G165" s="62"/>
      <c r="H165" s="62"/>
      <c r="I165" s="62"/>
      <c r="J165" s="62"/>
      <c r="K165" s="62"/>
      <c r="L165" s="100"/>
      <c r="M165" s="100"/>
      <c r="N165" s="105"/>
      <c r="O165" s="98" t="s">
        <v>69</v>
      </c>
      <c r="P165" s="98"/>
    </row>
    <row r="166" spans="1:16" x14ac:dyDescent="0.25">
      <c r="A166" s="149" t="s">
        <v>193</v>
      </c>
      <c r="B166" s="62"/>
      <c r="C166" s="100"/>
      <c r="D166" s="62"/>
      <c r="E166" s="62"/>
      <c r="F166" s="62"/>
      <c r="G166" s="62"/>
      <c r="H166" s="62"/>
      <c r="I166" s="62"/>
      <c r="J166" s="62"/>
      <c r="K166" s="62"/>
      <c r="L166" s="100"/>
      <c r="M166" s="100"/>
      <c r="N166" s="105"/>
      <c r="O166" s="88" t="s">
        <v>196</v>
      </c>
      <c r="P166" s="90">
        <f>N85-N86</f>
        <v>66666.666666666672</v>
      </c>
    </row>
    <row r="167" spans="1:16" x14ac:dyDescent="0.25">
      <c r="A167" s="146"/>
      <c r="B167" s="62" t="s">
        <v>194</v>
      </c>
      <c r="C167" s="100"/>
      <c r="D167" s="74">
        <f>-C43</f>
        <v>-100000</v>
      </c>
      <c r="E167" s="62"/>
      <c r="F167" s="62"/>
      <c r="G167" s="62"/>
      <c r="H167" s="62"/>
      <c r="I167" s="62"/>
      <c r="J167" s="62"/>
      <c r="K167" s="62"/>
      <c r="L167" s="100"/>
      <c r="M167" s="100"/>
      <c r="N167" s="105"/>
      <c r="O167" s="88" t="s">
        <v>198</v>
      </c>
      <c r="P167" s="90">
        <f>N169-P166</f>
        <v>-20000.000000000007</v>
      </c>
    </row>
    <row r="168" spans="1:16" x14ac:dyDescent="0.25">
      <c r="A168" s="102"/>
      <c r="B168" s="154" t="s">
        <v>209</v>
      </c>
      <c r="C168" s="100"/>
      <c r="D168" s="59">
        <f>-E84</f>
        <v>-69900</v>
      </c>
      <c r="E168" s="100"/>
      <c r="F168" s="100"/>
      <c r="G168" s="100"/>
      <c r="H168" s="100"/>
      <c r="I168" s="100"/>
      <c r="J168" s="100"/>
      <c r="K168" s="100"/>
      <c r="L168" s="100"/>
      <c r="M168" s="100"/>
      <c r="N168" s="105"/>
      <c r="O168" s="88"/>
      <c r="P168" s="88"/>
    </row>
    <row r="169" spans="1:16" x14ac:dyDescent="0.25">
      <c r="A169" s="146"/>
      <c r="B169" s="62" t="s">
        <v>195</v>
      </c>
      <c r="C169" s="100"/>
      <c r="D169" s="62"/>
      <c r="E169" s="62"/>
      <c r="F169" s="62"/>
      <c r="G169" s="62"/>
      <c r="H169" s="100"/>
      <c r="I169" s="100"/>
      <c r="J169" s="100"/>
      <c r="K169" s="100"/>
      <c r="L169" s="100"/>
      <c r="M169" s="100"/>
      <c r="N169" s="155">
        <f>O175*P166</f>
        <v>46666.666666666664</v>
      </c>
      <c r="O169" s="98" t="s">
        <v>23</v>
      </c>
      <c r="P169" s="98"/>
    </row>
    <row r="170" spans="1:16" x14ac:dyDescent="0.25">
      <c r="A170" s="102"/>
      <c r="B170" s="154" t="s">
        <v>212</v>
      </c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56">
        <f>P170*O176</f>
        <v>73395</v>
      </c>
      <c r="O170" s="88" t="s">
        <v>196</v>
      </c>
      <c r="P170" s="90">
        <f>N84</f>
        <v>69900</v>
      </c>
    </row>
    <row r="171" spans="1:16" x14ac:dyDescent="0.25">
      <c r="A171" s="102"/>
      <c r="B171" s="62" t="s">
        <v>197</v>
      </c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55">
        <f>-O160*P167</f>
        <v>4000.0000000000018</v>
      </c>
      <c r="O171" s="88" t="s">
        <v>198</v>
      </c>
      <c r="P171" s="90">
        <f>N170-P170</f>
        <v>3495</v>
      </c>
    </row>
    <row r="172" spans="1:16" x14ac:dyDescent="0.25">
      <c r="A172" s="146"/>
      <c r="B172" s="154" t="s">
        <v>214</v>
      </c>
      <c r="C172" s="100"/>
      <c r="D172" s="62"/>
      <c r="E172" s="62"/>
      <c r="F172" s="62"/>
      <c r="G172" s="62"/>
      <c r="H172" s="100"/>
      <c r="I172" s="100"/>
      <c r="J172" s="100"/>
      <c r="K172" s="100"/>
      <c r="L172" s="100"/>
      <c r="M172" s="100"/>
      <c r="N172" s="156">
        <f>P171*O160</f>
        <v>699</v>
      </c>
    </row>
    <row r="173" spans="1:16" x14ac:dyDescent="0.25">
      <c r="A173" s="146"/>
      <c r="B173" s="154" t="s">
        <v>218</v>
      </c>
      <c r="C173" s="100"/>
      <c r="D173" s="62"/>
      <c r="E173" s="62"/>
      <c r="F173" s="62"/>
      <c r="G173" s="62"/>
      <c r="H173" s="100"/>
      <c r="I173" s="157">
        <f>-I71</f>
        <v>-8000</v>
      </c>
      <c r="J173" s="100"/>
      <c r="K173" s="100"/>
      <c r="L173" s="100"/>
      <c r="M173" s="100"/>
      <c r="N173" s="156">
        <v>0</v>
      </c>
    </row>
    <row r="174" spans="1:16" x14ac:dyDescent="0.25">
      <c r="A174" s="146"/>
      <c r="B174" s="154"/>
      <c r="C174" s="100"/>
      <c r="D174" s="62"/>
      <c r="E174" s="62"/>
      <c r="F174" s="62"/>
      <c r="G174" s="62"/>
      <c r="H174" s="100"/>
      <c r="I174" s="100"/>
      <c r="J174" s="100"/>
      <c r="K174" s="100"/>
      <c r="L174" s="100"/>
      <c r="M174" s="100"/>
      <c r="N174" s="156"/>
    </row>
    <row r="175" spans="1:16" x14ac:dyDescent="0.25">
      <c r="A175" s="146"/>
      <c r="B175" s="62"/>
      <c r="C175" s="100"/>
      <c r="D175" s="62"/>
      <c r="E175" s="62"/>
      <c r="F175" s="62"/>
      <c r="G175" s="62"/>
      <c r="H175" s="100"/>
      <c r="I175" s="100"/>
      <c r="J175" s="100"/>
      <c r="K175" s="100"/>
      <c r="L175" s="100"/>
      <c r="M175" s="100"/>
      <c r="N175" s="105"/>
      <c r="O175" s="93">
        <v>0.7</v>
      </c>
      <c r="P175" s="88" t="s">
        <v>210</v>
      </c>
    </row>
    <row r="176" spans="1:16" x14ac:dyDescent="0.25">
      <c r="A176" s="149" t="s">
        <v>199</v>
      </c>
      <c r="B176" s="62"/>
      <c r="C176" s="100"/>
      <c r="D176" s="62"/>
      <c r="E176" s="62"/>
      <c r="F176" s="62"/>
      <c r="G176" s="62"/>
      <c r="H176" s="100"/>
      <c r="I176" s="100"/>
      <c r="J176" s="100"/>
      <c r="K176" s="100"/>
      <c r="L176" s="100"/>
      <c r="M176" s="100"/>
      <c r="N176" s="105"/>
      <c r="O176" s="93">
        <v>1.05</v>
      </c>
      <c r="P176" t="s">
        <v>213</v>
      </c>
    </row>
    <row r="177" spans="1:18" x14ac:dyDescent="0.25">
      <c r="A177" s="158" t="s">
        <v>200</v>
      </c>
      <c r="B177" s="62" t="s">
        <v>201</v>
      </c>
      <c r="C177" s="100"/>
      <c r="D177" s="62"/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150">
        <v>0</v>
      </c>
    </row>
    <row r="178" spans="1:18" x14ac:dyDescent="0.25">
      <c r="A178" s="158" t="s">
        <v>200</v>
      </c>
      <c r="B178" s="62" t="s">
        <v>202</v>
      </c>
      <c r="C178" s="100"/>
      <c r="D178" s="62"/>
      <c r="E178" s="74">
        <v>0</v>
      </c>
      <c r="F178" s="74">
        <v>0</v>
      </c>
      <c r="G178" s="74">
        <v>0</v>
      </c>
      <c r="H178" s="74">
        <v>0</v>
      </c>
      <c r="I178" s="74">
        <v>0</v>
      </c>
      <c r="J178" s="74">
        <v>0</v>
      </c>
      <c r="K178" s="74">
        <v>0</v>
      </c>
      <c r="L178" s="74">
        <v>0</v>
      </c>
      <c r="M178" s="74">
        <v>0</v>
      </c>
      <c r="N178" s="150">
        <v>0</v>
      </c>
    </row>
    <row r="179" spans="1:18" x14ac:dyDescent="0.25">
      <c r="A179" s="158" t="s">
        <v>203</v>
      </c>
      <c r="B179" s="62" t="s">
        <v>204</v>
      </c>
      <c r="C179" s="100"/>
      <c r="D179" s="62"/>
      <c r="E179" s="74">
        <f>(E162-D162)</f>
        <v>3395.6933333333336</v>
      </c>
      <c r="F179" s="74">
        <f>(F162-E162)</f>
        <v>113.52338181818186</v>
      </c>
      <c r="G179" s="74">
        <f t="shared" ref="G179:N179" si="44">(G162-F162)</f>
        <v>140.97750119008288</v>
      </c>
      <c r="H179" s="74">
        <f t="shared" si="44"/>
        <v>120.53643258293096</v>
      </c>
      <c r="I179" s="74">
        <f t="shared" si="44"/>
        <v>250.2033495281471</v>
      </c>
      <c r="J179" s="74">
        <f t="shared" si="44"/>
        <v>127.98152147911105</v>
      </c>
      <c r="K179" s="74">
        <f t="shared" si="44"/>
        <v>131.87431670638489</v>
      </c>
      <c r="L179" s="74">
        <f t="shared" si="44"/>
        <v>135.88520528023673</v>
      </c>
      <c r="M179" s="74">
        <f t="shared" si="44"/>
        <v>140.01776214308939</v>
      </c>
      <c r="N179" s="150">
        <f t="shared" si="44"/>
        <v>144.27567027457098</v>
      </c>
    </row>
    <row r="180" spans="1:18" x14ac:dyDescent="0.25">
      <c r="A180" s="158" t="s">
        <v>203</v>
      </c>
      <c r="B180" s="62" t="s">
        <v>217</v>
      </c>
      <c r="C180" s="100"/>
      <c r="D180" s="62"/>
      <c r="E180" s="152">
        <f t="shared" ref="E180:N180" si="45">(E91-D91)</f>
        <v>0</v>
      </c>
      <c r="F180" s="152">
        <f t="shared" si="45"/>
        <v>0</v>
      </c>
      <c r="G180" s="152">
        <f t="shared" si="45"/>
        <v>119.99999999999997</v>
      </c>
      <c r="H180" s="152">
        <f t="shared" si="45"/>
        <v>0</v>
      </c>
      <c r="I180" s="152">
        <f t="shared" si="45"/>
        <v>0</v>
      </c>
      <c r="J180" s="152">
        <f t="shared" si="45"/>
        <v>0</v>
      </c>
      <c r="K180" s="152">
        <f t="shared" si="45"/>
        <v>0</v>
      </c>
      <c r="L180" s="152">
        <f t="shared" si="45"/>
        <v>0</v>
      </c>
      <c r="M180" s="152">
        <f t="shared" si="45"/>
        <v>0</v>
      </c>
      <c r="N180" s="153">
        <f t="shared" si="45"/>
        <v>0</v>
      </c>
    </row>
    <row r="181" spans="1:18" x14ac:dyDescent="0.25">
      <c r="A181" s="146"/>
      <c r="B181" s="62"/>
      <c r="C181" s="100"/>
      <c r="D181" s="62"/>
      <c r="E181" s="62"/>
      <c r="F181" s="62"/>
      <c r="G181" s="62"/>
      <c r="H181" s="62"/>
      <c r="I181" s="62"/>
      <c r="J181" s="62"/>
      <c r="K181" s="62"/>
      <c r="L181" s="100"/>
      <c r="M181" s="100"/>
      <c r="N181" s="105"/>
    </row>
    <row r="182" spans="1:18" x14ac:dyDescent="0.25">
      <c r="A182" s="149" t="s">
        <v>206</v>
      </c>
      <c r="B182" s="62"/>
      <c r="C182" s="100"/>
      <c r="D182" s="62"/>
      <c r="E182" s="62"/>
      <c r="F182" s="62"/>
      <c r="G182" s="62"/>
      <c r="H182" s="62"/>
      <c r="I182" s="62"/>
      <c r="J182" s="62"/>
      <c r="K182" s="62"/>
      <c r="L182" s="100"/>
      <c r="M182" s="100"/>
      <c r="N182" s="105"/>
    </row>
    <row r="183" spans="1:18" x14ac:dyDescent="0.25">
      <c r="A183" s="158" t="s">
        <v>203</v>
      </c>
      <c r="B183" s="62" t="s">
        <v>201</v>
      </c>
      <c r="C183" s="100"/>
      <c r="D183" s="62"/>
      <c r="E183" s="62"/>
      <c r="F183" s="62"/>
      <c r="G183" s="62"/>
      <c r="H183" s="100"/>
      <c r="I183" s="100"/>
      <c r="J183" s="100"/>
      <c r="K183" s="100"/>
      <c r="L183" s="100"/>
      <c r="M183" s="100"/>
      <c r="N183" s="150">
        <v>0</v>
      </c>
      <c r="O183" s="90"/>
      <c r="P183" s="90"/>
      <c r="Q183" s="90"/>
      <c r="R183" s="99"/>
    </row>
    <row r="184" spans="1:18" x14ac:dyDescent="0.25">
      <c r="A184" s="158" t="s">
        <v>203</v>
      </c>
      <c r="B184" s="62" t="s">
        <v>202</v>
      </c>
      <c r="C184" s="100"/>
      <c r="D184" s="62"/>
      <c r="E184" s="62"/>
      <c r="F184" s="62"/>
      <c r="G184" s="62"/>
      <c r="H184" s="100"/>
      <c r="I184" s="100"/>
      <c r="J184" s="100"/>
      <c r="K184" s="100"/>
      <c r="L184" s="100"/>
      <c r="M184" s="100"/>
      <c r="N184" s="150">
        <f>+F116</f>
        <v>5.2153230418232235E-2</v>
      </c>
      <c r="O184" s="90"/>
      <c r="P184" s="90"/>
      <c r="Q184" s="90"/>
      <c r="R184" s="99"/>
    </row>
    <row r="185" spans="1:18" x14ac:dyDescent="0.25">
      <c r="A185" s="158" t="s">
        <v>200</v>
      </c>
      <c r="B185" s="62" t="s">
        <v>204</v>
      </c>
      <c r="C185" s="100"/>
      <c r="D185" s="62"/>
      <c r="E185" s="62"/>
      <c r="F185" s="62"/>
      <c r="G185" s="62"/>
      <c r="H185" s="100"/>
      <c r="I185" s="100"/>
      <c r="J185" s="100"/>
      <c r="K185" s="100"/>
      <c r="L185" s="100"/>
      <c r="M185" s="100"/>
      <c r="N185" s="150">
        <f>-N162</f>
        <v>-4700.9684743360694</v>
      </c>
      <c r="O185" s="90"/>
      <c r="P185" s="90"/>
      <c r="Q185" s="90"/>
      <c r="R185" s="99"/>
    </row>
    <row r="186" spans="1:18" x14ac:dyDescent="0.25">
      <c r="A186" s="158" t="s">
        <v>200</v>
      </c>
      <c r="B186" s="62" t="s">
        <v>205</v>
      </c>
      <c r="C186" s="100"/>
      <c r="D186" s="62"/>
      <c r="E186" s="62"/>
      <c r="F186" s="62"/>
      <c r="G186" s="62"/>
      <c r="H186" s="100"/>
      <c r="I186" s="100"/>
      <c r="J186" s="100"/>
      <c r="K186" s="100"/>
      <c r="L186" s="100"/>
      <c r="M186" s="100"/>
      <c r="N186" s="150">
        <f>-N91</f>
        <v>-119.99999999999997</v>
      </c>
      <c r="O186" s="90"/>
      <c r="P186" s="90"/>
      <c r="Q186" s="90"/>
      <c r="R186" s="99"/>
    </row>
    <row r="187" spans="1:18" x14ac:dyDescent="0.25">
      <c r="A187" s="146"/>
      <c r="B187" s="62"/>
      <c r="C187" s="100"/>
      <c r="D187" s="62"/>
      <c r="E187" s="62"/>
      <c r="F187" s="62"/>
      <c r="G187" s="62"/>
      <c r="H187" s="100"/>
      <c r="I187" s="100"/>
      <c r="J187" s="100"/>
      <c r="K187" s="100"/>
      <c r="L187" s="100"/>
      <c r="M187" s="100"/>
      <c r="N187" s="150"/>
      <c r="O187" s="90"/>
      <c r="P187" s="90"/>
      <c r="Q187" s="90"/>
      <c r="R187" s="99"/>
    </row>
    <row r="188" spans="1:18" x14ac:dyDescent="0.25">
      <c r="A188" s="146" t="s">
        <v>207</v>
      </c>
      <c r="B188" s="62"/>
      <c r="C188" s="100"/>
      <c r="D188" s="152">
        <f>SUM(D164:D187)</f>
        <v>-169900</v>
      </c>
      <c r="E188" s="152">
        <f>SUM(E164:E187)</f>
        <v>20311.8</v>
      </c>
      <c r="F188" s="152">
        <f t="shared" ref="F188:N188" si="46">SUM(F164:F187)</f>
        <v>17483.723575757576</v>
      </c>
      <c r="G188" s="152">
        <f t="shared" si="46"/>
        <v>18195.087699889806</v>
      </c>
      <c r="H188" s="152">
        <f t="shared" si="46"/>
        <v>18536.792361614382</v>
      </c>
      <c r="I188" s="152">
        <f t="shared" si="46"/>
        <v>11667.272676672186</v>
      </c>
      <c r="J188" s="152">
        <f t="shared" si="46"/>
        <v>20056.976934539594</v>
      </c>
      <c r="K188" s="152">
        <f t="shared" si="46"/>
        <v>20588.366996592405</v>
      </c>
      <c r="L188" s="152">
        <f t="shared" si="46"/>
        <v>21135.918706287201</v>
      </c>
      <c r="M188" s="152">
        <f t="shared" si="46"/>
        <v>21700.122311722414</v>
      </c>
      <c r="N188" s="153">
        <f t="shared" si="46"/>
        <v>142221.23324651321</v>
      </c>
    </row>
    <row r="189" spans="1:18" x14ac:dyDescent="0.25">
      <c r="A189" s="146"/>
      <c r="B189" s="62"/>
      <c r="C189" s="100"/>
      <c r="D189" s="62"/>
      <c r="E189" s="62"/>
      <c r="F189" s="62"/>
      <c r="G189" s="62"/>
      <c r="H189" s="62"/>
      <c r="I189" s="62"/>
      <c r="J189" s="62"/>
      <c r="K189" s="62"/>
      <c r="L189" s="100"/>
      <c r="M189" s="100"/>
      <c r="N189" s="105"/>
    </row>
    <row r="190" spans="1:18" x14ac:dyDescent="0.25">
      <c r="A190" s="146" t="s">
        <v>225</v>
      </c>
      <c r="B190" s="62"/>
      <c r="C190" s="100"/>
      <c r="D190" s="163">
        <f>IRR(D188:N188)</f>
        <v>9.2097997629557726E-2</v>
      </c>
      <c r="E190" s="62"/>
      <c r="F190" s="62"/>
      <c r="G190" s="62"/>
      <c r="H190" s="62"/>
      <c r="I190" s="62"/>
      <c r="J190" s="62"/>
      <c r="K190" s="62"/>
      <c r="L190" s="100"/>
      <c r="M190" s="100"/>
      <c r="N190" s="105"/>
    </row>
    <row r="191" spans="1:18" x14ac:dyDescent="0.25">
      <c r="A191" s="146"/>
      <c r="B191" s="62"/>
      <c r="C191" s="100"/>
      <c r="D191" s="147">
        <v>0</v>
      </c>
      <c r="E191" s="147">
        <v>1</v>
      </c>
      <c r="F191" s="147">
        <v>2</v>
      </c>
      <c r="G191" s="147">
        <v>3</v>
      </c>
      <c r="H191" s="147">
        <v>4</v>
      </c>
      <c r="I191" s="147">
        <v>5</v>
      </c>
      <c r="J191" s="147">
        <v>6</v>
      </c>
      <c r="K191" s="147">
        <v>7</v>
      </c>
      <c r="L191" s="147">
        <v>8</v>
      </c>
      <c r="M191" s="147">
        <v>9</v>
      </c>
      <c r="N191" s="148">
        <v>10</v>
      </c>
    </row>
    <row r="192" spans="1:18" x14ac:dyDescent="0.25">
      <c r="A192" s="146" t="s">
        <v>221</v>
      </c>
      <c r="B192" s="62"/>
      <c r="C192" s="100"/>
      <c r="D192" s="159">
        <f>-PV($H$129,D191,,D188)</f>
        <v>-169900</v>
      </c>
      <c r="E192" s="159">
        <f t="shared" ref="E192:N192" si="47">-PV($H$129,E191,,E188)</f>
        <v>19505.710820148131</v>
      </c>
      <c r="F192" s="159">
        <f t="shared" si="47"/>
        <v>16123.550083969241</v>
      </c>
      <c r="G192" s="159">
        <f t="shared" si="47"/>
        <v>16113.662473575407</v>
      </c>
      <c r="H192" s="159">
        <f t="shared" si="47"/>
        <v>15764.785433892686</v>
      </c>
      <c r="I192" s="159">
        <f t="shared" si="47"/>
        <v>9528.7557878208954</v>
      </c>
      <c r="J192" s="159">
        <f t="shared" si="47"/>
        <v>15730.614689831798</v>
      </c>
      <c r="K192" s="159">
        <f t="shared" si="47"/>
        <v>15506.560904686492</v>
      </c>
      <c r="L192" s="159">
        <f t="shared" si="47"/>
        <v>15287.204938836341</v>
      </c>
      <c r="M192" s="159">
        <f t="shared" si="47"/>
        <v>15072.403406755679</v>
      </c>
      <c r="N192" s="160">
        <f t="shared" si="47"/>
        <v>94863.280168177997</v>
      </c>
    </row>
    <row r="193" spans="1:14" x14ac:dyDescent="0.25">
      <c r="A193" s="146" t="s">
        <v>226</v>
      </c>
      <c r="B193" s="62"/>
      <c r="C193" s="100"/>
      <c r="D193" s="192">
        <f>H129</f>
        <v>4.1325803877868897E-2</v>
      </c>
      <c r="E193" s="62"/>
      <c r="F193" s="62"/>
      <c r="G193" s="62"/>
      <c r="H193" s="62"/>
      <c r="I193" s="62"/>
      <c r="J193" s="62"/>
      <c r="K193" s="62"/>
      <c r="L193" s="100"/>
      <c r="M193" s="100"/>
      <c r="N193" s="105"/>
    </row>
    <row r="194" spans="1:14" x14ac:dyDescent="0.25">
      <c r="A194" s="146" t="s">
        <v>227</v>
      </c>
      <c r="B194" s="62"/>
      <c r="C194" s="100"/>
      <c r="D194" s="192">
        <f>H147</f>
        <v>5.7542882653107925E-2</v>
      </c>
      <c r="E194" s="62"/>
      <c r="F194" s="62"/>
      <c r="G194" s="62"/>
      <c r="H194" s="62"/>
      <c r="I194" s="62"/>
      <c r="J194" s="62"/>
      <c r="K194" s="62"/>
      <c r="L194" s="100"/>
      <c r="M194" s="100"/>
      <c r="N194" s="105"/>
    </row>
    <row r="195" spans="1:14" x14ac:dyDescent="0.25">
      <c r="A195" s="146"/>
      <c r="B195" s="62"/>
      <c r="C195" s="100"/>
      <c r="D195" s="62"/>
      <c r="E195" s="62"/>
      <c r="F195" s="62"/>
      <c r="G195" s="62"/>
      <c r="H195" s="62"/>
      <c r="I195" s="62"/>
      <c r="J195" s="62"/>
      <c r="K195" s="62"/>
      <c r="L195" s="100"/>
      <c r="M195" s="100"/>
      <c r="N195" s="105"/>
    </row>
    <row r="196" spans="1:14" ht="15.75" thickBot="1" x14ac:dyDescent="0.3">
      <c r="A196" s="161" t="s">
        <v>222</v>
      </c>
      <c r="B196" s="87"/>
      <c r="C196" s="58"/>
      <c r="D196" s="162">
        <f>SUM(D192:N192)</f>
        <v>63596.528707694655</v>
      </c>
      <c r="E196" s="87"/>
      <c r="F196" s="87"/>
      <c r="G196" s="87"/>
      <c r="H196" s="87"/>
      <c r="I196" s="87"/>
      <c r="J196" s="87"/>
      <c r="K196" s="87"/>
      <c r="L196" s="58"/>
      <c r="M196" s="58"/>
      <c r="N196" s="145"/>
    </row>
    <row r="197" spans="1:14" x14ac:dyDescent="0.25">
      <c r="A197" s="88"/>
      <c r="B197" s="88"/>
      <c r="D197" s="88"/>
      <c r="E197" s="88"/>
      <c r="F197" s="88"/>
      <c r="G197" s="88"/>
      <c r="H197" s="88"/>
      <c r="I197" s="88"/>
      <c r="J197" s="88"/>
      <c r="K197" s="88"/>
    </row>
    <row r="198" spans="1:14" ht="17.25" customHeight="1" x14ac:dyDescent="0.25">
      <c r="A198" s="88"/>
      <c r="I198" s="94"/>
    </row>
    <row r="199" spans="1:14" x14ac:dyDescent="0.25">
      <c r="A199" s="88"/>
      <c r="I199" s="94"/>
    </row>
    <row r="200" spans="1:14" x14ac:dyDescent="0.25">
      <c r="A200" s="88"/>
      <c r="C200" s="95"/>
      <c r="D200" s="39"/>
      <c r="E200" s="39"/>
    </row>
    <row r="201" spans="1:14" x14ac:dyDescent="0.25">
      <c r="A201" s="88"/>
      <c r="C201" s="95"/>
      <c r="D201" s="39"/>
      <c r="E201" s="39"/>
    </row>
    <row r="202" spans="1:14" x14ac:dyDescent="0.25">
      <c r="A202" s="88"/>
      <c r="C202" s="94"/>
    </row>
    <row r="203" spans="1:14" x14ac:dyDescent="0.25">
      <c r="A203" s="88"/>
      <c r="I203" s="47"/>
    </row>
    <row r="204" spans="1:14" x14ac:dyDescent="0.25">
      <c r="A204" s="88"/>
      <c r="C204" s="97"/>
      <c r="I204" s="96"/>
    </row>
    <row r="205" spans="1:14" x14ac:dyDescent="0.25">
      <c r="A205" s="88"/>
      <c r="C205" s="47"/>
    </row>
    <row r="206" spans="1:14" x14ac:dyDescent="0.25">
      <c r="A206" s="88"/>
      <c r="C206" s="47"/>
      <c r="F206" s="88"/>
      <c r="G206" s="88"/>
    </row>
    <row r="207" spans="1:14" x14ac:dyDescent="0.25">
      <c r="A207" s="88"/>
      <c r="B207" s="88"/>
      <c r="C207" s="88"/>
      <c r="F207" s="88"/>
      <c r="G207" s="88"/>
    </row>
    <row r="208" spans="1:14" s="31" customFormat="1" x14ac:dyDescent="0.25">
      <c r="A208" s="167"/>
      <c r="C208" s="168"/>
    </row>
    <row r="209" spans="1:9" s="31" customFormat="1" x14ac:dyDescent="0.25">
      <c r="A209" s="167"/>
      <c r="C209" s="169"/>
      <c r="F209" s="167"/>
      <c r="G209" s="167"/>
      <c r="H209" s="167"/>
    </row>
    <row r="210" spans="1:9" s="31" customFormat="1" x14ac:dyDescent="0.25">
      <c r="A210" s="167"/>
      <c r="C210" s="169"/>
      <c r="F210" s="167"/>
      <c r="G210" s="167"/>
      <c r="H210" s="167"/>
    </row>
    <row r="211" spans="1:9" s="31" customFormat="1" x14ac:dyDescent="0.25">
      <c r="A211" s="167"/>
      <c r="C211" s="169"/>
      <c r="F211" s="167"/>
      <c r="G211" s="167"/>
      <c r="H211" s="167"/>
    </row>
    <row r="212" spans="1:9" s="31" customFormat="1" x14ac:dyDescent="0.25">
      <c r="A212" s="167"/>
      <c r="C212" s="169"/>
      <c r="I212" s="170"/>
    </row>
    <row r="213" spans="1:9" s="31" customFormat="1" x14ac:dyDescent="0.25">
      <c r="A213" s="167"/>
      <c r="C213" s="168"/>
      <c r="D213" s="167"/>
      <c r="I213" s="168"/>
    </row>
    <row r="214" spans="1:9" s="31" customFormat="1" x14ac:dyDescent="0.25">
      <c r="A214" s="167"/>
      <c r="C214" s="168"/>
      <c r="I214" s="168"/>
    </row>
    <row r="215" spans="1:9" x14ac:dyDescent="0.25">
      <c r="A215" s="88"/>
      <c r="I215" s="97"/>
    </row>
    <row r="216" spans="1:9" x14ac:dyDescent="0.25">
      <c r="A216" s="88"/>
    </row>
    <row r="217" spans="1:9" x14ac:dyDescent="0.25">
      <c r="A217" s="88"/>
      <c r="C217" s="47"/>
    </row>
    <row r="218" spans="1:9" x14ac:dyDescent="0.25">
      <c r="A218" s="88"/>
      <c r="C218" s="39"/>
    </row>
    <row r="219" spans="1:9" x14ac:dyDescent="0.25">
      <c r="A219" s="88"/>
      <c r="C219" s="39"/>
    </row>
    <row r="220" spans="1:9" x14ac:dyDescent="0.25">
      <c r="A220" s="88"/>
      <c r="C220" s="97"/>
    </row>
    <row r="221" spans="1:9" x14ac:dyDescent="0.25">
      <c r="A221" s="88"/>
    </row>
    <row r="222" spans="1:9" x14ac:dyDescent="0.25">
      <c r="A222" s="88"/>
      <c r="C222" s="97"/>
    </row>
    <row r="223" spans="1:9" x14ac:dyDescent="0.25">
      <c r="A223" s="88"/>
      <c r="C223" s="47"/>
    </row>
    <row r="224" spans="1:9" x14ac:dyDescent="0.25">
      <c r="A224" s="88"/>
      <c r="C224" s="47"/>
    </row>
    <row r="225" spans="1:3" x14ac:dyDescent="0.25">
      <c r="A225" s="88"/>
      <c r="C225" s="47"/>
    </row>
    <row r="226" spans="1:3" x14ac:dyDescent="0.25">
      <c r="A226" s="88"/>
      <c r="C226" s="97"/>
    </row>
    <row r="227" spans="1:3" x14ac:dyDescent="0.25">
      <c r="A227" s="88"/>
    </row>
    <row r="228" spans="1:3" x14ac:dyDescent="0.25">
      <c r="A228" s="88"/>
      <c r="C228" s="39"/>
    </row>
    <row r="229" spans="1:3" x14ac:dyDescent="0.25">
      <c r="A229" s="88"/>
      <c r="C229" s="39"/>
    </row>
    <row r="230" spans="1:3" x14ac:dyDescent="0.25">
      <c r="A230" s="88"/>
      <c r="C230" s="39"/>
    </row>
    <row r="231" spans="1:3" x14ac:dyDescent="0.25">
      <c r="A231" s="88"/>
    </row>
    <row r="232" spans="1:3" x14ac:dyDescent="0.25">
      <c r="A232" s="88"/>
    </row>
    <row r="233" spans="1:3" x14ac:dyDescent="0.25">
      <c r="A233" s="88"/>
    </row>
    <row r="234" spans="1:3" x14ac:dyDescent="0.25">
      <c r="A234" s="88"/>
    </row>
    <row r="235" spans="1:3" x14ac:dyDescent="0.25">
      <c r="A235" s="88"/>
    </row>
    <row r="236" spans="1:3" x14ac:dyDescent="0.25">
      <c r="A236" s="88"/>
    </row>
    <row r="237" spans="1:3" x14ac:dyDescent="0.25">
      <c r="A237" s="88"/>
    </row>
    <row r="238" spans="1:3" x14ac:dyDescent="0.25">
      <c r="A238" s="88"/>
    </row>
    <row r="239" spans="1:3" x14ac:dyDescent="0.25">
      <c r="A239" s="88"/>
    </row>
    <row r="240" spans="1:3" x14ac:dyDescent="0.25">
      <c r="A240" s="88"/>
    </row>
    <row r="241" spans="1:10" x14ac:dyDescent="0.25">
      <c r="A241" s="88"/>
    </row>
    <row r="242" spans="1:10" x14ac:dyDescent="0.25">
      <c r="A242" s="88"/>
      <c r="I242" s="88"/>
      <c r="J242" s="88"/>
    </row>
    <row r="243" spans="1:10" x14ac:dyDescent="0.25">
      <c r="A243" s="88"/>
      <c r="I243" s="88"/>
      <c r="J243" s="88"/>
    </row>
    <row r="244" spans="1:10" x14ac:dyDescent="0.25">
      <c r="A244" s="88"/>
      <c r="I244" s="88"/>
      <c r="J244" s="88"/>
    </row>
    <row r="245" spans="1:10" x14ac:dyDescent="0.25">
      <c r="A245" s="88"/>
      <c r="I245" s="88"/>
      <c r="J245" s="88"/>
    </row>
    <row r="246" spans="1:10" x14ac:dyDescent="0.25">
      <c r="A246" s="88"/>
      <c r="I246" s="88"/>
      <c r="J246" s="88"/>
    </row>
    <row r="247" spans="1:10" x14ac:dyDescent="0.25">
      <c r="A247" s="88"/>
      <c r="I247" s="88"/>
      <c r="J247" s="88"/>
    </row>
    <row r="248" spans="1:10" x14ac:dyDescent="0.25">
      <c r="A248" s="88"/>
      <c r="I248" s="88"/>
      <c r="J248" s="88"/>
    </row>
    <row r="249" spans="1:10" x14ac:dyDescent="0.25">
      <c r="A249" s="88"/>
      <c r="I249" s="88"/>
      <c r="J249" s="88"/>
    </row>
    <row r="250" spans="1:10" x14ac:dyDescent="0.25">
      <c r="A250" s="88"/>
      <c r="I250" s="88"/>
      <c r="J250" s="88"/>
    </row>
    <row r="251" spans="1:10" x14ac:dyDescent="0.25">
      <c r="A251" s="88"/>
      <c r="I251" s="88"/>
      <c r="J251" s="88"/>
    </row>
    <row r="252" spans="1:10" x14ac:dyDescent="0.25">
      <c r="A252" s="88"/>
      <c r="I252" s="88"/>
      <c r="J252" s="88"/>
    </row>
    <row r="253" spans="1:10" x14ac:dyDescent="0.25">
      <c r="A253" s="88"/>
      <c r="I253" s="88"/>
      <c r="J253" s="88"/>
    </row>
    <row r="254" spans="1:10" x14ac:dyDescent="0.25">
      <c r="A254" s="88"/>
      <c r="I254" s="88"/>
      <c r="J254" s="88"/>
    </row>
  </sheetData>
  <mergeCells count="15">
    <mergeCell ref="B13:O13"/>
    <mergeCell ref="B1:O1"/>
    <mergeCell ref="B33:N33"/>
    <mergeCell ref="B15:N15"/>
    <mergeCell ref="B23:N23"/>
    <mergeCell ref="F3:H3"/>
    <mergeCell ref="A155:N155"/>
    <mergeCell ref="A53:O53"/>
    <mergeCell ref="B36:N36"/>
    <mergeCell ref="B42:N42"/>
    <mergeCell ref="B27:N27"/>
    <mergeCell ref="B119:H119"/>
    <mergeCell ref="B137:H137"/>
    <mergeCell ref="B114:M114"/>
    <mergeCell ref="B103:M103"/>
  </mergeCells>
  <hyperlinks>
    <hyperlink ref="F2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6"/>
  <sheetViews>
    <sheetView workbookViewId="0">
      <selection activeCell="J10" sqref="J10"/>
    </sheetView>
  </sheetViews>
  <sheetFormatPr defaultRowHeight="15" x14ac:dyDescent="0.25"/>
  <cols>
    <col min="1" max="1" width="4.28515625" customWidth="1"/>
    <col min="2" max="2" width="12.85546875" customWidth="1"/>
    <col min="3" max="3" width="2.85546875" customWidth="1"/>
    <col min="4" max="4" width="12.28515625" customWidth="1"/>
    <col min="5" max="5" width="2.42578125" customWidth="1"/>
    <col min="6" max="6" width="19" bestFit="1" customWidth="1"/>
    <col min="7" max="7" width="2.28515625" customWidth="1"/>
    <col min="8" max="8" width="19" bestFit="1" customWidth="1"/>
    <col min="9" max="9" width="2.140625" customWidth="1"/>
    <col min="10" max="10" width="13.140625" customWidth="1"/>
    <col min="11" max="11" width="2.140625" customWidth="1"/>
    <col min="12" max="12" width="13.5703125" bestFit="1" customWidth="1"/>
    <col min="13" max="13" width="2.140625" customWidth="1"/>
    <col min="14" max="14" width="13.85546875" bestFit="1" customWidth="1"/>
    <col min="15" max="15" width="2.42578125" customWidth="1"/>
    <col min="16" max="16" width="13.42578125" bestFit="1" customWidth="1"/>
    <col min="17" max="17" width="20.28515625" customWidth="1"/>
  </cols>
  <sheetData>
    <row r="1" spans="1:17" ht="14.25" customHeight="1" x14ac:dyDescent="0.25">
      <c r="A1" t="s">
        <v>78</v>
      </c>
    </row>
    <row r="3" spans="1:17" x14ac:dyDescent="0.25">
      <c r="B3" t="s">
        <v>79</v>
      </c>
      <c r="F3" s="39">
        <f>'Rate Assumptions'!B1</f>
        <v>2.9000000000000001E-2</v>
      </c>
      <c r="H3" s="3"/>
    </row>
    <row r="4" spans="1:17" x14ac:dyDescent="0.25">
      <c r="B4" t="s">
        <v>80</v>
      </c>
      <c r="F4" s="16">
        <f>Forecast!H44</f>
        <v>118930</v>
      </c>
      <c r="H4" s="3"/>
    </row>
    <row r="5" spans="1:17" x14ac:dyDescent="0.25">
      <c r="B5" t="s">
        <v>81</v>
      </c>
      <c r="F5">
        <v>30</v>
      </c>
    </row>
    <row r="6" spans="1:17" x14ac:dyDescent="0.25">
      <c r="B6" s="40" t="s">
        <v>82</v>
      </c>
      <c r="C6" s="40"/>
      <c r="D6" s="40"/>
      <c r="E6" s="40"/>
      <c r="F6" s="40">
        <v>12</v>
      </c>
    </row>
    <row r="8" spans="1:17" x14ac:dyDescent="0.25">
      <c r="B8" t="s">
        <v>83</v>
      </c>
      <c r="F8" s="39">
        <f>F3/F6</f>
        <v>2.4166666666666668E-3</v>
      </c>
    </row>
    <row r="9" spans="1:17" x14ac:dyDescent="0.25">
      <c r="B9" t="s">
        <v>84</v>
      </c>
      <c r="F9">
        <f>F5*F6</f>
        <v>360</v>
      </c>
      <c r="H9" s="203" t="s">
        <v>241</v>
      </c>
    </row>
    <row r="10" spans="1:17" x14ac:dyDescent="0.25">
      <c r="B10" t="s">
        <v>85</v>
      </c>
      <c r="F10" s="3">
        <f>-PMT(F8,F9,F4,0)</f>
        <v>495.02231537972062</v>
      </c>
      <c r="H10" s="3">
        <f>F10*F6</f>
        <v>5940.2677845566477</v>
      </c>
    </row>
    <row r="11" spans="1:17" x14ac:dyDescent="0.25">
      <c r="B11" t="s">
        <v>86</v>
      </c>
      <c r="F11" s="3">
        <f>F10*F9</f>
        <v>178208.03353669943</v>
      </c>
    </row>
    <row r="12" spans="1:17" x14ac:dyDescent="0.25">
      <c r="B12" t="s">
        <v>87</v>
      </c>
      <c r="F12" s="3">
        <f>F11+F4</f>
        <v>297138.03353669943</v>
      </c>
    </row>
    <row r="14" spans="1:17" x14ac:dyDescent="0.25">
      <c r="B14" s="41" t="s">
        <v>22</v>
      </c>
      <c r="C14" s="41"/>
      <c r="D14" s="41" t="s">
        <v>22</v>
      </c>
      <c r="E14" s="41"/>
      <c r="F14" s="41" t="s">
        <v>88</v>
      </c>
      <c r="G14" s="41"/>
      <c r="H14" s="41" t="s">
        <v>88</v>
      </c>
      <c r="I14" s="41"/>
      <c r="J14" s="41" t="s">
        <v>89</v>
      </c>
      <c r="K14" s="41"/>
      <c r="L14" s="41" t="s">
        <v>90</v>
      </c>
      <c r="M14" s="41"/>
      <c r="N14" s="41" t="s">
        <v>90</v>
      </c>
      <c r="O14" s="41"/>
      <c r="P14" s="41" t="s">
        <v>91</v>
      </c>
      <c r="Q14" s="41" t="s">
        <v>92</v>
      </c>
    </row>
    <row r="15" spans="1:17" x14ac:dyDescent="0.25">
      <c r="B15" s="41" t="s">
        <v>93</v>
      </c>
      <c r="C15" s="41"/>
      <c r="D15" s="41" t="s">
        <v>59</v>
      </c>
      <c r="E15" s="41"/>
      <c r="F15" s="41" t="s">
        <v>94</v>
      </c>
      <c r="G15" s="41"/>
      <c r="H15" s="41" t="s">
        <v>95</v>
      </c>
      <c r="I15" s="41"/>
      <c r="J15" s="41" t="s">
        <v>22</v>
      </c>
      <c r="K15" s="41"/>
      <c r="L15" s="41" t="s">
        <v>96</v>
      </c>
      <c r="M15" s="41"/>
      <c r="N15" s="41" t="s">
        <v>97</v>
      </c>
      <c r="O15" s="41"/>
      <c r="P15" s="41" t="s">
        <v>97</v>
      </c>
      <c r="Q15" s="41" t="s">
        <v>240</v>
      </c>
    </row>
    <row r="16" spans="1:17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42">
        <f>F4</f>
        <v>118930</v>
      </c>
      <c r="M16" s="6"/>
      <c r="N16" s="6"/>
      <c r="O16" s="6"/>
      <c r="P16" s="6"/>
      <c r="Q16" s="6"/>
    </row>
    <row r="17" spans="2:17" x14ac:dyDescent="0.25">
      <c r="B17">
        <v>1</v>
      </c>
      <c r="D17" s="3">
        <f>IF(L16&lt;$F$10,L16*(1+F$8),$F$10)</f>
        <v>495.02231537972062</v>
      </c>
      <c r="F17" s="3">
        <f>IF(D17&lt;0.01,"",(D17-H17+J17))</f>
        <v>207.60814871305394</v>
      </c>
      <c r="H17" s="3">
        <f>IF(D17&lt;0.01, "",L16*$F$8)</f>
        <v>287.41416666666669</v>
      </c>
      <c r="J17" s="43"/>
      <c r="L17" s="3">
        <f>IF(D17&lt;0.01,"",L16-F17)</f>
        <v>118722.39185128694</v>
      </c>
      <c r="N17" s="3">
        <f>N16+F17</f>
        <v>207.60814871305394</v>
      </c>
      <c r="P17" s="44">
        <f>P16+H17</f>
        <v>287.41416666666669</v>
      </c>
    </row>
    <row r="18" spans="2:17" x14ac:dyDescent="0.25">
      <c r="B18">
        <v>2</v>
      </c>
      <c r="D18" s="3">
        <f t="shared" ref="D18:D27" si="0">IF(L17&lt;$F$10,L17*(1+F$8),$F$10)</f>
        <v>495.02231537972062</v>
      </c>
      <c r="F18" s="3">
        <f>IF(D18&lt;0.01,"",(D18-H18+J18))</f>
        <v>208.10986840577715</v>
      </c>
      <c r="H18" s="3">
        <f>IF(D18&lt;0.01, "",L17*$F$8)</f>
        <v>286.91244697394347</v>
      </c>
      <c r="L18" s="3">
        <f>IF(D18&lt;0.01,"",L17-F18)</f>
        <v>118514.28198288116</v>
      </c>
      <c r="N18" s="3">
        <f t="shared" ref="N18:N28" si="1">IF(D18&lt;0.01,"",N17+F18)</f>
        <v>415.71801711883109</v>
      </c>
      <c r="P18" s="45">
        <f t="shared" ref="P18:P28" si="2">IF(D18&lt;0.01,"",P17+H18)</f>
        <v>574.32661364061016</v>
      </c>
    </row>
    <row r="19" spans="2:17" x14ac:dyDescent="0.25">
      <c r="B19">
        <v>3</v>
      </c>
      <c r="D19" s="3">
        <f t="shared" si="0"/>
        <v>495.02231537972062</v>
      </c>
      <c r="F19" s="3">
        <f t="shared" ref="F19:F28" si="3">IF(D19&lt;0.01,"",(D19-H19+J19))</f>
        <v>208.61280058775782</v>
      </c>
      <c r="H19" s="3">
        <f t="shared" ref="H19:H28" si="4">IF(D19&lt;0.01, "",L18*$F$8)</f>
        <v>286.40951479196281</v>
      </c>
      <c r="L19" s="3">
        <f t="shared" ref="L19:L28" si="5">IF(D19&lt;0.01,"",L18-F19)</f>
        <v>118305.66918229341</v>
      </c>
      <c r="N19" s="3">
        <f t="shared" si="1"/>
        <v>624.33081770658896</v>
      </c>
      <c r="P19" s="45">
        <f t="shared" si="2"/>
        <v>860.73612843257297</v>
      </c>
    </row>
    <row r="20" spans="2:17" x14ac:dyDescent="0.25">
      <c r="B20">
        <v>4</v>
      </c>
      <c r="D20" s="3">
        <f t="shared" si="0"/>
        <v>495.02231537972062</v>
      </c>
      <c r="F20" s="3">
        <f t="shared" si="3"/>
        <v>209.11694818917823</v>
      </c>
      <c r="H20" s="3">
        <f>IF(D20&lt;0.01, "",L19*$F$8)</f>
        <v>285.90536719054239</v>
      </c>
      <c r="L20" s="3">
        <f t="shared" si="5"/>
        <v>118096.55223410422</v>
      </c>
      <c r="N20" s="3">
        <f t="shared" si="1"/>
        <v>833.44776589576713</v>
      </c>
      <c r="P20" s="45">
        <f t="shared" si="2"/>
        <v>1146.6414956231154</v>
      </c>
    </row>
    <row r="21" spans="2:17" x14ac:dyDescent="0.25">
      <c r="B21">
        <v>5</v>
      </c>
      <c r="D21" s="3">
        <f t="shared" si="0"/>
        <v>495.02231537972062</v>
      </c>
      <c r="F21" s="3">
        <f t="shared" si="3"/>
        <v>209.62231414730206</v>
      </c>
      <c r="H21" s="3">
        <f t="shared" si="4"/>
        <v>285.40000123241856</v>
      </c>
      <c r="L21" s="3">
        <f t="shared" si="5"/>
        <v>117886.92991995692</v>
      </c>
      <c r="N21" s="3">
        <f t="shared" si="1"/>
        <v>1043.0700800430691</v>
      </c>
      <c r="P21" s="45">
        <f t="shared" si="2"/>
        <v>1432.041496855534</v>
      </c>
    </row>
    <row r="22" spans="2:17" x14ac:dyDescent="0.25">
      <c r="B22">
        <v>6</v>
      </c>
      <c r="D22" s="3">
        <f t="shared" si="0"/>
        <v>495.02231537972062</v>
      </c>
      <c r="F22" s="3">
        <f t="shared" si="3"/>
        <v>210.12890140649137</v>
      </c>
      <c r="H22" s="3">
        <f t="shared" si="4"/>
        <v>284.89341397322926</v>
      </c>
      <c r="L22" s="3">
        <f t="shared" si="5"/>
        <v>117676.80101855042</v>
      </c>
      <c r="N22" s="3">
        <f t="shared" si="1"/>
        <v>1253.1989814495605</v>
      </c>
      <c r="P22" s="45">
        <f t="shared" si="2"/>
        <v>1716.9349108287633</v>
      </c>
    </row>
    <row r="23" spans="2:17" x14ac:dyDescent="0.25">
      <c r="B23">
        <v>7</v>
      </c>
      <c r="D23" s="3">
        <f t="shared" si="0"/>
        <v>495.02231537972062</v>
      </c>
      <c r="F23" s="3">
        <f>IF(D23&lt;0.01,"",(D23-H23+J23))</f>
        <v>210.63671291822374</v>
      </c>
      <c r="H23" s="3">
        <f t="shared" si="4"/>
        <v>284.38560246149689</v>
      </c>
      <c r="L23" s="3">
        <f t="shared" si="5"/>
        <v>117466.16430563221</v>
      </c>
      <c r="N23" s="3">
        <f t="shared" si="1"/>
        <v>1463.8356943677843</v>
      </c>
      <c r="P23" s="45">
        <f t="shared" si="2"/>
        <v>2001.3205132902604</v>
      </c>
    </row>
    <row r="24" spans="2:17" x14ac:dyDescent="0.25">
      <c r="B24">
        <v>8</v>
      </c>
      <c r="D24" s="3">
        <f t="shared" si="0"/>
        <v>495.02231537972062</v>
      </c>
      <c r="F24" s="3">
        <f t="shared" si="3"/>
        <v>211.14575164110943</v>
      </c>
      <c r="H24" s="3">
        <f t="shared" si="4"/>
        <v>283.8765637386112</v>
      </c>
      <c r="L24" s="3">
        <f t="shared" si="5"/>
        <v>117255.0185539911</v>
      </c>
      <c r="N24" s="3">
        <f t="shared" si="1"/>
        <v>1674.9814460088937</v>
      </c>
      <c r="P24" s="45">
        <f t="shared" si="2"/>
        <v>2285.1970770288717</v>
      </c>
    </row>
    <row r="25" spans="2:17" x14ac:dyDescent="0.25">
      <c r="B25">
        <v>9</v>
      </c>
      <c r="D25" s="3">
        <f t="shared" si="0"/>
        <v>495.02231537972062</v>
      </c>
      <c r="F25" s="3">
        <f t="shared" si="3"/>
        <v>211.6560205409088</v>
      </c>
      <c r="H25" s="3">
        <f t="shared" si="4"/>
        <v>283.36629483881183</v>
      </c>
      <c r="L25" s="3">
        <f t="shared" si="5"/>
        <v>117043.3625334502</v>
      </c>
      <c r="N25" s="3">
        <f t="shared" si="1"/>
        <v>1886.6374665498024</v>
      </c>
      <c r="P25" s="45">
        <f t="shared" si="2"/>
        <v>2568.5633718676836</v>
      </c>
    </row>
    <row r="26" spans="2:17" x14ac:dyDescent="0.25">
      <c r="B26">
        <v>10</v>
      </c>
      <c r="D26" s="3">
        <f t="shared" si="0"/>
        <v>495.02231537972062</v>
      </c>
      <c r="F26" s="3">
        <f t="shared" si="3"/>
        <v>212.16752259054931</v>
      </c>
      <c r="H26" s="3">
        <f t="shared" si="4"/>
        <v>282.85479278917131</v>
      </c>
      <c r="L26" s="3">
        <f t="shared" si="5"/>
        <v>116831.19501085965</v>
      </c>
      <c r="N26" s="3">
        <f t="shared" si="1"/>
        <v>2098.8049891403516</v>
      </c>
      <c r="P26" s="45">
        <f t="shared" si="2"/>
        <v>2851.418164656855</v>
      </c>
    </row>
    <row r="27" spans="2:17" x14ac:dyDescent="0.25">
      <c r="B27">
        <v>11</v>
      </c>
      <c r="D27" s="3">
        <f t="shared" si="0"/>
        <v>495.02231537972062</v>
      </c>
      <c r="F27" s="3">
        <f t="shared" si="3"/>
        <v>212.68026077014309</v>
      </c>
      <c r="H27" s="3">
        <f t="shared" si="4"/>
        <v>282.34205460957753</v>
      </c>
      <c r="L27" s="3">
        <f t="shared" si="5"/>
        <v>116618.51475008951</v>
      </c>
      <c r="N27" s="3">
        <f t="shared" si="1"/>
        <v>2311.4852499104945</v>
      </c>
      <c r="P27" s="45">
        <f t="shared" si="2"/>
        <v>3133.7602192664326</v>
      </c>
    </row>
    <row r="28" spans="2:17" x14ac:dyDescent="0.25">
      <c r="B28">
        <v>12</v>
      </c>
      <c r="D28" s="3">
        <f>IF(L27&lt;$F$10,L27*(1+F$8),$F$10)</f>
        <v>495.02231537972062</v>
      </c>
      <c r="F28" s="3">
        <f t="shared" si="3"/>
        <v>213.19423806700428</v>
      </c>
      <c r="H28" s="3">
        <f t="shared" si="4"/>
        <v>281.82807731271635</v>
      </c>
      <c r="L28" s="3">
        <f t="shared" si="5"/>
        <v>116405.3205120225</v>
      </c>
      <c r="N28" s="3">
        <f t="shared" si="1"/>
        <v>2524.6794879774989</v>
      </c>
      <c r="P28" s="45">
        <f t="shared" si="2"/>
        <v>3415.5882965791488</v>
      </c>
      <c r="Q28" s="46">
        <f>P28</f>
        <v>3415.5882965791488</v>
      </c>
    </row>
    <row r="29" spans="2:17" x14ac:dyDescent="0.25">
      <c r="B29">
        <f>IF(AND(L28&lt;&gt;"",L28&gt;0.001),B28+1,"")</f>
        <v>13</v>
      </c>
      <c r="D29" s="3">
        <f>IF(B29="","",IF(L28&lt;$F$10,L28*(1+$F$8),$F$10))</f>
        <v>495.02231537972062</v>
      </c>
      <c r="F29" s="3">
        <f>IF(B29="","",(D29-H29+J29))</f>
        <v>213.70945747566623</v>
      </c>
      <c r="H29" s="3">
        <f>IF(B29="", "",L28*$F$8)</f>
        <v>281.3128579040544</v>
      </c>
      <c r="L29" s="3">
        <f>IF(B29="","",L28-F29)</f>
        <v>116191.61105454684</v>
      </c>
      <c r="N29" s="3">
        <f>IF(B29="","",N28+F29)</f>
        <v>2738.388945453165</v>
      </c>
      <c r="P29" s="45">
        <f>IF(B29="","",P28+H29)</f>
        <v>3696.9011544832033</v>
      </c>
    </row>
    <row r="30" spans="2:17" x14ac:dyDescent="0.25">
      <c r="B30">
        <f t="shared" ref="B30:B93" si="6">IF(AND(L29&lt;&gt;"",L29&gt;0.001),B29+1,"")</f>
        <v>14</v>
      </c>
      <c r="D30" s="3">
        <f t="shared" ref="D30:D93" si="7">IF(B30="","",IF(L29&lt;$F$10,L29*(1+$F$8),$F$10))</f>
        <v>495.02231537972062</v>
      </c>
      <c r="F30" s="3">
        <f t="shared" ref="F30:F93" si="8">IF(B30="","",(D30-H30+J30))</f>
        <v>214.22592199789909</v>
      </c>
      <c r="H30" s="3">
        <f t="shared" ref="H30:H93" si="9">IF(B30="", "",L29*$F$8)</f>
        <v>280.79639338182153</v>
      </c>
      <c r="L30" s="3">
        <f t="shared" ref="L30:L93" si="10">IF(B30="","",L29-F30)</f>
        <v>115977.38513254894</v>
      </c>
      <c r="N30" s="3">
        <f t="shared" ref="N30:N93" si="11">IF(B30="","",N29+F30)</f>
        <v>2952.6148674510641</v>
      </c>
      <c r="P30" s="45">
        <f t="shared" ref="P30:P93" si="12">IF(B30="","",P29+H30)</f>
        <v>3977.6975478650247</v>
      </c>
    </row>
    <row r="31" spans="2:17" x14ac:dyDescent="0.25">
      <c r="B31">
        <f t="shared" si="6"/>
        <v>15</v>
      </c>
      <c r="D31" s="3">
        <f t="shared" si="7"/>
        <v>495.02231537972062</v>
      </c>
      <c r="F31" s="3">
        <f t="shared" si="8"/>
        <v>214.74363464272733</v>
      </c>
      <c r="H31" s="3">
        <f t="shared" si="9"/>
        <v>280.27868073699329</v>
      </c>
      <c r="L31" s="3">
        <f>IF(B31="","",L30-F31)</f>
        <v>115762.64149790621</v>
      </c>
      <c r="N31" s="3">
        <f t="shared" si="11"/>
        <v>3167.3585020937917</v>
      </c>
      <c r="P31" s="45">
        <f t="shared" si="12"/>
        <v>4257.9762286020177</v>
      </c>
    </row>
    <row r="32" spans="2:17" x14ac:dyDescent="0.25">
      <c r="B32">
        <f t="shared" si="6"/>
        <v>16</v>
      </c>
      <c r="D32" s="3">
        <f t="shared" si="7"/>
        <v>495.02231537972062</v>
      </c>
      <c r="F32" s="3">
        <f t="shared" si="8"/>
        <v>215.26259842644725</v>
      </c>
      <c r="H32" s="3">
        <f t="shared" si="9"/>
        <v>279.75971695327337</v>
      </c>
      <c r="L32" s="3">
        <f t="shared" si="10"/>
        <v>115547.37889947977</v>
      </c>
      <c r="N32" s="3">
        <f t="shared" si="11"/>
        <v>3382.621100520239</v>
      </c>
      <c r="P32" s="45">
        <f t="shared" si="12"/>
        <v>4537.7359455552914</v>
      </c>
    </row>
    <row r="33" spans="2:17" x14ac:dyDescent="0.25">
      <c r="B33">
        <f t="shared" si="6"/>
        <v>17</v>
      </c>
      <c r="D33" s="3">
        <f t="shared" si="7"/>
        <v>495.02231537972062</v>
      </c>
      <c r="F33" s="3">
        <f t="shared" si="8"/>
        <v>215.7828163726445</v>
      </c>
      <c r="H33" s="3">
        <f t="shared" si="9"/>
        <v>279.23949900707612</v>
      </c>
      <c r="L33" s="3">
        <f t="shared" si="10"/>
        <v>115331.59608310711</v>
      </c>
      <c r="N33" s="3">
        <f t="shared" si="11"/>
        <v>3598.4039168928834</v>
      </c>
      <c r="P33" s="45">
        <f t="shared" si="12"/>
        <v>4816.9754445623676</v>
      </c>
    </row>
    <row r="34" spans="2:17" x14ac:dyDescent="0.25">
      <c r="B34">
        <f t="shared" si="6"/>
        <v>18</v>
      </c>
      <c r="D34" s="3">
        <f t="shared" si="7"/>
        <v>495.02231537972062</v>
      </c>
      <c r="F34" s="3">
        <f t="shared" si="8"/>
        <v>216.30429151221176</v>
      </c>
      <c r="H34" s="3">
        <f t="shared" si="9"/>
        <v>278.71802386750886</v>
      </c>
      <c r="L34" s="3">
        <f t="shared" si="10"/>
        <v>115115.29179159491</v>
      </c>
      <c r="N34" s="3">
        <f t="shared" si="11"/>
        <v>3814.7082084050953</v>
      </c>
      <c r="P34" s="45">
        <f t="shared" si="12"/>
        <v>5095.6934684298767</v>
      </c>
    </row>
    <row r="35" spans="2:17" x14ac:dyDescent="0.25">
      <c r="B35">
        <f t="shared" si="6"/>
        <v>19</v>
      </c>
      <c r="D35" s="3">
        <f t="shared" si="7"/>
        <v>495.02231537972062</v>
      </c>
      <c r="F35" s="3">
        <f t="shared" si="8"/>
        <v>216.82702688336627</v>
      </c>
      <c r="H35" s="3">
        <f t="shared" si="9"/>
        <v>278.19528849635435</v>
      </c>
      <c r="L35" s="3">
        <f t="shared" si="10"/>
        <v>114898.46476471153</v>
      </c>
      <c r="N35" s="3">
        <f t="shared" si="11"/>
        <v>4031.5352352884615</v>
      </c>
      <c r="P35" s="45">
        <f t="shared" si="12"/>
        <v>5373.8887569262315</v>
      </c>
    </row>
    <row r="36" spans="2:17" x14ac:dyDescent="0.25">
      <c r="B36">
        <f t="shared" si="6"/>
        <v>20</v>
      </c>
      <c r="D36" s="3">
        <f t="shared" si="7"/>
        <v>495.02231537972062</v>
      </c>
      <c r="F36" s="3">
        <f t="shared" si="8"/>
        <v>217.35102553166774</v>
      </c>
      <c r="H36" s="3">
        <f t="shared" si="9"/>
        <v>277.67128984805288</v>
      </c>
      <c r="L36" s="3">
        <f t="shared" si="10"/>
        <v>114681.11373917987</v>
      </c>
      <c r="N36" s="3">
        <f t="shared" si="11"/>
        <v>4248.8862608201289</v>
      </c>
      <c r="P36" s="45">
        <f t="shared" si="12"/>
        <v>5651.5600467742843</v>
      </c>
    </row>
    <row r="37" spans="2:17" x14ac:dyDescent="0.25">
      <c r="B37">
        <f t="shared" si="6"/>
        <v>21</v>
      </c>
      <c r="D37" s="3">
        <f t="shared" si="7"/>
        <v>495.02231537972062</v>
      </c>
      <c r="F37" s="3">
        <f t="shared" si="8"/>
        <v>217.87629051003591</v>
      </c>
      <c r="H37" s="3">
        <f t="shared" si="9"/>
        <v>277.14602486968471</v>
      </c>
      <c r="L37" s="3">
        <f t="shared" si="10"/>
        <v>114463.23744866984</v>
      </c>
      <c r="N37" s="3">
        <f t="shared" si="11"/>
        <v>4466.7625513301646</v>
      </c>
      <c r="P37" s="45">
        <f t="shared" si="12"/>
        <v>5928.7060716439692</v>
      </c>
    </row>
    <row r="38" spans="2:17" x14ac:dyDescent="0.25">
      <c r="B38">
        <f t="shared" si="6"/>
        <v>22</v>
      </c>
      <c r="D38" s="3">
        <f t="shared" si="7"/>
        <v>495.02231537972062</v>
      </c>
      <c r="F38" s="3">
        <f t="shared" si="8"/>
        <v>218.40282487876851</v>
      </c>
      <c r="H38" s="3">
        <f t="shared" si="9"/>
        <v>276.61949050095211</v>
      </c>
      <c r="L38" s="3">
        <f t="shared" si="10"/>
        <v>114244.83462379107</v>
      </c>
      <c r="N38" s="3">
        <f t="shared" si="11"/>
        <v>4685.1653762089327</v>
      </c>
      <c r="P38" s="45">
        <f t="shared" si="12"/>
        <v>6205.3255621449216</v>
      </c>
    </row>
    <row r="39" spans="2:17" x14ac:dyDescent="0.25">
      <c r="B39">
        <f t="shared" si="6"/>
        <v>23</v>
      </c>
      <c r="D39" s="3">
        <f t="shared" si="7"/>
        <v>495.02231537972062</v>
      </c>
      <c r="F39" s="3">
        <f t="shared" si="8"/>
        <v>218.93063170555882</v>
      </c>
      <c r="H39" s="3">
        <f t="shared" si="9"/>
        <v>276.0916836741618</v>
      </c>
      <c r="L39" s="3">
        <f>IF(B39="","",L38-F39)</f>
        <v>114025.90399208551</v>
      </c>
      <c r="N39" s="3">
        <f t="shared" si="11"/>
        <v>4904.0960079144916</v>
      </c>
      <c r="P39" s="45">
        <f t="shared" si="12"/>
        <v>6481.4172458190833</v>
      </c>
    </row>
    <row r="40" spans="2:17" x14ac:dyDescent="0.25">
      <c r="B40">
        <f t="shared" si="6"/>
        <v>24</v>
      </c>
      <c r="D40" s="3">
        <f t="shared" si="7"/>
        <v>495.02231537972062</v>
      </c>
      <c r="F40" s="3">
        <f t="shared" si="8"/>
        <v>219.45971406551394</v>
      </c>
      <c r="H40" s="3">
        <f t="shared" si="9"/>
        <v>275.56260131420669</v>
      </c>
      <c r="L40" s="3">
        <f t="shared" si="10"/>
        <v>113806.44427802</v>
      </c>
      <c r="N40" s="3">
        <f t="shared" si="11"/>
        <v>5123.5557219800057</v>
      </c>
      <c r="P40" s="45">
        <f t="shared" si="12"/>
        <v>6756.9798471332897</v>
      </c>
      <c r="Q40" s="46">
        <f>P40-P28</f>
        <v>3341.3915505541408</v>
      </c>
    </row>
    <row r="41" spans="2:17" x14ac:dyDescent="0.25">
      <c r="B41">
        <f t="shared" si="6"/>
        <v>25</v>
      </c>
      <c r="D41" s="3">
        <f t="shared" si="7"/>
        <v>495.02231537972062</v>
      </c>
      <c r="F41" s="3">
        <f t="shared" si="8"/>
        <v>219.99007504117225</v>
      </c>
      <c r="H41" s="3">
        <f t="shared" si="9"/>
        <v>275.03224033854838</v>
      </c>
      <c r="L41" s="3">
        <f t="shared" si="10"/>
        <v>113586.45420297883</v>
      </c>
      <c r="N41" s="3">
        <f t="shared" si="11"/>
        <v>5343.5457970211783</v>
      </c>
      <c r="P41" s="45">
        <f t="shared" si="12"/>
        <v>7032.0120874718377</v>
      </c>
    </row>
    <row r="42" spans="2:17" x14ac:dyDescent="0.25">
      <c r="B42">
        <f t="shared" si="6"/>
        <v>26</v>
      </c>
      <c r="D42" s="3">
        <f t="shared" si="7"/>
        <v>495.02231537972062</v>
      </c>
      <c r="F42" s="3">
        <f t="shared" si="8"/>
        <v>220.52171772252177</v>
      </c>
      <c r="H42" s="3">
        <f t="shared" si="9"/>
        <v>274.50059765719885</v>
      </c>
      <c r="L42" s="3">
        <f t="shared" si="10"/>
        <v>113365.9324852563</v>
      </c>
      <c r="N42" s="3">
        <f t="shared" si="11"/>
        <v>5564.0675147436996</v>
      </c>
      <c r="P42" s="45">
        <f t="shared" si="12"/>
        <v>7306.512685129037</v>
      </c>
    </row>
    <row r="43" spans="2:17" x14ac:dyDescent="0.25">
      <c r="B43">
        <f t="shared" si="6"/>
        <v>27</v>
      </c>
      <c r="D43" s="3">
        <f t="shared" si="7"/>
        <v>495.02231537972062</v>
      </c>
      <c r="F43" s="3">
        <f t="shared" si="8"/>
        <v>221.05464520701787</v>
      </c>
      <c r="H43" s="3">
        <f t="shared" si="9"/>
        <v>273.96767017270275</v>
      </c>
      <c r="L43" s="3">
        <f t="shared" si="10"/>
        <v>113144.87784004929</v>
      </c>
      <c r="N43" s="3">
        <f t="shared" si="11"/>
        <v>5785.1221599507171</v>
      </c>
      <c r="P43" s="45">
        <f t="shared" si="12"/>
        <v>7580.48035530174</v>
      </c>
    </row>
    <row r="44" spans="2:17" x14ac:dyDescent="0.25">
      <c r="B44">
        <f t="shared" si="6"/>
        <v>28</v>
      </c>
      <c r="D44" s="3">
        <f t="shared" si="7"/>
        <v>495.02231537972062</v>
      </c>
      <c r="F44" s="3">
        <f t="shared" si="8"/>
        <v>221.5888605996015</v>
      </c>
      <c r="H44" s="3">
        <f t="shared" si="9"/>
        <v>273.43345478011912</v>
      </c>
      <c r="L44" s="3">
        <f t="shared" si="10"/>
        <v>112923.28897944969</v>
      </c>
      <c r="N44" s="3">
        <f t="shared" si="11"/>
        <v>6006.7110205503186</v>
      </c>
      <c r="P44" s="45">
        <f t="shared" si="12"/>
        <v>7853.9138100818591</v>
      </c>
    </row>
    <row r="45" spans="2:17" x14ac:dyDescent="0.25">
      <c r="B45">
        <f t="shared" si="6"/>
        <v>29</v>
      </c>
      <c r="D45" s="3">
        <f t="shared" si="7"/>
        <v>495.02231537972062</v>
      </c>
      <c r="F45" s="3">
        <f t="shared" si="8"/>
        <v>222.12436701271719</v>
      </c>
      <c r="H45" s="3">
        <f t="shared" si="9"/>
        <v>272.89794836700344</v>
      </c>
      <c r="L45" s="3">
        <f t="shared" si="10"/>
        <v>112701.16461243697</v>
      </c>
      <c r="N45" s="3">
        <f t="shared" si="11"/>
        <v>6228.8353875630355</v>
      </c>
      <c r="P45" s="45">
        <f t="shared" si="12"/>
        <v>8126.8117584488627</v>
      </c>
    </row>
    <row r="46" spans="2:17" x14ac:dyDescent="0.25">
      <c r="B46">
        <f t="shared" si="6"/>
        <v>30</v>
      </c>
      <c r="D46" s="3">
        <f t="shared" si="7"/>
        <v>495.02231537972062</v>
      </c>
      <c r="F46" s="3">
        <f t="shared" si="8"/>
        <v>222.66116756633124</v>
      </c>
      <c r="H46" s="3">
        <f t="shared" si="9"/>
        <v>272.36114781338938</v>
      </c>
      <c r="L46" s="3">
        <f t="shared" si="10"/>
        <v>112478.50344487064</v>
      </c>
      <c r="N46" s="3">
        <f t="shared" si="11"/>
        <v>6451.4965551293672</v>
      </c>
      <c r="P46" s="45">
        <f t="shared" si="12"/>
        <v>8399.1729062622526</v>
      </c>
    </row>
    <row r="47" spans="2:17" x14ac:dyDescent="0.25">
      <c r="B47">
        <f t="shared" si="6"/>
        <v>31</v>
      </c>
      <c r="D47" s="3">
        <f t="shared" si="7"/>
        <v>495.02231537972062</v>
      </c>
      <c r="F47" s="3">
        <f t="shared" si="8"/>
        <v>223.19926538794988</v>
      </c>
      <c r="H47" s="3">
        <f t="shared" si="9"/>
        <v>271.82304999177074</v>
      </c>
      <c r="L47" s="3">
        <f t="shared" si="10"/>
        <v>112255.30417948269</v>
      </c>
      <c r="N47" s="3">
        <f t="shared" si="11"/>
        <v>6674.6958205173169</v>
      </c>
      <c r="P47" s="45">
        <f t="shared" si="12"/>
        <v>8670.9959562540225</v>
      </c>
    </row>
    <row r="48" spans="2:17" x14ac:dyDescent="0.25">
      <c r="B48">
        <f t="shared" si="6"/>
        <v>32</v>
      </c>
      <c r="D48" s="3">
        <f t="shared" si="7"/>
        <v>495.02231537972062</v>
      </c>
      <c r="F48" s="3">
        <f t="shared" si="8"/>
        <v>223.73866361263742</v>
      </c>
      <c r="H48" s="3">
        <f t="shared" si="9"/>
        <v>271.2836517670832</v>
      </c>
      <c r="L48" s="3">
        <f t="shared" si="10"/>
        <v>112031.56551587005</v>
      </c>
      <c r="N48" s="3">
        <f t="shared" si="11"/>
        <v>6898.4344841299544</v>
      </c>
      <c r="P48" s="45">
        <f t="shared" si="12"/>
        <v>8942.2796080211065</v>
      </c>
    </row>
    <row r="49" spans="2:17" x14ac:dyDescent="0.25">
      <c r="B49">
        <f t="shared" si="6"/>
        <v>33</v>
      </c>
      <c r="D49" s="3">
        <f t="shared" si="7"/>
        <v>495.02231537972062</v>
      </c>
      <c r="F49" s="3">
        <f t="shared" si="8"/>
        <v>224.27936538303464</v>
      </c>
      <c r="H49" s="3">
        <f t="shared" si="9"/>
        <v>270.74294999668598</v>
      </c>
      <c r="L49" s="3">
        <f t="shared" si="10"/>
        <v>111807.28615048702</v>
      </c>
      <c r="N49" s="3">
        <f t="shared" si="11"/>
        <v>7122.7138495129893</v>
      </c>
      <c r="P49" s="45">
        <f t="shared" si="12"/>
        <v>9213.0225580177921</v>
      </c>
    </row>
    <row r="50" spans="2:17" x14ac:dyDescent="0.25">
      <c r="B50">
        <f t="shared" si="6"/>
        <v>34</v>
      </c>
      <c r="D50" s="3">
        <f t="shared" si="7"/>
        <v>495.02231537972062</v>
      </c>
      <c r="F50" s="3">
        <f t="shared" si="8"/>
        <v>224.82137384937698</v>
      </c>
      <c r="H50" s="3">
        <f t="shared" si="9"/>
        <v>270.20094153034364</v>
      </c>
      <c r="L50" s="3">
        <f t="shared" si="10"/>
        <v>111582.46477663764</v>
      </c>
      <c r="N50" s="3">
        <f t="shared" si="11"/>
        <v>7347.5352233623662</v>
      </c>
      <c r="P50" s="45">
        <f t="shared" si="12"/>
        <v>9483.2234995481358</v>
      </c>
    </row>
    <row r="51" spans="2:17" x14ac:dyDescent="0.25">
      <c r="B51">
        <f t="shared" si="6"/>
        <v>35</v>
      </c>
      <c r="D51" s="3">
        <f t="shared" si="7"/>
        <v>495.02231537972062</v>
      </c>
      <c r="F51" s="3">
        <f t="shared" si="8"/>
        <v>225.36469216951298</v>
      </c>
      <c r="H51" s="3">
        <f t="shared" si="9"/>
        <v>269.65762321020765</v>
      </c>
      <c r="L51" s="3">
        <f t="shared" si="10"/>
        <v>111357.10008446813</v>
      </c>
      <c r="N51" s="3">
        <f t="shared" si="11"/>
        <v>7572.8999155318788</v>
      </c>
      <c r="P51" s="45">
        <f t="shared" si="12"/>
        <v>9752.8811227583428</v>
      </c>
    </row>
    <row r="52" spans="2:17" x14ac:dyDescent="0.25">
      <c r="B52">
        <f t="shared" si="6"/>
        <v>36</v>
      </c>
      <c r="D52" s="3">
        <f t="shared" si="7"/>
        <v>495.02231537972062</v>
      </c>
      <c r="F52" s="3">
        <f t="shared" si="8"/>
        <v>225.90932350892263</v>
      </c>
      <c r="H52" s="3">
        <f t="shared" si="9"/>
        <v>269.112991870798</v>
      </c>
      <c r="L52" s="3">
        <f t="shared" si="10"/>
        <v>111131.1907609592</v>
      </c>
      <c r="N52" s="3">
        <f t="shared" si="11"/>
        <v>7798.8092390408019</v>
      </c>
      <c r="P52" s="45">
        <f t="shared" si="12"/>
        <v>10021.99411462914</v>
      </c>
      <c r="Q52" s="46">
        <f>P52-P40</f>
        <v>3265.0142674958506</v>
      </c>
    </row>
    <row r="53" spans="2:17" x14ac:dyDescent="0.25">
      <c r="B53">
        <f t="shared" si="6"/>
        <v>37</v>
      </c>
      <c r="D53" s="3">
        <f t="shared" si="7"/>
        <v>495.02231537972062</v>
      </c>
      <c r="F53" s="3">
        <f t="shared" si="8"/>
        <v>226.45527104073585</v>
      </c>
      <c r="H53" s="3">
        <f t="shared" si="9"/>
        <v>268.56704433898477</v>
      </c>
      <c r="L53" s="3">
        <f t="shared" si="10"/>
        <v>110904.73548991847</v>
      </c>
      <c r="N53" s="3">
        <f t="shared" si="11"/>
        <v>8025.264510081538</v>
      </c>
      <c r="P53" s="45">
        <f t="shared" si="12"/>
        <v>10290.561158968125</v>
      </c>
      <c r="Q53" s="46"/>
    </row>
    <row r="54" spans="2:17" x14ac:dyDescent="0.25">
      <c r="B54">
        <f t="shared" si="6"/>
        <v>38</v>
      </c>
      <c r="D54" s="3">
        <f t="shared" si="7"/>
        <v>495.02231537972062</v>
      </c>
      <c r="F54" s="3">
        <f t="shared" si="8"/>
        <v>227.00253794575099</v>
      </c>
      <c r="H54" s="3">
        <f t="shared" si="9"/>
        <v>268.01977743396964</v>
      </c>
      <c r="L54" s="3">
        <f t="shared" si="10"/>
        <v>110677.73295197272</v>
      </c>
      <c r="N54" s="3">
        <f t="shared" si="11"/>
        <v>8252.2670480272882</v>
      </c>
      <c r="P54" s="45">
        <f t="shared" si="12"/>
        <v>10558.580936402095</v>
      </c>
      <c r="Q54" s="46"/>
    </row>
    <row r="55" spans="2:17" x14ac:dyDescent="0.25">
      <c r="B55">
        <f t="shared" si="6"/>
        <v>39</v>
      </c>
      <c r="D55" s="3">
        <f t="shared" si="7"/>
        <v>495.02231537972062</v>
      </c>
      <c r="F55" s="3">
        <f t="shared" si="8"/>
        <v>227.55112741245318</v>
      </c>
      <c r="H55" s="3">
        <f t="shared" si="9"/>
        <v>267.47118796726744</v>
      </c>
      <c r="L55" s="3">
        <f t="shared" si="10"/>
        <v>110450.18182456026</v>
      </c>
      <c r="N55" s="3">
        <f t="shared" si="11"/>
        <v>8479.818175439741</v>
      </c>
      <c r="P55" s="45">
        <f t="shared" si="12"/>
        <v>10826.052124369362</v>
      </c>
      <c r="Q55" s="46"/>
    </row>
    <row r="56" spans="2:17" x14ac:dyDescent="0.25">
      <c r="B56">
        <f t="shared" si="6"/>
        <v>40</v>
      </c>
      <c r="D56" s="3">
        <f t="shared" si="7"/>
        <v>495.02231537972062</v>
      </c>
      <c r="F56" s="3">
        <f t="shared" si="8"/>
        <v>228.10104263703329</v>
      </c>
      <c r="H56" s="3">
        <f t="shared" si="9"/>
        <v>266.92127274268734</v>
      </c>
      <c r="L56" s="3">
        <f t="shared" si="10"/>
        <v>110222.08078192323</v>
      </c>
      <c r="N56" s="3">
        <f t="shared" si="11"/>
        <v>8707.919218076775</v>
      </c>
      <c r="P56" s="45">
        <f t="shared" si="12"/>
        <v>11092.973397112049</v>
      </c>
      <c r="Q56" s="46"/>
    </row>
    <row r="57" spans="2:17" x14ac:dyDescent="0.25">
      <c r="B57">
        <f t="shared" si="6"/>
        <v>41</v>
      </c>
      <c r="D57" s="3">
        <f t="shared" si="7"/>
        <v>495.02231537972062</v>
      </c>
      <c r="F57" s="3">
        <f t="shared" si="8"/>
        <v>228.65228682340614</v>
      </c>
      <c r="H57" s="3">
        <f t="shared" si="9"/>
        <v>266.37002855631448</v>
      </c>
      <c r="L57" s="3">
        <f t="shared" si="10"/>
        <v>109993.42849509983</v>
      </c>
      <c r="N57" s="3">
        <f t="shared" si="11"/>
        <v>8936.571504900181</v>
      </c>
      <c r="P57" s="45">
        <f t="shared" si="12"/>
        <v>11359.343425668363</v>
      </c>
      <c r="Q57" s="46"/>
    </row>
    <row r="58" spans="2:17" x14ac:dyDescent="0.25">
      <c r="B58">
        <f>IF(AND(L57&lt;&gt;"",L57&gt;0.001),B57+1,"")</f>
        <v>42</v>
      </c>
      <c r="D58" s="3">
        <f t="shared" si="7"/>
        <v>495.02231537972062</v>
      </c>
      <c r="F58" s="3">
        <f t="shared" si="8"/>
        <v>229.20486318322935</v>
      </c>
      <c r="H58" s="3">
        <f t="shared" si="9"/>
        <v>265.81745219649127</v>
      </c>
      <c r="L58" s="3">
        <f>IF(B58="","",L57-F58)</f>
        <v>109764.2236319166</v>
      </c>
      <c r="N58" s="3">
        <f t="shared" si="11"/>
        <v>9165.7763680834105</v>
      </c>
      <c r="P58" s="45">
        <f t="shared" si="12"/>
        <v>11625.160877864855</v>
      </c>
      <c r="Q58" s="46"/>
    </row>
    <row r="59" spans="2:17" x14ac:dyDescent="0.25">
      <c r="B59">
        <f t="shared" si="6"/>
        <v>43</v>
      </c>
      <c r="D59" s="3">
        <f t="shared" si="7"/>
        <v>495.02231537972062</v>
      </c>
      <c r="F59" s="3">
        <f t="shared" si="8"/>
        <v>229.75877493592219</v>
      </c>
      <c r="H59" s="3">
        <f t="shared" si="9"/>
        <v>265.26354044379843</v>
      </c>
      <c r="L59" s="3">
        <f t="shared" si="10"/>
        <v>109534.46485698067</v>
      </c>
      <c r="N59" s="3">
        <f t="shared" si="11"/>
        <v>9395.5351430193332</v>
      </c>
      <c r="P59" s="45">
        <f t="shared" si="12"/>
        <v>11890.424418308654</v>
      </c>
      <c r="Q59" s="46"/>
    </row>
    <row r="60" spans="2:17" x14ac:dyDescent="0.25">
      <c r="B60">
        <f t="shared" si="6"/>
        <v>44</v>
      </c>
      <c r="D60" s="3">
        <f t="shared" si="7"/>
        <v>495.02231537972062</v>
      </c>
      <c r="F60" s="3">
        <f t="shared" si="8"/>
        <v>230.31402530868399</v>
      </c>
      <c r="H60" s="3">
        <f t="shared" si="9"/>
        <v>264.70829007103663</v>
      </c>
      <c r="L60" s="3">
        <f t="shared" si="10"/>
        <v>109304.15083167198</v>
      </c>
      <c r="N60" s="3">
        <f t="shared" si="11"/>
        <v>9625.8491683280172</v>
      </c>
      <c r="P60" s="45">
        <f t="shared" si="12"/>
        <v>12155.132708379691</v>
      </c>
      <c r="Q60" s="46"/>
    </row>
    <row r="61" spans="2:17" x14ac:dyDescent="0.25">
      <c r="B61">
        <f t="shared" si="6"/>
        <v>45</v>
      </c>
      <c r="D61" s="3">
        <f t="shared" si="7"/>
        <v>495.02231537972062</v>
      </c>
      <c r="F61" s="3">
        <f t="shared" si="8"/>
        <v>230.87061753651329</v>
      </c>
      <c r="H61" s="3">
        <f t="shared" si="9"/>
        <v>264.15169784320733</v>
      </c>
      <c r="L61" s="3">
        <f t="shared" si="10"/>
        <v>109073.28021413548</v>
      </c>
      <c r="N61" s="3">
        <f t="shared" si="11"/>
        <v>9856.7197858645304</v>
      </c>
      <c r="P61" s="45">
        <f t="shared" si="12"/>
        <v>12419.284406222898</v>
      </c>
      <c r="Q61" s="46"/>
    </row>
    <row r="62" spans="2:17" x14ac:dyDescent="0.25">
      <c r="B62">
        <f t="shared" si="6"/>
        <v>46</v>
      </c>
      <c r="D62" s="3">
        <f t="shared" si="7"/>
        <v>495.02231537972062</v>
      </c>
      <c r="F62" s="3">
        <f t="shared" si="8"/>
        <v>231.42855486222652</v>
      </c>
      <c r="H62" s="3">
        <f t="shared" si="9"/>
        <v>263.5937605174941</v>
      </c>
      <c r="L62" s="3">
        <f t="shared" si="10"/>
        <v>108841.85165927325</v>
      </c>
      <c r="N62" s="3">
        <f t="shared" si="11"/>
        <v>10088.148340726757</v>
      </c>
      <c r="P62" s="45">
        <f t="shared" si="12"/>
        <v>12682.878166740393</v>
      </c>
      <c r="Q62" s="46"/>
    </row>
    <row r="63" spans="2:17" x14ac:dyDescent="0.25">
      <c r="B63">
        <f t="shared" si="6"/>
        <v>47</v>
      </c>
      <c r="D63" s="3">
        <f t="shared" si="7"/>
        <v>495.02231537972062</v>
      </c>
      <c r="F63" s="3">
        <f t="shared" si="8"/>
        <v>231.98784053647694</v>
      </c>
      <c r="H63" s="3">
        <f t="shared" si="9"/>
        <v>263.03447484324369</v>
      </c>
      <c r="L63" s="3">
        <f t="shared" si="10"/>
        <v>108609.86381873678</v>
      </c>
      <c r="N63" s="3">
        <f t="shared" si="11"/>
        <v>10320.136181263233</v>
      </c>
      <c r="P63" s="45">
        <f t="shared" si="12"/>
        <v>12945.912641583636</v>
      </c>
      <c r="Q63" s="46"/>
    </row>
    <row r="64" spans="2:17" x14ac:dyDescent="0.25">
      <c r="B64">
        <f t="shared" si="6"/>
        <v>48</v>
      </c>
      <c r="D64" s="3">
        <f t="shared" si="7"/>
        <v>495.02231537972062</v>
      </c>
      <c r="F64" s="3">
        <f t="shared" si="8"/>
        <v>232.5484778177734</v>
      </c>
      <c r="H64" s="3">
        <f t="shared" si="9"/>
        <v>262.47383756194722</v>
      </c>
      <c r="L64" s="3">
        <f t="shared" si="10"/>
        <v>108377.315340919</v>
      </c>
      <c r="N64" s="3">
        <f t="shared" si="11"/>
        <v>10552.684659081007</v>
      </c>
      <c r="P64" s="45">
        <f t="shared" si="12"/>
        <v>13208.386479145584</v>
      </c>
      <c r="Q64" s="46">
        <f>P64-P52</f>
        <v>3186.3923645164432</v>
      </c>
    </row>
    <row r="65" spans="2:17" x14ac:dyDescent="0.25">
      <c r="B65">
        <f t="shared" si="6"/>
        <v>49</v>
      </c>
      <c r="D65" s="3">
        <f t="shared" si="7"/>
        <v>495.02231537972062</v>
      </c>
      <c r="F65" s="3">
        <f t="shared" si="8"/>
        <v>233.11046997249969</v>
      </c>
      <c r="H65" s="3">
        <f t="shared" si="9"/>
        <v>261.91184540722094</v>
      </c>
      <c r="L65" s="3">
        <f t="shared" si="10"/>
        <v>108144.2048709465</v>
      </c>
      <c r="N65" s="3">
        <f t="shared" si="11"/>
        <v>10785.795129053507</v>
      </c>
      <c r="P65" s="45">
        <f t="shared" si="12"/>
        <v>13470.298324552805</v>
      </c>
      <c r="Q65" s="46"/>
    </row>
    <row r="66" spans="2:17" x14ac:dyDescent="0.25">
      <c r="B66">
        <f t="shared" si="6"/>
        <v>50</v>
      </c>
      <c r="D66" s="3">
        <f t="shared" si="7"/>
        <v>495.02231537972062</v>
      </c>
      <c r="F66" s="3">
        <f t="shared" si="8"/>
        <v>233.67382027493323</v>
      </c>
      <c r="H66" s="3">
        <f t="shared" si="9"/>
        <v>261.34849510478739</v>
      </c>
      <c r="L66" s="3">
        <f t="shared" si="10"/>
        <v>107910.53105067156</v>
      </c>
      <c r="N66" s="3">
        <f t="shared" si="11"/>
        <v>11019.46894932844</v>
      </c>
      <c r="P66" s="45">
        <f t="shared" si="12"/>
        <v>13731.646819657592</v>
      </c>
      <c r="Q66" s="46"/>
    </row>
    <row r="67" spans="2:17" x14ac:dyDescent="0.25">
      <c r="B67">
        <f t="shared" si="6"/>
        <v>51</v>
      </c>
      <c r="D67" s="3">
        <f t="shared" si="7"/>
        <v>495.02231537972062</v>
      </c>
      <c r="F67" s="3">
        <f t="shared" si="8"/>
        <v>234.23853200726433</v>
      </c>
      <c r="H67" s="3">
        <f t="shared" si="9"/>
        <v>260.7837833724563</v>
      </c>
      <c r="L67" s="3">
        <f t="shared" si="10"/>
        <v>107676.2925186643</v>
      </c>
      <c r="N67" s="3">
        <f t="shared" si="11"/>
        <v>11253.707481335705</v>
      </c>
      <c r="P67" s="45">
        <f t="shared" si="12"/>
        <v>13992.430603030049</v>
      </c>
      <c r="Q67" s="46"/>
    </row>
    <row r="68" spans="2:17" x14ac:dyDescent="0.25">
      <c r="B68">
        <f t="shared" si="6"/>
        <v>52</v>
      </c>
      <c r="D68" s="3">
        <f t="shared" si="7"/>
        <v>495.02231537972062</v>
      </c>
      <c r="F68" s="3">
        <f t="shared" si="8"/>
        <v>234.80460845961522</v>
      </c>
      <c r="H68" s="3">
        <f t="shared" si="9"/>
        <v>260.2177069201054</v>
      </c>
      <c r="L68" s="3">
        <f t="shared" si="10"/>
        <v>107441.48791020468</v>
      </c>
      <c r="N68" s="3">
        <f t="shared" si="11"/>
        <v>11488.51208979532</v>
      </c>
      <c r="P68" s="45">
        <f t="shared" si="12"/>
        <v>14252.648309950155</v>
      </c>
      <c r="Q68" s="46"/>
    </row>
    <row r="69" spans="2:17" x14ac:dyDescent="0.25">
      <c r="B69">
        <f t="shared" si="6"/>
        <v>53</v>
      </c>
      <c r="D69" s="3">
        <f t="shared" si="7"/>
        <v>495.02231537972062</v>
      </c>
      <c r="F69" s="3">
        <f t="shared" si="8"/>
        <v>235.37205293005928</v>
      </c>
      <c r="H69" s="3">
        <f t="shared" si="9"/>
        <v>259.65026244966134</v>
      </c>
      <c r="L69" s="3">
        <f t="shared" si="10"/>
        <v>107206.11585727462</v>
      </c>
      <c r="N69" s="3">
        <f t="shared" si="11"/>
        <v>11723.884142725379</v>
      </c>
      <c r="P69" s="45">
        <f t="shared" si="12"/>
        <v>14512.298572399815</v>
      </c>
      <c r="Q69" s="46"/>
    </row>
    <row r="70" spans="2:17" x14ac:dyDescent="0.25">
      <c r="B70">
        <f t="shared" si="6"/>
        <v>54</v>
      </c>
      <c r="D70" s="3">
        <f t="shared" si="7"/>
        <v>495.02231537972062</v>
      </c>
      <c r="F70" s="3">
        <f t="shared" si="8"/>
        <v>235.94086872464027</v>
      </c>
      <c r="H70" s="3">
        <f t="shared" si="9"/>
        <v>259.08144665508036</v>
      </c>
      <c r="L70" s="3">
        <f t="shared" si="10"/>
        <v>106970.17498854997</v>
      </c>
      <c r="N70" s="3">
        <f t="shared" si="11"/>
        <v>11959.825011450019</v>
      </c>
      <c r="P70" s="45">
        <f t="shared" si="12"/>
        <v>14771.380019054895</v>
      </c>
      <c r="Q70" s="46"/>
    </row>
    <row r="71" spans="2:17" x14ac:dyDescent="0.25">
      <c r="B71">
        <f t="shared" si="6"/>
        <v>55</v>
      </c>
      <c r="D71" s="3">
        <f t="shared" si="7"/>
        <v>495.02231537972062</v>
      </c>
      <c r="F71" s="3">
        <f t="shared" si="8"/>
        <v>236.51105915739151</v>
      </c>
      <c r="H71" s="3">
        <f t="shared" si="9"/>
        <v>258.51125622232911</v>
      </c>
      <c r="L71" s="3">
        <f t="shared" si="10"/>
        <v>106733.66392939258</v>
      </c>
      <c r="N71" s="3">
        <f t="shared" si="11"/>
        <v>12196.336070607411</v>
      </c>
      <c r="P71" s="45">
        <f t="shared" si="12"/>
        <v>15029.891275277225</v>
      </c>
      <c r="Q71" s="46"/>
    </row>
    <row r="72" spans="2:17" x14ac:dyDescent="0.25">
      <c r="B72">
        <f t="shared" si="6"/>
        <v>56</v>
      </c>
      <c r="D72" s="3">
        <f t="shared" si="7"/>
        <v>495.02231537972062</v>
      </c>
      <c r="F72" s="3">
        <f t="shared" si="8"/>
        <v>237.0826275503552</v>
      </c>
      <c r="H72" s="3">
        <f t="shared" si="9"/>
        <v>257.93968782936543</v>
      </c>
      <c r="L72" s="3">
        <f t="shared" si="10"/>
        <v>106496.58130184223</v>
      </c>
      <c r="N72" s="3">
        <f t="shared" si="11"/>
        <v>12433.418698157766</v>
      </c>
      <c r="P72" s="45">
        <f t="shared" si="12"/>
        <v>15287.830963106589</v>
      </c>
      <c r="Q72" s="46"/>
    </row>
    <row r="73" spans="2:17" x14ac:dyDescent="0.25">
      <c r="B73">
        <f t="shared" si="6"/>
        <v>57</v>
      </c>
      <c r="D73" s="3">
        <f t="shared" si="7"/>
        <v>495.02231537972062</v>
      </c>
      <c r="F73" s="3">
        <f t="shared" si="8"/>
        <v>237.65557723360189</v>
      </c>
      <c r="H73" s="3">
        <f t="shared" si="9"/>
        <v>257.36673814611873</v>
      </c>
      <c r="L73" s="3">
        <f t="shared" si="10"/>
        <v>106258.92572460863</v>
      </c>
      <c r="N73" s="3">
        <f t="shared" si="11"/>
        <v>12671.074275391367</v>
      </c>
      <c r="P73" s="45">
        <f t="shared" si="12"/>
        <v>15545.197701252708</v>
      </c>
      <c r="Q73" s="46"/>
    </row>
    <row r="74" spans="2:17" x14ac:dyDescent="0.25">
      <c r="B74">
        <f t="shared" si="6"/>
        <v>58</v>
      </c>
      <c r="D74" s="3">
        <f t="shared" si="7"/>
        <v>495.02231537972062</v>
      </c>
      <c r="F74" s="3">
        <f t="shared" si="8"/>
        <v>238.22991154524976</v>
      </c>
      <c r="H74" s="3">
        <f t="shared" si="9"/>
        <v>256.79240383447086</v>
      </c>
      <c r="L74" s="3">
        <f t="shared" si="10"/>
        <v>106020.69581306339</v>
      </c>
      <c r="N74" s="3">
        <f t="shared" si="11"/>
        <v>12909.304186936617</v>
      </c>
      <c r="P74" s="45">
        <f t="shared" si="12"/>
        <v>15801.990105087178</v>
      </c>
      <c r="Q74" s="46"/>
    </row>
    <row r="75" spans="2:17" x14ac:dyDescent="0.25">
      <c r="B75">
        <f t="shared" si="6"/>
        <v>59</v>
      </c>
      <c r="D75" s="3">
        <f t="shared" si="7"/>
        <v>495.02231537972062</v>
      </c>
      <c r="F75" s="3">
        <f t="shared" si="8"/>
        <v>238.8056338314841</v>
      </c>
      <c r="H75" s="3">
        <f t="shared" si="9"/>
        <v>256.21668154823652</v>
      </c>
      <c r="L75" s="3">
        <f t="shared" si="10"/>
        <v>105781.89017923191</v>
      </c>
      <c r="N75" s="3">
        <f t="shared" si="11"/>
        <v>13148.109820768101</v>
      </c>
      <c r="P75" s="45">
        <f t="shared" si="12"/>
        <v>16058.206786635414</v>
      </c>
      <c r="Q75" s="46"/>
    </row>
    <row r="76" spans="2:17" x14ac:dyDescent="0.25">
      <c r="B76">
        <f t="shared" si="6"/>
        <v>60</v>
      </c>
      <c r="D76" s="3">
        <f t="shared" si="7"/>
        <v>495.02231537972062</v>
      </c>
      <c r="F76" s="3">
        <f t="shared" si="8"/>
        <v>239.38274744657684</v>
      </c>
      <c r="H76" s="3">
        <f t="shared" si="9"/>
        <v>255.63956793314378</v>
      </c>
      <c r="L76" s="3">
        <f t="shared" si="10"/>
        <v>105542.50743178533</v>
      </c>
      <c r="N76" s="3">
        <f t="shared" si="11"/>
        <v>13387.492568214677</v>
      </c>
      <c r="P76" s="45">
        <f t="shared" si="12"/>
        <v>16313.846354568557</v>
      </c>
      <c r="Q76" s="46">
        <f>P76-P64</f>
        <v>3105.4598754229737</v>
      </c>
    </row>
    <row r="77" spans="2:17" x14ac:dyDescent="0.25">
      <c r="B77">
        <f t="shared" si="6"/>
        <v>61</v>
      </c>
      <c r="D77" s="3">
        <f t="shared" si="7"/>
        <v>495.02231537972062</v>
      </c>
      <c r="F77" s="3">
        <f t="shared" si="8"/>
        <v>239.96125575290606</v>
      </c>
      <c r="H77" s="3">
        <f t="shared" si="9"/>
        <v>255.06105962681457</v>
      </c>
      <c r="L77" s="3">
        <f t="shared" si="10"/>
        <v>105302.54617603243</v>
      </c>
      <c r="N77" s="3">
        <f t="shared" si="11"/>
        <v>13627.453823967582</v>
      </c>
      <c r="P77" s="45">
        <f t="shared" si="12"/>
        <v>16568.907414195372</v>
      </c>
      <c r="Q77" s="46"/>
    </row>
    <row r="78" spans="2:17" x14ac:dyDescent="0.25">
      <c r="B78">
        <f t="shared" si="6"/>
        <v>62</v>
      </c>
      <c r="D78" s="3">
        <f t="shared" si="7"/>
        <v>495.02231537972062</v>
      </c>
      <c r="F78" s="3">
        <f t="shared" si="8"/>
        <v>240.54116212097557</v>
      </c>
      <c r="H78" s="3">
        <f t="shared" si="9"/>
        <v>254.48115325874505</v>
      </c>
      <c r="L78" s="3">
        <f t="shared" si="10"/>
        <v>105062.00501391145</v>
      </c>
      <c r="N78" s="3">
        <f t="shared" si="11"/>
        <v>13867.994986088557</v>
      </c>
      <c r="P78" s="45">
        <f t="shared" si="12"/>
        <v>16823.388567454116</v>
      </c>
      <c r="Q78" s="46"/>
    </row>
    <row r="79" spans="2:17" x14ac:dyDescent="0.25">
      <c r="B79">
        <f t="shared" si="6"/>
        <v>63</v>
      </c>
      <c r="D79" s="3">
        <f t="shared" si="7"/>
        <v>495.02231537972062</v>
      </c>
      <c r="F79" s="3">
        <f t="shared" si="8"/>
        <v>241.12246992943463</v>
      </c>
      <c r="H79" s="3">
        <f t="shared" si="9"/>
        <v>253.89984545028599</v>
      </c>
      <c r="L79" s="3">
        <f t="shared" si="10"/>
        <v>104820.88254398201</v>
      </c>
      <c r="N79" s="3">
        <f t="shared" si="11"/>
        <v>14109.117456017992</v>
      </c>
      <c r="P79" s="45">
        <f t="shared" si="12"/>
        <v>17077.288412904403</v>
      </c>
      <c r="Q79" s="46"/>
    </row>
    <row r="80" spans="2:17" x14ac:dyDescent="0.25">
      <c r="B80">
        <f t="shared" si="6"/>
        <v>64</v>
      </c>
      <c r="D80" s="3">
        <f t="shared" si="7"/>
        <v>495.02231537972062</v>
      </c>
      <c r="F80" s="3">
        <f t="shared" si="8"/>
        <v>241.70518256509743</v>
      </c>
      <c r="H80" s="3">
        <f t="shared" si="9"/>
        <v>253.31713281462319</v>
      </c>
      <c r="L80" s="3">
        <f t="shared" si="10"/>
        <v>104579.17736141691</v>
      </c>
      <c r="N80" s="3">
        <f t="shared" si="11"/>
        <v>14350.822638583089</v>
      </c>
      <c r="P80" s="45">
        <f t="shared" si="12"/>
        <v>17330.605545719027</v>
      </c>
      <c r="Q80" s="46"/>
    </row>
    <row r="81" spans="2:17" x14ac:dyDescent="0.25">
      <c r="B81">
        <f t="shared" si="6"/>
        <v>65</v>
      </c>
      <c r="D81" s="3">
        <f t="shared" si="7"/>
        <v>495.02231537972062</v>
      </c>
      <c r="F81" s="3">
        <f t="shared" si="8"/>
        <v>242.28930342296309</v>
      </c>
      <c r="H81" s="3">
        <f t="shared" si="9"/>
        <v>252.73301195675754</v>
      </c>
      <c r="L81" s="3">
        <f t="shared" si="10"/>
        <v>104336.88805799394</v>
      </c>
      <c r="N81" s="3">
        <f t="shared" si="11"/>
        <v>14593.111942006053</v>
      </c>
      <c r="P81" s="45">
        <f t="shared" si="12"/>
        <v>17583.338557675783</v>
      </c>
      <c r="Q81" s="46"/>
    </row>
    <row r="82" spans="2:17" x14ac:dyDescent="0.25">
      <c r="B82">
        <f t="shared" si="6"/>
        <v>66</v>
      </c>
      <c r="D82" s="3">
        <f t="shared" si="7"/>
        <v>495.02231537972062</v>
      </c>
      <c r="F82" s="3">
        <f t="shared" si="8"/>
        <v>242.87483590623526</v>
      </c>
      <c r="H82" s="3">
        <f t="shared" si="9"/>
        <v>252.14747947348536</v>
      </c>
      <c r="L82" s="3">
        <f t="shared" si="10"/>
        <v>104094.01322208771</v>
      </c>
      <c r="N82" s="3">
        <f t="shared" si="11"/>
        <v>14835.986777912289</v>
      </c>
      <c r="P82" s="45">
        <f t="shared" si="12"/>
        <v>17835.486037149269</v>
      </c>
      <c r="Q82" s="46"/>
    </row>
    <row r="83" spans="2:17" x14ac:dyDescent="0.25">
      <c r="B83">
        <f t="shared" si="6"/>
        <v>67</v>
      </c>
      <c r="D83" s="3">
        <f t="shared" si="7"/>
        <v>495.02231537972062</v>
      </c>
      <c r="F83" s="3">
        <f t="shared" si="8"/>
        <v>243.46178342634198</v>
      </c>
      <c r="H83" s="3">
        <f t="shared" si="9"/>
        <v>251.56053195337864</v>
      </c>
      <c r="L83" s="3">
        <f t="shared" si="10"/>
        <v>103850.55143866136</v>
      </c>
      <c r="N83" s="3">
        <f t="shared" si="11"/>
        <v>15079.448561338631</v>
      </c>
      <c r="P83" s="45">
        <f t="shared" si="12"/>
        <v>18087.046569102647</v>
      </c>
      <c r="Q83" s="46"/>
    </row>
    <row r="84" spans="2:17" x14ac:dyDescent="0.25">
      <c r="B84">
        <f t="shared" si="6"/>
        <v>68</v>
      </c>
      <c r="D84" s="3">
        <f t="shared" si="7"/>
        <v>495.02231537972062</v>
      </c>
      <c r="F84" s="3">
        <f t="shared" si="8"/>
        <v>244.05014940295564</v>
      </c>
      <c r="H84" s="3">
        <f t="shared" si="9"/>
        <v>250.97216597676498</v>
      </c>
      <c r="L84" s="3">
        <f t="shared" si="10"/>
        <v>103606.50128925841</v>
      </c>
      <c r="N84" s="3">
        <f t="shared" si="11"/>
        <v>15323.498710741587</v>
      </c>
      <c r="P84" s="45">
        <f t="shared" si="12"/>
        <v>18338.018735079411</v>
      </c>
      <c r="Q84" s="46"/>
    </row>
    <row r="85" spans="2:17" x14ac:dyDescent="0.25">
      <c r="B85">
        <f t="shared" si="6"/>
        <v>69</v>
      </c>
      <c r="D85" s="3">
        <f t="shared" si="7"/>
        <v>495.02231537972062</v>
      </c>
      <c r="F85" s="3">
        <f t="shared" si="8"/>
        <v>244.63993726401279</v>
      </c>
      <c r="H85" s="3">
        <f t="shared" si="9"/>
        <v>250.38237811570784</v>
      </c>
      <c r="L85" s="3">
        <f t="shared" si="10"/>
        <v>103361.86135199439</v>
      </c>
      <c r="N85" s="3">
        <f t="shared" si="11"/>
        <v>15568.138648005601</v>
      </c>
      <c r="P85" s="45">
        <f t="shared" si="12"/>
        <v>18588.401113195119</v>
      </c>
      <c r="Q85" s="46"/>
    </row>
    <row r="86" spans="2:17" x14ac:dyDescent="0.25">
      <c r="B86">
        <f t="shared" si="6"/>
        <v>70</v>
      </c>
      <c r="D86" s="3">
        <f t="shared" si="7"/>
        <v>495.02231537972062</v>
      </c>
      <c r="F86" s="3">
        <f t="shared" si="8"/>
        <v>245.23115044573416</v>
      </c>
      <c r="H86" s="3">
        <f t="shared" si="9"/>
        <v>249.79116493398647</v>
      </c>
      <c r="L86" s="3">
        <f t="shared" si="10"/>
        <v>103116.63020154866</v>
      </c>
      <c r="N86" s="3">
        <f t="shared" si="11"/>
        <v>15813.369798451335</v>
      </c>
      <c r="P86" s="45">
        <f t="shared" si="12"/>
        <v>18838.192278129107</v>
      </c>
      <c r="Q86" s="46"/>
    </row>
    <row r="87" spans="2:17" x14ac:dyDescent="0.25">
      <c r="B87">
        <f t="shared" si="6"/>
        <v>71</v>
      </c>
      <c r="D87" s="3">
        <f t="shared" si="7"/>
        <v>495.02231537972062</v>
      </c>
      <c r="F87" s="3">
        <f t="shared" si="8"/>
        <v>245.82379239264469</v>
      </c>
      <c r="H87" s="3">
        <f t="shared" si="9"/>
        <v>249.19852298707593</v>
      </c>
      <c r="L87" s="3">
        <f t="shared" si="10"/>
        <v>102870.80640915601</v>
      </c>
      <c r="N87" s="3">
        <f t="shared" si="11"/>
        <v>16059.193590843979</v>
      </c>
      <c r="P87" s="45">
        <f t="shared" si="12"/>
        <v>19087.390801116184</v>
      </c>
      <c r="Q87" s="46"/>
    </row>
    <row r="88" spans="2:17" x14ac:dyDescent="0.25">
      <c r="B88">
        <f t="shared" si="6"/>
        <v>72</v>
      </c>
      <c r="D88" s="3">
        <f t="shared" si="7"/>
        <v>495.02231537972062</v>
      </c>
      <c r="F88" s="3">
        <f t="shared" si="8"/>
        <v>246.41786655759358</v>
      </c>
      <c r="H88" s="3">
        <f t="shared" si="9"/>
        <v>248.60444882212704</v>
      </c>
      <c r="L88" s="3">
        <f t="shared" si="10"/>
        <v>102624.38854259842</v>
      </c>
      <c r="N88" s="3">
        <f t="shared" si="11"/>
        <v>16305.611457401572</v>
      </c>
      <c r="P88" s="45">
        <f t="shared" si="12"/>
        <v>19335.995249938311</v>
      </c>
      <c r="Q88" s="46">
        <f>P88-P76</f>
        <v>3022.1488953697535</v>
      </c>
    </row>
    <row r="89" spans="2:17" x14ac:dyDescent="0.25">
      <c r="B89">
        <f t="shared" si="6"/>
        <v>73</v>
      </c>
      <c r="D89" s="3">
        <f t="shared" si="7"/>
        <v>495.02231537972062</v>
      </c>
      <c r="F89" s="3">
        <f t="shared" si="8"/>
        <v>247.01337640177442</v>
      </c>
      <c r="H89" s="3">
        <f t="shared" si="9"/>
        <v>248.0089389779462</v>
      </c>
      <c r="L89" s="3">
        <f t="shared" si="10"/>
        <v>102377.37516619664</v>
      </c>
      <c r="N89" s="3">
        <f t="shared" si="11"/>
        <v>16552.624833803347</v>
      </c>
      <c r="P89" s="45">
        <f t="shared" si="12"/>
        <v>19584.004188916257</v>
      </c>
      <c r="Q89" s="46"/>
    </row>
    <row r="90" spans="2:17" x14ac:dyDescent="0.25">
      <c r="B90">
        <f t="shared" si="6"/>
        <v>74</v>
      </c>
      <c r="D90" s="3">
        <f t="shared" si="7"/>
        <v>495.02231537972062</v>
      </c>
      <c r="F90" s="3">
        <f t="shared" si="8"/>
        <v>247.61032539474542</v>
      </c>
      <c r="H90" s="3">
        <f t="shared" si="9"/>
        <v>247.41198998497521</v>
      </c>
      <c r="L90" s="3">
        <f t="shared" si="10"/>
        <v>102129.76484080189</v>
      </c>
      <c r="N90" s="3">
        <f t="shared" si="11"/>
        <v>16800.235159198091</v>
      </c>
      <c r="P90" s="45">
        <f t="shared" si="12"/>
        <v>19831.416178901232</v>
      </c>
      <c r="Q90" s="46"/>
    </row>
    <row r="91" spans="2:17" x14ac:dyDescent="0.25">
      <c r="B91">
        <f t="shared" si="6"/>
        <v>75</v>
      </c>
      <c r="D91" s="3">
        <f t="shared" si="7"/>
        <v>495.02231537972062</v>
      </c>
      <c r="F91" s="3">
        <f t="shared" si="8"/>
        <v>248.20871701444938</v>
      </c>
      <c r="H91" s="3">
        <f t="shared" si="9"/>
        <v>246.81359836527125</v>
      </c>
      <c r="L91" s="3">
        <f t="shared" si="10"/>
        <v>101881.55612378744</v>
      </c>
      <c r="N91" s="3">
        <f t="shared" si="11"/>
        <v>17048.443876212539</v>
      </c>
      <c r="P91" s="45">
        <f t="shared" si="12"/>
        <v>20078.229777266504</v>
      </c>
      <c r="Q91" s="46"/>
    </row>
    <row r="92" spans="2:17" x14ac:dyDescent="0.25">
      <c r="B92">
        <f t="shared" si="6"/>
        <v>76</v>
      </c>
      <c r="D92" s="3">
        <f t="shared" si="7"/>
        <v>495.02231537972062</v>
      </c>
      <c r="F92" s="3">
        <f t="shared" si="8"/>
        <v>248.8085547472343</v>
      </c>
      <c r="H92" s="3">
        <f t="shared" si="9"/>
        <v>246.21376063248633</v>
      </c>
      <c r="L92" s="3">
        <f t="shared" si="10"/>
        <v>101632.74756904021</v>
      </c>
      <c r="N92" s="3">
        <f t="shared" si="11"/>
        <v>17297.252430959772</v>
      </c>
      <c r="P92" s="45">
        <f t="shared" si="12"/>
        <v>20324.443537898991</v>
      </c>
      <c r="Q92" s="46"/>
    </row>
    <row r="93" spans="2:17" x14ac:dyDescent="0.25">
      <c r="B93">
        <f t="shared" si="6"/>
        <v>77</v>
      </c>
      <c r="D93" s="3">
        <f t="shared" si="7"/>
        <v>495.02231537972062</v>
      </c>
      <c r="F93" s="3">
        <f t="shared" si="8"/>
        <v>249.40984208787344</v>
      </c>
      <c r="H93" s="3">
        <f t="shared" si="9"/>
        <v>245.61247329184718</v>
      </c>
      <c r="L93" s="3">
        <f t="shared" si="10"/>
        <v>101383.33772695233</v>
      </c>
      <c r="N93" s="3">
        <f t="shared" si="11"/>
        <v>17546.662273047645</v>
      </c>
      <c r="P93" s="45">
        <f t="shared" si="12"/>
        <v>20570.056011190838</v>
      </c>
      <c r="Q93" s="46"/>
    </row>
    <row r="94" spans="2:17" x14ac:dyDescent="0.25">
      <c r="B94">
        <f t="shared" ref="B94:B157" si="13">IF(AND(L93&lt;&gt;"",L93&gt;0.001),B93+1,"")</f>
        <v>78</v>
      </c>
      <c r="D94" s="3">
        <f t="shared" ref="D94:D157" si="14">IF(B94="","",IF(L93&lt;$F$10,L93*(1+$F$8),$F$10))</f>
        <v>495.02231537972062</v>
      </c>
      <c r="F94" s="3">
        <f t="shared" ref="F94:F157" si="15">IF(B94="","",(D94-H94+J94))</f>
        <v>250.01258253958579</v>
      </c>
      <c r="H94" s="3">
        <f t="shared" ref="H94:H157" si="16">IF(B94="", "",L93*$F$8)</f>
        <v>245.00973284013483</v>
      </c>
      <c r="L94" s="3">
        <f t="shared" ref="L94:L157" si="17">IF(B94="","",L93-F94)</f>
        <v>101133.32514441275</v>
      </c>
      <c r="N94" s="3">
        <f t="shared" ref="N94:N157" si="18">IF(B94="","",N93+F94)</f>
        <v>17796.674855587229</v>
      </c>
      <c r="P94" s="45">
        <f t="shared" ref="P94:P157" si="19">IF(B94="","",P93+H94)</f>
        <v>20815.065744030973</v>
      </c>
      <c r="Q94" s="46"/>
    </row>
    <row r="95" spans="2:17" x14ac:dyDescent="0.25">
      <c r="B95">
        <f t="shared" si="13"/>
        <v>79</v>
      </c>
      <c r="D95" s="3">
        <f t="shared" si="14"/>
        <v>495.02231537972062</v>
      </c>
      <c r="F95" s="3">
        <f t="shared" si="15"/>
        <v>250.61677961405647</v>
      </c>
      <c r="H95" s="3">
        <f t="shared" si="16"/>
        <v>244.40553576566415</v>
      </c>
      <c r="L95" s="3">
        <f t="shared" si="17"/>
        <v>100882.7083647987</v>
      </c>
      <c r="N95" s="3">
        <f t="shared" si="18"/>
        <v>18047.291635201287</v>
      </c>
      <c r="P95" s="45">
        <f t="shared" si="19"/>
        <v>21059.471279796639</v>
      </c>
      <c r="Q95" s="46"/>
    </row>
    <row r="96" spans="2:17" x14ac:dyDescent="0.25">
      <c r="B96">
        <f t="shared" si="13"/>
        <v>80</v>
      </c>
      <c r="D96" s="3">
        <f t="shared" si="14"/>
        <v>495.02231537972062</v>
      </c>
      <c r="F96" s="3">
        <f t="shared" si="15"/>
        <v>251.22243683145709</v>
      </c>
      <c r="H96" s="3">
        <f t="shared" si="16"/>
        <v>243.79987854826354</v>
      </c>
      <c r="L96" s="3">
        <f t="shared" si="17"/>
        <v>100631.48592796724</v>
      </c>
      <c r="N96" s="3">
        <f t="shared" si="18"/>
        <v>18298.514072032744</v>
      </c>
      <c r="P96" s="45">
        <f t="shared" si="19"/>
        <v>21303.271158344902</v>
      </c>
      <c r="Q96" s="46"/>
    </row>
    <row r="97" spans="2:17" x14ac:dyDescent="0.25">
      <c r="B97">
        <f t="shared" si="13"/>
        <v>81</v>
      </c>
      <c r="D97" s="3">
        <f t="shared" si="14"/>
        <v>495.02231537972062</v>
      </c>
      <c r="F97" s="3">
        <f t="shared" si="15"/>
        <v>251.82955772046645</v>
      </c>
      <c r="H97" s="3">
        <f t="shared" si="16"/>
        <v>243.19275765925417</v>
      </c>
      <c r="L97" s="3">
        <f t="shared" si="17"/>
        <v>100379.65637024677</v>
      </c>
      <c r="N97" s="3">
        <f t="shared" si="18"/>
        <v>18550.34362975321</v>
      </c>
      <c r="P97" s="45">
        <f t="shared" si="19"/>
        <v>21546.463916004155</v>
      </c>
      <c r="Q97" s="46"/>
    </row>
    <row r="98" spans="2:17" x14ac:dyDescent="0.25">
      <c r="B98">
        <f t="shared" si="13"/>
        <v>82</v>
      </c>
      <c r="D98" s="3">
        <f t="shared" si="14"/>
        <v>495.02231537972062</v>
      </c>
      <c r="F98" s="3">
        <f t="shared" si="15"/>
        <v>252.43814581829093</v>
      </c>
      <c r="H98" s="3">
        <f t="shared" si="16"/>
        <v>242.58416956142969</v>
      </c>
      <c r="L98" s="3">
        <f t="shared" si="17"/>
        <v>100127.21822442848</v>
      </c>
      <c r="N98" s="3">
        <f t="shared" si="18"/>
        <v>18802.7817755715</v>
      </c>
      <c r="P98" s="45">
        <f t="shared" si="19"/>
        <v>21789.048085565584</v>
      </c>
      <c r="Q98" s="46"/>
    </row>
    <row r="99" spans="2:17" x14ac:dyDescent="0.25">
      <c r="B99">
        <f t="shared" si="13"/>
        <v>83</v>
      </c>
      <c r="D99" s="3">
        <f t="shared" si="14"/>
        <v>495.02231537972062</v>
      </c>
      <c r="F99" s="3">
        <f t="shared" si="15"/>
        <v>253.04820467068512</v>
      </c>
      <c r="H99" s="3">
        <f t="shared" si="16"/>
        <v>241.9741107090355</v>
      </c>
      <c r="L99" s="3">
        <f t="shared" si="17"/>
        <v>99874.170019757788</v>
      </c>
      <c r="N99" s="3">
        <f t="shared" si="18"/>
        <v>19055.829980242186</v>
      </c>
      <c r="P99" s="45">
        <f t="shared" si="19"/>
        <v>22031.022196274618</v>
      </c>
      <c r="Q99" s="46"/>
    </row>
    <row r="100" spans="2:17" x14ac:dyDescent="0.25">
      <c r="B100">
        <f t="shared" si="13"/>
        <v>84</v>
      </c>
      <c r="D100" s="3">
        <f t="shared" si="14"/>
        <v>495.02231537972062</v>
      </c>
      <c r="F100" s="3">
        <f t="shared" si="15"/>
        <v>253.65973783197262</v>
      </c>
      <c r="H100" s="3">
        <f t="shared" si="16"/>
        <v>241.362577547748</v>
      </c>
      <c r="L100" s="3">
        <f t="shared" si="17"/>
        <v>99620.510281925817</v>
      </c>
      <c r="N100" s="3">
        <f t="shared" si="18"/>
        <v>19309.489718074157</v>
      </c>
      <c r="P100" s="45">
        <f t="shared" si="19"/>
        <v>22272.384773822367</v>
      </c>
      <c r="Q100" s="46">
        <f>P100-P88</f>
        <v>2936.389523884056</v>
      </c>
    </row>
    <row r="101" spans="2:17" x14ac:dyDescent="0.25">
      <c r="B101">
        <f t="shared" si="13"/>
        <v>85</v>
      </c>
      <c r="D101" s="3">
        <f t="shared" si="14"/>
        <v>495.02231537972062</v>
      </c>
      <c r="F101" s="3">
        <f t="shared" si="15"/>
        <v>254.27274886506655</v>
      </c>
      <c r="H101" s="3">
        <f t="shared" si="16"/>
        <v>240.74956651465408</v>
      </c>
      <c r="L101" s="3">
        <f t="shared" si="17"/>
        <v>99366.237533060747</v>
      </c>
      <c r="N101" s="3">
        <f t="shared" si="18"/>
        <v>19563.762466939224</v>
      </c>
      <c r="P101" s="45">
        <f t="shared" si="19"/>
        <v>22513.134340337019</v>
      </c>
      <c r="Q101" s="46"/>
    </row>
    <row r="102" spans="2:17" x14ac:dyDescent="0.25">
      <c r="B102">
        <f t="shared" si="13"/>
        <v>86</v>
      </c>
      <c r="D102" s="3">
        <f t="shared" si="14"/>
        <v>495.02231537972062</v>
      </c>
      <c r="F102" s="3">
        <f t="shared" si="15"/>
        <v>254.88724134149047</v>
      </c>
      <c r="H102" s="3">
        <f t="shared" si="16"/>
        <v>240.13507403823016</v>
      </c>
      <c r="L102" s="3">
        <f t="shared" si="17"/>
        <v>99111.350291719253</v>
      </c>
      <c r="N102" s="3">
        <f t="shared" si="18"/>
        <v>19818.649708280715</v>
      </c>
      <c r="P102" s="45">
        <f t="shared" si="19"/>
        <v>22753.269414375249</v>
      </c>
      <c r="Q102" s="46"/>
    </row>
    <row r="103" spans="2:17" x14ac:dyDescent="0.25">
      <c r="B103">
        <f t="shared" si="13"/>
        <v>87</v>
      </c>
      <c r="D103" s="3">
        <f t="shared" si="14"/>
        <v>495.02231537972062</v>
      </c>
      <c r="F103" s="3">
        <f t="shared" si="15"/>
        <v>255.50321884139908</v>
      </c>
      <c r="H103" s="3">
        <f t="shared" si="16"/>
        <v>239.51909653832155</v>
      </c>
      <c r="L103" s="3">
        <f t="shared" si="17"/>
        <v>98855.847072877848</v>
      </c>
      <c r="N103" s="3">
        <f t="shared" si="18"/>
        <v>20074.152927122115</v>
      </c>
      <c r="P103" s="45">
        <f t="shared" si="19"/>
        <v>22992.788510913571</v>
      </c>
      <c r="Q103" s="46"/>
    </row>
    <row r="104" spans="2:17" x14ac:dyDescent="0.25">
      <c r="B104">
        <f t="shared" si="13"/>
        <v>88</v>
      </c>
      <c r="D104" s="3">
        <f t="shared" si="14"/>
        <v>495.02231537972062</v>
      </c>
      <c r="F104" s="3">
        <f t="shared" si="15"/>
        <v>256.12068495359915</v>
      </c>
      <c r="H104" s="3">
        <f t="shared" si="16"/>
        <v>238.90163042612147</v>
      </c>
      <c r="L104" s="3">
        <f t="shared" si="17"/>
        <v>98599.726387924253</v>
      </c>
      <c r="N104" s="3">
        <f t="shared" si="18"/>
        <v>20330.273612075714</v>
      </c>
      <c r="P104" s="45">
        <f t="shared" si="19"/>
        <v>23231.690141339692</v>
      </c>
      <c r="Q104" s="46"/>
    </row>
    <row r="105" spans="2:17" x14ac:dyDescent="0.25">
      <c r="B105">
        <f t="shared" si="13"/>
        <v>89</v>
      </c>
      <c r="D105" s="3">
        <f t="shared" si="14"/>
        <v>495.02231537972062</v>
      </c>
      <c r="F105" s="3">
        <f t="shared" si="15"/>
        <v>256.7396432755703</v>
      </c>
      <c r="H105" s="3">
        <f t="shared" si="16"/>
        <v>238.28267210415029</v>
      </c>
      <c r="L105" s="3">
        <f t="shared" si="17"/>
        <v>98342.98674464869</v>
      </c>
      <c r="N105" s="3">
        <f t="shared" si="18"/>
        <v>20587.013255351285</v>
      </c>
      <c r="P105" s="45">
        <f t="shared" si="19"/>
        <v>23469.972813443841</v>
      </c>
      <c r="Q105" s="46"/>
    </row>
    <row r="106" spans="2:17" x14ac:dyDescent="0.25">
      <c r="B106">
        <f t="shared" si="13"/>
        <v>90</v>
      </c>
      <c r="D106" s="3">
        <f t="shared" si="14"/>
        <v>495.02231537972062</v>
      </c>
      <c r="F106" s="3">
        <f t="shared" si="15"/>
        <v>257.3600974134863</v>
      </c>
      <c r="H106" s="3">
        <f t="shared" si="16"/>
        <v>237.66221796623435</v>
      </c>
      <c r="L106" s="3">
        <f t="shared" si="17"/>
        <v>98085.6266472352</v>
      </c>
      <c r="N106" s="3">
        <f t="shared" si="18"/>
        <v>20844.373352764771</v>
      </c>
      <c r="P106" s="45">
        <f t="shared" si="19"/>
        <v>23707.635031410075</v>
      </c>
      <c r="Q106" s="46"/>
    </row>
    <row r="107" spans="2:17" x14ac:dyDescent="0.25">
      <c r="B107">
        <f t="shared" si="13"/>
        <v>91</v>
      </c>
      <c r="D107" s="3">
        <f t="shared" si="14"/>
        <v>495.02231537972062</v>
      </c>
      <c r="F107" s="3">
        <f t="shared" si="15"/>
        <v>257.98205098223553</v>
      </c>
      <c r="H107" s="3">
        <f t="shared" si="16"/>
        <v>237.04026439748509</v>
      </c>
      <c r="L107" s="3">
        <f t="shared" si="17"/>
        <v>97827.644596252969</v>
      </c>
      <c r="N107" s="3">
        <f t="shared" si="18"/>
        <v>21102.355403747006</v>
      </c>
      <c r="P107" s="45">
        <f t="shared" si="19"/>
        <v>23944.675295807559</v>
      </c>
      <c r="Q107" s="46"/>
    </row>
    <row r="108" spans="2:17" x14ac:dyDescent="0.25">
      <c r="B108">
        <f t="shared" si="13"/>
        <v>92</v>
      </c>
      <c r="D108" s="3">
        <f t="shared" si="14"/>
        <v>495.02231537972062</v>
      </c>
      <c r="F108" s="3">
        <f t="shared" si="15"/>
        <v>258.6055076054426</v>
      </c>
      <c r="H108" s="3">
        <f t="shared" si="16"/>
        <v>236.41680777427803</v>
      </c>
      <c r="L108" s="3">
        <f t="shared" si="17"/>
        <v>97569.039088647522</v>
      </c>
      <c r="N108" s="3">
        <f t="shared" si="18"/>
        <v>21360.960911352449</v>
      </c>
      <c r="P108" s="45">
        <f t="shared" si="19"/>
        <v>24181.092103581839</v>
      </c>
      <c r="Q108" s="46"/>
    </row>
    <row r="109" spans="2:17" x14ac:dyDescent="0.25">
      <c r="B109">
        <f t="shared" si="13"/>
        <v>93</v>
      </c>
      <c r="D109" s="3">
        <f t="shared" si="14"/>
        <v>495.02231537972062</v>
      </c>
      <c r="F109" s="3">
        <f t="shared" si="15"/>
        <v>259.23047091548909</v>
      </c>
      <c r="H109" s="3">
        <f t="shared" si="16"/>
        <v>235.79184446423153</v>
      </c>
      <c r="L109" s="3">
        <f t="shared" si="17"/>
        <v>97309.808617732037</v>
      </c>
      <c r="N109" s="3">
        <f t="shared" si="18"/>
        <v>21620.191382267938</v>
      </c>
      <c r="P109" s="45">
        <f t="shared" si="19"/>
        <v>24416.88394804607</v>
      </c>
      <c r="Q109" s="46"/>
    </row>
    <row r="110" spans="2:17" x14ac:dyDescent="0.25">
      <c r="B110">
        <f t="shared" si="13"/>
        <v>94</v>
      </c>
      <c r="D110" s="3">
        <f t="shared" si="14"/>
        <v>495.02231537972062</v>
      </c>
      <c r="F110" s="3">
        <f t="shared" si="15"/>
        <v>259.85694455353484</v>
      </c>
      <c r="H110" s="3">
        <f t="shared" si="16"/>
        <v>235.16537082618578</v>
      </c>
      <c r="L110" s="3">
        <f t="shared" si="17"/>
        <v>97049.951673178497</v>
      </c>
      <c r="N110" s="3">
        <f t="shared" si="18"/>
        <v>21880.048326821474</v>
      </c>
      <c r="P110" s="45">
        <f t="shared" si="19"/>
        <v>24652.049318872258</v>
      </c>
      <c r="Q110" s="46"/>
    </row>
    <row r="111" spans="2:17" x14ac:dyDescent="0.25">
      <c r="B111">
        <f t="shared" si="13"/>
        <v>95</v>
      </c>
      <c r="D111" s="3">
        <f t="shared" si="14"/>
        <v>495.02231537972062</v>
      </c>
      <c r="F111" s="3">
        <f t="shared" si="15"/>
        <v>260.48493216953921</v>
      </c>
      <c r="H111" s="3">
        <f t="shared" si="16"/>
        <v>234.53738321018139</v>
      </c>
      <c r="L111" s="3">
        <f t="shared" si="17"/>
        <v>96789.466741008961</v>
      </c>
      <c r="N111" s="3">
        <f t="shared" si="18"/>
        <v>22140.533258991014</v>
      </c>
      <c r="P111" s="45">
        <f t="shared" si="19"/>
        <v>24886.586702082441</v>
      </c>
      <c r="Q111" s="46"/>
    </row>
    <row r="112" spans="2:17" x14ac:dyDescent="0.25">
      <c r="B112">
        <f t="shared" si="13"/>
        <v>96</v>
      </c>
      <c r="D112" s="3">
        <f t="shared" si="14"/>
        <v>495.02231537972062</v>
      </c>
      <c r="F112" s="3">
        <f t="shared" si="15"/>
        <v>261.11443742228232</v>
      </c>
      <c r="H112" s="3">
        <f t="shared" si="16"/>
        <v>233.90787795743833</v>
      </c>
      <c r="L112" s="3">
        <f t="shared" si="17"/>
        <v>96528.352303586682</v>
      </c>
      <c r="N112" s="3">
        <f t="shared" si="18"/>
        <v>22401.647696413296</v>
      </c>
      <c r="P112" s="45">
        <f t="shared" si="19"/>
        <v>25120.494580039878</v>
      </c>
      <c r="Q112" s="46">
        <f>P112-P100</f>
        <v>2848.1098062175115</v>
      </c>
    </row>
    <row r="113" spans="2:17" x14ac:dyDescent="0.25">
      <c r="B113">
        <f t="shared" si="13"/>
        <v>97</v>
      </c>
      <c r="D113" s="3">
        <f t="shared" si="14"/>
        <v>495.02231537972062</v>
      </c>
      <c r="F113" s="3">
        <f t="shared" si="15"/>
        <v>261.74546397938616</v>
      </c>
      <c r="H113" s="3">
        <f t="shared" si="16"/>
        <v>233.27685140033449</v>
      </c>
      <c r="L113" s="3">
        <f t="shared" si="17"/>
        <v>96266.606839607295</v>
      </c>
      <c r="N113" s="3">
        <f t="shared" si="18"/>
        <v>22663.393160392683</v>
      </c>
      <c r="P113" s="45">
        <f t="shared" si="19"/>
        <v>25353.771431440211</v>
      </c>
      <c r="Q113" s="46"/>
    </row>
    <row r="114" spans="2:17" x14ac:dyDescent="0.25">
      <c r="B114">
        <f t="shared" si="13"/>
        <v>98</v>
      </c>
      <c r="D114" s="3">
        <f t="shared" si="14"/>
        <v>495.02231537972062</v>
      </c>
      <c r="F114" s="3">
        <f t="shared" si="15"/>
        <v>262.37801551733628</v>
      </c>
      <c r="H114" s="3">
        <f t="shared" si="16"/>
        <v>232.64429986238432</v>
      </c>
      <c r="L114" s="3">
        <f t="shared" si="17"/>
        <v>96004.228824089965</v>
      </c>
      <c r="N114" s="3">
        <f t="shared" si="18"/>
        <v>22925.77117591002</v>
      </c>
      <c r="P114" s="45">
        <f t="shared" si="19"/>
        <v>25586.415731302597</v>
      </c>
      <c r="Q114" s="46"/>
    </row>
    <row r="115" spans="2:17" x14ac:dyDescent="0.25">
      <c r="B115">
        <f t="shared" si="13"/>
        <v>99</v>
      </c>
      <c r="D115" s="3">
        <f t="shared" si="14"/>
        <v>495.02231537972062</v>
      </c>
      <c r="F115" s="3">
        <f t="shared" si="15"/>
        <v>263.01209572150321</v>
      </c>
      <c r="H115" s="3">
        <f t="shared" si="16"/>
        <v>232.01021965821744</v>
      </c>
      <c r="L115" s="3">
        <f t="shared" si="17"/>
        <v>95741.216728368468</v>
      </c>
      <c r="N115" s="3">
        <f t="shared" si="18"/>
        <v>23188.783271631524</v>
      </c>
      <c r="P115" s="45">
        <f t="shared" si="19"/>
        <v>25818.425950960813</v>
      </c>
      <c r="Q115" s="46"/>
    </row>
    <row r="116" spans="2:17" x14ac:dyDescent="0.25">
      <c r="B116">
        <f t="shared" si="13"/>
        <v>100</v>
      </c>
      <c r="D116" s="3">
        <f t="shared" si="14"/>
        <v>495.02231537972062</v>
      </c>
      <c r="F116" s="3">
        <f t="shared" si="15"/>
        <v>263.64770828616349</v>
      </c>
      <c r="H116" s="3">
        <f t="shared" si="16"/>
        <v>231.37460709355713</v>
      </c>
      <c r="L116" s="3">
        <f t="shared" si="17"/>
        <v>95477.569020082301</v>
      </c>
      <c r="N116" s="3">
        <f t="shared" si="18"/>
        <v>23452.430979917688</v>
      </c>
      <c r="P116" s="45">
        <f t="shared" si="19"/>
        <v>26049.800558054369</v>
      </c>
      <c r="Q116" s="46"/>
    </row>
    <row r="117" spans="2:17" x14ac:dyDescent="0.25">
      <c r="B117">
        <f t="shared" si="13"/>
        <v>101</v>
      </c>
      <c r="D117" s="3">
        <f t="shared" si="14"/>
        <v>495.02231537972062</v>
      </c>
      <c r="F117" s="3">
        <f t="shared" si="15"/>
        <v>264.2848569145217</v>
      </c>
      <c r="H117" s="3">
        <f t="shared" si="16"/>
        <v>230.7374584651989</v>
      </c>
      <c r="L117" s="3">
        <f t="shared" si="17"/>
        <v>95213.284163167773</v>
      </c>
      <c r="N117" s="3">
        <f t="shared" si="18"/>
        <v>23716.715836832209</v>
      </c>
      <c r="P117" s="45">
        <f t="shared" si="19"/>
        <v>26280.538016519567</v>
      </c>
      <c r="Q117" s="46"/>
    </row>
    <row r="118" spans="2:17" x14ac:dyDescent="0.25">
      <c r="B118">
        <f t="shared" si="13"/>
        <v>102</v>
      </c>
      <c r="D118" s="3">
        <f t="shared" si="14"/>
        <v>495.02231537972062</v>
      </c>
      <c r="F118" s="3">
        <f t="shared" si="15"/>
        <v>264.92354531873184</v>
      </c>
      <c r="H118" s="3">
        <f t="shared" si="16"/>
        <v>230.09877006098878</v>
      </c>
      <c r="L118" s="3">
        <f t="shared" si="17"/>
        <v>94948.360617849045</v>
      </c>
      <c r="N118" s="3">
        <f t="shared" si="18"/>
        <v>23981.639382150941</v>
      </c>
      <c r="P118" s="45">
        <f t="shared" si="19"/>
        <v>26510.636786580555</v>
      </c>
      <c r="Q118" s="46"/>
    </row>
    <row r="119" spans="2:17" x14ac:dyDescent="0.25">
      <c r="B119">
        <f t="shared" si="13"/>
        <v>103</v>
      </c>
      <c r="D119" s="3">
        <f t="shared" si="14"/>
        <v>495.02231537972062</v>
      </c>
      <c r="F119" s="3">
        <f t="shared" si="15"/>
        <v>265.56377721991873</v>
      </c>
      <c r="H119" s="3">
        <f t="shared" si="16"/>
        <v>229.45853815980186</v>
      </c>
      <c r="L119" s="3">
        <f t="shared" si="17"/>
        <v>94682.796840629133</v>
      </c>
      <c r="N119" s="3">
        <f t="shared" si="18"/>
        <v>24247.20315937086</v>
      </c>
      <c r="P119" s="45">
        <f t="shared" si="19"/>
        <v>26740.095324740356</v>
      </c>
      <c r="Q119" s="46"/>
    </row>
    <row r="120" spans="2:17" x14ac:dyDescent="0.25">
      <c r="B120">
        <f t="shared" si="13"/>
        <v>104</v>
      </c>
      <c r="D120" s="3">
        <f t="shared" si="14"/>
        <v>495.02231537972062</v>
      </c>
      <c r="F120" s="3">
        <f t="shared" si="15"/>
        <v>266.20555634820022</v>
      </c>
      <c r="H120" s="3">
        <f t="shared" si="16"/>
        <v>228.81675903152041</v>
      </c>
      <c r="L120" s="3">
        <f t="shared" si="17"/>
        <v>94416.591284280934</v>
      </c>
      <c r="N120" s="3">
        <f t="shared" si="18"/>
        <v>24513.408715719059</v>
      </c>
      <c r="P120" s="45">
        <f t="shared" si="19"/>
        <v>26968.912083771876</v>
      </c>
      <c r="Q120" s="46"/>
    </row>
    <row r="121" spans="2:17" x14ac:dyDescent="0.25">
      <c r="B121">
        <f t="shared" si="13"/>
        <v>105</v>
      </c>
      <c r="D121" s="3">
        <f t="shared" si="14"/>
        <v>495.02231537972062</v>
      </c>
      <c r="F121" s="3">
        <f t="shared" si="15"/>
        <v>266.84888644270836</v>
      </c>
      <c r="H121" s="3">
        <f t="shared" si="16"/>
        <v>228.17342893701226</v>
      </c>
      <c r="L121" s="3">
        <f t="shared" si="17"/>
        <v>94149.742397838228</v>
      </c>
      <c r="N121" s="3">
        <f t="shared" si="18"/>
        <v>24780.257602161768</v>
      </c>
      <c r="P121" s="45">
        <f t="shared" si="19"/>
        <v>27197.085512708887</v>
      </c>
      <c r="Q121" s="46"/>
    </row>
    <row r="122" spans="2:17" x14ac:dyDescent="0.25">
      <c r="B122">
        <f t="shared" si="13"/>
        <v>106</v>
      </c>
      <c r="D122" s="3">
        <f t="shared" si="14"/>
        <v>495.02231537972062</v>
      </c>
      <c r="F122" s="3">
        <f t="shared" si="15"/>
        <v>267.49377125161152</v>
      </c>
      <c r="H122" s="3">
        <f t="shared" si="16"/>
        <v>227.52854412810908</v>
      </c>
      <c r="L122" s="3">
        <f t="shared" si="17"/>
        <v>93882.248626586617</v>
      </c>
      <c r="N122" s="3">
        <f t="shared" si="18"/>
        <v>25047.751373413379</v>
      </c>
      <c r="P122" s="45">
        <f t="shared" si="19"/>
        <v>27424.614056836996</v>
      </c>
      <c r="Q122" s="46"/>
    </row>
    <row r="123" spans="2:17" x14ac:dyDescent="0.25">
      <c r="B123">
        <f t="shared" si="13"/>
        <v>107</v>
      </c>
      <c r="D123" s="3">
        <f t="shared" si="14"/>
        <v>495.02231537972062</v>
      </c>
      <c r="F123" s="3">
        <f t="shared" si="15"/>
        <v>268.14021453213627</v>
      </c>
      <c r="H123" s="3">
        <f t="shared" si="16"/>
        <v>226.88210084758433</v>
      </c>
      <c r="L123" s="3">
        <f t="shared" si="17"/>
        <v>93614.108412054484</v>
      </c>
      <c r="N123" s="3">
        <f t="shared" si="18"/>
        <v>25315.891587945516</v>
      </c>
      <c r="P123" s="45">
        <f t="shared" si="19"/>
        <v>27651.496157684582</v>
      </c>
      <c r="Q123" s="46"/>
    </row>
    <row r="124" spans="2:17" x14ac:dyDescent="0.25">
      <c r="B124">
        <f t="shared" si="13"/>
        <v>108</v>
      </c>
      <c r="D124" s="3">
        <f t="shared" si="14"/>
        <v>495.02231537972062</v>
      </c>
      <c r="F124" s="3">
        <f t="shared" si="15"/>
        <v>268.78822005058896</v>
      </c>
      <c r="H124" s="3">
        <f t="shared" si="16"/>
        <v>226.23409532913169</v>
      </c>
      <c r="L124" s="3">
        <f t="shared" si="17"/>
        <v>93345.320192003899</v>
      </c>
      <c r="N124" s="3">
        <f t="shared" si="18"/>
        <v>25584.679807996105</v>
      </c>
      <c r="P124" s="45">
        <f t="shared" si="19"/>
        <v>27877.730253013713</v>
      </c>
      <c r="Q124" s="46">
        <f>P124-P112</f>
        <v>2757.2356729738349</v>
      </c>
    </row>
    <row r="125" spans="2:17" x14ac:dyDescent="0.25">
      <c r="B125">
        <f t="shared" si="13"/>
        <v>109</v>
      </c>
      <c r="D125" s="3">
        <f t="shared" si="14"/>
        <v>495.02231537972062</v>
      </c>
      <c r="F125" s="3">
        <f t="shared" si="15"/>
        <v>269.43779158237783</v>
      </c>
      <c r="H125" s="3">
        <f t="shared" si="16"/>
        <v>225.58452379734277</v>
      </c>
      <c r="L125" s="3">
        <f t="shared" si="17"/>
        <v>93075.882400421528</v>
      </c>
      <c r="N125" s="3">
        <f t="shared" si="18"/>
        <v>25854.117599578483</v>
      </c>
      <c r="P125" s="45">
        <f t="shared" si="19"/>
        <v>28103.314776811058</v>
      </c>
      <c r="Q125" s="46"/>
    </row>
    <row r="126" spans="2:17" x14ac:dyDescent="0.25">
      <c r="B126">
        <f t="shared" si="13"/>
        <v>110</v>
      </c>
      <c r="D126" s="3">
        <f t="shared" si="14"/>
        <v>495.02231537972062</v>
      </c>
      <c r="F126" s="3">
        <f t="shared" si="15"/>
        <v>270.08893291203526</v>
      </c>
      <c r="H126" s="3">
        <f t="shared" si="16"/>
        <v>224.93338246768536</v>
      </c>
      <c r="L126" s="3">
        <f t="shared" si="17"/>
        <v>92805.793467509488</v>
      </c>
      <c r="N126" s="3">
        <f t="shared" si="18"/>
        <v>26124.20653249052</v>
      </c>
      <c r="P126" s="45">
        <f t="shared" si="19"/>
        <v>28328.248159278744</v>
      </c>
      <c r="Q126" s="46"/>
    </row>
    <row r="127" spans="2:17" x14ac:dyDescent="0.25">
      <c r="B127">
        <f t="shared" si="13"/>
        <v>111</v>
      </c>
      <c r="D127" s="3">
        <f t="shared" si="14"/>
        <v>495.02231537972062</v>
      </c>
      <c r="F127" s="3">
        <f t="shared" si="15"/>
        <v>270.74164783323931</v>
      </c>
      <c r="H127" s="3">
        <f t="shared" si="16"/>
        <v>224.28066754648128</v>
      </c>
      <c r="L127" s="3">
        <f t="shared" si="17"/>
        <v>92535.051819676242</v>
      </c>
      <c r="N127" s="3">
        <f t="shared" si="18"/>
        <v>26394.948180323758</v>
      </c>
      <c r="P127" s="45">
        <f t="shared" si="19"/>
        <v>28552.528826825226</v>
      </c>
      <c r="Q127" s="46"/>
    </row>
    <row r="128" spans="2:17" x14ac:dyDescent="0.25">
      <c r="B128">
        <f t="shared" si="13"/>
        <v>112</v>
      </c>
      <c r="D128" s="3">
        <f t="shared" si="14"/>
        <v>495.02231537972062</v>
      </c>
      <c r="F128" s="3">
        <f t="shared" si="15"/>
        <v>271.39594014883636</v>
      </c>
      <c r="H128" s="3">
        <f t="shared" si="16"/>
        <v>223.62637523088426</v>
      </c>
      <c r="L128" s="3">
        <f t="shared" si="17"/>
        <v>92263.655879527403</v>
      </c>
      <c r="N128" s="3">
        <f t="shared" si="18"/>
        <v>26666.344120472593</v>
      </c>
      <c r="P128" s="45">
        <f t="shared" si="19"/>
        <v>28776.15520205611</v>
      </c>
      <c r="Q128" s="46"/>
    </row>
    <row r="129" spans="2:17" x14ac:dyDescent="0.25">
      <c r="B129">
        <f t="shared" si="13"/>
        <v>113</v>
      </c>
      <c r="D129" s="3">
        <f t="shared" si="14"/>
        <v>495.02231537972062</v>
      </c>
      <c r="F129" s="3">
        <f t="shared" si="15"/>
        <v>272.05181367086271</v>
      </c>
      <c r="H129" s="3">
        <f t="shared" si="16"/>
        <v>222.97050170885791</v>
      </c>
      <c r="L129" s="3">
        <f t="shared" si="17"/>
        <v>91991.604065856547</v>
      </c>
      <c r="N129" s="3">
        <f t="shared" si="18"/>
        <v>26938.395934143457</v>
      </c>
      <c r="P129" s="45">
        <f t="shared" si="19"/>
        <v>28999.125703764967</v>
      </c>
      <c r="Q129" s="46"/>
    </row>
    <row r="130" spans="2:17" x14ac:dyDescent="0.25">
      <c r="B130">
        <f t="shared" si="13"/>
        <v>114</v>
      </c>
      <c r="D130" s="3">
        <f t="shared" si="14"/>
        <v>495.02231537972062</v>
      </c>
      <c r="F130" s="3">
        <f t="shared" si="15"/>
        <v>272.7092722205673</v>
      </c>
      <c r="H130" s="3">
        <f t="shared" si="16"/>
        <v>222.31304315915332</v>
      </c>
      <c r="L130" s="3">
        <f t="shared" si="17"/>
        <v>91718.894793635976</v>
      </c>
      <c r="N130" s="3">
        <f t="shared" si="18"/>
        <v>27211.105206364024</v>
      </c>
      <c r="P130" s="45">
        <f t="shared" si="19"/>
        <v>29221.438746924119</v>
      </c>
      <c r="Q130" s="46"/>
    </row>
    <row r="131" spans="2:17" x14ac:dyDescent="0.25">
      <c r="B131">
        <f t="shared" si="13"/>
        <v>115</v>
      </c>
      <c r="D131" s="3">
        <f t="shared" si="14"/>
        <v>495.02231537972062</v>
      </c>
      <c r="F131" s="3">
        <f t="shared" si="15"/>
        <v>273.36831962843371</v>
      </c>
      <c r="H131" s="3">
        <f t="shared" si="16"/>
        <v>221.65399575128694</v>
      </c>
      <c r="L131" s="3">
        <f t="shared" si="17"/>
        <v>91445.526474007536</v>
      </c>
      <c r="N131" s="3">
        <f t="shared" si="18"/>
        <v>27484.473525992456</v>
      </c>
      <c r="P131" s="45">
        <f t="shared" si="19"/>
        <v>29443.092742675406</v>
      </c>
      <c r="Q131" s="46"/>
    </row>
    <row r="132" spans="2:17" x14ac:dyDescent="0.25">
      <c r="B132">
        <f t="shared" si="13"/>
        <v>116</v>
      </c>
      <c r="D132" s="3">
        <f t="shared" si="14"/>
        <v>495.02231537972062</v>
      </c>
      <c r="F132" s="3">
        <f t="shared" si="15"/>
        <v>274.02895973420243</v>
      </c>
      <c r="H132" s="3">
        <f t="shared" si="16"/>
        <v>220.99335564551822</v>
      </c>
      <c r="L132" s="3">
        <f t="shared" si="17"/>
        <v>91171.497514273331</v>
      </c>
      <c r="N132" s="3">
        <f t="shared" si="18"/>
        <v>27758.502485726658</v>
      </c>
      <c r="P132" s="45">
        <f t="shared" si="19"/>
        <v>29664.086098320924</v>
      </c>
      <c r="Q132" s="46"/>
    </row>
    <row r="133" spans="2:17" x14ac:dyDescent="0.25">
      <c r="B133">
        <f t="shared" si="13"/>
        <v>117</v>
      </c>
      <c r="D133" s="3">
        <f t="shared" si="14"/>
        <v>495.02231537972062</v>
      </c>
      <c r="F133" s="3">
        <f t="shared" si="15"/>
        <v>274.69119638689341</v>
      </c>
      <c r="H133" s="3">
        <f t="shared" si="16"/>
        <v>220.33111899282721</v>
      </c>
      <c r="L133" s="3">
        <f t="shared" si="17"/>
        <v>90896.80631788644</v>
      </c>
      <c r="N133" s="3">
        <f t="shared" si="18"/>
        <v>28033.193682113553</v>
      </c>
      <c r="P133" s="45">
        <f t="shared" si="19"/>
        <v>29884.417217313752</v>
      </c>
      <c r="Q133" s="46"/>
    </row>
    <row r="134" spans="2:17" x14ac:dyDescent="0.25">
      <c r="B134">
        <f t="shared" si="13"/>
        <v>118</v>
      </c>
      <c r="D134" s="3">
        <f t="shared" si="14"/>
        <v>495.02231537972062</v>
      </c>
      <c r="F134" s="3">
        <f t="shared" si="15"/>
        <v>275.35503344482839</v>
      </c>
      <c r="H134" s="3">
        <f t="shared" si="16"/>
        <v>219.66728193489223</v>
      </c>
      <c r="L134" s="3">
        <f t="shared" si="17"/>
        <v>90621.451284441617</v>
      </c>
      <c r="N134" s="3">
        <f t="shared" si="18"/>
        <v>28308.548715558383</v>
      </c>
      <c r="P134" s="45">
        <f t="shared" si="19"/>
        <v>30104.084499248645</v>
      </c>
      <c r="Q134" s="46"/>
    </row>
    <row r="135" spans="2:17" x14ac:dyDescent="0.25">
      <c r="B135">
        <f t="shared" si="13"/>
        <v>119</v>
      </c>
      <c r="D135" s="3">
        <f t="shared" si="14"/>
        <v>495.02231537972062</v>
      </c>
      <c r="F135" s="3">
        <f t="shared" si="15"/>
        <v>276.02047477565338</v>
      </c>
      <c r="H135" s="3">
        <f t="shared" si="16"/>
        <v>219.00184060406724</v>
      </c>
      <c r="L135" s="3">
        <f t="shared" si="17"/>
        <v>90345.430809665966</v>
      </c>
      <c r="N135" s="3">
        <f t="shared" si="18"/>
        <v>28584.569190334038</v>
      </c>
      <c r="P135" s="45">
        <f t="shared" si="19"/>
        <v>30323.086339852714</v>
      </c>
      <c r="Q135" s="46"/>
    </row>
    <row r="136" spans="2:17" x14ac:dyDescent="0.25">
      <c r="B136">
        <f t="shared" si="13"/>
        <v>120</v>
      </c>
      <c r="D136" s="3">
        <f t="shared" si="14"/>
        <v>495.02231537972062</v>
      </c>
      <c r="F136" s="3">
        <f t="shared" si="15"/>
        <v>276.6875242563612</v>
      </c>
      <c r="H136" s="3">
        <f t="shared" si="16"/>
        <v>218.33479112335942</v>
      </c>
      <c r="L136" s="3">
        <f t="shared" si="17"/>
        <v>90068.743285409611</v>
      </c>
      <c r="N136" s="3">
        <f t="shared" si="18"/>
        <v>28861.256714590399</v>
      </c>
      <c r="P136" s="45">
        <f t="shared" si="19"/>
        <v>30541.421130976072</v>
      </c>
      <c r="Q136" s="46">
        <f>P136-P124</f>
        <v>2663.6908779623591</v>
      </c>
    </row>
    <row r="137" spans="2:17" x14ac:dyDescent="0.25">
      <c r="B137">
        <f t="shared" si="13"/>
        <v>121</v>
      </c>
      <c r="D137" s="3">
        <f t="shared" si="14"/>
        <v>495.02231537972062</v>
      </c>
      <c r="F137" s="3">
        <f t="shared" si="15"/>
        <v>277.35618577331405</v>
      </c>
      <c r="H137" s="3">
        <f t="shared" si="16"/>
        <v>217.66612960640657</v>
      </c>
      <c r="L137" s="3">
        <f t="shared" si="17"/>
        <v>89791.387099636297</v>
      </c>
      <c r="N137" s="3">
        <f t="shared" si="18"/>
        <v>29138.612900363714</v>
      </c>
      <c r="P137" s="45">
        <f t="shared" si="19"/>
        <v>30759.087260582477</v>
      </c>
      <c r="Q137" s="46"/>
    </row>
    <row r="138" spans="2:17" x14ac:dyDescent="0.25">
      <c r="B138">
        <f t="shared" si="13"/>
        <v>122</v>
      </c>
      <c r="D138" s="3">
        <f t="shared" si="14"/>
        <v>495.02231537972062</v>
      </c>
      <c r="F138" s="3">
        <f t="shared" si="15"/>
        <v>278.02646322226622</v>
      </c>
      <c r="H138" s="3">
        <f t="shared" si="16"/>
        <v>216.99585215745441</v>
      </c>
      <c r="L138" s="3">
        <f t="shared" si="17"/>
        <v>89513.360636414029</v>
      </c>
      <c r="N138" s="3">
        <f t="shared" si="18"/>
        <v>29416.639363585982</v>
      </c>
      <c r="P138" s="45">
        <f t="shared" si="19"/>
        <v>30976.083112739932</v>
      </c>
      <c r="Q138" s="46"/>
    </row>
    <row r="139" spans="2:17" x14ac:dyDescent="0.25">
      <c r="B139">
        <f t="shared" si="13"/>
        <v>123</v>
      </c>
      <c r="D139" s="3">
        <f t="shared" si="14"/>
        <v>495.02231537972062</v>
      </c>
      <c r="F139" s="3">
        <f t="shared" si="15"/>
        <v>278.69836050838671</v>
      </c>
      <c r="H139" s="3">
        <f t="shared" si="16"/>
        <v>216.32395487133391</v>
      </c>
      <c r="L139" s="3">
        <f t="shared" si="17"/>
        <v>89234.662275905648</v>
      </c>
      <c r="N139" s="3">
        <f t="shared" si="18"/>
        <v>29695.33772409437</v>
      </c>
      <c r="P139" s="45">
        <f t="shared" si="19"/>
        <v>31192.407067611268</v>
      </c>
      <c r="Q139" s="46"/>
    </row>
    <row r="140" spans="2:17" x14ac:dyDescent="0.25">
      <c r="B140">
        <f t="shared" si="13"/>
        <v>124</v>
      </c>
      <c r="D140" s="3">
        <f t="shared" si="14"/>
        <v>495.02231537972062</v>
      </c>
      <c r="F140" s="3">
        <f t="shared" si="15"/>
        <v>279.371881546282</v>
      </c>
      <c r="H140" s="3">
        <f t="shared" si="16"/>
        <v>215.65043383343865</v>
      </c>
      <c r="L140" s="3">
        <f t="shared" si="17"/>
        <v>88955.29039435937</v>
      </c>
      <c r="N140" s="3">
        <f t="shared" si="18"/>
        <v>29974.709605640652</v>
      </c>
      <c r="P140" s="45">
        <f t="shared" si="19"/>
        <v>31408.057501444706</v>
      </c>
      <c r="Q140" s="46"/>
    </row>
    <row r="141" spans="2:17" x14ac:dyDescent="0.25">
      <c r="B141">
        <f t="shared" si="13"/>
        <v>125</v>
      </c>
      <c r="D141" s="3">
        <f t="shared" si="14"/>
        <v>495.02231537972062</v>
      </c>
      <c r="F141" s="3">
        <f t="shared" si="15"/>
        <v>280.0470302600188</v>
      </c>
      <c r="H141" s="3">
        <f t="shared" si="16"/>
        <v>214.97528511970182</v>
      </c>
      <c r="L141" s="3">
        <f t="shared" si="17"/>
        <v>88675.243364099355</v>
      </c>
      <c r="N141" s="3">
        <f t="shared" si="18"/>
        <v>30254.756635900671</v>
      </c>
      <c r="P141" s="45">
        <f t="shared" si="19"/>
        <v>31623.032786564407</v>
      </c>
      <c r="Q141" s="46"/>
    </row>
    <row r="142" spans="2:17" x14ac:dyDescent="0.25">
      <c r="B142">
        <f t="shared" si="13"/>
        <v>126</v>
      </c>
      <c r="D142" s="3">
        <f t="shared" si="14"/>
        <v>495.02231537972062</v>
      </c>
      <c r="F142" s="3">
        <f t="shared" si="15"/>
        <v>280.72381058314716</v>
      </c>
      <c r="H142" s="3">
        <f t="shared" si="16"/>
        <v>214.29850479657344</v>
      </c>
      <c r="L142" s="3">
        <f t="shared" si="17"/>
        <v>88394.519553516206</v>
      </c>
      <c r="N142" s="3">
        <f t="shared" si="18"/>
        <v>30535.480446483816</v>
      </c>
      <c r="P142" s="45">
        <f t="shared" si="19"/>
        <v>31837.331291360981</v>
      </c>
      <c r="Q142" s="46"/>
    </row>
    <row r="143" spans="2:17" x14ac:dyDescent="0.25">
      <c r="B143">
        <f t="shared" si="13"/>
        <v>127</v>
      </c>
      <c r="D143" s="3">
        <f t="shared" si="14"/>
        <v>495.02231537972062</v>
      </c>
      <c r="F143" s="3">
        <f t="shared" si="15"/>
        <v>281.40222645872313</v>
      </c>
      <c r="H143" s="3">
        <f t="shared" si="16"/>
        <v>213.62008892099752</v>
      </c>
      <c r="L143" s="3">
        <f t="shared" si="17"/>
        <v>88113.11732705748</v>
      </c>
      <c r="N143" s="3">
        <f t="shared" si="18"/>
        <v>30816.882672942538</v>
      </c>
      <c r="P143" s="45">
        <f t="shared" si="19"/>
        <v>32050.951380281978</v>
      </c>
      <c r="Q143" s="46"/>
    </row>
    <row r="144" spans="2:17" x14ac:dyDescent="0.25">
      <c r="B144">
        <f t="shared" si="13"/>
        <v>128</v>
      </c>
      <c r="D144" s="3">
        <f t="shared" si="14"/>
        <v>495.02231537972062</v>
      </c>
      <c r="F144" s="3">
        <f t="shared" si="15"/>
        <v>282.0822818393317</v>
      </c>
      <c r="H144" s="3">
        <f t="shared" si="16"/>
        <v>212.94003354038892</v>
      </c>
      <c r="L144" s="3">
        <f t="shared" si="17"/>
        <v>87831.035045218145</v>
      </c>
      <c r="N144" s="3">
        <f t="shared" si="18"/>
        <v>31098.96495478187</v>
      </c>
      <c r="P144" s="45">
        <f t="shared" si="19"/>
        <v>32263.891413822366</v>
      </c>
      <c r="Q144" s="46"/>
    </row>
    <row r="145" spans="2:17" x14ac:dyDescent="0.25">
      <c r="B145">
        <f t="shared" si="13"/>
        <v>129</v>
      </c>
      <c r="D145" s="3">
        <f t="shared" si="14"/>
        <v>495.02231537972062</v>
      </c>
      <c r="F145" s="3">
        <f t="shared" si="15"/>
        <v>282.76398068711012</v>
      </c>
      <c r="H145" s="3">
        <f t="shared" si="16"/>
        <v>212.25833469261053</v>
      </c>
      <c r="L145" s="3">
        <f t="shared" si="17"/>
        <v>87548.271064531029</v>
      </c>
      <c r="N145" s="3">
        <f t="shared" si="18"/>
        <v>31381.728935468978</v>
      </c>
      <c r="P145" s="45">
        <f t="shared" si="19"/>
        <v>32476.149748514978</v>
      </c>
      <c r="Q145" s="46"/>
    </row>
    <row r="146" spans="2:17" x14ac:dyDescent="0.25">
      <c r="B146">
        <f t="shared" si="13"/>
        <v>130</v>
      </c>
      <c r="D146" s="3">
        <f t="shared" si="14"/>
        <v>495.02231537972062</v>
      </c>
      <c r="F146" s="3">
        <f t="shared" si="15"/>
        <v>283.4473269737706</v>
      </c>
      <c r="H146" s="3">
        <f t="shared" si="16"/>
        <v>211.57498840594999</v>
      </c>
      <c r="L146" s="3">
        <f t="shared" si="17"/>
        <v>87264.823737557264</v>
      </c>
      <c r="N146" s="3">
        <f t="shared" si="18"/>
        <v>31665.17626244275</v>
      </c>
      <c r="P146" s="45">
        <f t="shared" si="19"/>
        <v>32687.724736920929</v>
      </c>
      <c r="Q146" s="46"/>
    </row>
    <row r="147" spans="2:17" x14ac:dyDescent="0.25">
      <c r="B147">
        <f t="shared" si="13"/>
        <v>131</v>
      </c>
      <c r="D147" s="3">
        <f t="shared" si="14"/>
        <v>495.02231537972062</v>
      </c>
      <c r="F147" s="3">
        <f t="shared" si="15"/>
        <v>284.13232468062392</v>
      </c>
      <c r="H147" s="3">
        <f t="shared" si="16"/>
        <v>210.88999069909673</v>
      </c>
      <c r="L147" s="3">
        <f t="shared" si="17"/>
        <v>86980.691412876637</v>
      </c>
      <c r="N147" s="3">
        <f t="shared" si="18"/>
        <v>31949.308587123374</v>
      </c>
      <c r="P147" s="45">
        <f t="shared" si="19"/>
        <v>32898.614727620028</v>
      </c>
      <c r="Q147" s="46"/>
    </row>
    <row r="148" spans="2:17" x14ac:dyDescent="0.25">
      <c r="B148">
        <f t="shared" si="13"/>
        <v>132</v>
      </c>
      <c r="D148" s="3">
        <f t="shared" si="14"/>
        <v>495.02231537972062</v>
      </c>
      <c r="F148" s="3">
        <f t="shared" si="15"/>
        <v>284.81897779860208</v>
      </c>
      <c r="H148" s="3">
        <f t="shared" si="16"/>
        <v>210.20333758111855</v>
      </c>
      <c r="L148" s="3">
        <f t="shared" si="17"/>
        <v>86695.872435078039</v>
      </c>
      <c r="N148" s="3">
        <f t="shared" si="18"/>
        <v>32234.127564921975</v>
      </c>
      <c r="P148" s="45">
        <f t="shared" si="19"/>
        <v>33108.818065201143</v>
      </c>
      <c r="Q148" s="46">
        <f>P148-P136</f>
        <v>2567.3969342250712</v>
      </c>
    </row>
    <row r="149" spans="2:17" x14ac:dyDescent="0.25">
      <c r="B149">
        <f t="shared" si="13"/>
        <v>133</v>
      </c>
      <c r="D149" s="3">
        <f t="shared" si="14"/>
        <v>495.02231537972062</v>
      </c>
      <c r="F149" s="3">
        <f t="shared" si="15"/>
        <v>285.50729032828201</v>
      </c>
      <c r="H149" s="3">
        <f t="shared" si="16"/>
        <v>209.51502505143861</v>
      </c>
      <c r="L149" s="3">
        <f t="shared" si="17"/>
        <v>86410.365144749754</v>
      </c>
      <c r="N149" s="3">
        <f t="shared" si="18"/>
        <v>32519.634855250257</v>
      </c>
      <c r="P149" s="45">
        <f t="shared" si="19"/>
        <v>33318.333090252585</v>
      </c>
      <c r="Q149" s="46"/>
    </row>
    <row r="150" spans="2:17" x14ac:dyDescent="0.25">
      <c r="B150">
        <f t="shared" si="13"/>
        <v>134</v>
      </c>
      <c r="D150" s="3">
        <f t="shared" si="14"/>
        <v>495.02231537972062</v>
      </c>
      <c r="F150" s="3">
        <f t="shared" si="15"/>
        <v>286.19726627990872</v>
      </c>
      <c r="H150" s="3">
        <f t="shared" si="16"/>
        <v>208.82504909981191</v>
      </c>
      <c r="L150" s="3">
        <f t="shared" si="17"/>
        <v>86124.167878469845</v>
      </c>
      <c r="N150" s="3">
        <f t="shared" si="18"/>
        <v>32805.832121530162</v>
      </c>
      <c r="P150" s="45">
        <f t="shared" si="19"/>
        <v>33527.158139352396</v>
      </c>
      <c r="Q150" s="46"/>
    </row>
    <row r="151" spans="2:17" x14ac:dyDescent="0.25">
      <c r="B151">
        <f t="shared" si="13"/>
        <v>135</v>
      </c>
      <c r="D151" s="3">
        <f t="shared" si="14"/>
        <v>495.02231537972062</v>
      </c>
      <c r="F151" s="3">
        <f t="shared" si="15"/>
        <v>286.88890967341848</v>
      </c>
      <c r="H151" s="3">
        <f t="shared" si="16"/>
        <v>208.13340570630214</v>
      </c>
      <c r="L151" s="3">
        <f t="shared" si="17"/>
        <v>85837.278968796425</v>
      </c>
      <c r="N151" s="3">
        <f t="shared" si="18"/>
        <v>33092.721031203582</v>
      </c>
      <c r="P151" s="45">
        <f t="shared" si="19"/>
        <v>33735.291545058695</v>
      </c>
      <c r="Q151" s="46"/>
    </row>
    <row r="152" spans="2:17" x14ac:dyDescent="0.25">
      <c r="B152">
        <f t="shared" si="13"/>
        <v>136</v>
      </c>
      <c r="D152" s="3">
        <f t="shared" si="14"/>
        <v>495.02231537972062</v>
      </c>
      <c r="F152" s="3">
        <f t="shared" si="15"/>
        <v>287.58222453846258</v>
      </c>
      <c r="H152" s="3">
        <f t="shared" si="16"/>
        <v>207.44009084125804</v>
      </c>
      <c r="L152" s="3">
        <f t="shared" si="17"/>
        <v>85549.696744257963</v>
      </c>
      <c r="N152" s="3">
        <f t="shared" si="18"/>
        <v>33380.303255742045</v>
      </c>
      <c r="P152" s="45">
        <f t="shared" si="19"/>
        <v>33942.731635899952</v>
      </c>
      <c r="Q152" s="46"/>
    </row>
    <row r="153" spans="2:17" x14ac:dyDescent="0.25">
      <c r="B153">
        <f t="shared" si="13"/>
        <v>137</v>
      </c>
      <c r="D153" s="3">
        <f t="shared" si="14"/>
        <v>495.02231537972062</v>
      </c>
      <c r="F153" s="3">
        <f t="shared" si="15"/>
        <v>288.27721491443054</v>
      </c>
      <c r="H153" s="3">
        <f t="shared" si="16"/>
        <v>206.74510046529008</v>
      </c>
      <c r="L153" s="3">
        <f t="shared" si="17"/>
        <v>85261.419529343533</v>
      </c>
      <c r="N153" s="3">
        <f t="shared" si="18"/>
        <v>33668.580470656474</v>
      </c>
      <c r="P153" s="45">
        <f t="shared" si="19"/>
        <v>34149.476736365243</v>
      </c>
      <c r="Q153" s="46"/>
    </row>
    <row r="154" spans="2:17" x14ac:dyDescent="0.25">
      <c r="B154">
        <f t="shared" si="13"/>
        <v>138</v>
      </c>
      <c r="D154" s="3">
        <f t="shared" si="14"/>
        <v>495.02231537972062</v>
      </c>
      <c r="F154" s="3">
        <f t="shared" si="15"/>
        <v>288.97388485047372</v>
      </c>
      <c r="H154" s="3">
        <f t="shared" si="16"/>
        <v>206.04843052924687</v>
      </c>
      <c r="L154" s="3">
        <f t="shared" si="17"/>
        <v>84972.445644493055</v>
      </c>
      <c r="N154" s="3">
        <f t="shared" si="18"/>
        <v>33957.554355506945</v>
      </c>
      <c r="P154" s="45">
        <f t="shared" si="19"/>
        <v>34355.525166894491</v>
      </c>
      <c r="Q154" s="46"/>
    </row>
    <row r="155" spans="2:17" x14ac:dyDescent="0.25">
      <c r="B155">
        <f t="shared" si="13"/>
        <v>139</v>
      </c>
      <c r="D155" s="3">
        <f t="shared" si="14"/>
        <v>495.02231537972062</v>
      </c>
      <c r="F155" s="3">
        <f t="shared" si="15"/>
        <v>289.67223840552907</v>
      </c>
      <c r="H155" s="3">
        <f t="shared" si="16"/>
        <v>205.35007697419155</v>
      </c>
      <c r="L155" s="3">
        <f t="shared" si="17"/>
        <v>84682.773406087523</v>
      </c>
      <c r="N155" s="3">
        <f t="shared" si="18"/>
        <v>34247.226593912477</v>
      </c>
      <c r="P155" s="45">
        <f t="shared" si="19"/>
        <v>34560.875243868686</v>
      </c>
      <c r="Q155" s="46"/>
    </row>
    <row r="156" spans="2:17" x14ac:dyDescent="0.25">
      <c r="B156">
        <f t="shared" si="13"/>
        <v>140</v>
      </c>
      <c r="D156" s="3">
        <f t="shared" si="14"/>
        <v>495.02231537972062</v>
      </c>
      <c r="F156" s="3">
        <f t="shared" si="15"/>
        <v>290.37227964834244</v>
      </c>
      <c r="H156" s="3">
        <f t="shared" si="16"/>
        <v>204.65003573137818</v>
      </c>
      <c r="L156" s="3">
        <f t="shared" si="17"/>
        <v>84392.401126439174</v>
      </c>
      <c r="N156" s="3">
        <f t="shared" si="18"/>
        <v>34537.598873560819</v>
      </c>
      <c r="P156" s="45">
        <f t="shared" si="19"/>
        <v>34765.525279600064</v>
      </c>
      <c r="Q156" s="46"/>
    </row>
    <row r="157" spans="2:17" x14ac:dyDescent="0.25">
      <c r="B157">
        <f t="shared" si="13"/>
        <v>141</v>
      </c>
      <c r="D157" s="3">
        <f t="shared" si="14"/>
        <v>495.02231537972062</v>
      </c>
      <c r="F157" s="3">
        <f t="shared" si="15"/>
        <v>291.07401265749263</v>
      </c>
      <c r="H157" s="3">
        <f t="shared" si="16"/>
        <v>203.94830272222802</v>
      </c>
      <c r="L157" s="3">
        <f t="shared" si="17"/>
        <v>84101.327113781677</v>
      </c>
      <c r="N157" s="3">
        <f t="shared" si="18"/>
        <v>34828.672886218308</v>
      </c>
      <c r="P157" s="45">
        <f t="shared" si="19"/>
        <v>34969.473582322295</v>
      </c>
      <c r="Q157" s="46"/>
    </row>
    <row r="158" spans="2:17" x14ac:dyDescent="0.25">
      <c r="B158">
        <f t="shared" ref="B158:B221" si="20">IF(AND(L157&lt;&gt;"",L157&gt;0.001),B157+1,"")</f>
        <v>142</v>
      </c>
      <c r="D158" s="3">
        <f t="shared" ref="D158:D221" si="21">IF(B158="","",IF(L157&lt;$F$10,L157*(1+$F$8),$F$10))</f>
        <v>495.02231537972062</v>
      </c>
      <c r="F158" s="3">
        <f t="shared" ref="F158:F221" si="22">IF(B158="","",(D158-H158+J158))</f>
        <v>291.77744152141486</v>
      </c>
      <c r="H158" s="3">
        <f t="shared" ref="H158:H221" si="23">IF(B158="", "",L157*$F$8)</f>
        <v>203.24487385830574</v>
      </c>
      <c r="L158" s="3">
        <f t="shared" ref="L158:L221" si="24">IF(B158="","",L157-F158)</f>
        <v>83809.549672260269</v>
      </c>
      <c r="N158" s="3">
        <f t="shared" ref="N158:N221" si="25">IF(B158="","",N157+F158)</f>
        <v>35120.450327739723</v>
      </c>
      <c r="P158" s="45">
        <f t="shared" ref="P158:P221" si="26">IF(B158="","",P157+H158)</f>
        <v>35172.718456180599</v>
      </c>
      <c r="Q158" s="46"/>
    </row>
    <row r="159" spans="2:17" x14ac:dyDescent="0.25">
      <c r="B159">
        <f t="shared" si="20"/>
        <v>143</v>
      </c>
      <c r="D159" s="3">
        <f t="shared" si="21"/>
        <v>495.02231537972062</v>
      </c>
      <c r="F159" s="3">
        <f t="shared" si="22"/>
        <v>292.48257033842492</v>
      </c>
      <c r="H159" s="3">
        <f t="shared" si="23"/>
        <v>202.53974504129567</v>
      </c>
      <c r="L159" s="3">
        <f t="shared" si="24"/>
        <v>83517.067101921843</v>
      </c>
      <c r="N159" s="3">
        <f t="shared" si="25"/>
        <v>35412.93289807815</v>
      </c>
      <c r="P159" s="45">
        <f t="shared" si="26"/>
        <v>35375.258201221892</v>
      </c>
      <c r="Q159" s="46"/>
    </row>
    <row r="160" spans="2:17" x14ac:dyDescent="0.25">
      <c r="B160">
        <f t="shared" si="20"/>
        <v>144</v>
      </c>
      <c r="D160" s="3">
        <f t="shared" si="21"/>
        <v>495.02231537972062</v>
      </c>
      <c r="F160" s="3">
        <f t="shared" si="22"/>
        <v>293.18940321674279</v>
      </c>
      <c r="H160" s="3">
        <f t="shared" si="23"/>
        <v>201.83291216297781</v>
      </c>
      <c r="L160" s="3">
        <f t="shared" si="24"/>
        <v>83223.877698705095</v>
      </c>
      <c r="N160" s="3">
        <f t="shared" si="25"/>
        <v>35706.12230129489</v>
      </c>
      <c r="P160" s="45">
        <f t="shared" si="26"/>
        <v>35577.091113384871</v>
      </c>
      <c r="Q160" s="46"/>
    </row>
    <row r="161" spans="2:17" x14ac:dyDescent="0.25">
      <c r="B161">
        <f t="shared" si="20"/>
        <v>145</v>
      </c>
      <c r="D161" s="3">
        <f t="shared" si="21"/>
        <v>495.02231537972062</v>
      </c>
      <c r="F161" s="3">
        <f t="shared" si="22"/>
        <v>293.89794427451665</v>
      </c>
      <c r="H161" s="3">
        <f t="shared" si="23"/>
        <v>201.12437110520398</v>
      </c>
      <c r="L161" s="3">
        <f t="shared" si="24"/>
        <v>82929.979754430577</v>
      </c>
      <c r="N161" s="3">
        <f t="shared" si="25"/>
        <v>36000.020245569409</v>
      </c>
      <c r="P161" s="45">
        <f t="shared" si="26"/>
        <v>35778.215484490072</v>
      </c>
      <c r="Q161" s="46"/>
    </row>
    <row r="162" spans="2:17" x14ac:dyDescent="0.25">
      <c r="B162">
        <f t="shared" si="20"/>
        <v>146</v>
      </c>
      <c r="D162" s="3">
        <f t="shared" si="21"/>
        <v>495.02231537972062</v>
      </c>
      <c r="F162" s="3">
        <f t="shared" si="22"/>
        <v>294.60819763984671</v>
      </c>
      <c r="H162" s="3">
        <f t="shared" si="23"/>
        <v>200.41411773987392</v>
      </c>
      <c r="L162" s="3">
        <f t="shared" si="24"/>
        <v>82635.371556790735</v>
      </c>
      <c r="N162" s="3">
        <f t="shared" si="25"/>
        <v>36294.628443209258</v>
      </c>
      <c r="P162" s="45">
        <f t="shared" si="26"/>
        <v>35978.629602229943</v>
      </c>
      <c r="Q162" s="46"/>
    </row>
    <row r="163" spans="2:17" x14ac:dyDescent="0.25">
      <c r="B163">
        <f t="shared" si="20"/>
        <v>147</v>
      </c>
      <c r="D163" s="3">
        <f t="shared" si="21"/>
        <v>495.02231537972062</v>
      </c>
      <c r="F163" s="3">
        <f t="shared" si="22"/>
        <v>295.32016745080966</v>
      </c>
      <c r="H163" s="3">
        <f t="shared" si="23"/>
        <v>199.70214792891096</v>
      </c>
      <c r="L163" s="3">
        <f t="shared" si="24"/>
        <v>82340.051389339918</v>
      </c>
      <c r="N163" s="3">
        <f t="shared" si="25"/>
        <v>36589.948610660067</v>
      </c>
      <c r="P163" s="45">
        <f t="shared" si="26"/>
        <v>36178.331750158854</v>
      </c>
      <c r="Q163" s="46"/>
    </row>
    <row r="164" spans="2:17" x14ac:dyDescent="0.25">
      <c r="B164">
        <f t="shared" si="20"/>
        <v>148</v>
      </c>
      <c r="D164" s="3">
        <f t="shared" si="21"/>
        <v>495.02231537972062</v>
      </c>
      <c r="F164" s="3">
        <f t="shared" si="22"/>
        <v>296.03385785548244</v>
      </c>
      <c r="H164" s="3">
        <f t="shared" si="23"/>
        <v>198.98845752423816</v>
      </c>
      <c r="L164" s="3">
        <f t="shared" si="24"/>
        <v>82044.017531484438</v>
      </c>
      <c r="N164" s="3">
        <f t="shared" si="25"/>
        <v>36885.982468515547</v>
      </c>
      <c r="P164" s="45">
        <f t="shared" si="26"/>
        <v>36377.320207683093</v>
      </c>
      <c r="Q164" s="46"/>
    </row>
    <row r="165" spans="2:17" x14ac:dyDescent="0.25">
      <c r="B165">
        <f t="shared" si="20"/>
        <v>149</v>
      </c>
      <c r="D165" s="3">
        <f t="shared" si="21"/>
        <v>495.02231537972062</v>
      </c>
      <c r="F165" s="3">
        <f t="shared" si="22"/>
        <v>296.74927301196658</v>
      </c>
      <c r="H165" s="3">
        <f t="shared" si="23"/>
        <v>198.27304236775407</v>
      </c>
      <c r="L165" s="3">
        <f t="shared" si="24"/>
        <v>81747.268258472468</v>
      </c>
      <c r="N165" s="3">
        <f t="shared" si="25"/>
        <v>37182.731741527517</v>
      </c>
      <c r="P165" s="45">
        <f t="shared" si="26"/>
        <v>36575.59325005085</v>
      </c>
      <c r="Q165" s="46"/>
    </row>
    <row r="166" spans="2:17" x14ac:dyDescent="0.25">
      <c r="B166">
        <f t="shared" si="20"/>
        <v>150</v>
      </c>
      <c r="D166" s="3">
        <f t="shared" si="21"/>
        <v>495.02231537972062</v>
      </c>
      <c r="F166" s="3">
        <f t="shared" si="22"/>
        <v>297.46641708841219</v>
      </c>
      <c r="H166" s="3">
        <f t="shared" si="23"/>
        <v>197.55589829130847</v>
      </c>
      <c r="L166" s="3">
        <f t="shared" si="24"/>
        <v>81449.801841384062</v>
      </c>
      <c r="N166" s="3">
        <f t="shared" si="25"/>
        <v>37480.198158615931</v>
      </c>
      <c r="P166" s="45">
        <f t="shared" si="26"/>
        <v>36773.149148342156</v>
      </c>
      <c r="Q166" s="46"/>
    </row>
    <row r="167" spans="2:17" x14ac:dyDescent="0.25">
      <c r="B167">
        <f t="shared" si="20"/>
        <v>151</v>
      </c>
      <c r="D167" s="3">
        <f t="shared" si="21"/>
        <v>495.02231537972062</v>
      </c>
      <c r="F167" s="3">
        <f t="shared" si="22"/>
        <v>298.18529426304246</v>
      </c>
      <c r="H167" s="3">
        <f>IF(B167="", "",L166*$F$8)</f>
        <v>196.83702111667816</v>
      </c>
      <c r="L167" s="3">
        <f t="shared" si="24"/>
        <v>81151.616547121026</v>
      </c>
      <c r="N167" s="3">
        <f t="shared" si="25"/>
        <v>37778.383452878974</v>
      </c>
      <c r="P167" s="45">
        <f t="shared" si="26"/>
        <v>36969.986169458833</v>
      </c>
      <c r="Q167" s="46"/>
    </row>
    <row r="168" spans="2:17" x14ac:dyDescent="0.25">
      <c r="B168">
        <f t="shared" si="20"/>
        <v>152</v>
      </c>
      <c r="D168" s="3">
        <f t="shared" si="21"/>
        <v>495.02231537972062</v>
      </c>
      <c r="F168" s="3">
        <f t="shared" si="22"/>
        <v>298.90590872417818</v>
      </c>
      <c r="H168" s="3">
        <f t="shared" si="23"/>
        <v>196.11640665554248</v>
      </c>
      <c r="L168" s="3">
        <f t="shared" si="24"/>
        <v>80852.710638396849</v>
      </c>
      <c r="N168" s="3">
        <f t="shared" si="25"/>
        <v>38077.289361603151</v>
      </c>
      <c r="P168" s="45">
        <f t="shared" si="26"/>
        <v>37166.102576114376</v>
      </c>
      <c r="Q168" s="46"/>
    </row>
    <row r="169" spans="2:17" x14ac:dyDescent="0.25">
      <c r="B169">
        <f t="shared" si="20"/>
        <v>153</v>
      </c>
      <c r="D169" s="3">
        <f t="shared" si="21"/>
        <v>495.02231537972062</v>
      </c>
      <c r="F169" s="3">
        <f t="shared" si="22"/>
        <v>299.62826467026156</v>
      </c>
      <c r="H169" s="3">
        <f t="shared" si="23"/>
        <v>195.39405070945907</v>
      </c>
      <c r="L169" s="3">
        <f t="shared" si="24"/>
        <v>80553.082373726589</v>
      </c>
      <c r="N169" s="3">
        <f t="shared" si="25"/>
        <v>38376.917626273411</v>
      </c>
      <c r="P169" s="45">
        <f t="shared" si="26"/>
        <v>37361.496626823835</v>
      </c>
      <c r="Q169" s="46"/>
    </row>
    <row r="170" spans="2:17" x14ac:dyDescent="0.25">
      <c r="B170">
        <f t="shared" si="20"/>
        <v>154</v>
      </c>
      <c r="D170" s="3">
        <f t="shared" si="21"/>
        <v>495.02231537972062</v>
      </c>
      <c r="F170" s="3">
        <f t="shared" si="22"/>
        <v>300.35236630988135</v>
      </c>
      <c r="H170" s="3">
        <f t="shared" si="23"/>
        <v>194.66994906983928</v>
      </c>
      <c r="L170" s="3">
        <f t="shared" si="24"/>
        <v>80252.730007416714</v>
      </c>
      <c r="N170" s="3">
        <f t="shared" si="25"/>
        <v>38677.269992583293</v>
      </c>
      <c r="P170" s="45">
        <f t="shared" si="26"/>
        <v>37556.166575893672</v>
      </c>
      <c r="Q170" s="46"/>
    </row>
    <row r="171" spans="2:17" x14ac:dyDescent="0.25">
      <c r="B171">
        <f t="shared" si="20"/>
        <v>155</v>
      </c>
      <c r="D171" s="3">
        <f t="shared" si="21"/>
        <v>495.02231537972062</v>
      </c>
      <c r="F171" s="3">
        <f t="shared" si="22"/>
        <v>301.07821786179693</v>
      </c>
      <c r="H171" s="3">
        <f t="shared" si="23"/>
        <v>193.94409751792372</v>
      </c>
      <c r="L171" s="3">
        <f t="shared" si="24"/>
        <v>79951.651789554919</v>
      </c>
      <c r="N171" s="3">
        <f t="shared" si="25"/>
        <v>38978.348210445089</v>
      </c>
      <c r="P171" s="45">
        <f t="shared" si="26"/>
        <v>37750.110673411597</v>
      </c>
      <c r="Q171" s="46"/>
    </row>
    <row r="172" spans="2:17" x14ac:dyDescent="0.25">
      <c r="B172">
        <f t="shared" si="20"/>
        <v>156</v>
      </c>
      <c r="D172" s="3">
        <f t="shared" si="21"/>
        <v>495.02231537972062</v>
      </c>
      <c r="F172" s="3">
        <f t="shared" si="22"/>
        <v>301.8058235549629</v>
      </c>
      <c r="H172" s="3">
        <f t="shared" si="23"/>
        <v>193.21649182475772</v>
      </c>
      <c r="L172" s="3">
        <f t="shared" si="24"/>
        <v>79649.84596599995</v>
      </c>
      <c r="N172" s="3">
        <f t="shared" si="25"/>
        <v>39280.15403400005</v>
      </c>
      <c r="P172" s="45">
        <f t="shared" si="26"/>
        <v>37943.327165236355</v>
      </c>
      <c r="Q172" s="46"/>
    </row>
    <row r="173" spans="2:17" x14ac:dyDescent="0.25">
      <c r="B173">
        <f t="shared" si="20"/>
        <v>157</v>
      </c>
      <c r="D173" s="3">
        <f t="shared" si="21"/>
        <v>495.02231537972062</v>
      </c>
      <c r="F173" s="3">
        <f t="shared" si="22"/>
        <v>302.53518762855407</v>
      </c>
      <c r="H173" s="3">
        <f t="shared" si="23"/>
        <v>192.48712775116655</v>
      </c>
      <c r="L173" s="3">
        <f t="shared" si="24"/>
        <v>79347.310778371393</v>
      </c>
      <c r="N173" s="3">
        <f t="shared" si="25"/>
        <v>39582.689221628607</v>
      </c>
      <c r="P173" s="45">
        <f t="shared" si="26"/>
        <v>38135.814292987518</v>
      </c>
      <c r="Q173" s="46"/>
    </row>
    <row r="174" spans="2:17" x14ac:dyDescent="0.25">
      <c r="B174">
        <f t="shared" si="20"/>
        <v>158</v>
      </c>
      <c r="D174" s="3">
        <f t="shared" si="21"/>
        <v>495.02231537972062</v>
      </c>
      <c r="F174" s="3">
        <f t="shared" si="22"/>
        <v>303.26631433198975</v>
      </c>
      <c r="H174" s="3">
        <f t="shared" si="23"/>
        <v>191.75600104773088</v>
      </c>
      <c r="L174" s="3">
        <f t="shared" si="24"/>
        <v>79044.044464039398</v>
      </c>
      <c r="N174" s="3">
        <f t="shared" si="25"/>
        <v>39885.955535960595</v>
      </c>
      <c r="P174" s="45">
        <f t="shared" si="26"/>
        <v>38327.570294035249</v>
      </c>
      <c r="Q174" s="46"/>
    </row>
    <row r="175" spans="2:17" x14ac:dyDescent="0.25">
      <c r="B175">
        <f t="shared" si="20"/>
        <v>159</v>
      </c>
      <c r="D175" s="3">
        <f t="shared" si="21"/>
        <v>495.02231537972062</v>
      </c>
      <c r="F175" s="3">
        <f t="shared" si="22"/>
        <v>303.99920792495874</v>
      </c>
      <c r="H175" s="3">
        <f t="shared" si="23"/>
        <v>191.02310745476188</v>
      </c>
      <c r="L175" s="3">
        <f t="shared" si="24"/>
        <v>78740.045256114434</v>
      </c>
      <c r="N175" s="3">
        <f t="shared" si="25"/>
        <v>40189.954743885552</v>
      </c>
      <c r="P175" s="45">
        <f t="shared" si="26"/>
        <v>38518.593401490012</v>
      </c>
      <c r="Q175" s="46"/>
    </row>
    <row r="176" spans="2:17" x14ac:dyDescent="0.25">
      <c r="B176">
        <f t="shared" si="20"/>
        <v>160</v>
      </c>
      <c r="D176" s="3">
        <f t="shared" si="21"/>
        <v>495.02231537972062</v>
      </c>
      <c r="F176" s="3">
        <f t="shared" si="22"/>
        <v>304.73387267744408</v>
      </c>
      <c r="H176" s="3">
        <f t="shared" si="23"/>
        <v>190.28844270227657</v>
      </c>
      <c r="L176" s="3">
        <f t="shared" si="24"/>
        <v>78435.311383436987</v>
      </c>
      <c r="N176" s="3">
        <f t="shared" si="25"/>
        <v>40494.688616562999</v>
      </c>
      <c r="P176" s="45">
        <f t="shared" si="26"/>
        <v>38708.881844192292</v>
      </c>
      <c r="Q176" s="46"/>
    </row>
    <row r="177" spans="2:17" x14ac:dyDescent="0.25">
      <c r="B177">
        <f t="shared" si="20"/>
        <v>161</v>
      </c>
      <c r="D177" s="3">
        <f t="shared" si="21"/>
        <v>495.02231537972062</v>
      </c>
      <c r="F177" s="3">
        <f t="shared" si="22"/>
        <v>305.47031286974789</v>
      </c>
      <c r="H177" s="3">
        <f t="shared" si="23"/>
        <v>189.55200250997274</v>
      </c>
      <c r="L177" s="3">
        <f t="shared" si="24"/>
        <v>78129.841070567243</v>
      </c>
      <c r="N177" s="3">
        <f t="shared" si="25"/>
        <v>40800.15892943275</v>
      </c>
      <c r="P177" s="45">
        <f t="shared" si="26"/>
        <v>38898.433846702268</v>
      </c>
      <c r="Q177" s="46"/>
    </row>
    <row r="178" spans="2:17" x14ac:dyDescent="0.25">
      <c r="B178">
        <f t="shared" si="20"/>
        <v>162</v>
      </c>
      <c r="D178" s="3">
        <f t="shared" si="21"/>
        <v>495.02231537972062</v>
      </c>
      <c r="F178" s="3">
        <f t="shared" si="22"/>
        <v>306.20853279251645</v>
      </c>
      <c r="H178" s="3">
        <f t="shared" si="23"/>
        <v>188.81378258720417</v>
      </c>
      <c r="L178" s="3">
        <f t="shared" si="24"/>
        <v>77823.632537774727</v>
      </c>
      <c r="N178" s="3">
        <f t="shared" si="25"/>
        <v>41106.367462225266</v>
      </c>
      <c r="P178" s="45">
        <f t="shared" si="26"/>
        <v>39087.247629289472</v>
      </c>
      <c r="Q178" s="46"/>
    </row>
    <row r="179" spans="2:17" x14ac:dyDescent="0.25">
      <c r="B179">
        <f t="shared" si="20"/>
        <v>163</v>
      </c>
      <c r="D179" s="3">
        <f t="shared" si="21"/>
        <v>495.02231537972062</v>
      </c>
      <c r="F179" s="3">
        <f t="shared" si="22"/>
        <v>306.94853674676506</v>
      </c>
      <c r="H179" s="3">
        <f t="shared" si="23"/>
        <v>188.07377863295559</v>
      </c>
      <c r="L179" s="3">
        <f t="shared" si="24"/>
        <v>77516.684001027956</v>
      </c>
      <c r="N179" s="3">
        <f t="shared" si="25"/>
        <v>41413.31599897203</v>
      </c>
      <c r="P179" s="45">
        <f t="shared" si="26"/>
        <v>39275.321407922427</v>
      </c>
      <c r="Q179" s="46"/>
    </row>
    <row r="180" spans="2:17" x14ac:dyDescent="0.25">
      <c r="B180">
        <f t="shared" si="20"/>
        <v>164</v>
      </c>
      <c r="D180" s="3">
        <f t="shared" si="21"/>
        <v>495.02231537972062</v>
      </c>
      <c r="F180" s="3">
        <f t="shared" si="22"/>
        <v>307.69032904390303</v>
      </c>
      <c r="H180" s="3">
        <f t="shared" si="23"/>
        <v>187.33198633581756</v>
      </c>
      <c r="L180" s="3">
        <f t="shared" si="24"/>
        <v>77208.993671984048</v>
      </c>
      <c r="N180" s="3">
        <f t="shared" si="25"/>
        <v>41721.00632801593</v>
      </c>
      <c r="P180" s="45">
        <f t="shared" si="26"/>
        <v>39462.653394258246</v>
      </c>
      <c r="Q180" s="46"/>
    </row>
    <row r="181" spans="2:17" x14ac:dyDescent="0.25">
      <c r="B181">
        <f t="shared" si="20"/>
        <v>165</v>
      </c>
      <c r="D181" s="3">
        <f t="shared" si="21"/>
        <v>495.02231537972062</v>
      </c>
      <c r="F181" s="3">
        <f t="shared" si="22"/>
        <v>308.43391400575916</v>
      </c>
      <c r="H181" s="3">
        <f t="shared" si="23"/>
        <v>186.58840137396146</v>
      </c>
      <c r="L181" s="3">
        <f t="shared" si="24"/>
        <v>76900.559757978292</v>
      </c>
      <c r="N181" s="3">
        <f t="shared" si="25"/>
        <v>42029.440242021687</v>
      </c>
      <c r="P181" s="45">
        <f t="shared" si="26"/>
        <v>39649.24179563221</v>
      </c>
      <c r="Q181" s="46"/>
    </row>
    <row r="182" spans="2:17" x14ac:dyDescent="0.25">
      <c r="B182">
        <f t="shared" si="20"/>
        <v>166</v>
      </c>
      <c r="D182" s="3">
        <f t="shared" si="21"/>
        <v>495.02231537972062</v>
      </c>
      <c r="F182" s="3">
        <f t="shared" si="22"/>
        <v>309.17929596460641</v>
      </c>
      <c r="H182" s="3">
        <f t="shared" si="23"/>
        <v>185.84301941511421</v>
      </c>
      <c r="L182" s="3">
        <f t="shared" si="24"/>
        <v>76591.38046201368</v>
      </c>
      <c r="N182" s="3">
        <f t="shared" si="25"/>
        <v>42338.619537986291</v>
      </c>
      <c r="P182" s="45">
        <f t="shared" si="26"/>
        <v>39835.084815047325</v>
      </c>
      <c r="Q182" s="46"/>
    </row>
    <row r="183" spans="2:17" x14ac:dyDescent="0.25">
      <c r="B183">
        <f t="shared" si="20"/>
        <v>167</v>
      </c>
      <c r="D183" s="3">
        <f t="shared" si="21"/>
        <v>495.02231537972062</v>
      </c>
      <c r="F183" s="3">
        <f t="shared" si="22"/>
        <v>309.92647926318756</v>
      </c>
      <c r="H183" s="3">
        <f t="shared" si="23"/>
        <v>185.09583611653306</v>
      </c>
      <c r="L183" s="3">
        <f t="shared" si="24"/>
        <v>76281.453982750492</v>
      </c>
      <c r="N183" s="3">
        <f t="shared" si="25"/>
        <v>42648.546017249479</v>
      </c>
      <c r="P183" s="45">
        <f t="shared" si="26"/>
        <v>40020.180651163857</v>
      </c>
      <c r="Q183" s="46"/>
    </row>
    <row r="184" spans="2:17" x14ac:dyDescent="0.25">
      <c r="B184">
        <f t="shared" si="20"/>
        <v>168</v>
      </c>
      <c r="D184" s="3">
        <f t="shared" si="21"/>
        <v>495.02231537972062</v>
      </c>
      <c r="F184" s="3">
        <f t="shared" si="22"/>
        <v>310.67546825474028</v>
      </c>
      <c r="H184" s="3">
        <f t="shared" si="23"/>
        <v>184.34684712498037</v>
      </c>
      <c r="L184" s="3">
        <f t="shared" si="24"/>
        <v>75970.778514495745</v>
      </c>
      <c r="N184" s="3">
        <f t="shared" si="25"/>
        <v>42959.221485504218</v>
      </c>
      <c r="P184" s="45">
        <f t="shared" si="26"/>
        <v>40204.527498288837</v>
      </c>
      <c r="Q184" s="46"/>
    </row>
    <row r="185" spans="2:17" x14ac:dyDescent="0.25">
      <c r="B185">
        <f t="shared" si="20"/>
        <v>169</v>
      </c>
      <c r="D185" s="3">
        <f t="shared" si="21"/>
        <v>495.02231537972062</v>
      </c>
      <c r="F185" s="3">
        <f t="shared" si="22"/>
        <v>311.42626730302254</v>
      </c>
      <c r="H185" s="3">
        <f t="shared" si="23"/>
        <v>183.59604807669805</v>
      </c>
      <c r="L185" s="3">
        <f t="shared" si="24"/>
        <v>75659.352247192728</v>
      </c>
      <c r="N185" s="3">
        <f t="shared" si="25"/>
        <v>43270.647752807243</v>
      </c>
      <c r="P185" s="45">
        <f t="shared" si="26"/>
        <v>40388.123546365532</v>
      </c>
      <c r="Q185" s="46"/>
    </row>
    <row r="186" spans="2:17" x14ac:dyDescent="0.25">
      <c r="B186">
        <f t="shared" si="20"/>
        <v>170</v>
      </c>
      <c r="D186" s="3">
        <f t="shared" si="21"/>
        <v>495.02231537972062</v>
      </c>
      <c r="F186" s="3">
        <f t="shared" si="22"/>
        <v>312.17888078233818</v>
      </c>
      <c r="H186" s="3">
        <f t="shared" si="23"/>
        <v>182.84343459738244</v>
      </c>
      <c r="L186" s="3">
        <f t="shared" si="24"/>
        <v>75347.173366410396</v>
      </c>
      <c r="N186" s="3">
        <f t="shared" si="25"/>
        <v>43582.826633589582</v>
      </c>
      <c r="P186" s="45">
        <f t="shared" si="26"/>
        <v>40570.966980962912</v>
      </c>
      <c r="Q186" s="46"/>
    </row>
    <row r="187" spans="2:17" x14ac:dyDescent="0.25">
      <c r="B187">
        <f t="shared" si="20"/>
        <v>171</v>
      </c>
      <c r="D187" s="3">
        <f t="shared" si="21"/>
        <v>495.02231537972062</v>
      </c>
      <c r="F187" s="3">
        <f t="shared" si="22"/>
        <v>312.93331307756216</v>
      </c>
      <c r="H187" s="3">
        <f t="shared" si="23"/>
        <v>182.08900230215846</v>
      </c>
      <c r="L187" s="3">
        <f t="shared" si="24"/>
        <v>75034.240053332833</v>
      </c>
      <c r="N187" s="3">
        <f t="shared" si="25"/>
        <v>43895.759946667145</v>
      </c>
      <c r="P187" s="45">
        <f t="shared" si="26"/>
        <v>40753.055983265069</v>
      </c>
      <c r="Q187" s="46"/>
    </row>
    <row r="188" spans="2:17" x14ac:dyDescent="0.25">
      <c r="B188">
        <f t="shared" si="20"/>
        <v>172</v>
      </c>
      <c r="D188" s="3">
        <f t="shared" si="21"/>
        <v>495.02231537972062</v>
      </c>
      <c r="F188" s="3">
        <f t="shared" si="22"/>
        <v>313.6895685841663</v>
      </c>
      <c r="H188" s="3">
        <f t="shared" si="23"/>
        <v>181.33274679555436</v>
      </c>
      <c r="L188" s="3">
        <f t="shared" si="24"/>
        <v>74720.550484748674</v>
      </c>
      <c r="N188" s="3">
        <f t="shared" si="25"/>
        <v>44209.449515251312</v>
      </c>
      <c r="P188" s="45">
        <f t="shared" si="26"/>
        <v>40934.388730060622</v>
      </c>
      <c r="Q188" s="46"/>
    </row>
    <row r="189" spans="2:17" x14ac:dyDescent="0.25">
      <c r="B189">
        <f t="shared" si="20"/>
        <v>173</v>
      </c>
      <c r="D189" s="3">
        <f t="shared" si="21"/>
        <v>495.02231537972062</v>
      </c>
      <c r="F189" s="3">
        <f t="shared" si="22"/>
        <v>314.44765170824462</v>
      </c>
      <c r="H189" s="3">
        <f t="shared" si="23"/>
        <v>180.57466367147597</v>
      </c>
      <c r="L189" s="3">
        <f t="shared" si="24"/>
        <v>74406.102833040422</v>
      </c>
      <c r="N189" s="3">
        <f t="shared" si="25"/>
        <v>44523.897166959556</v>
      </c>
      <c r="P189" s="45">
        <f t="shared" si="26"/>
        <v>41114.963393732098</v>
      </c>
      <c r="Q189" s="46"/>
    </row>
    <row r="190" spans="2:17" x14ac:dyDescent="0.25">
      <c r="B190">
        <f t="shared" si="20"/>
        <v>174</v>
      </c>
      <c r="D190" s="3">
        <f t="shared" si="21"/>
        <v>495.02231537972062</v>
      </c>
      <c r="F190" s="3">
        <f t="shared" si="22"/>
        <v>315.20756686653959</v>
      </c>
      <c r="H190" s="3">
        <f t="shared" si="23"/>
        <v>179.81474851318103</v>
      </c>
      <c r="L190" s="3">
        <f t="shared" si="24"/>
        <v>74090.895266173888</v>
      </c>
      <c r="N190" s="3">
        <f t="shared" si="25"/>
        <v>44839.104733826098</v>
      </c>
      <c r="P190" s="45">
        <f t="shared" si="26"/>
        <v>41294.778142245275</v>
      </c>
      <c r="Q190" s="46"/>
    </row>
    <row r="191" spans="2:17" x14ac:dyDescent="0.25">
      <c r="B191">
        <f t="shared" si="20"/>
        <v>175</v>
      </c>
      <c r="D191" s="3">
        <f t="shared" si="21"/>
        <v>495.02231537972062</v>
      </c>
      <c r="F191" s="3">
        <f t="shared" si="22"/>
        <v>315.96931848646705</v>
      </c>
      <c r="H191" s="3">
        <f t="shared" si="23"/>
        <v>179.05299689325358</v>
      </c>
      <c r="L191" s="3">
        <f t="shared" si="24"/>
        <v>73774.925947687414</v>
      </c>
      <c r="N191" s="3">
        <f t="shared" si="25"/>
        <v>45155.074052312564</v>
      </c>
      <c r="P191" s="45">
        <f t="shared" si="26"/>
        <v>41473.831139138529</v>
      </c>
      <c r="Q191" s="46"/>
    </row>
    <row r="192" spans="2:17" x14ac:dyDescent="0.25">
      <c r="B192">
        <f t="shared" si="20"/>
        <v>176</v>
      </c>
      <c r="D192" s="3">
        <f t="shared" si="21"/>
        <v>495.02231537972062</v>
      </c>
      <c r="F192" s="3">
        <f t="shared" si="22"/>
        <v>316.73291100614267</v>
      </c>
      <c r="H192" s="3">
        <f t="shared" si="23"/>
        <v>178.28940437357792</v>
      </c>
      <c r="L192" s="3">
        <f t="shared" si="24"/>
        <v>73458.193036681274</v>
      </c>
      <c r="N192" s="3">
        <f t="shared" si="25"/>
        <v>45471.806963318704</v>
      </c>
      <c r="P192" s="45">
        <f t="shared" si="26"/>
        <v>41652.120543512108</v>
      </c>
      <c r="Q192" s="46"/>
    </row>
    <row r="193" spans="2:17" x14ac:dyDescent="0.25">
      <c r="B193">
        <f t="shared" si="20"/>
        <v>177</v>
      </c>
      <c r="D193" s="3">
        <f t="shared" si="21"/>
        <v>495.02231537972062</v>
      </c>
      <c r="F193" s="3">
        <f t="shared" si="22"/>
        <v>317.4983488744075</v>
      </c>
      <c r="H193" s="3">
        <f t="shared" si="23"/>
        <v>177.5239665053131</v>
      </c>
      <c r="L193" s="3">
        <f t="shared" si="24"/>
        <v>73140.69468780687</v>
      </c>
      <c r="N193" s="3">
        <f t="shared" si="25"/>
        <v>45789.305312193115</v>
      </c>
      <c r="P193" s="45">
        <f t="shared" si="26"/>
        <v>41829.644510017424</v>
      </c>
      <c r="Q193" s="46"/>
    </row>
    <row r="194" spans="2:17" x14ac:dyDescent="0.25">
      <c r="B194">
        <f t="shared" si="20"/>
        <v>178</v>
      </c>
      <c r="D194" s="3">
        <f t="shared" si="21"/>
        <v>495.02231537972062</v>
      </c>
      <c r="F194" s="3">
        <f t="shared" si="22"/>
        <v>318.26563655085397</v>
      </c>
      <c r="H194" s="3">
        <f t="shared" si="23"/>
        <v>176.75667882886663</v>
      </c>
      <c r="L194" s="3">
        <f t="shared" si="24"/>
        <v>72822.429051256011</v>
      </c>
      <c r="N194" s="3">
        <f t="shared" si="25"/>
        <v>46107.570948743967</v>
      </c>
      <c r="P194" s="45">
        <f t="shared" si="26"/>
        <v>42006.401188846292</v>
      </c>
      <c r="Q194" s="46"/>
    </row>
    <row r="195" spans="2:17" x14ac:dyDescent="0.25">
      <c r="B195">
        <f t="shared" si="20"/>
        <v>179</v>
      </c>
      <c r="D195" s="3">
        <f t="shared" si="21"/>
        <v>495.02231537972062</v>
      </c>
      <c r="F195" s="3">
        <f t="shared" si="22"/>
        <v>319.03477850585193</v>
      </c>
      <c r="H195" s="3">
        <f t="shared" si="23"/>
        <v>175.98753687386869</v>
      </c>
      <c r="L195" s="3">
        <f t="shared" si="24"/>
        <v>72503.394272750156</v>
      </c>
      <c r="N195" s="3">
        <f t="shared" si="25"/>
        <v>46426.605727249822</v>
      </c>
      <c r="P195" s="45">
        <f t="shared" si="26"/>
        <v>42182.388725720164</v>
      </c>
      <c r="Q195" s="46"/>
    </row>
    <row r="196" spans="2:17" x14ac:dyDescent="0.25">
      <c r="B196">
        <f t="shared" si="20"/>
        <v>180</v>
      </c>
      <c r="D196" s="3">
        <f t="shared" si="21"/>
        <v>495.02231537972062</v>
      </c>
      <c r="F196" s="3">
        <f t="shared" si="22"/>
        <v>319.80577922057444</v>
      </c>
      <c r="H196" s="3">
        <f t="shared" si="23"/>
        <v>175.21653615914622</v>
      </c>
      <c r="L196" s="3">
        <f t="shared" si="24"/>
        <v>72183.588493529576</v>
      </c>
      <c r="N196" s="3">
        <f t="shared" si="25"/>
        <v>46746.411506470395</v>
      </c>
      <c r="P196" s="45">
        <f t="shared" si="26"/>
        <v>42357.605261879311</v>
      </c>
      <c r="Q196" s="46"/>
    </row>
    <row r="197" spans="2:17" x14ac:dyDescent="0.25">
      <c r="B197">
        <f t="shared" si="20"/>
        <v>181</v>
      </c>
      <c r="D197" s="3">
        <f t="shared" si="21"/>
        <v>495.02231537972062</v>
      </c>
      <c r="F197" s="3">
        <f t="shared" si="22"/>
        <v>320.57864318702411</v>
      </c>
      <c r="H197" s="3">
        <f t="shared" si="23"/>
        <v>174.44367219269648</v>
      </c>
      <c r="L197" s="3">
        <f t="shared" si="24"/>
        <v>71863.009850342554</v>
      </c>
      <c r="N197" s="3">
        <f t="shared" si="25"/>
        <v>47066.990149657417</v>
      </c>
      <c r="P197" s="45">
        <f t="shared" si="26"/>
        <v>42532.048934072009</v>
      </c>
      <c r="Q197" s="46"/>
    </row>
    <row r="198" spans="2:17" x14ac:dyDescent="0.25">
      <c r="B198">
        <f t="shared" si="20"/>
        <v>182</v>
      </c>
      <c r="D198" s="3">
        <f t="shared" si="21"/>
        <v>495.02231537972062</v>
      </c>
      <c r="F198" s="3">
        <f t="shared" si="22"/>
        <v>321.35337490805944</v>
      </c>
      <c r="H198" s="3">
        <f t="shared" si="23"/>
        <v>173.66894047166119</v>
      </c>
      <c r="L198" s="3">
        <f t="shared" si="24"/>
        <v>71541.656475434502</v>
      </c>
      <c r="N198" s="3">
        <f t="shared" si="25"/>
        <v>47388.343524565476</v>
      </c>
      <c r="P198" s="45">
        <f t="shared" si="26"/>
        <v>42705.717874543669</v>
      </c>
      <c r="Q198" s="46"/>
    </row>
    <row r="199" spans="2:17" x14ac:dyDescent="0.25">
      <c r="B199">
        <f t="shared" si="20"/>
        <v>183</v>
      </c>
      <c r="D199" s="3">
        <f t="shared" si="21"/>
        <v>495.02231537972062</v>
      </c>
      <c r="F199" s="3">
        <f t="shared" si="22"/>
        <v>322.12997889742053</v>
      </c>
      <c r="H199" s="3">
        <f t="shared" si="23"/>
        <v>172.89233648230007</v>
      </c>
      <c r="L199" s="3">
        <f t="shared" si="24"/>
        <v>71219.526496537088</v>
      </c>
      <c r="N199" s="3">
        <f t="shared" si="25"/>
        <v>47710.473503462897</v>
      </c>
      <c r="P199" s="45">
        <f t="shared" si="26"/>
        <v>42878.610211025967</v>
      </c>
      <c r="Q199" s="46"/>
    </row>
    <row r="200" spans="2:17" x14ac:dyDescent="0.25">
      <c r="B200">
        <f t="shared" si="20"/>
        <v>184</v>
      </c>
      <c r="D200" s="3">
        <f t="shared" si="21"/>
        <v>495.02231537972062</v>
      </c>
      <c r="F200" s="3">
        <f t="shared" si="22"/>
        <v>322.90845967975599</v>
      </c>
      <c r="H200" s="3">
        <f t="shared" si="23"/>
        <v>172.11385569996463</v>
      </c>
      <c r="L200" s="3">
        <f t="shared" si="24"/>
        <v>70896.618036857326</v>
      </c>
      <c r="N200" s="3">
        <f t="shared" si="25"/>
        <v>48033.381963142652</v>
      </c>
      <c r="P200" s="45">
        <f t="shared" si="26"/>
        <v>43050.724066725932</v>
      </c>
      <c r="Q200" s="46"/>
    </row>
    <row r="201" spans="2:17" x14ac:dyDescent="0.25">
      <c r="B201">
        <f t="shared" si="20"/>
        <v>185</v>
      </c>
      <c r="D201" s="3">
        <f t="shared" si="21"/>
        <v>495.02231537972062</v>
      </c>
      <c r="F201" s="3">
        <f t="shared" si="22"/>
        <v>323.68882179064872</v>
      </c>
      <c r="H201" s="3">
        <f t="shared" si="23"/>
        <v>171.33349358907188</v>
      </c>
      <c r="L201" s="3">
        <f t="shared" si="24"/>
        <v>70572.929215066673</v>
      </c>
      <c r="N201" s="3">
        <f t="shared" si="25"/>
        <v>48357.070784933298</v>
      </c>
      <c r="P201" s="45">
        <f t="shared" si="26"/>
        <v>43222.057560315006</v>
      </c>
      <c r="Q201" s="46"/>
    </row>
    <row r="202" spans="2:17" x14ac:dyDescent="0.25">
      <c r="B202">
        <f t="shared" si="20"/>
        <v>186</v>
      </c>
      <c r="D202" s="3">
        <f t="shared" si="21"/>
        <v>495.02231537972062</v>
      </c>
      <c r="F202" s="3">
        <f t="shared" si="22"/>
        <v>324.47106977664282</v>
      </c>
      <c r="H202" s="3">
        <f t="shared" si="23"/>
        <v>170.5512456030778</v>
      </c>
      <c r="L202" s="3">
        <f t="shared" si="24"/>
        <v>70248.458145290031</v>
      </c>
      <c r="N202" s="3">
        <f t="shared" si="25"/>
        <v>48681.54185470994</v>
      </c>
      <c r="P202" s="45">
        <f t="shared" si="26"/>
        <v>43392.608805918084</v>
      </c>
      <c r="Q202" s="46"/>
    </row>
    <row r="203" spans="2:17" x14ac:dyDescent="0.25">
      <c r="B203">
        <f t="shared" si="20"/>
        <v>187</v>
      </c>
      <c r="D203" s="3">
        <f t="shared" si="21"/>
        <v>495.02231537972062</v>
      </c>
      <c r="F203" s="3">
        <f t="shared" si="22"/>
        <v>325.25520819526969</v>
      </c>
      <c r="H203" s="3">
        <f t="shared" si="23"/>
        <v>169.76710718445091</v>
      </c>
      <c r="L203" s="3">
        <f t="shared" si="24"/>
        <v>69923.202937094757</v>
      </c>
      <c r="N203" s="3">
        <f t="shared" si="25"/>
        <v>49006.797062905207</v>
      </c>
      <c r="P203" s="45">
        <f t="shared" si="26"/>
        <v>43562.375913102536</v>
      </c>
      <c r="Q203" s="46"/>
    </row>
    <row r="204" spans="2:17" x14ac:dyDescent="0.25">
      <c r="B204">
        <f t="shared" si="20"/>
        <v>188</v>
      </c>
      <c r="D204" s="3">
        <f t="shared" si="21"/>
        <v>495.02231537972062</v>
      </c>
      <c r="F204" s="3">
        <f t="shared" si="22"/>
        <v>326.04124161507497</v>
      </c>
      <c r="H204" s="3">
        <f t="shared" si="23"/>
        <v>168.98107376464566</v>
      </c>
      <c r="L204" s="3">
        <f t="shared" si="24"/>
        <v>69597.161695479677</v>
      </c>
      <c r="N204" s="3">
        <f t="shared" si="25"/>
        <v>49332.838304520279</v>
      </c>
      <c r="P204" s="45">
        <f t="shared" si="26"/>
        <v>43731.356986867184</v>
      </c>
      <c r="Q204" s="46"/>
    </row>
    <row r="205" spans="2:17" x14ac:dyDescent="0.25">
      <c r="B205">
        <f t="shared" si="20"/>
        <v>189</v>
      </c>
      <c r="D205" s="3">
        <f t="shared" si="21"/>
        <v>495.02231537972062</v>
      </c>
      <c r="F205" s="3">
        <f t="shared" si="22"/>
        <v>326.82917461564472</v>
      </c>
      <c r="H205" s="3">
        <f t="shared" si="23"/>
        <v>168.19314076407591</v>
      </c>
      <c r="L205" s="3">
        <f t="shared" si="24"/>
        <v>69270.332520864031</v>
      </c>
      <c r="N205" s="3">
        <f t="shared" si="25"/>
        <v>49659.667479135926</v>
      </c>
      <c r="P205" s="45">
        <f t="shared" si="26"/>
        <v>43899.550127631257</v>
      </c>
      <c r="Q205" s="46"/>
    </row>
    <row r="206" spans="2:17" x14ac:dyDescent="0.25">
      <c r="B206">
        <f t="shared" si="20"/>
        <v>190</v>
      </c>
      <c r="D206" s="3">
        <f t="shared" si="21"/>
        <v>495.02231537972062</v>
      </c>
      <c r="F206" s="3">
        <f t="shared" si="22"/>
        <v>327.61901178763253</v>
      </c>
      <c r="H206" s="3">
        <f t="shared" si="23"/>
        <v>167.40330359208809</v>
      </c>
      <c r="L206" s="3">
        <f t="shared" si="24"/>
        <v>68942.713509076391</v>
      </c>
      <c r="N206" s="3">
        <f t="shared" si="25"/>
        <v>49987.286490923558</v>
      </c>
      <c r="P206" s="45">
        <f t="shared" si="26"/>
        <v>44066.953431223345</v>
      </c>
      <c r="Q206" s="46"/>
    </row>
    <row r="207" spans="2:17" x14ac:dyDescent="0.25">
      <c r="B207">
        <f t="shared" si="20"/>
        <v>191</v>
      </c>
      <c r="D207" s="3">
        <f t="shared" si="21"/>
        <v>495.02231537972062</v>
      </c>
      <c r="F207" s="3">
        <f t="shared" si="22"/>
        <v>328.41075773278601</v>
      </c>
      <c r="H207" s="3">
        <f t="shared" si="23"/>
        <v>166.61155764693461</v>
      </c>
      <c r="L207" s="3">
        <f t="shared" si="24"/>
        <v>68614.30275134361</v>
      </c>
      <c r="N207" s="3">
        <f t="shared" si="25"/>
        <v>50315.697248656346</v>
      </c>
      <c r="P207" s="45">
        <f t="shared" si="26"/>
        <v>44233.564988870276</v>
      </c>
      <c r="Q207" s="46"/>
    </row>
    <row r="208" spans="2:17" x14ac:dyDescent="0.25">
      <c r="B208">
        <f t="shared" si="20"/>
        <v>192</v>
      </c>
      <c r="D208" s="3">
        <f t="shared" si="21"/>
        <v>495.02231537972062</v>
      </c>
      <c r="F208" s="3">
        <f t="shared" si="22"/>
        <v>329.20441706397355</v>
      </c>
      <c r="H208" s="3">
        <f t="shared" si="23"/>
        <v>165.81789831574707</v>
      </c>
      <c r="L208" s="3">
        <f t="shared" si="24"/>
        <v>68285.098334279639</v>
      </c>
      <c r="N208" s="3">
        <f t="shared" si="25"/>
        <v>50644.901665720317</v>
      </c>
      <c r="P208" s="45">
        <f t="shared" si="26"/>
        <v>44399.382887186024</v>
      </c>
      <c r="Q208" s="46"/>
    </row>
    <row r="209" spans="2:17" x14ac:dyDescent="0.25">
      <c r="B209">
        <f t="shared" si="20"/>
        <v>193</v>
      </c>
      <c r="D209" s="3">
        <f t="shared" si="21"/>
        <v>495.02231537972062</v>
      </c>
      <c r="F209" s="3">
        <f t="shared" si="22"/>
        <v>329.99999440521151</v>
      </c>
      <c r="H209" s="3">
        <f t="shared" si="23"/>
        <v>165.02232097450914</v>
      </c>
      <c r="L209" s="3">
        <f t="shared" si="24"/>
        <v>67955.098339874428</v>
      </c>
      <c r="N209" s="3">
        <f t="shared" si="25"/>
        <v>50974.901660125528</v>
      </c>
      <c r="P209" s="45">
        <f t="shared" si="26"/>
        <v>44564.405208160533</v>
      </c>
      <c r="Q209" s="46"/>
    </row>
    <row r="210" spans="2:17" x14ac:dyDescent="0.25">
      <c r="B210">
        <f t="shared" si="20"/>
        <v>194</v>
      </c>
      <c r="D210" s="3">
        <f t="shared" si="21"/>
        <v>495.02231537972062</v>
      </c>
      <c r="F210" s="3">
        <f t="shared" si="22"/>
        <v>330.79749439169075</v>
      </c>
      <c r="H210" s="3">
        <f t="shared" si="23"/>
        <v>164.22482098802988</v>
      </c>
      <c r="L210" s="3">
        <f t="shared" si="24"/>
        <v>67624.300845482736</v>
      </c>
      <c r="N210" s="3">
        <f t="shared" si="25"/>
        <v>51305.69915451722</v>
      </c>
      <c r="P210" s="45">
        <f t="shared" si="26"/>
        <v>44728.63002914856</v>
      </c>
      <c r="Q210" s="46"/>
    </row>
    <row r="211" spans="2:17" x14ac:dyDescent="0.25">
      <c r="B211">
        <f t="shared" si="20"/>
        <v>195</v>
      </c>
      <c r="D211" s="3">
        <f t="shared" si="21"/>
        <v>495.02231537972062</v>
      </c>
      <c r="F211" s="3">
        <f t="shared" si="22"/>
        <v>331.59692166980403</v>
      </c>
      <c r="H211" s="3">
        <f t="shared" si="23"/>
        <v>163.42539370991662</v>
      </c>
      <c r="L211" s="3">
        <f t="shared" si="24"/>
        <v>67292.703923812936</v>
      </c>
      <c r="N211" s="3">
        <f t="shared" si="25"/>
        <v>51637.296076187027</v>
      </c>
      <c r="P211" s="45">
        <f t="shared" si="26"/>
        <v>44892.055422858481</v>
      </c>
      <c r="Q211" s="46"/>
    </row>
    <row r="212" spans="2:17" x14ac:dyDescent="0.25">
      <c r="B212">
        <f t="shared" si="20"/>
        <v>196</v>
      </c>
      <c r="D212" s="3">
        <f t="shared" si="21"/>
        <v>495.02231537972062</v>
      </c>
      <c r="F212" s="3">
        <f t="shared" si="22"/>
        <v>332.3982808971727</v>
      </c>
      <c r="H212" s="3">
        <f t="shared" si="23"/>
        <v>162.62403448254793</v>
      </c>
      <c r="L212" s="3">
        <f t="shared" si="24"/>
        <v>66960.305642915759</v>
      </c>
      <c r="N212" s="3">
        <f t="shared" si="25"/>
        <v>51969.694357084198</v>
      </c>
      <c r="P212" s="45">
        <f t="shared" si="26"/>
        <v>45054.67945734103</v>
      </c>
      <c r="Q212" s="46"/>
    </row>
    <row r="213" spans="2:17" x14ac:dyDescent="0.25">
      <c r="B213">
        <f t="shared" si="20"/>
        <v>197</v>
      </c>
      <c r="D213" s="3">
        <f t="shared" si="21"/>
        <v>495.02231537972062</v>
      </c>
      <c r="F213" s="3">
        <f t="shared" si="22"/>
        <v>333.20157674267421</v>
      </c>
      <c r="H213" s="3">
        <f t="shared" si="23"/>
        <v>161.82073863704642</v>
      </c>
      <c r="L213" s="3">
        <f t="shared" si="24"/>
        <v>66627.10406617308</v>
      </c>
      <c r="N213" s="3">
        <f t="shared" si="25"/>
        <v>52302.895933826869</v>
      </c>
      <c r="P213" s="45">
        <f t="shared" si="26"/>
        <v>45216.500195978078</v>
      </c>
      <c r="Q213" s="46"/>
    </row>
    <row r="214" spans="2:17" x14ac:dyDescent="0.25">
      <c r="B214">
        <f t="shared" si="20"/>
        <v>198</v>
      </c>
      <c r="D214" s="3">
        <f t="shared" si="21"/>
        <v>495.02231537972062</v>
      </c>
      <c r="F214" s="3">
        <f t="shared" si="22"/>
        <v>334.00681388646899</v>
      </c>
      <c r="H214" s="3">
        <f t="shared" si="23"/>
        <v>161.01550149325161</v>
      </c>
      <c r="L214" s="3">
        <f t="shared" si="24"/>
        <v>66293.097252286607</v>
      </c>
      <c r="N214" s="3">
        <f t="shared" si="25"/>
        <v>52636.902747713335</v>
      </c>
      <c r="P214" s="45">
        <f t="shared" si="26"/>
        <v>45377.515697471332</v>
      </c>
      <c r="Q214" s="46"/>
    </row>
    <row r="215" spans="2:17" x14ac:dyDescent="0.25">
      <c r="B215">
        <f t="shared" si="20"/>
        <v>199</v>
      </c>
      <c r="D215" s="3">
        <f t="shared" si="21"/>
        <v>495.02231537972062</v>
      </c>
      <c r="F215" s="3">
        <f t="shared" si="22"/>
        <v>334.81399702002795</v>
      </c>
      <c r="H215" s="3">
        <f t="shared" si="23"/>
        <v>160.20831835969264</v>
      </c>
      <c r="L215" s="3">
        <f t="shared" si="24"/>
        <v>65958.283255266579</v>
      </c>
      <c r="N215" s="3">
        <f t="shared" si="25"/>
        <v>52971.716744733363</v>
      </c>
      <c r="P215" s="45">
        <f t="shared" si="26"/>
        <v>45537.724015831023</v>
      </c>
      <c r="Q215" s="46"/>
    </row>
    <row r="216" spans="2:17" x14ac:dyDescent="0.25">
      <c r="B216">
        <f t="shared" si="20"/>
        <v>200</v>
      </c>
      <c r="D216" s="3">
        <f t="shared" si="21"/>
        <v>495.02231537972062</v>
      </c>
      <c r="F216" s="3">
        <f t="shared" si="22"/>
        <v>335.62313084615971</v>
      </c>
      <c r="H216" s="3">
        <f t="shared" si="23"/>
        <v>159.39918453356091</v>
      </c>
      <c r="L216" s="3">
        <f t="shared" si="24"/>
        <v>65622.660124420421</v>
      </c>
      <c r="N216" s="3">
        <f t="shared" si="25"/>
        <v>53307.339875579521</v>
      </c>
      <c r="P216" s="45">
        <f t="shared" si="26"/>
        <v>45697.123200364586</v>
      </c>
      <c r="Q216" s="46"/>
    </row>
    <row r="217" spans="2:17" x14ac:dyDescent="0.25">
      <c r="B217">
        <f t="shared" si="20"/>
        <v>201</v>
      </c>
      <c r="D217" s="3">
        <f t="shared" si="21"/>
        <v>495.02231537972062</v>
      </c>
      <c r="F217" s="3">
        <f t="shared" si="22"/>
        <v>336.43422007903791</v>
      </c>
      <c r="H217" s="3">
        <f t="shared" si="23"/>
        <v>158.58809530068268</v>
      </c>
      <c r="L217" s="3">
        <f t="shared" si="24"/>
        <v>65286.22590434138</v>
      </c>
      <c r="N217" s="3">
        <f t="shared" si="25"/>
        <v>53643.774095658562</v>
      </c>
      <c r="P217" s="45">
        <f t="shared" si="26"/>
        <v>45855.711295665271</v>
      </c>
      <c r="Q217" s="46"/>
    </row>
    <row r="218" spans="2:17" x14ac:dyDescent="0.25">
      <c r="B218">
        <f t="shared" si="20"/>
        <v>202</v>
      </c>
      <c r="D218" s="3">
        <f t="shared" si="21"/>
        <v>495.02231537972062</v>
      </c>
      <c r="F218" s="3">
        <f t="shared" si="22"/>
        <v>337.24726944422895</v>
      </c>
      <c r="H218" s="3">
        <f t="shared" si="23"/>
        <v>157.77504593549168</v>
      </c>
      <c r="L218" s="3">
        <f t="shared" si="24"/>
        <v>64948.978634897154</v>
      </c>
      <c r="N218" s="3">
        <f t="shared" si="25"/>
        <v>53981.021365102788</v>
      </c>
      <c r="P218" s="45">
        <f t="shared" si="26"/>
        <v>46013.486341600765</v>
      </c>
      <c r="Q218" s="46"/>
    </row>
    <row r="219" spans="2:17" x14ac:dyDescent="0.25">
      <c r="B219">
        <f t="shared" si="20"/>
        <v>203</v>
      </c>
      <c r="D219" s="3">
        <f t="shared" si="21"/>
        <v>495.02231537972062</v>
      </c>
      <c r="F219" s="3">
        <f t="shared" si="22"/>
        <v>338.06228367871915</v>
      </c>
      <c r="H219" s="3">
        <f t="shared" si="23"/>
        <v>156.96003170100147</v>
      </c>
      <c r="L219" s="3">
        <f t="shared" si="24"/>
        <v>64610.916351218431</v>
      </c>
      <c r="N219" s="3">
        <f t="shared" si="25"/>
        <v>54319.08364878151</v>
      </c>
      <c r="P219" s="45">
        <f t="shared" si="26"/>
        <v>46170.446373301769</v>
      </c>
      <c r="Q219" s="46"/>
    </row>
    <row r="220" spans="2:17" x14ac:dyDescent="0.25">
      <c r="B220">
        <f t="shared" si="20"/>
        <v>204</v>
      </c>
      <c r="D220" s="3">
        <f t="shared" si="21"/>
        <v>495.02231537972062</v>
      </c>
      <c r="F220" s="3">
        <f t="shared" si="22"/>
        <v>338.87926753094274</v>
      </c>
      <c r="H220" s="3">
        <f t="shared" si="23"/>
        <v>156.14304784877788</v>
      </c>
      <c r="L220" s="3">
        <f t="shared" si="24"/>
        <v>64272.037083687486</v>
      </c>
      <c r="N220" s="3">
        <f t="shared" si="25"/>
        <v>54657.962916312455</v>
      </c>
      <c r="P220" s="45">
        <f t="shared" si="26"/>
        <v>46326.589421150544</v>
      </c>
      <c r="Q220" s="46"/>
    </row>
    <row r="221" spans="2:17" x14ac:dyDescent="0.25">
      <c r="B221">
        <f t="shared" si="20"/>
        <v>205</v>
      </c>
      <c r="D221" s="3">
        <f t="shared" si="21"/>
        <v>495.02231537972062</v>
      </c>
      <c r="F221" s="3">
        <f t="shared" si="22"/>
        <v>339.69822576080918</v>
      </c>
      <c r="H221" s="3">
        <f t="shared" si="23"/>
        <v>155.32408961891144</v>
      </c>
      <c r="L221" s="3">
        <f t="shared" si="24"/>
        <v>63932.338857926676</v>
      </c>
      <c r="N221" s="3">
        <f t="shared" si="25"/>
        <v>54997.661142073266</v>
      </c>
      <c r="P221" s="45">
        <f t="shared" si="26"/>
        <v>46481.913510769453</v>
      </c>
      <c r="Q221" s="46"/>
    </row>
    <row r="222" spans="2:17" x14ac:dyDescent="0.25">
      <c r="B222">
        <f t="shared" ref="B222:B285" si="27">IF(AND(L221&lt;&gt;"",L221&gt;0.001),B221+1,"")</f>
        <v>206</v>
      </c>
      <c r="D222" s="3">
        <f t="shared" ref="D222:D285" si="28">IF(B222="","",IF(L221&lt;$F$10,L221*(1+$F$8),$F$10))</f>
        <v>495.02231537972062</v>
      </c>
      <c r="F222" s="3">
        <f t="shared" ref="F222:F285" si="29">IF(B222="","",(D222-H222+J222))</f>
        <v>340.51916313973118</v>
      </c>
      <c r="H222" s="3">
        <f t="shared" ref="H222:H285" si="30">IF(B222="", "",L221*$F$8)</f>
        <v>154.50315223998948</v>
      </c>
      <c r="L222" s="3">
        <f t="shared" ref="L222:L285" si="31">IF(B222="","",L221-F222)</f>
        <v>63591.819694786944</v>
      </c>
      <c r="N222" s="3">
        <f t="shared" ref="N222:N285" si="32">IF(B222="","",N221+F222)</f>
        <v>55338.180305212998</v>
      </c>
      <c r="P222" s="45">
        <f t="shared" ref="P222:P285" si="33">IF(B222="","",P221+H222)</f>
        <v>46636.416663009441</v>
      </c>
      <c r="Q222" s="46"/>
    </row>
    <row r="223" spans="2:17" x14ac:dyDescent="0.25">
      <c r="B223">
        <f t="shared" si="27"/>
        <v>207</v>
      </c>
      <c r="D223" s="3">
        <f t="shared" si="28"/>
        <v>495.02231537972062</v>
      </c>
      <c r="F223" s="3">
        <f t="shared" si="29"/>
        <v>341.34208445065218</v>
      </c>
      <c r="H223" s="3">
        <f t="shared" si="30"/>
        <v>153.68023092906844</v>
      </c>
      <c r="L223" s="3">
        <f t="shared" si="31"/>
        <v>63250.477610336289</v>
      </c>
      <c r="N223" s="3">
        <f t="shared" si="32"/>
        <v>55679.522389663653</v>
      </c>
      <c r="P223" s="45">
        <f t="shared" si="33"/>
        <v>46790.096893938506</v>
      </c>
      <c r="Q223" s="46"/>
    </row>
    <row r="224" spans="2:17" x14ac:dyDescent="0.25">
      <c r="B224">
        <f t="shared" si="27"/>
        <v>208</v>
      </c>
      <c r="D224" s="3">
        <f t="shared" si="28"/>
        <v>495.02231537972062</v>
      </c>
      <c r="F224" s="3">
        <f t="shared" si="29"/>
        <v>342.16699448807458</v>
      </c>
      <c r="H224" s="3">
        <f t="shared" si="30"/>
        <v>152.85532089164604</v>
      </c>
      <c r="L224" s="3">
        <f t="shared" si="31"/>
        <v>62908.310615848211</v>
      </c>
      <c r="N224" s="3">
        <f t="shared" si="32"/>
        <v>56021.68938415173</v>
      </c>
      <c r="P224" s="45">
        <f t="shared" si="33"/>
        <v>46942.952214830155</v>
      </c>
      <c r="Q224" s="46"/>
    </row>
    <row r="225" spans="2:17" x14ac:dyDescent="0.25">
      <c r="B225">
        <f t="shared" si="27"/>
        <v>209</v>
      </c>
      <c r="D225" s="3">
        <f t="shared" si="28"/>
        <v>495.02231537972062</v>
      </c>
      <c r="F225" s="3">
        <f t="shared" si="29"/>
        <v>342.99389805808744</v>
      </c>
      <c r="H225" s="3">
        <f t="shared" si="30"/>
        <v>152.02841732163319</v>
      </c>
      <c r="L225" s="3">
        <f t="shared" si="31"/>
        <v>62565.316717790127</v>
      </c>
      <c r="N225" s="3">
        <f t="shared" si="32"/>
        <v>56364.683282209815</v>
      </c>
      <c r="P225" s="45">
        <f t="shared" si="33"/>
        <v>47094.98063215179</v>
      </c>
      <c r="Q225" s="46"/>
    </row>
    <row r="226" spans="2:17" x14ac:dyDescent="0.25">
      <c r="B226">
        <f t="shared" si="27"/>
        <v>210</v>
      </c>
      <c r="D226" s="3">
        <f t="shared" si="28"/>
        <v>495.02231537972062</v>
      </c>
      <c r="F226" s="3">
        <f t="shared" si="29"/>
        <v>343.82279997839447</v>
      </c>
      <c r="H226" s="3">
        <f t="shared" si="30"/>
        <v>151.19951540132615</v>
      </c>
      <c r="L226" s="3">
        <f t="shared" si="31"/>
        <v>62221.493917811735</v>
      </c>
      <c r="N226" s="3">
        <f t="shared" si="32"/>
        <v>56708.506082188207</v>
      </c>
      <c r="P226" s="45">
        <f t="shared" si="33"/>
        <v>47246.180147553117</v>
      </c>
      <c r="Q226" s="46"/>
    </row>
    <row r="227" spans="2:17" x14ac:dyDescent="0.25">
      <c r="B227">
        <f t="shared" si="27"/>
        <v>211</v>
      </c>
      <c r="D227" s="3">
        <f t="shared" si="28"/>
        <v>495.02231537972062</v>
      </c>
      <c r="F227" s="3">
        <f t="shared" si="29"/>
        <v>344.65370507834223</v>
      </c>
      <c r="H227" s="3">
        <f t="shared" si="30"/>
        <v>150.36861030137837</v>
      </c>
      <c r="L227" s="3">
        <f t="shared" si="31"/>
        <v>61876.84021273339</v>
      </c>
      <c r="N227" s="3">
        <f t="shared" si="32"/>
        <v>57053.159787266552</v>
      </c>
      <c r="P227" s="45">
        <f t="shared" si="33"/>
        <v>47396.548757854493</v>
      </c>
      <c r="Q227" s="46"/>
    </row>
    <row r="228" spans="2:17" x14ac:dyDescent="0.25">
      <c r="B228">
        <f t="shared" si="27"/>
        <v>212</v>
      </c>
      <c r="D228" s="3">
        <f t="shared" si="28"/>
        <v>495.02231537972062</v>
      </c>
      <c r="F228" s="3">
        <f t="shared" si="29"/>
        <v>345.48661819894824</v>
      </c>
      <c r="H228" s="3">
        <f t="shared" si="30"/>
        <v>149.53569718077236</v>
      </c>
      <c r="L228" s="3">
        <f t="shared" si="31"/>
        <v>61531.353594534441</v>
      </c>
      <c r="N228" s="3">
        <f t="shared" si="32"/>
        <v>57398.646405465501</v>
      </c>
      <c r="P228" s="45">
        <f t="shared" si="33"/>
        <v>47546.084455035263</v>
      </c>
      <c r="Q228" s="46"/>
    </row>
    <row r="229" spans="2:17" x14ac:dyDescent="0.25">
      <c r="B229">
        <f t="shared" si="27"/>
        <v>213</v>
      </c>
      <c r="D229" s="3">
        <f t="shared" si="28"/>
        <v>495.02231537972062</v>
      </c>
      <c r="F229" s="3">
        <f t="shared" si="29"/>
        <v>346.32154419292908</v>
      </c>
      <c r="H229" s="3">
        <f t="shared" si="30"/>
        <v>148.70077118679157</v>
      </c>
      <c r="L229" s="3">
        <f t="shared" si="31"/>
        <v>61185.032050341513</v>
      </c>
      <c r="N229" s="3">
        <f t="shared" si="32"/>
        <v>57744.967949658429</v>
      </c>
      <c r="P229" s="45">
        <f t="shared" si="33"/>
        <v>47694.785226222055</v>
      </c>
      <c r="Q229" s="46"/>
    </row>
    <row r="230" spans="2:17" x14ac:dyDescent="0.25">
      <c r="B230">
        <f t="shared" si="27"/>
        <v>214</v>
      </c>
      <c r="D230" s="3">
        <f t="shared" si="28"/>
        <v>495.02231537972062</v>
      </c>
      <c r="F230" s="3">
        <f t="shared" si="29"/>
        <v>347.15848792472866</v>
      </c>
      <c r="H230" s="3">
        <f t="shared" si="30"/>
        <v>147.86382745499199</v>
      </c>
      <c r="L230" s="3">
        <f t="shared" si="31"/>
        <v>60837.873562416782</v>
      </c>
      <c r="N230" s="3">
        <f t="shared" si="32"/>
        <v>58092.12643758316</v>
      </c>
      <c r="P230" s="45">
        <f t="shared" si="33"/>
        <v>47842.649053677043</v>
      </c>
      <c r="Q230" s="46"/>
    </row>
    <row r="231" spans="2:17" x14ac:dyDescent="0.25">
      <c r="B231">
        <f t="shared" si="27"/>
        <v>215</v>
      </c>
      <c r="D231" s="3">
        <f t="shared" si="28"/>
        <v>495.02231537972062</v>
      </c>
      <c r="F231" s="3">
        <f t="shared" si="29"/>
        <v>347.99745427054677</v>
      </c>
      <c r="H231" s="3">
        <f t="shared" si="30"/>
        <v>147.02486110917388</v>
      </c>
      <c r="L231" s="3">
        <f t="shared" si="31"/>
        <v>60489.876108146236</v>
      </c>
      <c r="N231" s="3">
        <f t="shared" si="32"/>
        <v>58440.123891853706</v>
      </c>
      <c r="P231" s="45">
        <f t="shared" si="33"/>
        <v>47989.673914786217</v>
      </c>
      <c r="Q231" s="46"/>
    </row>
    <row r="232" spans="2:17" x14ac:dyDescent="0.25">
      <c r="B232">
        <f t="shared" si="27"/>
        <v>216</v>
      </c>
      <c r="D232" s="3">
        <f t="shared" si="28"/>
        <v>495.02231537972062</v>
      </c>
      <c r="F232" s="3">
        <f t="shared" si="29"/>
        <v>348.83844811836718</v>
      </c>
      <c r="H232" s="3">
        <f t="shared" si="30"/>
        <v>146.18386726135341</v>
      </c>
      <c r="L232" s="3">
        <f t="shared" si="31"/>
        <v>60141.037660027869</v>
      </c>
      <c r="N232" s="3">
        <f t="shared" si="32"/>
        <v>58788.962339972073</v>
      </c>
      <c r="P232" s="45">
        <f t="shared" si="33"/>
        <v>48135.857782047569</v>
      </c>
      <c r="Q232" s="46"/>
    </row>
    <row r="233" spans="2:17" x14ac:dyDescent="0.25">
      <c r="B233">
        <f t="shared" si="27"/>
        <v>217</v>
      </c>
      <c r="D233" s="3">
        <f t="shared" si="28"/>
        <v>495.02231537972062</v>
      </c>
      <c r="F233" s="3">
        <f t="shared" si="29"/>
        <v>349.6814743679866</v>
      </c>
      <c r="H233" s="3">
        <f t="shared" si="30"/>
        <v>145.34084101173403</v>
      </c>
      <c r="L233" s="3">
        <f t="shared" si="31"/>
        <v>59791.356185659883</v>
      </c>
      <c r="N233" s="3">
        <f t="shared" si="32"/>
        <v>59138.643814340059</v>
      </c>
      <c r="P233" s="45">
        <f t="shared" si="33"/>
        <v>48281.198623059303</v>
      </c>
      <c r="Q233" s="46"/>
    </row>
    <row r="234" spans="2:17" x14ac:dyDescent="0.25">
      <c r="B234">
        <f t="shared" si="27"/>
        <v>218</v>
      </c>
      <c r="D234" s="3">
        <f t="shared" si="28"/>
        <v>495.02231537972062</v>
      </c>
      <c r="F234" s="3">
        <f t="shared" si="29"/>
        <v>350.52653793104253</v>
      </c>
      <c r="H234" s="3">
        <f t="shared" si="30"/>
        <v>144.49577744867807</v>
      </c>
      <c r="L234" s="3">
        <f t="shared" si="31"/>
        <v>59440.829647728839</v>
      </c>
      <c r="N234" s="3">
        <f t="shared" si="32"/>
        <v>59489.170352271103</v>
      </c>
      <c r="P234" s="45">
        <f t="shared" si="33"/>
        <v>48425.694400507979</v>
      </c>
      <c r="Q234" s="46"/>
    </row>
    <row r="235" spans="2:17" x14ac:dyDescent="0.25">
      <c r="B235">
        <f t="shared" si="27"/>
        <v>219</v>
      </c>
      <c r="D235" s="3">
        <f t="shared" si="28"/>
        <v>495.02231537972062</v>
      </c>
      <c r="F235" s="3">
        <f t="shared" si="29"/>
        <v>351.37364373104259</v>
      </c>
      <c r="H235" s="3">
        <f t="shared" si="30"/>
        <v>143.64867164867803</v>
      </c>
      <c r="L235" s="3">
        <f t="shared" si="31"/>
        <v>59089.456003997795</v>
      </c>
      <c r="N235" s="3">
        <f t="shared" si="32"/>
        <v>59840.543996002147</v>
      </c>
      <c r="P235" s="45">
        <f t="shared" si="33"/>
        <v>48569.343072156655</v>
      </c>
      <c r="Q235" s="46"/>
    </row>
    <row r="236" spans="2:17" x14ac:dyDescent="0.25">
      <c r="B236">
        <f t="shared" si="27"/>
        <v>220</v>
      </c>
      <c r="D236" s="3">
        <f t="shared" si="28"/>
        <v>495.02231537972062</v>
      </c>
      <c r="F236" s="3">
        <f t="shared" si="29"/>
        <v>352.22279670339265</v>
      </c>
      <c r="H236" s="3">
        <f t="shared" si="30"/>
        <v>142.79951867632801</v>
      </c>
      <c r="L236" s="3">
        <f t="shared" si="31"/>
        <v>58737.233207294405</v>
      </c>
      <c r="N236" s="3">
        <f t="shared" si="32"/>
        <v>60192.766792705537</v>
      </c>
      <c r="P236" s="45">
        <f t="shared" si="33"/>
        <v>48712.142590832984</v>
      </c>
      <c r="Q236" s="46"/>
    </row>
    <row r="237" spans="2:17" x14ac:dyDescent="0.25">
      <c r="B237">
        <f t="shared" si="27"/>
        <v>221</v>
      </c>
      <c r="D237" s="3">
        <f t="shared" si="28"/>
        <v>495.02231537972062</v>
      </c>
      <c r="F237" s="3">
        <f t="shared" si="29"/>
        <v>353.07400179542583</v>
      </c>
      <c r="H237" s="3">
        <f t="shared" si="30"/>
        <v>141.94831358429482</v>
      </c>
      <c r="L237" s="3">
        <f t="shared" si="31"/>
        <v>58384.159205498981</v>
      </c>
      <c r="N237" s="3">
        <f t="shared" si="32"/>
        <v>60545.84079450096</v>
      </c>
      <c r="P237" s="45">
        <f t="shared" si="33"/>
        <v>48854.09090441728</v>
      </c>
      <c r="Q237" s="46"/>
    </row>
    <row r="238" spans="2:17" x14ac:dyDescent="0.25">
      <c r="B238">
        <f t="shared" si="27"/>
        <v>222</v>
      </c>
      <c r="D238" s="3">
        <f t="shared" si="28"/>
        <v>495.02231537972062</v>
      </c>
      <c r="F238" s="3">
        <f t="shared" si="29"/>
        <v>353.92726396643138</v>
      </c>
      <c r="H238" s="3">
        <f t="shared" si="30"/>
        <v>141.09505141328921</v>
      </c>
      <c r="L238" s="3">
        <f t="shared" si="31"/>
        <v>58030.231941532547</v>
      </c>
      <c r="N238" s="3">
        <f t="shared" si="32"/>
        <v>60899.768058467394</v>
      </c>
      <c r="P238" s="45">
        <f t="shared" si="33"/>
        <v>48995.185955830573</v>
      </c>
      <c r="Q238" s="46"/>
    </row>
    <row r="239" spans="2:17" x14ac:dyDescent="0.25">
      <c r="B239">
        <f t="shared" si="27"/>
        <v>223</v>
      </c>
      <c r="D239" s="3">
        <f t="shared" si="28"/>
        <v>495.02231537972062</v>
      </c>
      <c r="F239" s="3">
        <f t="shared" si="29"/>
        <v>354.78258818768359</v>
      </c>
      <c r="H239" s="3">
        <f t="shared" si="30"/>
        <v>140.23972719203701</v>
      </c>
      <c r="L239" s="3">
        <f t="shared" si="31"/>
        <v>57675.449353344862</v>
      </c>
      <c r="N239" s="3">
        <f t="shared" si="32"/>
        <v>61254.55064665508</v>
      </c>
      <c r="P239" s="45">
        <f t="shared" si="33"/>
        <v>49135.425683022608</v>
      </c>
      <c r="Q239" s="46"/>
    </row>
    <row r="240" spans="2:17" x14ac:dyDescent="0.25">
      <c r="B240">
        <f t="shared" si="27"/>
        <v>224</v>
      </c>
      <c r="D240" s="3">
        <f t="shared" si="28"/>
        <v>495.02231537972062</v>
      </c>
      <c r="F240" s="3">
        <f t="shared" si="29"/>
        <v>355.63997944247052</v>
      </c>
      <c r="H240" s="3">
        <f t="shared" si="30"/>
        <v>139.3823359372501</v>
      </c>
      <c r="L240" s="3">
        <f t="shared" si="31"/>
        <v>57319.80937390239</v>
      </c>
      <c r="N240" s="3">
        <f t="shared" si="32"/>
        <v>61610.190626097552</v>
      </c>
      <c r="P240" s="45">
        <f t="shared" si="33"/>
        <v>49274.808018959855</v>
      </c>
      <c r="Q240" s="46"/>
    </row>
    <row r="241" spans="2:17" x14ac:dyDescent="0.25">
      <c r="B241">
        <f t="shared" si="27"/>
        <v>225</v>
      </c>
      <c r="D241" s="3">
        <f t="shared" si="28"/>
        <v>495.02231537972062</v>
      </c>
      <c r="F241" s="3">
        <f t="shared" si="29"/>
        <v>356.49944272612316</v>
      </c>
      <c r="H241" s="3">
        <f t="shared" si="30"/>
        <v>138.52287265359746</v>
      </c>
      <c r="L241" s="3">
        <f t="shared" si="31"/>
        <v>56963.309931176263</v>
      </c>
      <c r="N241" s="3">
        <f t="shared" si="32"/>
        <v>61966.690068823678</v>
      </c>
      <c r="P241" s="45">
        <f t="shared" si="33"/>
        <v>49413.330891613456</v>
      </c>
      <c r="Q241" s="46"/>
    </row>
    <row r="242" spans="2:17" x14ac:dyDescent="0.25">
      <c r="B242">
        <f t="shared" si="27"/>
        <v>226</v>
      </c>
      <c r="D242" s="3">
        <f t="shared" si="28"/>
        <v>495.02231537972062</v>
      </c>
      <c r="F242" s="3">
        <f t="shared" si="29"/>
        <v>357.36098304604468</v>
      </c>
      <c r="H242" s="3">
        <f t="shared" si="30"/>
        <v>137.66133233367597</v>
      </c>
      <c r="L242" s="3">
        <f t="shared" si="31"/>
        <v>56605.948948130215</v>
      </c>
      <c r="N242" s="3">
        <f t="shared" si="32"/>
        <v>62324.051051869727</v>
      </c>
      <c r="P242" s="45">
        <f t="shared" si="33"/>
        <v>49550.992223947134</v>
      </c>
      <c r="Q242" s="46"/>
    </row>
    <row r="243" spans="2:17" x14ac:dyDescent="0.25">
      <c r="B243">
        <f t="shared" si="27"/>
        <v>227</v>
      </c>
      <c r="D243" s="3">
        <f t="shared" si="28"/>
        <v>495.02231537972062</v>
      </c>
      <c r="F243" s="3">
        <f t="shared" si="29"/>
        <v>358.22460542173928</v>
      </c>
      <c r="H243" s="3">
        <f t="shared" si="30"/>
        <v>136.79770995798137</v>
      </c>
      <c r="L243" s="3">
        <f t="shared" si="31"/>
        <v>56247.724342708476</v>
      </c>
      <c r="N243" s="3">
        <f t="shared" si="32"/>
        <v>62682.275657291466</v>
      </c>
      <c r="P243" s="45">
        <f t="shared" si="33"/>
        <v>49687.789933905115</v>
      </c>
      <c r="Q243" s="46"/>
    </row>
    <row r="244" spans="2:17" x14ac:dyDescent="0.25">
      <c r="B244">
        <f t="shared" si="27"/>
        <v>228</v>
      </c>
      <c r="D244" s="3">
        <f t="shared" si="28"/>
        <v>495.02231537972062</v>
      </c>
      <c r="F244" s="3">
        <f t="shared" si="29"/>
        <v>359.0903148848418</v>
      </c>
      <c r="H244" s="3">
        <f t="shared" si="30"/>
        <v>135.93200049487882</v>
      </c>
      <c r="L244" s="3">
        <f t="shared" si="31"/>
        <v>55888.634027823631</v>
      </c>
      <c r="N244" s="3">
        <f t="shared" si="32"/>
        <v>63041.365972176311</v>
      </c>
      <c r="P244" s="45">
        <f t="shared" si="33"/>
        <v>49823.721934399997</v>
      </c>
      <c r="Q244" s="46"/>
    </row>
    <row r="245" spans="2:17" x14ac:dyDescent="0.25">
      <c r="B245">
        <f t="shared" si="27"/>
        <v>229</v>
      </c>
      <c r="D245" s="3">
        <f t="shared" si="28"/>
        <v>495.02231537972062</v>
      </c>
      <c r="F245" s="3">
        <f t="shared" si="29"/>
        <v>359.95811647914684</v>
      </c>
      <c r="H245" s="3">
        <f t="shared" si="30"/>
        <v>135.06419890057379</v>
      </c>
      <c r="L245" s="3">
        <f t="shared" si="31"/>
        <v>55528.675911344486</v>
      </c>
      <c r="N245" s="3">
        <f t="shared" si="32"/>
        <v>63401.324088655456</v>
      </c>
      <c r="P245" s="45">
        <f t="shared" si="33"/>
        <v>49958.786133300571</v>
      </c>
      <c r="Q245" s="46"/>
    </row>
    <row r="246" spans="2:17" x14ac:dyDescent="0.25">
      <c r="B246">
        <f t="shared" si="27"/>
        <v>230</v>
      </c>
      <c r="D246" s="3">
        <f t="shared" si="28"/>
        <v>495.02231537972062</v>
      </c>
      <c r="F246" s="3">
        <f t="shared" si="29"/>
        <v>360.8280152606381</v>
      </c>
      <c r="H246" s="3">
        <f t="shared" si="30"/>
        <v>134.19430011908253</v>
      </c>
      <c r="L246" s="3">
        <f t="shared" si="31"/>
        <v>55167.847896083847</v>
      </c>
      <c r="N246" s="3">
        <f t="shared" si="32"/>
        <v>63762.152103916094</v>
      </c>
      <c r="P246" s="45">
        <f t="shared" si="33"/>
        <v>50092.980433419652</v>
      </c>
      <c r="Q246" s="46"/>
    </row>
    <row r="247" spans="2:17" x14ac:dyDescent="0.25">
      <c r="B247">
        <f t="shared" si="27"/>
        <v>231</v>
      </c>
      <c r="D247" s="3">
        <f t="shared" si="28"/>
        <v>495.02231537972062</v>
      </c>
      <c r="F247" s="3">
        <f t="shared" si="29"/>
        <v>361.700016297518</v>
      </c>
      <c r="H247" s="3">
        <f t="shared" si="30"/>
        <v>133.32229908220265</v>
      </c>
      <c r="L247" s="3">
        <f t="shared" si="31"/>
        <v>54806.147879786331</v>
      </c>
      <c r="N247" s="3">
        <f t="shared" si="32"/>
        <v>64123.852120213611</v>
      </c>
      <c r="P247" s="45">
        <f t="shared" si="33"/>
        <v>50226.302732501856</v>
      </c>
      <c r="Q247" s="46"/>
    </row>
    <row r="248" spans="2:17" x14ac:dyDescent="0.25">
      <c r="B248">
        <f t="shared" si="27"/>
        <v>232</v>
      </c>
      <c r="D248" s="3">
        <f t="shared" si="28"/>
        <v>495.02231537972062</v>
      </c>
      <c r="F248" s="3">
        <f t="shared" si="29"/>
        <v>362.57412467023698</v>
      </c>
      <c r="H248" s="3">
        <f t="shared" si="30"/>
        <v>132.44819070948364</v>
      </c>
      <c r="L248" s="3">
        <f t="shared" si="31"/>
        <v>54443.573755116093</v>
      </c>
      <c r="N248" s="3">
        <f t="shared" si="32"/>
        <v>64486.426244883849</v>
      </c>
      <c r="P248" s="45">
        <f t="shared" si="33"/>
        <v>50358.750923211337</v>
      </c>
      <c r="Q248" s="46"/>
    </row>
    <row r="249" spans="2:17" x14ac:dyDescent="0.25">
      <c r="B249">
        <f t="shared" si="27"/>
        <v>233</v>
      </c>
      <c r="D249" s="3">
        <f t="shared" si="28"/>
        <v>495.02231537972062</v>
      </c>
      <c r="F249" s="3">
        <f t="shared" si="29"/>
        <v>363.45034547152341</v>
      </c>
      <c r="H249" s="3">
        <f t="shared" si="30"/>
        <v>131.57196990819722</v>
      </c>
      <c r="L249" s="3">
        <f t="shared" si="31"/>
        <v>54080.12340964457</v>
      </c>
      <c r="N249" s="3">
        <f t="shared" si="32"/>
        <v>64849.876590355372</v>
      </c>
      <c r="P249" s="45">
        <f t="shared" si="33"/>
        <v>50490.322893119534</v>
      </c>
      <c r="Q249" s="46"/>
    </row>
    <row r="250" spans="2:17" x14ac:dyDescent="0.25">
      <c r="B250">
        <f t="shared" si="27"/>
        <v>234</v>
      </c>
      <c r="D250" s="3">
        <f t="shared" si="28"/>
        <v>495.02231537972062</v>
      </c>
      <c r="F250" s="3">
        <f t="shared" si="29"/>
        <v>364.32868380641287</v>
      </c>
      <c r="H250" s="3">
        <f t="shared" si="30"/>
        <v>130.69363157330773</v>
      </c>
      <c r="L250" s="3">
        <f t="shared" si="31"/>
        <v>53715.794725838154</v>
      </c>
      <c r="N250" s="3">
        <f t="shared" si="32"/>
        <v>65214.205274161788</v>
      </c>
      <c r="P250" s="45">
        <f t="shared" si="33"/>
        <v>50621.016524692845</v>
      </c>
      <c r="Q250" s="46"/>
    </row>
    <row r="251" spans="2:17" x14ac:dyDescent="0.25">
      <c r="B251">
        <f t="shared" si="27"/>
        <v>235</v>
      </c>
      <c r="D251" s="3">
        <f t="shared" si="28"/>
        <v>495.02231537972062</v>
      </c>
      <c r="F251" s="3">
        <f t="shared" si="29"/>
        <v>365.20914479227838</v>
      </c>
      <c r="H251" s="3">
        <f t="shared" si="30"/>
        <v>129.81317058744222</v>
      </c>
      <c r="L251" s="3">
        <f t="shared" si="31"/>
        <v>53350.585581045874</v>
      </c>
      <c r="N251" s="3">
        <f t="shared" si="32"/>
        <v>65579.414418954068</v>
      </c>
      <c r="P251" s="45">
        <f t="shared" si="33"/>
        <v>50750.829695280285</v>
      </c>
      <c r="Q251" s="46"/>
    </row>
    <row r="252" spans="2:17" x14ac:dyDescent="0.25">
      <c r="B252">
        <f t="shared" si="27"/>
        <v>236</v>
      </c>
      <c r="D252" s="3">
        <f t="shared" si="28"/>
        <v>495.02231537972062</v>
      </c>
      <c r="F252" s="3">
        <f t="shared" si="29"/>
        <v>366.09173355885974</v>
      </c>
      <c r="H252" s="3">
        <f t="shared" si="30"/>
        <v>128.93058182086088</v>
      </c>
      <c r="L252" s="3">
        <f t="shared" si="31"/>
        <v>52984.493847487014</v>
      </c>
      <c r="N252" s="3">
        <f t="shared" si="32"/>
        <v>65945.506152512928</v>
      </c>
      <c r="P252" s="45">
        <f t="shared" si="33"/>
        <v>50879.760277101144</v>
      </c>
      <c r="Q252" s="46"/>
    </row>
    <row r="253" spans="2:17" x14ac:dyDescent="0.25">
      <c r="B253">
        <f t="shared" si="27"/>
        <v>237</v>
      </c>
      <c r="D253" s="3">
        <f t="shared" si="28"/>
        <v>495.02231537972062</v>
      </c>
      <c r="F253" s="3">
        <f t="shared" si="29"/>
        <v>366.97645524829363</v>
      </c>
      <c r="H253" s="3">
        <f t="shared" si="30"/>
        <v>128.04586013142696</v>
      </c>
      <c r="L253" s="3">
        <f t="shared" si="31"/>
        <v>52617.517392238718</v>
      </c>
      <c r="N253" s="3">
        <f t="shared" si="32"/>
        <v>66312.482607761223</v>
      </c>
      <c r="P253" s="45">
        <f t="shared" si="33"/>
        <v>51007.806137232568</v>
      </c>
      <c r="Q253" s="46"/>
    </row>
    <row r="254" spans="2:17" x14ac:dyDescent="0.25">
      <c r="B254">
        <f t="shared" si="27"/>
        <v>238</v>
      </c>
      <c r="D254" s="3">
        <f t="shared" si="28"/>
        <v>495.02231537972062</v>
      </c>
      <c r="F254" s="3">
        <f t="shared" si="29"/>
        <v>367.86331501514371</v>
      </c>
      <c r="H254" s="3">
        <f t="shared" si="30"/>
        <v>127.15900036457691</v>
      </c>
      <c r="L254" s="3">
        <f t="shared" si="31"/>
        <v>52249.654077223575</v>
      </c>
      <c r="N254" s="3">
        <f t="shared" si="32"/>
        <v>66680.345922776367</v>
      </c>
      <c r="P254" s="45">
        <f t="shared" si="33"/>
        <v>51134.965137597144</v>
      </c>
      <c r="Q254" s="46"/>
    </row>
    <row r="255" spans="2:17" x14ac:dyDescent="0.25">
      <c r="B255">
        <f t="shared" si="27"/>
        <v>239</v>
      </c>
      <c r="D255" s="3">
        <f t="shared" si="28"/>
        <v>495.02231537972062</v>
      </c>
      <c r="F255" s="3">
        <f t="shared" si="29"/>
        <v>368.75231802643032</v>
      </c>
      <c r="H255" s="3">
        <f t="shared" si="30"/>
        <v>126.26999735329031</v>
      </c>
      <c r="L255" s="3">
        <f t="shared" si="31"/>
        <v>51880.901759197142</v>
      </c>
      <c r="N255" s="3">
        <f t="shared" si="32"/>
        <v>67049.098240802792</v>
      </c>
      <c r="P255" s="45">
        <f t="shared" si="33"/>
        <v>51261.235134950432</v>
      </c>
      <c r="Q255" s="46"/>
    </row>
    <row r="256" spans="2:17" x14ac:dyDescent="0.25">
      <c r="B256">
        <f t="shared" si="27"/>
        <v>240</v>
      </c>
      <c r="D256" s="3">
        <f t="shared" si="28"/>
        <v>495.02231537972062</v>
      </c>
      <c r="F256" s="3">
        <f t="shared" si="29"/>
        <v>369.64346946166086</v>
      </c>
      <c r="H256" s="3">
        <f t="shared" si="30"/>
        <v>125.37884591805977</v>
      </c>
      <c r="L256" s="3">
        <f t="shared" si="31"/>
        <v>51511.258289735481</v>
      </c>
      <c r="N256" s="3">
        <f t="shared" si="32"/>
        <v>67418.741710264454</v>
      </c>
      <c r="P256" s="45">
        <f t="shared" si="33"/>
        <v>51386.613980868489</v>
      </c>
      <c r="Q256" s="46"/>
    </row>
    <row r="257" spans="2:17" x14ac:dyDescent="0.25">
      <c r="B257">
        <f t="shared" si="27"/>
        <v>241</v>
      </c>
      <c r="D257" s="3">
        <f t="shared" si="28"/>
        <v>495.02231537972062</v>
      </c>
      <c r="F257" s="3">
        <f t="shared" si="29"/>
        <v>370.53677451285989</v>
      </c>
      <c r="H257" s="3">
        <f t="shared" si="30"/>
        <v>124.48554086686075</v>
      </c>
      <c r="L257" s="3">
        <f t="shared" si="31"/>
        <v>51140.72151522262</v>
      </c>
      <c r="N257" s="3">
        <f t="shared" si="32"/>
        <v>67789.278484777315</v>
      </c>
      <c r="P257" s="45">
        <f t="shared" si="33"/>
        <v>51511.099521735348</v>
      </c>
      <c r="Q257" s="46"/>
    </row>
    <row r="258" spans="2:17" x14ac:dyDescent="0.25">
      <c r="B258">
        <f t="shared" si="27"/>
        <v>242</v>
      </c>
      <c r="D258" s="3">
        <f t="shared" si="28"/>
        <v>495.02231537972062</v>
      </c>
      <c r="F258" s="3">
        <f t="shared" si="29"/>
        <v>371.43223838459926</v>
      </c>
      <c r="H258" s="3">
        <f t="shared" si="30"/>
        <v>123.59007699512134</v>
      </c>
      <c r="L258" s="3">
        <f t="shared" si="31"/>
        <v>50769.289276838019</v>
      </c>
      <c r="N258" s="3">
        <f t="shared" si="32"/>
        <v>68160.710723161916</v>
      </c>
      <c r="P258" s="45">
        <f t="shared" si="33"/>
        <v>51634.689598730467</v>
      </c>
      <c r="Q258" s="46"/>
    </row>
    <row r="259" spans="2:17" x14ac:dyDescent="0.25">
      <c r="B259">
        <f t="shared" si="27"/>
        <v>243</v>
      </c>
      <c r="D259" s="3">
        <f t="shared" si="28"/>
        <v>495.02231537972062</v>
      </c>
      <c r="F259" s="3">
        <f t="shared" si="29"/>
        <v>372.32986629402876</v>
      </c>
      <c r="H259" s="3">
        <f t="shared" si="30"/>
        <v>122.69244908569189</v>
      </c>
      <c r="L259" s="3">
        <f t="shared" si="31"/>
        <v>50396.95941054399</v>
      </c>
      <c r="N259" s="3">
        <f t="shared" si="32"/>
        <v>68533.040589455952</v>
      </c>
      <c r="P259" s="45">
        <f t="shared" si="33"/>
        <v>51757.382047816158</v>
      </c>
      <c r="Q259" s="46"/>
    </row>
    <row r="260" spans="2:17" x14ac:dyDescent="0.25">
      <c r="B260">
        <f t="shared" si="27"/>
        <v>244</v>
      </c>
      <c r="D260" s="3">
        <f t="shared" si="28"/>
        <v>495.02231537972062</v>
      </c>
      <c r="F260" s="3">
        <f t="shared" si="29"/>
        <v>373.22966347090596</v>
      </c>
      <c r="H260" s="3">
        <f t="shared" si="30"/>
        <v>121.79265190881465</v>
      </c>
      <c r="L260" s="3">
        <f t="shared" si="31"/>
        <v>50023.729747073085</v>
      </c>
      <c r="N260" s="3">
        <f t="shared" si="32"/>
        <v>68906.270252926857</v>
      </c>
      <c r="P260" s="45">
        <f t="shared" si="33"/>
        <v>51879.174699724972</v>
      </c>
      <c r="Q260" s="46"/>
    </row>
    <row r="261" spans="2:17" x14ac:dyDescent="0.25">
      <c r="B261">
        <f t="shared" si="27"/>
        <v>245</v>
      </c>
      <c r="D261" s="3">
        <f t="shared" si="28"/>
        <v>495.02231537972062</v>
      </c>
      <c r="F261" s="3">
        <f t="shared" si="29"/>
        <v>374.13163515762733</v>
      </c>
      <c r="H261" s="3">
        <f t="shared" si="30"/>
        <v>120.89068022209329</v>
      </c>
      <c r="L261" s="3">
        <f t="shared" si="31"/>
        <v>49649.59811191546</v>
      </c>
      <c r="N261" s="3">
        <f t="shared" si="32"/>
        <v>69280.401888084481</v>
      </c>
      <c r="P261" s="45">
        <f t="shared" si="33"/>
        <v>52000.065379947067</v>
      </c>
      <c r="Q261" s="46"/>
    </row>
    <row r="262" spans="2:17" x14ac:dyDescent="0.25">
      <c r="B262">
        <f t="shared" si="27"/>
        <v>246</v>
      </c>
      <c r="D262" s="3">
        <f t="shared" si="28"/>
        <v>495.02231537972062</v>
      </c>
      <c r="F262" s="3">
        <f t="shared" si="29"/>
        <v>375.03578660925825</v>
      </c>
      <c r="H262" s="3">
        <f t="shared" si="30"/>
        <v>119.98652877046237</v>
      </c>
      <c r="L262" s="3">
        <f t="shared" si="31"/>
        <v>49274.5623253062</v>
      </c>
      <c r="N262" s="3">
        <f t="shared" si="32"/>
        <v>69655.437674693734</v>
      </c>
      <c r="P262" s="45">
        <f t="shared" si="33"/>
        <v>52120.051908717527</v>
      </c>
      <c r="Q262" s="46"/>
    </row>
    <row r="263" spans="2:17" x14ac:dyDescent="0.25">
      <c r="B263">
        <f t="shared" si="27"/>
        <v>247</v>
      </c>
      <c r="D263" s="3">
        <f t="shared" si="28"/>
        <v>495.02231537972062</v>
      </c>
      <c r="F263" s="3">
        <f t="shared" si="29"/>
        <v>375.94212309356396</v>
      </c>
      <c r="H263" s="3">
        <f t="shared" si="30"/>
        <v>119.08019228615666</v>
      </c>
      <c r="L263" s="3">
        <f t="shared" si="31"/>
        <v>48898.620202212638</v>
      </c>
      <c r="N263" s="3">
        <f t="shared" si="32"/>
        <v>70031.379797787304</v>
      </c>
      <c r="P263" s="45">
        <f t="shared" si="33"/>
        <v>52239.132101003685</v>
      </c>
      <c r="Q263" s="46"/>
    </row>
    <row r="264" spans="2:17" x14ac:dyDescent="0.25">
      <c r="B264">
        <f t="shared" si="27"/>
        <v>248</v>
      </c>
      <c r="D264" s="3">
        <f t="shared" si="28"/>
        <v>495.02231537972062</v>
      </c>
      <c r="F264" s="3">
        <f t="shared" si="29"/>
        <v>376.85064989104006</v>
      </c>
      <c r="H264" s="3">
        <f t="shared" si="30"/>
        <v>118.17166548868055</v>
      </c>
      <c r="L264" s="3">
        <f t="shared" si="31"/>
        <v>48521.769552321595</v>
      </c>
      <c r="N264" s="3">
        <f t="shared" si="32"/>
        <v>70408.230447678347</v>
      </c>
      <c r="P264" s="45">
        <f t="shared" si="33"/>
        <v>52357.303766492369</v>
      </c>
      <c r="Q264" s="46"/>
    </row>
    <row r="265" spans="2:17" x14ac:dyDescent="0.25">
      <c r="B265">
        <f t="shared" si="27"/>
        <v>249</v>
      </c>
      <c r="D265" s="3">
        <f t="shared" si="28"/>
        <v>495.02231537972062</v>
      </c>
      <c r="F265" s="3">
        <f t="shared" si="29"/>
        <v>377.76137229494344</v>
      </c>
      <c r="H265" s="3">
        <f t="shared" si="30"/>
        <v>117.2609430847772</v>
      </c>
      <c r="L265" s="3">
        <f t="shared" si="31"/>
        <v>48144.008180026649</v>
      </c>
      <c r="N265" s="3">
        <f t="shared" si="32"/>
        <v>70785.991819973293</v>
      </c>
      <c r="P265" s="45">
        <f t="shared" si="33"/>
        <v>52474.564709577149</v>
      </c>
      <c r="Q265" s="46"/>
    </row>
    <row r="266" spans="2:17" x14ac:dyDescent="0.25">
      <c r="B266">
        <f t="shared" si="27"/>
        <v>250</v>
      </c>
      <c r="D266" s="3">
        <f t="shared" si="28"/>
        <v>495.02231537972062</v>
      </c>
      <c r="F266" s="3">
        <f t="shared" si="29"/>
        <v>378.67429561132292</v>
      </c>
      <c r="H266" s="3">
        <f t="shared" si="30"/>
        <v>116.34801976839773</v>
      </c>
      <c r="L266" s="3">
        <f t="shared" si="31"/>
        <v>47765.333884415326</v>
      </c>
      <c r="N266" s="3">
        <f t="shared" si="32"/>
        <v>71164.666115584609</v>
      </c>
      <c r="P266" s="45">
        <f t="shared" si="33"/>
        <v>52590.912729345546</v>
      </c>
      <c r="Q266" s="46"/>
    </row>
    <row r="267" spans="2:17" x14ac:dyDescent="0.25">
      <c r="B267">
        <f t="shared" si="27"/>
        <v>251</v>
      </c>
      <c r="D267" s="3">
        <f t="shared" si="28"/>
        <v>495.02231537972062</v>
      </c>
      <c r="F267" s="3">
        <f t="shared" si="29"/>
        <v>379.58942515905028</v>
      </c>
      <c r="H267" s="3">
        <f t="shared" si="30"/>
        <v>115.43289022067037</v>
      </c>
      <c r="L267" s="3">
        <f t="shared" si="31"/>
        <v>47385.744459256275</v>
      </c>
      <c r="N267" s="3">
        <f t="shared" si="32"/>
        <v>71544.255540743659</v>
      </c>
      <c r="P267" s="45">
        <f t="shared" si="33"/>
        <v>52706.345619566215</v>
      </c>
      <c r="Q267" s="46"/>
    </row>
    <row r="268" spans="2:17" x14ac:dyDescent="0.25">
      <c r="B268">
        <f t="shared" si="27"/>
        <v>252</v>
      </c>
      <c r="D268" s="3">
        <f t="shared" si="28"/>
        <v>495.02231537972062</v>
      </c>
      <c r="F268" s="3">
        <f t="shared" si="29"/>
        <v>380.50676626985125</v>
      </c>
      <c r="H268" s="3">
        <f t="shared" si="30"/>
        <v>114.51554910986934</v>
      </c>
      <c r="L268" s="3">
        <f t="shared" si="31"/>
        <v>47005.237692986426</v>
      </c>
      <c r="N268" s="3">
        <f t="shared" si="32"/>
        <v>71924.762307013516</v>
      </c>
      <c r="P268" s="45">
        <f t="shared" si="33"/>
        <v>52820.861168676085</v>
      </c>
      <c r="Q268" s="46"/>
    </row>
    <row r="269" spans="2:17" x14ac:dyDescent="0.25">
      <c r="B269">
        <f t="shared" si="27"/>
        <v>253</v>
      </c>
      <c r="D269" s="3">
        <f t="shared" si="28"/>
        <v>495.02231537972062</v>
      </c>
      <c r="F269" s="3">
        <f t="shared" si="29"/>
        <v>381.42632428833679</v>
      </c>
      <c r="H269" s="3">
        <f t="shared" si="30"/>
        <v>113.59599109138387</v>
      </c>
      <c r="L269" s="3">
        <f t="shared" si="31"/>
        <v>46623.811368698087</v>
      </c>
      <c r="N269" s="3">
        <f t="shared" si="32"/>
        <v>72306.188631301848</v>
      </c>
      <c r="P269" s="45">
        <f t="shared" si="33"/>
        <v>52934.457159767466</v>
      </c>
      <c r="Q269" s="46"/>
    </row>
    <row r="270" spans="2:17" x14ac:dyDescent="0.25">
      <c r="B270">
        <f t="shared" si="27"/>
        <v>254</v>
      </c>
      <c r="D270" s="3">
        <f t="shared" si="28"/>
        <v>495.02231537972062</v>
      </c>
      <c r="F270" s="3">
        <f t="shared" si="29"/>
        <v>382.34810457203355</v>
      </c>
      <c r="H270" s="3">
        <f t="shared" si="30"/>
        <v>112.67421080768705</v>
      </c>
      <c r="L270" s="3">
        <f t="shared" si="31"/>
        <v>46241.463264126054</v>
      </c>
      <c r="N270" s="3">
        <f t="shared" si="32"/>
        <v>72688.536735873888</v>
      </c>
      <c r="P270" s="45">
        <f t="shared" si="33"/>
        <v>53047.131370575153</v>
      </c>
      <c r="Q270" s="46"/>
    </row>
    <row r="271" spans="2:17" x14ac:dyDescent="0.25">
      <c r="B271">
        <f t="shared" si="27"/>
        <v>255</v>
      </c>
      <c r="D271" s="3">
        <f t="shared" si="28"/>
        <v>495.02231537972062</v>
      </c>
      <c r="F271" s="3">
        <f t="shared" si="29"/>
        <v>383.27211249141601</v>
      </c>
      <c r="H271" s="3">
        <f t="shared" si="30"/>
        <v>111.75020288830464</v>
      </c>
      <c r="L271" s="3">
        <f t="shared" si="31"/>
        <v>45858.191151634637</v>
      </c>
      <c r="N271" s="3">
        <f t="shared" si="32"/>
        <v>73071.808848365297</v>
      </c>
      <c r="P271" s="45">
        <f t="shared" si="33"/>
        <v>53158.881573463455</v>
      </c>
      <c r="Q271" s="46"/>
    </row>
    <row r="272" spans="2:17" x14ac:dyDescent="0.25">
      <c r="B272">
        <f t="shared" si="27"/>
        <v>256</v>
      </c>
      <c r="D272" s="3">
        <f t="shared" si="28"/>
        <v>495.02231537972062</v>
      </c>
      <c r="F272" s="3">
        <f t="shared" si="29"/>
        <v>384.1983534299369</v>
      </c>
      <c r="H272" s="3">
        <f t="shared" si="30"/>
        <v>110.82396194978371</v>
      </c>
      <c r="L272" s="3">
        <f t="shared" si="31"/>
        <v>45473.992798204701</v>
      </c>
      <c r="N272" s="3">
        <f t="shared" si="32"/>
        <v>73456.007201795233</v>
      </c>
      <c r="P272" s="45">
        <f t="shared" si="33"/>
        <v>53269.705535413239</v>
      </c>
      <c r="Q272" s="46"/>
    </row>
    <row r="273" spans="2:17" x14ac:dyDescent="0.25">
      <c r="B273">
        <f t="shared" si="27"/>
        <v>257</v>
      </c>
      <c r="D273" s="3">
        <f t="shared" si="28"/>
        <v>495.02231537972062</v>
      </c>
      <c r="F273" s="3">
        <f t="shared" si="29"/>
        <v>385.12683278405927</v>
      </c>
      <c r="H273" s="3">
        <f t="shared" si="30"/>
        <v>109.89548259566136</v>
      </c>
      <c r="L273" s="3">
        <f t="shared" si="31"/>
        <v>45088.865965420642</v>
      </c>
      <c r="N273" s="3">
        <f t="shared" si="32"/>
        <v>73841.1340345793</v>
      </c>
      <c r="P273" s="45">
        <f t="shared" si="33"/>
        <v>53379.6010180089</v>
      </c>
      <c r="Q273" s="46"/>
    </row>
    <row r="274" spans="2:17" x14ac:dyDescent="0.25">
      <c r="B274">
        <f t="shared" si="27"/>
        <v>258</v>
      </c>
      <c r="D274" s="3">
        <f t="shared" si="28"/>
        <v>495.02231537972062</v>
      </c>
      <c r="F274" s="3">
        <f t="shared" si="29"/>
        <v>386.05755596328743</v>
      </c>
      <c r="H274" s="3">
        <f t="shared" si="30"/>
        <v>108.96475941643322</v>
      </c>
      <c r="L274" s="3">
        <f t="shared" si="31"/>
        <v>44702.808409457357</v>
      </c>
      <c r="N274" s="3">
        <f t="shared" si="32"/>
        <v>74227.191590542585</v>
      </c>
      <c r="P274" s="45">
        <f t="shared" si="33"/>
        <v>53488.565777425334</v>
      </c>
      <c r="Q274" s="46"/>
    </row>
    <row r="275" spans="2:17" x14ac:dyDescent="0.25">
      <c r="B275">
        <f t="shared" si="27"/>
        <v>259</v>
      </c>
      <c r="D275" s="3">
        <f t="shared" si="28"/>
        <v>495.02231537972062</v>
      </c>
      <c r="F275" s="3">
        <f t="shared" si="29"/>
        <v>386.99052839019868</v>
      </c>
      <c r="H275" s="3">
        <f t="shared" si="30"/>
        <v>108.03178698952195</v>
      </c>
      <c r="L275" s="3">
        <f t="shared" si="31"/>
        <v>44315.81788106716</v>
      </c>
      <c r="N275" s="3">
        <f t="shared" si="32"/>
        <v>74614.182118932789</v>
      </c>
      <c r="P275" s="45">
        <f t="shared" si="33"/>
        <v>53596.597564414857</v>
      </c>
      <c r="Q275" s="46"/>
    </row>
    <row r="276" spans="2:17" x14ac:dyDescent="0.25">
      <c r="B276">
        <f t="shared" si="27"/>
        <v>260</v>
      </c>
      <c r="D276" s="3">
        <f t="shared" si="28"/>
        <v>495.02231537972062</v>
      </c>
      <c r="F276" s="3">
        <f t="shared" si="29"/>
        <v>387.92575550047496</v>
      </c>
      <c r="H276" s="3">
        <f t="shared" si="30"/>
        <v>107.09655987924565</v>
      </c>
      <c r="L276" s="3">
        <f t="shared" si="31"/>
        <v>43927.892125566686</v>
      </c>
      <c r="N276" s="3">
        <f t="shared" si="32"/>
        <v>75002.107874433263</v>
      </c>
      <c r="P276" s="45">
        <f t="shared" si="33"/>
        <v>53703.694124294103</v>
      </c>
      <c r="Q276" s="46"/>
    </row>
    <row r="277" spans="2:17" x14ac:dyDescent="0.25">
      <c r="B277">
        <f t="shared" si="27"/>
        <v>261</v>
      </c>
      <c r="D277" s="3">
        <f t="shared" si="28"/>
        <v>495.02231537972062</v>
      </c>
      <c r="F277" s="3">
        <f t="shared" si="29"/>
        <v>388.86324274293446</v>
      </c>
      <c r="H277" s="3">
        <f t="shared" si="30"/>
        <v>106.15907263678616</v>
      </c>
      <c r="L277" s="3">
        <f t="shared" si="31"/>
        <v>43539.028882823754</v>
      </c>
      <c r="N277" s="3">
        <f t="shared" si="32"/>
        <v>75390.971117176203</v>
      </c>
      <c r="P277" s="45">
        <f t="shared" si="33"/>
        <v>53809.85319693089</v>
      </c>
      <c r="Q277" s="46"/>
    </row>
    <row r="278" spans="2:17" x14ac:dyDescent="0.25">
      <c r="B278">
        <f t="shared" si="27"/>
        <v>262</v>
      </c>
      <c r="D278" s="3">
        <f t="shared" si="28"/>
        <v>495.02231537972062</v>
      </c>
      <c r="F278" s="3">
        <f t="shared" si="29"/>
        <v>389.80299557956323</v>
      </c>
      <c r="H278" s="3">
        <f t="shared" si="30"/>
        <v>105.21931980015741</v>
      </c>
      <c r="L278" s="3">
        <f t="shared" si="31"/>
        <v>43149.225887244189</v>
      </c>
      <c r="N278" s="3">
        <f t="shared" si="32"/>
        <v>75780.774112755767</v>
      </c>
      <c r="P278" s="45">
        <f t="shared" si="33"/>
        <v>53915.072516731045</v>
      </c>
      <c r="Q278" s="46"/>
    </row>
    <row r="279" spans="2:17" x14ac:dyDescent="0.25">
      <c r="B279">
        <f t="shared" si="27"/>
        <v>263</v>
      </c>
      <c r="D279" s="3">
        <f t="shared" si="28"/>
        <v>495.02231537972062</v>
      </c>
      <c r="F279" s="3">
        <f t="shared" si="29"/>
        <v>390.74501948554718</v>
      </c>
      <c r="H279" s="3">
        <f t="shared" si="30"/>
        <v>104.27729589417346</v>
      </c>
      <c r="L279" s="3">
        <f t="shared" si="31"/>
        <v>42758.480867758641</v>
      </c>
      <c r="N279" s="3">
        <f t="shared" si="32"/>
        <v>76171.519132241316</v>
      </c>
      <c r="P279" s="45">
        <f t="shared" si="33"/>
        <v>54019.349812625216</v>
      </c>
      <c r="Q279" s="46"/>
    </row>
    <row r="280" spans="2:17" x14ac:dyDescent="0.25">
      <c r="B280">
        <f t="shared" si="27"/>
        <v>264</v>
      </c>
      <c r="D280" s="3">
        <f t="shared" si="28"/>
        <v>495.02231537972062</v>
      </c>
      <c r="F280" s="3">
        <f t="shared" si="29"/>
        <v>391.68931994930392</v>
      </c>
      <c r="H280" s="3">
        <f t="shared" si="30"/>
        <v>103.33299543041672</v>
      </c>
      <c r="L280" s="3">
        <f t="shared" si="31"/>
        <v>42366.791547809335</v>
      </c>
      <c r="N280" s="3">
        <f t="shared" si="32"/>
        <v>76563.208452190622</v>
      </c>
      <c r="P280" s="45">
        <f t="shared" si="33"/>
        <v>54122.68280805563</v>
      </c>
      <c r="Q280" s="46"/>
    </row>
    <row r="281" spans="2:17" x14ac:dyDescent="0.25">
      <c r="B281">
        <f t="shared" si="27"/>
        <v>265</v>
      </c>
      <c r="D281" s="3">
        <f t="shared" si="28"/>
        <v>495.02231537972062</v>
      </c>
      <c r="F281" s="3">
        <f t="shared" si="29"/>
        <v>392.63590247251472</v>
      </c>
      <c r="H281" s="3">
        <f t="shared" si="30"/>
        <v>102.38641290720589</v>
      </c>
      <c r="L281" s="3">
        <f t="shared" si="31"/>
        <v>41974.155645336818</v>
      </c>
      <c r="N281" s="3">
        <f t="shared" si="32"/>
        <v>76955.844354663132</v>
      </c>
      <c r="P281" s="45">
        <f t="shared" si="33"/>
        <v>54225.069220962832</v>
      </c>
      <c r="Q281" s="46"/>
    </row>
    <row r="282" spans="2:17" x14ac:dyDescent="0.25">
      <c r="B282">
        <f t="shared" si="27"/>
        <v>266</v>
      </c>
      <c r="D282" s="3">
        <f t="shared" si="28"/>
        <v>495.02231537972062</v>
      </c>
      <c r="F282" s="3">
        <f t="shared" si="29"/>
        <v>393.58477257015664</v>
      </c>
      <c r="H282" s="3">
        <f t="shared" si="30"/>
        <v>101.43754280956398</v>
      </c>
      <c r="L282" s="3">
        <f t="shared" si="31"/>
        <v>41580.570872766664</v>
      </c>
      <c r="N282" s="3">
        <f t="shared" si="32"/>
        <v>77349.429127233292</v>
      </c>
      <c r="P282" s="45">
        <f t="shared" si="33"/>
        <v>54326.506763772399</v>
      </c>
      <c r="Q282" s="46"/>
    </row>
    <row r="283" spans="2:17" x14ac:dyDescent="0.25">
      <c r="B283">
        <f t="shared" si="27"/>
        <v>267</v>
      </c>
      <c r="D283" s="3">
        <f t="shared" si="28"/>
        <v>495.02231537972062</v>
      </c>
      <c r="F283" s="3">
        <f t="shared" si="29"/>
        <v>394.53593577053448</v>
      </c>
      <c r="H283" s="3">
        <f t="shared" si="30"/>
        <v>100.48637960918612</v>
      </c>
      <c r="L283" s="3">
        <f t="shared" si="31"/>
        <v>41186.034936996133</v>
      </c>
      <c r="N283" s="3">
        <f t="shared" si="32"/>
        <v>77743.965063003823</v>
      </c>
      <c r="P283" s="45">
        <f t="shared" si="33"/>
        <v>54426.993143381587</v>
      </c>
      <c r="Q283" s="46"/>
    </row>
    <row r="284" spans="2:17" x14ac:dyDescent="0.25">
      <c r="B284">
        <f t="shared" si="27"/>
        <v>268</v>
      </c>
      <c r="D284" s="3">
        <f t="shared" si="28"/>
        <v>495.02231537972062</v>
      </c>
      <c r="F284" s="3">
        <f t="shared" si="29"/>
        <v>395.48939761531329</v>
      </c>
      <c r="H284" s="3">
        <f t="shared" si="30"/>
        <v>99.53291776440733</v>
      </c>
      <c r="L284" s="3">
        <f t="shared" si="31"/>
        <v>40790.545539380822</v>
      </c>
      <c r="N284" s="3">
        <f t="shared" si="32"/>
        <v>78139.454460619134</v>
      </c>
      <c r="P284" s="45">
        <f t="shared" si="33"/>
        <v>54526.526061145996</v>
      </c>
      <c r="Q284" s="46"/>
    </row>
    <row r="285" spans="2:17" x14ac:dyDescent="0.25">
      <c r="B285">
        <f t="shared" si="27"/>
        <v>269</v>
      </c>
      <c r="D285" s="3">
        <f t="shared" si="28"/>
        <v>495.02231537972062</v>
      </c>
      <c r="F285" s="3">
        <f t="shared" si="29"/>
        <v>396.4451636595503</v>
      </c>
      <c r="H285" s="3">
        <f t="shared" si="30"/>
        <v>98.57715172017032</v>
      </c>
      <c r="L285" s="3">
        <f t="shared" si="31"/>
        <v>40394.100375721275</v>
      </c>
      <c r="N285" s="3">
        <f t="shared" si="32"/>
        <v>78535.899624278682</v>
      </c>
      <c r="P285" s="45">
        <f t="shared" si="33"/>
        <v>54625.103212866168</v>
      </c>
      <c r="Q285" s="46"/>
    </row>
    <row r="286" spans="2:17" x14ac:dyDescent="0.25">
      <c r="B286">
        <f t="shared" ref="B286:B349" si="34">IF(AND(L285&lt;&gt;"",L285&gt;0.001),B285+1,"")</f>
        <v>270</v>
      </c>
      <c r="D286" s="3">
        <f t="shared" ref="D286:D349" si="35">IF(B286="","",IF(L285&lt;$F$10,L285*(1+$F$8),$F$10))</f>
        <v>495.02231537972062</v>
      </c>
      <c r="F286" s="3">
        <f t="shared" ref="F286:F349" si="36">IF(B286="","",(D286-H286+J286))</f>
        <v>397.40323947172755</v>
      </c>
      <c r="H286" s="3">
        <f t="shared" ref="H286:H349" si="37">IF(B286="", "",L285*$F$8)</f>
        <v>97.619075907993079</v>
      </c>
      <c r="L286" s="3">
        <f t="shared" ref="L286:L349" si="38">IF(B286="","",L285-F286)</f>
        <v>39996.697136249546</v>
      </c>
      <c r="N286" s="3">
        <f t="shared" ref="N286:N349" si="39">IF(B286="","",N285+F286)</f>
        <v>78933.302863750403</v>
      </c>
      <c r="P286" s="45">
        <f t="shared" ref="P286:P349" si="40">IF(B286="","",P285+H286)</f>
        <v>54722.722288774159</v>
      </c>
      <c r="Q286" s="46"/>
    </row>
    <row r="287" spans="2:17" x14ac:dyDescent="0.25">
      <c r="B287">
        <f t="shared" si="34"/>
        <v>271</v>
      </c>
      <c r="D287" s="3">
        <f t="shared" si="35"/>
        <v>495.02231537972062</v>
      </c>
      <c r="F287" s="3">
        <f t="shared" si="36"/>
        <v>398.36363063378423</v>
      </c>
      <c r="H287" s="3">
        <f t="shared" si="37"/>
        <v>96.658684745936412</v>
      </c>
      <c r="L287" s="3">
        <f t="shared" si="38"/>
        <v>39598.333505615759</v>
      </c>
      <c r="N287" s="3">
        <f t="shared" si="39"/>
        <v>79331.66649438419</v>
      </c>
      <c r="P287" s="45">
        <f t="shared" si="40"/>
        <v>54819.380973520092</v>
      </c>
      <c r="Q287" s="46"/>
    </row>
    <row r="288" spans="2:17" x14ac:dyDescent="0.25">
      <c r="B288">
        <f t="shared" si="34"/>
        <v>272</v>
      </c>
      <c r="D288" s="3">
        <f t="shared" si="35"/>
        <v>495.02231537972062</v>
      </c>
      <c r="F288" s="3">
        <f t="shared" si="36"/>
        <v>399.32634274114923</v>
      </c>
      <c r="H288" s="3">
        <f t="shared" si="37"/>
        <v>95.695972638571419</v>
      </c>
      <c r="L288" s="3">
        <f t="shared" si="38"/>
        <v>39199.007162874608</v>
      </c>
      <c r="N288" s="3">
        <f t="shared" si="39"/>
        <v>79730.992837125334</v>
      </c>
      <c r="P288" s="45">
        <f t="shared" si="40"/>
        <v>54915.076946158661</v>
      </c>
      <c r="Q288" s="46"/>
    </row>
    <row r="289" spans="2:17" x14ac:dyDescent="0.25">
      <c r="B289">
        <f t="shared" si="34"/>
        <v>273</v>
      </c>
      <c r="D289" s="3">
        <f t="shared" si="35"/>
        <v>495.02231537972062</v>
      </c>
      <c r="F289" s="3">
        <f t="shared" si="36"/>
        <v>400.29138140277365</v>
      </c>
      <c r="H289" s="3">
        <f t="shared" si="37"/>
        <v>94.730933976946972</v>
      </c>
      <c r="L289" s="3">
        <f t="shared" si="38"/>
        <v>38798.715781471838</v>
      </c>
      <c r="N289" s="3">
        <f t="shared" si="39"/>
        <v>80131.284218528104</v>
      </c>
      <c r="P289" s="45">
        <f t="shared" si="40"/>
        <v>55009.80788013561</v>
      </c>
      <c r="Q289" s="46"/>
    </row>
    <row r="290" spans="2:17" x14ac:dyDescent="0.25">
      <c r="B290">
        <f t="shared" si="34"/>
        <v>274</v>
      </c>
      <c r="D290" s="3">
        <f t="shared" si="35"/>
        <v>495.02231537972062</v>
      </c>
      <c r="F290" s="3">
        <f t="shared" si="36"/>
        <v>401.25875224116368</v>
      </c>
      <c r="H290" s="3">
        <f t="shared" si="37"/>
        <v>93.763563138556947</v>
      </c>
      <c r="L290" s="3">
        <f t="shared" si="38"/>
        <v>38397.457029230674</v>
      </c>
      <c r="N290" s="3">
        <f t="shared" si="39"/>
        <v>80532.542970769267</v>
      </c>
      <c r="P290" s="45">
        <f t="shared" si="40"/>
        <v>55103.571443274166</v>
      </c>
      <c r="Q290" s="46"/>
    </row>
    <row r="291" spans="2:17" x14ac:dyDescent="0.25">
      <c r="B291">
        <f t="shared" si="34"/>
        <v>275</v>
      </c>
      <c r="D291" s="3">
        <f t="shared" si="35"/>
        <v>495.02231537972062</v>
      </c>
      <c r="F291" s="3">
        <f t="shared" si="36"/>
        <v>402.22846089241318</v>
      </c>
      <c r="H291" s="3">
        <f t="shared" si="37"/>
        <v>92.79385448730747</v>
      </c>
      <c r="L291" s="3">
        <f t="shared" si="38"/>
        <v>37995.228568338258</v>
      </c>
      <c r="N291" s="3">
        <f t="shared" si="39"/>
        <v>80934.771431661677</v>
      </c>
      <c r="P291" s="45">
        <f t="shared" si="40"/>
        <v>55196.365297761477</v>
      </c>
      <c r="Q291" s="46"/>
    </row>
    <row r="292" spans="2:17" x14ac:dyDescent="0.25">
      <c r="B292">
        <f t="shared" si="34"/>
        <v>276</v>
      </c>
      <c r="D292" s="3">
        <f t="shared" si="35"/>
        <v>495.02231537972062</v>
      </c>
      <c r="F292" s="3">
        <f t="shared" si="36"/>
        <v>403.20051300623652</v>
      </c>
      <c r="H292" s="3">
        <f t="shared" si="37"/>
        <v>91.821802373484132</v>
      </c>
      <c r="L292" s="3">
        <f t="shared" si="38"/>
        <v>37592.028055332019</v>
      </c>
      <c r="N292" s="3">
        <f t="shared" si="39"/>
        <v>81337.971944667908</v>
      </c>
      <c r="P292" s="45">
        <f t="shared" si="40"/>
        <v>55288.187100134957</v>
      </c>
      <c r="Q292" s="46"/>
    </row>
    <row r="293" spans="2:17" x14ac:dyDescent="0.25">
      <c r="B293">
        <f t="shared" si="34"/>
        <v>277</v>
      </c>
      <c r="D293" s="3">
        <f t="shared" si="35"/>
        <v>495.02231537972062</v>
      </c>
      <c r="F293" s="3">
        <f t="shared" si="36"/>
        <v>404.17491424600155</v>
      </c>
      <c r="H293" s="3">
        <f t="shared" si="37"/>
        <v>90.847401133719046</v>
      </c>
      <c r="L293" s="3">
        <f t="shared" si="38"/>
        <v>37187.853141086016</v>
      </c>
      <c r="N293" s="3">
        <f t="shared" si="39"/>
        <v>81742.146858913911</v>
      </c>
      <c r="P293" s="45">
        <f t="shared" si="40"/>
        <v>55379.034501268674</v>
      </c>
      <c r="Q293" s="46"/>
    </row>
    <row r="294" spans="2:17" x14ac:dyDescent="0.25">
      <c r="B294">
        <f t="shared" si="34"/>
        <v>278</v>
      </c>
      <c r="D294" s="3">
        <f t="shared" si="35"/>
        <v>495.02231537972062</v>
      </c>
      <c r="F294" s="3">
        <f t="shared" si="36"/>
        <v>405.15167028876272</v>
      </c>
      <c r="H294" s="3">
        <f t="shared" si="37"/>
        <v>89.870645090957879</v>
      </c>
      <c r="L294" s="3">
        <f t="shared" si="38"/>
        <v>36782.701470797256</v>
      </c>
      <c r="N294" s="3">
        <f t="shared" si="39"/>
        <v>82147.298529202671</v>
      </c>
      <c r="P294" s="45">
        <f t="shared" si="40"/>
        <v>55468.905146359633</v>
      </c>
      <c r="Q294" s="46"/>
    </row>
    <row r="295" spans="2:17" x14ac:dyDescent="0.25">
      <c r="B295">
        <f t="shared" si="34"/>
        <v>279</v>
      </c>
      <c r="D295" s="3">
        <f t="shared" si="35"/>
        <v>495.02231537972062</v>
      </c>
      <c r="F295" s="3">
        <f t="shared" si="36"/>
        <v>406.13078682529391</v>
      </c>
      <c r="H295" s="3">
        <f t="shared" si="37"/>
        <v>88.891528554426699</v>
      </c>
      <c r="L295" s="3">
        <f t="shared" si="38"/>
        <v>36376.570683971964</v>
      </c>
      <c r="N295" s="3">
        <f t="shared" si="39"/>
        <v>82553.429316027963</v>
      </c>
      <c r="P295" s="45">
        <f t="shared" si="40"/>
        <v>55557.796674914061</v>
      </c>
      <c r="Q295" s="46"/>
    </row>
    <row r="296" spans="2:17" x14ac:dyDescent="0.25">
      <c r="B296">
        <f t="shared" si="34"/>
        <v>280</v>
      </c>
      <c r="D296" s="3">
        <f t="shared" si="35"/>
        <v>495.02231537972062</v>
      </c>
      <c r="F296" s="3">
        <f t="shared" si="36"/>
        <v>407.11226956012172</v>
      </c>
      <c r="H296" s="3">
        <f t="shared" si="37"/>
        <v>87.910045819598921</v>
      </c>
      <c r="L296" s="3">
        <f t="shared" si="38"/>
        <v>35969.458414411842</v>
      </c>
      <c r="N296" s="3">
        <f t="shared" si="39"/>
        <v>82960.541585588086</v>
      </c>
      <c r="P296" s="45">
        <f t="shared" si="40"/>
        <v>55645.706720733659</v>
      </c>
      <c r="Q296" s="46"/>
    </row>
    <row r="297" spans="2:17" x14ac:dyDescent="0.25">
      <c r="B297">
        <f t="shared" si="34"/>
        <v>281</v>
      </c>
      <c r="D297" s="3">
        <f t="shared" si="35"/>
        <v>495.02231537972062</v>
      </c>
      <c r="F297" s="3">
        <f t="shared" si="36"/>
        <v>408.09612421155867</v>
      </c>
      <c r="H297" s="3">
        <f t="shared" si="37"/>
        <v>86.926191168161949</v>
      </c>
      <c r="L297" s="3">
        <f t="shared" si="38"/>
        <v>35561.362290200283</v>
      </c>
      <c r="N297" s="3">
        <f t="shared" si="39"/>
        <v>83368.637709799645</v>
      </c>
      <c r="P297" s="45">
        <f t="shared" si="40"/>
        <v>55732.632911901819</v>
      </c>
      <c r="Q297" s="46"/>
    </row>
    <row r="298" spans="2:17" x14ac:dyDescent="0.25">
      <c r="B298">
        <f t="shared" si="34"/>
        <v>282</v>
      </c>
      <c r="D298" s="3">
        <f t="shared" si="35"/>
        <v>495.02231537972062</v>
      </c>
      <c r="F298" s="3">
        <f t="shared" si="36"/>
        <v>409.08235651173663</v>
      </c>
      <c r="H298" s="3">
        <f t="shared" si="37"/>
        <v>85.939958867984018</v>
      </c>
      <c r="L298" s="3">
        <f t="shared" si="38"/>
        <v>35152.279933688544</v>
      </c>
      <c r="N298" s="3">
        <f t="shared" si="39"/>
        <v>83777.720066311376</v>
      </c>
      <c r="P298" s="45">
        <f t="shared" si="40"/>
        <v>55818.5728707698</v>
      </c>
      <c r="Q298" s="46"/>
    </row>
    <row r="299" spans="2:17" x14ac:dyDescent="0.25">
      <c r="B299">
        <f t="shared" si="34"/>
        <v>283</v>
      </c>
      <c r="D299" s="3">
        <f t="shared" si="35"/>
        <v>495.02231537972062</v>
      </c>
      <c r="F299" s="3">
        <f t="shared" si="36"/>
        <v>410.07097220663996</v>
      </c>
      <c r="H299" s="3">
        <f t="shared" si="37"/>
        <v>84.951343173080645</v>
      </c>
      <c r="L299" s="3">
        <f t="shared" si="38"/>
        <v>34742.208961481905</v>
      </c>
      <c r="N299" s="3">
        <f t="shared" si="39"/>
        <v>84187.791038518015</v>
      </c>
      <c r="P299" s="45">
        <f t="shared" si="40"/>
        <v>55903.524213942881</v>
      </c>
      <c r="Q299" s="46"/>
    </row>
    <row r="300" spans="2:17" x14ac:dyDescent="0.25">
      <c r="B300">
        <f t="shared" si="34"/>
        <v>284</v>
      </c>
      <c r="D300" s="3">
        <f t="shared" si="35"/>
        <v>495.02231537972062</v>
      </c>
      <c r="F300" s="3">
        <f t="shared" si="36"/>
        <v>411.06197705613937</v>
      </c>
      <c r="H300" s="3">
        <f t="shared" si="37"/>
        <v>83.960338323581269</v>
      </c>
      <c r="L300" s="3">
        <f t="shared" si="38"/>
        <v>34331.146984425766</v>
      </c>
      <c r="N300" s="3">
        <f t="shared" si="39"/>
        <v>84598.853015574161</v>
      </c>
      <c r="P300" s="45">
        <f t="shared" si="40"/>
        <v>55987.484552266462</v>
      </c>
      <c r="Q300" s="46"/>
    </row>
    <row r="301" spans="2:17" x14ac:dyDescent="0.25">
      <c r="B301">
        <f t="shared" si="34"/>
        <v>285</v>
      </c>
      <c r="D301" s="3">
        <f t="shared" si="35"/>
        <v>495.02231537972062</v>
      </c>
      <c r="F301" s="3">
        <f t="shared" si="36"/>
        <v>412.05537683402503</v>
      </c>
      <c r="H301" s="3">
        <f t="shared" si="37"/>
        <v>82.966938545695612</v>
      </c>
      <c r="L301" s="3">
        <f t="shared" si="38"/>
        <v>33919.091607591741</v>
      </c>
      <c r="N301" s="3">
        <f t="shared" si="39"/>
        <v>85010.908392408179</v>
      </c>
      <c r="P301" s="45">
        <f t="shared" si="40"/>
        <v>56070.451490812156</v>
      </c>
      <c r="Q301" s="46"/>
    </row>
    <row r="302" spans="2:17" x14ac:dyDescent="0.25">
      <c r="B302">
        <f t="shared" si="34"/>
        <v>286</v>
      </c>
      <c r="D302" s="3">
        <f t="shared" si="35"/>
        <v>495.02231537972062</v>
      </c>
      <c r="F302" s="3">
        <f t="shared" si="36"/>
        <v>413.05117732804058</v>
      </c>
      <c r="H302" s="3">
        <f t="shared" si="37"/>
        <v>81.971138051680043</v>
      </c>
      <c r="L302" s="3">
        <f t="shared" si="38"/>
        <v>33506.040430263703</v>
      </c>
      <c r="N302" s="3">
        <f t="shared" si="39"/>
        <v>85423.959569736224</v>
      </c>
      <c r="P302" s="45">
        <f t="shared" si="40"/>
        <v>56152.422628863838</v>
      </c>
      <c r="Q302" s="46"/>
    </row>
    <row r="303" spans="2:17" x14ac:dyDescent="0.25">
      <c r="B303">
        <f t="shared" si="34"/>
        <v>287</v>
      </c>
      <c r="D303" s="3">
        <f t="shared" si="35"/>
        <v>495.02231537972062</v>
      </c>
      <c r="F303" s="3">
        <f t="shared" si="36"/>
        <v>414.04938433991668</v>
      </c>
      <c r="H303" s="3">
        <f t="shared" si="37"/>
        <v>80.972931039803953</v>
      </c>
      <c r="L303" s="3">
        <f t="shared" si="38"/>
        <v>33091.991045923787</v>
      </c>
      <c r="N303" s="3">
        <f t="shared" si="39"/>
        <v>85838.00895407614</v>
      </c>
      <c r="P303" s="45">
        <f t="shared" si="40"/>
        <v>56233.395559903642</v>
      </c>
      <c r="Q303" s="46"/>
    </row>
    <row r="304" spans="2:17" x14ac:dyDescent="0.25">
      <c r="B304">
        <f t="shared" si="34"/>
        <v>288</v>
      </c>
      <c r="D304" s="3">
        <f t="shared" si="35"/>
        <v>495.02231537972062</v>
      </c>
      <c r="F304" s="3">
        <f t="shared" si="36"/>
        <v>415.05000368540482</v>
      </c>
      <c r="H304" s="3">
        <f t="shared" si="37"/>
        <v>79.97231169431582</v>
      </c>
      <c r="L304" s="3">
        <f t="shared" si="38"/>
        <v>32676.941042238381</v>
      </c>
      <c r="N304" s="3">
        <f t="shared" si="39"/>
        <v>86253.058957761546</v>
      </c>
      <c r="P304" s="45">
        <f t="shared" si="40"/>
        <v>56313.367871597955</v>
      </c>
      <c r="Q304" s="46"/>
    </row>
    <row r="305" spans="2:17" x14ac:dyDescent="0.25">
      <c r="B305">
        <f t="shared" si="34"/>
        <v>289</v>
      </c>
      <c r="D305" s="3">
        <f t="shared" si="35"/>
        <v>495.02231537972062</v>
      </c>
      <c r="F305" s="3">
        <f t="shared" si="36"/>
        <v>416.05304119431122</v>
      </c>
      <c r="H305" s="3">
        <f t="shared" si="37"/>
        <v>78.969274185409418</v>
      </c>
      <c r="L305" s="3">
        <f t="shared" si="38"/>
        <v>32260.88800104407</v>
      </c>
      <c r="N305" s="3">
        <f t="shared" si="39"/>
        <v>86669.111998955865</v>
      </c>
      <c r="P305" s="45">
        <f t="shared" si="40"/>
        <v>56392.337145783364</v>
      </c>
      <c r="Q305" s="46"/>
    </row>
    <row r="306" spans="2:17" x14ac:dyDescent="0.25">
      <c r="B306">
        <f t="shared" si="34"/>
        <v>290</v>
      </c>
      <c r="D306" s="3">
        <f t="shared" si="35"/>
        <v>495.02231537972062</v>
      </c>
      <c r="F306" s="3">
        <f t="shared" si="36"/>
        <v>417.05850271053077</v>
      </c>
      <c r="H306" s="3">
        <f t="shared" si="37"/>
        <v>77.963812669189835</v>
      </c>
      <c r="L306" s="3">
        <f t="shared" si="38"/>
        <v>31843.82949833354</v>
      </c>
      <c r="N306" s="3">
        <f t="shared" si="39"/>
        <v>87086.170501666391</v>
      </c>
      <c r="P306" s="45">
        <f t="shared" si="40"/>
        <v>56470.300958452557</v>
      </c>
      <c r="Q306" s="46"/>
    </row>
    <row r="307" spans="2:17" x14ac:dyDescent="0.25">
      <c r="B307">
        <f t="shared" si="34"/>
        <v>291</v>
      </c>
      <c r="D307" s="3">
        <f t="shared" si="35"/>
        <v>495.02231537972062</v>
      </c>
      <c r="F307" s="3">
        <f t="shared" si="36"/>
        <v>418.06639409208123</v>
      </c>
      <c r="H307" s="3">
        <f t="shared" si="37"/>
        <v>76.955921287639399</v>
      </c>
      <c r="L307" s="3">
        <f t="shared" si="38"/>
        <v>31425.763104241458</v>
      </c>
      <c r="N307" s="3">
        <f t="shared" si="39"/>
        <v>87504.236895758469</v>
      </c>
      <c r="P307" s="45">
        <f t="shared" si="40"/>
        <v>56547.256879740198</v>
      </c>
      <c r="Q307" s="46"/>
    </row>
    <row r="308" spans="2:17" x14ac:dyDescent="0.25">
      <c r="B308">
        <f t="shared" si="34"/>
        <v>292</v>
      </c>
      <c r="D308" s="3">
        <f t="shared" si="35"/>
        <v>495.02231537972062</v>
      </c>
      <c r="F308" s="3">
        <f t="shared" si="36"/>
        <v>419.07672121113711</v>
      </c>
      <c r="H308" s="3">
        <f t="shared" si="37"/>
        <v>75.945594168583526</v>
      </c>
      <c r="L308" s="3">
        <f t="shared" si="38"/>
        <v>31006.686383030319</v>
      </c>
      <c r="N308" s="3">
        <f t="shared" si="39"/>
        <v>87923.313616969608</v>
      </c>
      <c r="P308" s="45">
        <f t="shared" si="40"/>
        <v>56623.202473908779</v>
      </c>
      <c r="Q308" s="46"/>
    </row>
    <row r="309" spans="2:17" x14ac:dyDescent="0.25">
      <c r="B309">
        <f t="shared" si="34"/>
        <v>293</v>
      </c>
      <c r="D309" s="3">
        <f t="shared" si="35"/>
        <v>495.02231537972062</v>
      </c>
      <c r="F309" s="3">
        <f t="shared" si="36"/>
        <v>420.08948995406399</v>
      </c>
      <c r="H309" s="3">
        <f t="shared" si="37"/>
        <v>74.932825425656603</v>
      </c>
      <c r="L309" s="3">
        <f t="shared" si="38"/>
        <v>30586.596893076254</v>
      </c>
      <c r="N309" s="3">
        <f t="shared" si="39"/>
        <v>88343.403106923666</v>
      </c>
      <c r="P309" s="45">
        <f t="shared" si="40"/>
        <v>56698.135299334434</v>
      </c>
      <c r="Q309" s="46"/>
    </row>
    <row r="310" spans="2:17" x14ac:dyDescent="0.25">
      <c r="B310">
        <f t="shared" si="34"/>
        <v>294</v>
      </c>
      <c r="D310" s="3">
        <f t="shared" si="35"/>
        <v>495.02231537972062</v>
      </c>
      <c r="F310" s="3">
        <f t="shared" si="36"/>
        <v>421.104706221453</v>
      </c>
      <c r="H310" s="3">
        <f t="shared" si="37"/>
        <v>73.917609158267624</v>
      </c>
      <c r="L310" s="3">
        <f t="shared" si="38"/>
        <v>30165.492186854801</v>
      </c>
      <c r="N310" s="3">
        <f t="shared" si="39"/>
        <v>88764.507813145116</v>
      </c>
      <c r="P310" s="45">
        <f t="shared" si="40"/>
        <v>56772.052908492704</v>
      </c>
      <c r="Q310" s="46"/>
    </row>
    <row r="311" spans="2:17" x14ac:dyDescent="0.25">
      <c r="B311">
        <f t="shared" si="34"/>
        <v>295</v>
      </c>
      <c r="D311" s="3">
        <f t="shared" si="35"/>
        <v>495.02231537972062</v>
      </c>
      <c r="F311" s="3">
        <f t="shared" si="36"/>
        <v>422.12237592815484</v>
      </c>
      <c r="H311" s="3">
        <f t="shared" si="37"/>
        <v>72.899939451565771</v>
      </c>
      <c r="L311" s="3">
        <f t="shared" si="38"/>
        <v>29743.369810926644</v>
      </c>
      <c r="N311" s="3">
        <f t="shared" si="39"/>
        <v>89186.630189073272</v>
      </c>
      <c r="P311" s="45">
        <f t="shared" si="40"/>
        <v>56844.952847944267</v>
      </c>
      <c r="Q311" s="46"/>
    </row>
    <row r="312" spans="2:17" x14ac:dyDescent="0.25">
      <c r="B312">
        <f t="shared" si="34"/>
        <v>296</v>
      </c>
      <c r="D312" s="3">
        <f t="shared" si="35"/>
        <v>495.02231537972062</v>
      </c>
      <c r="F312" s="3">
        <f t="shared" si="36"/>
        <v>423.14250500331457</v>
      </c>
      <c r="H312" s="3">
        <f t="shared" si="37"/>
        <v>71.879810376406056</v>
      </c>
      <c r="L312" s="3">
        <f t="shared" si="38"/>
        <v>29320.22730592333</v>
      </c>
      <c r="N312" s="3">
        <f t="shared" si="39"/>
        <v>89609.772694076586</v>
      </c>
      <c r="P312" s="45">
        <f t="shared" si="40"/>
        <v>56916.832658320673</v>
      </c>
      <c r="Q312" s="46"/>
    </row>
    <row r="313" spans="2:17" x14ac:dyDescent="0.25">
      <c r="B313">
        <f t="shared" si="34"/>
        <v>297</v>
      </c>
      <c r="D313" s="3">
        <f t="shared" si="35"/>
        <v>495.02231537972062</v>
      </c>
      <c r="F313" s="3">
        <f t="shared" si="36"/>
        <v>424.16509939040589</v>
      </c>
      <c r="H313" s="3">
        <f t="shared" si="37"/>
        <v>70.857215989314724</v>
      </c>
      <c r="L313" s="3">
        <f t="shared" si="38"/>
        <v>28896.062206532923</v>
      </c>
      <c r="N313" s="3">
        <f t="shared" si="39"/>
        <v>90033.93779346699</v>
      </c>
      <c r="P313" s="45">
        <f t="shared" si="40"/>
        <v>56987.689874309988</v>
      </c>
      <c r="Q313" s="46"/>
    </row>
    <row r="314" spans="2:17" x14ac:dyDescent="0.25">
      <c r="B314">
        <f t="shared" si="34"/>
        <v>298</v>
      </c>
      <c r="D314" s="3">
        <f t="shared" si="35"/>
        <v>495.02231537972062</v>
      </c>
      <c r="F314" s="3">
        <f t="shared" si="36"/>
        <v>425.19016504726608</v>
      </c>
      <c r="H314" s="3">
        <f t="shared" si="37"/>
        <v>69.83215033245456</v>
      </c>
      <c r="L314" s="3">
        <f t="shared" si="38"/>
        <v>28470.872041485658</v>
      </c>
      <c r="N314" s="3">
        <f t="shared" si="39"/>
        <v>90459.127958514262</v>
      </c>
      <c r="P314" s="45">
        <f t="shared" si="40"/>
        <v>57057.522024642443</v>
      </c>
      <c r="Q314" s="46"/>
    </row>
    <row r="315" spans="2:17" x14ac:dyDescent="0.25">
      <c r="B315">
        <f t="shared" si="34"/>
        <v>299</v>
      </c>
      <c r="D315" s="3">
        <f t="shared" si="35"/>
        <v>495.02231537972062</v>
      </c>
      <c r="F315" s="3">
        <f t="shared" si="36"/>
        <v>426.2177079461303</v>
      </c>
      <c r="H315" s="3">
        <f t="shared" si="37"/>
        <v>68.804607433590348</v>
      </c>
      <c r="L315" s="3">
        <f t="shared" si="38"/>
        <v>28044.654333539529</v>
      </c>
      <c r="N315" s="3">
        <f t="shared" si="39"/>
        <v>90885.345666460387</v>
      </c>
      <c r="P315" s="45">
        <f t="shared" si="40"/>
        <v>57126.32663207603</v>
      </c>
      <c r="Q315" s="46"/>
    </row>
    <row r="316" spans="2:17" x14ac:dyDescent="0.25">
      <c r="B316">
        <f t="shared" si="34"/>
        <v>300</v>
      </c>
      <c r="D316" s="3">
        <f t="shared" si="35"/>
        <v>495.02231537972062</v>
      </c>
      <c r="F316" s="3">
        <f t="shared" si="36"/>
        <v>427.24773407366678</v>
      </c>
      <c r="H316" s="3">
        <f t="shared" si="37"/>
        <v>67.774581306053861</v>
      </c>
      <c r="L316" s="3">
        <f t="shared" si="38"/>
        <v>27617.406599465863</v>
      </c>
      <c r="N316" s="3">
        <f t="shared" si="39"/>
        <v>91312.593400534053</v>
      </c>
      <c r="P316" s="45">
        <f t="shared" si="40"/>
        <v>57194.101213382084</v>
      </c>
      <c r="Q316" s="46"/>
    </row>
    <row r="317" spans="2:17" x14ac:dyDescent="0.25">
      <c r="B317">
        <f t="shared" si="34"/>
        <v>301</v>
      </c>
      <c r="D317" s="3">
        <f t="shared" si="35"/>
        <v>495.02231537972062</v>
      </c>
      <c r="F317" s="3">
        <f t="shared" si="36"/>
        <v>428.28024943101144</v>
      </c>
      <c r="H317" s="3">
        <f t="shared" si="37"/>
        <v>66.742065948709168</v>
      </c>
      <c r="L317" s="3">
        <f t="shared" si="38"/>
        <v>27189.12635003485</v>
      </c>
      <c r="N317" s="3">
        <f t="shared" si="39"/>
        <v>91740.873649965069</v>
      </c>
      <c r="P317" s="45">
        <f t="shared" si="40"/>
        <v>57260.843279330795</v>
      </c>
      <c r="Q317" s="46"/>
    </row>
    <row r="318" spans="2:17" x14ac:dyDescent="0.25">
      <c r="B318">
        <f t="shared" si="34"/>
        <v>302</v>
      </c>
      <c r="D318" s="3">
        <f t="shared" si="35"/>
        <v>495.02231537972062</v>
      </c>
      <c r="F318" s="3">
        <f t="shared" si="36"/>
        <v>429.31526003380304</v>
      </c>
      <c r="H318" s="3">
        <f t="shared" si="37"/>
        <v>65.707055345917553</v>
      </c>
      <c r="L318" s="3">
        <f t="shared" si="38"/>
        <v>26759.811090001047</v>
      </c>
      <c r="N318" s="3">
        <f t="shared" si="39"/>
        <v>92170.188909998877</v>
      </c>
      <c r="P318" s="45">
        <f t="shared" si="40"/>
        <v>57326.550334676715</v>
      </c>
      <c r="Q318" s="46"/>
    </row>
    <row r="319" spans="2:17" x14ac:dyDescent="0.25">
      <c r="B319">
        <f t="shared" si="34"/>
        <v>303</v>
      </c>
      <c r="D319" s="3">
        <f t="shared" si="35"/>
        <v>495.02231537972062</v>
      </c>
      <c r="F319" s="3">
        <f t="shared" si="36"/>
        <v>430.35277191221809</v>
      </c>
      <c r="H319" s="3">
        <f t="shared" si="37"/>
        <v>64.669543467502535</v>
      </c>
      <c r="L319" s="3">
        <f t="shared" si="38"/>
        <v>26329.458318088829</v>
      </c>
      <c r="N319" s="3">
        <f t="shared" si="39"/>
        <v>92600.541681911098</v>
      </c>
      <c r="P319" s="45">
        <f t="shared" si="40"/>
        <v>57391.21987814422</v>
      </c>
      <c r="Q319" s="46"/>
    </row>
    <row r="320" spans="2:17" x14ac:dyDescent="0.25">
      <c r="B320">
        <f t="shared" si="34"/>
        <v>304</v>
      </c>
      <c r="D320" s="3">
        <f t="shared" si="35"/>
        <v>495.02231537972062</v>
      </c>
      <c r="F320" s="3">
        <f t="shared" si="36"/>
        <v>431.39279111100598</v>
      </c>
      <c r="H320" s="3">
        <f t="shared" si="37"/>
        <v>63.629524268714675</v>
      </c>
      <c r="L320" s="3">
        <f t="shared" si="38"/>
        <v>25898.065526977822</v>
      </c>
      <c r="N320" s="3">
        <f t="shared" si="39"/>
        <v>93031.934473022106</v>
      </c>
      <c r="P320" s="45">
        <f t="shared" si="40"/>
        <v>57454.849402412932</v>
      </c>
      <c r="Q320" s="46"/>
    </row>
    <row r="321" spans="2:17" x14ac:dyDescent="0.25">
      <c r="B321">
        <f t="shared" si="34"/>
        <v>305</v>
      </c>
      <c r="D321" s="3">
        <f t="shared" si="35"/>
        <v>495.02231537972062</v>
      </c>
      <c r="F321" s="3">
        <f t="shared" si="36"/>
        <v>432.43532368952424</v>
      </c>
      <c r="H321" s="3">
        <f t="shared" si="37"/>
        <v>62.586991690196406</v>
      </c>
      <c r="L321" s="3">
        <f t="shared" si="38"/>
        <v>25465.630203288296</v>
      </c>
      <c r="N321" s="3">
        <f t="shared" si="39"/>
        <v>93464.369796711631</v>
      </c>
      <c r="P321" s="45">
        <f t="shared" si="40"/>
        <v>57517.436394103126</v>
      </c>
      <c r="Q321" s="46"/>
    </row>
    <row r="322" spans="2:17" x14ac:dyDescent="0.25">
      <c r="B322">
        <f t="shared" si="34"/>
        <v>306</v>
      </c>
      <c r="D322" s="3">
        <f t="shared" si="35"/>
        <v>495.02231537972062</v>
      </c>
      <c r="F322" s="3">
        <f t="shared" si="36"/>
        <v>433.4803757217739</v>
      </c>
      <c r="H322" s="3">
        <f t="shared" si="37"/>
        <v>61.54193965794672</v>
      </c>
      <c r="L322" s="3">
        <f t="shared" si="38"/>
        <v>25032.149827566522</v>
      </c>
      <c r="N322" s="3">
        <f t="shared" si="39"/>
        <v>93897.850172433406</v>
      </c>
      <c r="P322" s="45">
        <f t="shared" si="40"/>
        <v>57578.978333761072</v>
      </c>
      <c r="Q322" s="46"/>
    </row>
    <row r="323" spans="2:17" x14ac:dyDescent="0.25">
      <c r="B323">
        <f t="shared" si="34"/>
        <v>307</v>
      </c>
      <c r="D323" s="3">
        <f t="shared" si="35"/>
        <v>495.02231537972062</v>
      </c>
      <c r="F323" s="3">
        <f t="shared" si="36"/>
        <v>434.52795329643487</v>
      </c>
      <c r="H323" s="3">
        <f t="shared" si="37"/>
        <v>60.494362083285765</v>
      </c>
      <c r="L323" s="3">
        <f t="shared" si="38"/>
        <v>24597.621874270088</v>
      </c>
      <c r="N323" s="3">
        <f t="shared" si="39"/>
        <v>94332.37812572984</v>
      </c>
      <c r="P323" s="45">
        <f t="shared" si="40"/>
        <v>57639.472695844357</v>
      </c>
      <c r="Q323" s="46"/>
    </row>
    <row r="324" spans="2:17" x14ac:dyDescent="0.25">
      <c r="B324">
        <f t="shared" si="34"/>
        <v>308</v>
      </c>
      <c r="D324" s="3">
        <f t="shared" si="35"/>
        <v>495.02231537972062</v>
      </c>
      <c r="F324" s="3">
        <f t="shared" si="36"/>
        <v>435.57806251690124</v>
      </c>
      <c r="H324" s="3">
        <f t="shared" si="37"/>
        <v>59.444252862819383</v>
      </c>
      <c r="L324" s="3">
        <f t="shared" si="38"/>
        <v>24162.043811753185</v>
      </c>
      <c r="N324" s="3">
        <f t="shared" si="39"/>
        <v>94767.956188246739</v>
      </c>
      <c r="P324" s="45">
        <f t="shared" si="40"/>
        <v>57698.916948707178</v>
      </c>
      <c r="Q324" s="46"/>
    </row>
    <row r="325" spans="2:17" x14ac:dyDescent="0.25">
      <c r="B325">
        <f t="shared" si="34"/>
        <v>309</v>
      </c>
      <c r="D325" s="3">
        <f t="shared" si="35"/>
        <v>495.02231537972062</v>
      </c>
      <c r="F325" s="3">
        <f t="shared" si="36"/>
        <v>436.63070950131709</v>
      </c>
      <c r="H325" s="3">
        <f t="shared" si="37"/>
        <v>58.391605878403531</v>
      </c>
      <c r="L325" s="3">
        <f t="shared" si="38"/>
        <v>23725.413102251867</v>
      </c>
      <c r="N325" s="3">
        <f t="shared" si="39"/>
        <v>95204.586897748057</v>
      </c>
      <c r="P325" s="45">
        <f t="shared" si="40"/>
        <v>57757.308554585579</v>
      </c>
      <c r="Q325" s="46"/>
    </row>
    <row r="326" spans="2:17" x14ac:dyDescent="0.25">
      <c r="B326">
        <f t="shared" si="34"/>
        <v>310</v>
      </c>
      <c r="D326" s="3">
        <f t="shared" si="35"/>
        <v>495.02231537972062</v>
      </c>
      <c r="F326" s="3">
        <f t="shared" si="36"/>
        <v>437.68590038261192</v>
      </c>
      <c r="H326" s="3">
        <f t="shared" si="37"/>
        <v>57.336414997108683</v>
      </c>
      <c r="L326" s="3">
        <f t="shared" si="38"/>
        <v>23287.727201869257</v>
      </c>
      <c r="N326" s="3">
        <f t="shared" si="39"/>
        <v>95642.272798130667</v>
      </c>
      <c r="P326" s="45">
        <f t="shared" si="40"/>
        <v>57814.644969582689</v>
      </c>
      <c r="Q326" s="46"/>
    </row>
    <row r="327" spans="2:17" x14ac:dyDescent="0.25">
      <c r="B327">
        <f t="shared" si="34"/>
        <v>311</v>
      </c>
      <c r="D327" s="3">
        <f t="shared" si="35"/>
        <v>495.02231537972062</v>
      </c>
      <c r="F327" s="3">
        <f t="shared" si="36"/>
        <v>438.74364130853655</v>
      </c>
      <c r="H327" s="3">
        <f t="shared" si="37"/>
        <v>56.278674071184042</v>
      </c>
      <c r="L327" s="3">
        <f t="shared" si="38"/>
        <v>22848.983560560719</v>
      </c>
      <c r="N327" s="3">
        <f t="shared" si="39"/>
        <v>96081.016439439205</v>
      </c>
      <c r="P327" s="45">
        <f t="shared" si="40"/>
        <v>57870.92364365387</v>
      </c>
      <c r="Q327" s="46"/>
    </row>
    <row r="328" spans="2:17" x14ac:dyDescent="0.25">
      <c r="B328">
        <f t="shared" si="34"/>
        <v>312</v>
      </c>
      <c r="D328" s="3">
        <f t="shared" si="35"/>
        <v>495.02231537972062</v>
      </c>
      <c r="F328" s="3">
        <f t="shared" si="36"/>
        <v>439.8039384416989</v>
      </c>
      <c r="H328" s="3">
        <f t="shared" si="37"/>
        <v>55.218376938021741</v>
      </c>
      <c r="L328" s="3">
        <f t="shared" si="38"/>
        <v>22409.17962211902</v>
      </c>
      <c r="N328" s="3">
        <f t="shared" si="39"/>
        <v>96520.820377880911</v>
      </c>
      <c r="P328" s="45">
        <f t="shared" si="40"/>
        <v>57926.142020591891</v>
      </c>
      <c r="Q328" s="46"/>
    </row>
    <row r="329" spans="2:17" x14ac:dyDescent="0.25">
      <c r="B329">
        <f t="shared" si="34"/>
        <v>313</v>
      </c>
      <c r="D329" s="3">
        <f t="shared" si="35"/>
        <v>495.02231537972062</v>
      </c>
      <c r="F329" s="3">
        <f t="shared" si="36"/>
        <v>440.86679795959964</v>
      </c>
      <c r="H329" s="3">
        <f t="shared" si="37"/>
        <v>54.155517420120965</v>
      </c>
      <c r="L329" s="3">
        <f t="shared" si="38"/>
        <v>21968.31282415942</v>
      </c>
      <c r="N329" s="3">
        <f t="shared" si="39"/>
        <v>96961.687175840518</v>
      </c>
      <c r="P329" s="45">
        <f t="shared" si="40"/>
        <v>57980.297538012012</v>
      </c>
      <c r="Q329" s="46"/>
    </row>
    <row r="330" spans="2:17" x14ac:dyDescent="0.25">
      <c r="B330">
        <f t="shared" si="34"/>
        <v>314</v>
      </c>
      <c r="D330" s="3">
        <f t="shared" si="35"/>
        <v>495.02231537972062</v>
      </c>
      <c r="F330" s="3">
        <f t="shared" si="36"/>
        <v>441.93222605466872</v>
      </c>
      <c r="H330" s="3">
        <f t="shared" si="37"/>
        <v>53.090089325051935</v>
      </c>
      <c r="L330" s="3">
        <f t="shared" si="38"/>
        <v>21526.380598104752</v>
      </c>
      <c r="N330" s="3">
        <f t="shared" si="39"/>
        <v>97403.619401895179</v>
      </c>
      <c r="P330" s="45">
        <f t="shared" si="40"/>
        <v>58033.387627337062</v>
      </c>
      <c r="Q330" s="46"/>
    </row>
    <row r="331" spans="2:17" x14ac:dyDescent="0.25">
      <c r="B331">
        <f t="shared" si="34"/>
        <v>315</v>
      </c>
      <c r="D331" s="3">
        <f t="shared" si="35"/>
        <v>495.02231537972062</v>
      </c>
      <c r="F331" s="3">
        <f t="shared" si="36"/>
        <v>443.00022893430082</v>
      </c>
      <c r="H331" s="3">
        <f t="shared" si="37"/>
        <v>52.022086445419816</v>
      </c>
      <c r="L331" s="3">
        <f t="shared" si="38"/>
        <v>21083.380369170452</v>
      </c>
      <c r="N331" s="3">
        <f t="shared" si="39"/>
        <v>97846.619630829475</v>
      </c>
      <c r="P331" s="45">
        <f t="shared" si="40"/>
        <v>58085.409713782479</v>
      </c>
      <c r="Q331" s="46"/>
    </row>
    <row r="332" spans="2:17" x14ac:dyDescent="0.25">
      <c r="B332">
        <f t="shared" si="34"/>
        <v>316</v>
      </c>
      <c r="D332" s="3">
        <f t="shared" si="35"/>
        <v>495.02231537972062</v>
      </c>
      <c r="F332" s="3">
        <f t="shared" si="36"/>
        <v>444.070812820892</v>
      </c>
      <c r="H332" s="3">
        <f t="shared" si="37"/>
        <v>50.951502558828594</v>
      </c>
      <c r="L332" s="3">
        <f t="shared" si="38"/>
        <v>20639.309556349559</v>
      </c>
      <c r="N332" s="3">
        <f t="shared" si="39"/>
        <v>98290.690443650368</v>
      </c>
      <c r="P332" s="45">
        <f t="shared" si="40"/>
        <v>58136.361216341305</v>
      </c>
      <c r="Q332" s="46"/>
    </row>
    <row r="333" spans="2:17" x14ac:dyDescent="0.25">
      <c r="B333">
        <f t="shared" si="34"/>
        <v>317</v>
      </c>
      <c r="D333" s="3">
        <f t="shared" si="35"/>
        <v>495.02231537972062</v>
      </c>
      <c r="F333" s="3">
        <f t="shared" si="36"/>
        <v>445.14398395187584</v>
      </c>
      <c r="H333" s="3">
        <f t="shared" si="37"/>
        <v>49.87833142784477</v>
      </c>
      <c r="L333" s="3">
        <f t="shared" si="38"/>
        <v>20194.165572397684</v>
      </c>
      <c r="N333" s="3">
        <f t="shared" si="39"/>
        <v>98735.83442760224</v>
      </c>
      <c r="P333" s="45">
        <f t="shared" si="40"/>
        <v>58186.239547769153</v>
      </c>
      <c r="Q333" s="46"/>
    </row>
    <row r="334" spans="2:17" x14ac:dyDescent="0.25">
      <c r="B334">
        <f t="shared" si="34"/>
        <v>318</v>
      </c>
      <c r="D334" s="3">
        <f t="shared" si="35"/>
        <v>495.02231537972062</v>
      </c>
      <c r="F334" s="3">
        <f t="shared" si="36"/>
        <v>446.21974857975954</v>
      </c>
      <c r="H334" s="3">
        <f t="shared" si="37"/>
        <v>48.80256679996107</v>
      </c>
      <c r="L334" s="3">
        <f t="shared" si="38"/>
        <v>19747.945823817925</v>
      </c>
      <c r="N334" s="3">
        <f t="shared" si="39"/>
        <v>99182.054176182006</v>
      </c>
      <c r="P334" s="45">
        <f t="shared" si="40"/>
        <v>58235.042114569114</v>
      </c>
      <c r="Q334" s="46"/>
    </row>
    <row r="335" spans="2:17" x14ac:dyDescent="0.25">
      <c r="B335">
        <f t="shared" si="34"/>
        <v>319</v>
      </c>
      <c r="D335" s="3">
        <f t="shared" si="35"/>
        <v>495.02231537972062</v>
      </c>
      <c r="F335" s="3">
        <f t="shared" si="36"/>
        <v>447.29811297216065</v>
      </c>
      <c r="H335" s="3">
        <f t="shared" si="37"/>
        <v>47.724202407559986</v>
      </c>
      <c r="L335" s="3">
        <f t="shared" si="38"/>
        <v>19300.647710845766</v>
      </c>
      <c r="N335" s="3">
        <f t="shared" si="39"/>
        <v>99629.352289154165</v>
      </c>
      <c r="P335" s="45">
        <f t="shared" si="40"/>
        <v>58282.766316976675</v>
      </c>
      <c r="Q335" s="46"/>
    </row>
    <row r="336" spans="2:17" x14ac:dyDescent="0.25">
      <c r="B336">
        <f t="shared" si="34"/>
        <v>320</v>
      </c>
      <c r="D336" s="3">
        <f t="shared" si="35"/>
        <v>495.02231537972062</v>
      </c>
      <c r="F336" s="3">
        <f t="shared" si="36"/>
        <v>448.37908341184334</v>
      </c>
      <c r="H336" s="3">
        <f t="shared" si="37"/>
        <v>46.64323196787727</v>
      </c>
      <c r="L336" s="3">
        <f t="shared" si="38"/>
        <v>18852.268627433921</v>
      </c>
      <c r="N336" s="3">
        <f t="shared" si="39"/>
        <v>100077.73137256601</v>
      </c>
      <c r="P336" s="45">
        <f t="shared" si="40"/>
        <v>58329.409548944554</v>
      </c>
      <c r="Q336" s="46"/>
    </row>
    <row r="337" spans="2:17" x14ac:dyDescent="0.25">
      <c r="B337">
        <f t="shared" si="34"/>
        <v>321</v>
      </c>
      <c r="D337" s="3">
        <f t="shared" si="35"/>
        <v>495.02231537972062</v>
      </c>
      <c r="F337" s="3">
        <f t="shared" si="36"/>
        <v>449.46266619675532</v>
      </c>
      <c r="H337" s="3">
        <f t="shared" si="37"/>
        <v>45.559649182965309</v>
      </c>
      <c r="L337" s="3">
        <f t="shared" si="38"/>
        <v>18402.805961237165</v>
      </c>
      <c r="N337" s="3">
        <f t="shared" si="39"/>
        <v>100527.19403876275</v>
      </c>
      <c r="P337" s="45">
        <f t="shared" si="40"/>
        <v>58374.969198127517</v>
      </c>
      <c r="Q337" s="46"/>
    </row>
    <row r="338" spans="2:17" x14ac:dyDescent="0.25">
      <c r="B338">
        <f t="shared" si="34"/>
        <v>322</v>
      </c>
      <c r="D338" s="3">
        <f t="shared" si="35"/>
        <v>495.02231537972062</v>
      </c>
      <c r="F338" s="3">
        <f t="shared" si="36"/>
        <v>450.54886764006415</v>
      </c>
      <c r="H338" s="3">
        <f t="shared" si="37"/>
        <v>44.473447739656486</v>
      </c>
      <c r="L338" s="3">
        <f t="shared" si="38"/>
        <v>17952.257093597102</v>
      </c>
      <c r="N338" s="3">
        <f t="shared" si="39"/>
        <v>100977.74290640283</v>
      </c>
      <c r="P338" s="45">
        <f t="shared" si="40"/>
        <v>58419.442645867173</v>
      </c>
      <c r="Q338" s="46"/>
    </row>
    <row r="339" spans="2:17" x14ac:dyDescent="0.25">
      <c r="B339">
        <f t="shared" si="34"/>
        <v>323</v>
      </c>
      <c r="D339" s="3">
        <f t="shared" si="35"/>
        <v>495.02231537972062</v>
      </c>
      <c r="F339" s="3">
        <f t="shared" si="36"/>
        <v>451.6376940701943</v>
      </c>
      <c r="H339" s="3">
        <f t="shared" si="37"/>
        <v>43.384621309526331</v>
      </c>
      <c r="L339" s="3">
        <f t="shared" si="38"/>
        <v>17500.619399526906</v>
      </c>
      <c r="N339" s="3">
        <f t="shared" si="39"/>
        <v>101429.38060047301</v>
      </c>
      <c r="P339" s="45">
        <f t="shared" si="40"/>
        <v>58462.827267176697</v>
      </c>
      <c r="Q339" s="46"/>
    </row>
    <row r="340" spans="2:17" x14ac:dyDescent="0.25">
      <c r="B340">
        <f t="shared" si="34"/>
        <v>324</v>
      </c>
      <c r="D340" s="3">
        <f t="shared" si="35"/>
        <v>495.02231537972062</v>
      </c>
      <c r="F340" s="3">
        <f t="shared" si="36"/>
        <v>452.72915183086394</v>
      </c>
      <c r="H340" s="3">
        <f t="shared" si="37"/>
        <v>42.29316354885669</v>
      </c>
      <c r="L340" s="3">
        <f t="shared" si="38"/>
        <v>17047.890247696043</v>
      </c>
      <c r="N340" s="3">
        <f t="shared" si="39"/>
        <v>101882.10975230388</v>
      </c>
      <c r="P340" s="45">
        <f t="shared" si="40"/>
        <v>58505.120430725554</v>
      </c>
      <c r="Q340" s="46"/>
    </row>
    <row r="341" spans="2:17" x14ac:dyDescent="0.25">
      <c r="B341">
        <f t="shared" si="34"/>
        <v>325</v>
      </c>
      <c r="D341" s="3">
        <f t="shared" si="35"/>
        <v>495.02231537972062</v>
      </c>
      <c r="F341" s="3">
        <f t="shared" si="36"/>
        <v>453.82324728112184</v>
      </c>
      <c r="H341" s="3">
        <f t="shared" si="37"/>
        <v>41.199068098598772</v>
      </c>
      <c r="L341" s="3">
        <f t="shared" si="38"/>
        <v>16594.067000414921</v>
      </c>
      <c r="N341" s="3">
        <f t="shared" si="39"/>
        <v>102335.932999585</v>
      </c>
      <c r="P341" s="45">
        <f t="shared" si="40"/>
        <v>58546.319498824152</v>
      </c>
      <c r="Q341" s="46"/>
    </row>
    <row r="342" spans="2:17" x14ac:dyDescent="0.25">
      <c r="B342">
        <f t="shared" si="34"/>
        <v>326</v>
      </c>
      <c r="D342" s="3">
        <f t="shared" si="35"/>
        <v>495.02231537972062</v>
      </c>
      <c r="F342" s="3">
        <f t="shared" si="36"/>
        <v>454.91998679538455</v>
      </c>
      <c r="H342" s="3">
        <f t="shared" si="37"/>
        <v>40.102328584336064</v>
      </c>
      <c r="L342" s="3">
        <f t="shared" si="38"/>
        <v>16139.147013619537</v>
      </c>
      <c r="N342" s="3">
        <f t="shared" si="39"/>
        <v>102790.85298638039</v>
      </c>
      <c r="P342" s="45">
        <f t="shared" si="40"/>
        <v>58586.421827408485</v>
      </c>
      <c r="Q342" s="46"/>
    </row>
    <row r="343" spans="2:17" x14ac:dyDescent="0.25">
      <c r="B343">
        <f t="shared" si="34"/>
        <v>327</v>
      </c>
      <c r="D343" s="3">
        <f t="shared" si="35"/>
        <v>495.02231537972062</v>
      </c>
      <c r="F343" s="3">
        <f t="shared" si="36"/>
        <v>456.01937676347342</v>
      </c>
      <c r="H343" s="3">
        <f t="shared" si="37"/>
        <v>39.002938616247214</v>
      </c>
      <c r="L343" s="3">
        <f t="shared" si="38"/>
        <v>15683.127636856063</v>
      </c>
      <c r="N343" s="3">
        <f t="shared" si="39"/>
        <v>103246.87236314386</v>
      </c>
      <c r="P343" s="45">
        <f t="shared" si="40"/>
        <v>58625.424766024735</v>
      </c>
      <c r="Q343" s="46"/>
    </row>
    <row r="344" spans="2:17" x14ac:dyDescent="0.25">
      <c r="B344">
        <f t="shared" si="34"/>
        <v>328</v>
      </c>
      <c r="D344" s="3">
        <f t="shared" si="35"/>
        <v>495.02231537972062</v>
      </c>
      <c r="F344" s="3">
        <f t="shared" si="36"/>
        <v>457.12142359065183</v>
      </c>
      <c r="H344" s="3">
        <f t="shared" si="37"/>
        <v>37.900891789068822</v>
      </c>
      <c r="L344" s="3">
        <f t="shared" si="38"/>
        <v>15226.006213265411</v>
      </c>
      <c r="N344" s="3">
        <f t="shared" si="39"/>
        <v>103703.99378673451</v>
      </c>
      <c r="P344" s="45">
        <f t="shared" si="40"/>
        <v>58663.325657813803</v>
      </c>
      <c r="Q344" s="46"/>
    </row>
    <row r="345" spans="2:17" x14ac:dyDescent="0.25">
      <c r="B345">
        <f t="shared" si="34"/>
        <v>329</v>
      </c>
      <c r="D345" s="3">
        <f t="shared" si="35"/>
        <v>495.02231537972062</v>
      </c>
      <c r="F345" s="3">
        <f t="shared" si="36"/>
        <v>458.22613369766253</v>
      </c>
      <c r="H345" s="3">
        <f t="shared" si="37"/>
        <v>36.796181682058076</v>
      </c>
      <c r="L345" s="3">
        <f t="shared" si="38"/>
        <v>14767.780079567749</v>
      </c>
      <c r="N345" s="3">
        <f t="shared" si="39"/>
        <v>104162.21992043218</v>
      </c>
      <c r="P345" s="45">
        <f t="shared" si="40"/>
        <v>58700.121839495863</v>
      </c>
      <c r="Q345" s="46"/>
    </row>
    <row r="346" spans="2:17" x14ac:dyDescent="0.25">
      <c r="B346">
        <f t="shared" si="34"/>
        <v>330</v>
      </c>
      <c r="D346" s="3">
        <f t="shared" si="35"/>
        <v>495.02231537972062</v>
      </c>
      <c r="F346" s="3">
        <f t="shared" si="36"/>
        <v>459.33351352076522</v>
      </c>
      <c r="H346" s="3">
        <f t="shared" si="37"/>
        <v>35.688801858955394</v>
      </c>
      <c r="L346" s="3">
        <f t="shared" si="38"/>
        <v>14308.446566046983</v>
      </c>
      <c r="N346" s="3">
        <f t="shared" si="39"/>
        <v>104621.55343395294</v>
      </c>
      <c r="P346" s="45">
        <f t="shared" si="40"/>
        <v>58735.810641354816</v>
      </c>
      <c r="Q346" s="46"/>
    </row>
    <row r="347" spans="2:17" x14ac:dyDescent="0.25">
      <c r="B347">
        <f t="shared" si="34"/>
        <v>331</v>
      </c>
      <c r="D347" s="3">
        <f t="shared" si="35"/>
        <v>495.02231537972062</v>
      </c>
      <c r="F347" s="3">
        <f t="shared" si="36"/>
        <v>460.44356951177372</v>
      </c>
      <c r="H347" s="3">
        <f t="shared" si="37"/>
        <v>34.578745867946878</v>
      </c>
      <c r="L347" s="3">
        <f t="shared" si="38"/>
        <v>13848.00299653521</v>
      </c>
      <c r="N347" s="3">
        <f t="shared" si="39"/>
        <v>105081.99700346471</v>
      </c>
      <c r="P347" s="45">
        <f t="shared" si="40"/>
        <v>58770.389387222764</v>
      </c>
      <c r="Q347" s="46"/>
    </row>
    <row r="348" spans="2:17" x14ac:dyDescent="0.25">
      <c r="B348">
        <f t="shared" si="34"/>
        <v>332</v>
      </c>
      <c r="D348" s="3">
        <f t="shared" si="35"/>
        <v>495.02231537972062</v>
      </c>
      <c r="F348" s="3">
        <f t="shared" si="36"/>
        <v>461.55630813809387</v>
      </c>
      <c r="H348" s="3">
        <f t="shared" si="37"/>
        <v>33.466007241626755</v>
      </c>
      <c r="L348" s="3">
        <f t="shared" si="38"/>
        <v>13386.446688397116</v>
      </c>
      <c r="N348" s="3">
        <f t="shared" si="39"/>
        <v>105543.55331160281</v>
      </c>
      <c r="P348" s="45">
        <f t="shared" si="40"/>
        <v>58803.855394464394</v>
      </c>
      <c r="Q348" s="46"/>
    </row>
    <row r="349" spans="2:17" x14ac:dyDescent="0.25">
      <c r="B349">
        <f t="shared" si="34"/>
        <v>333</v>
      </c>
      <c r="D349" s="3">
        <f t="shared" si="35"/>
        <v>495.02231537972062</v>
      </c>
      <c r="F349" s="3">
        <f t="shared" si="36"/>
        <v>462.67173588276091</v>
      </c>
      <c r="H349" s="3">
        <f t="shared" si="37"/>
        <v>32.350579496959696</v>
      </c>
      <c r="L349" s="3">
        <f t="shared" si="38"/>
        <v>12923.774952514355</v>
      </c>
      <c r="N349" s="3">
        <f t="shared" si="39"/>
        <v>106006.22504748557</v>
      </c>
      <c r="P349" s="45">
        <f t="shared" si="40"/>
        <v>58836.205973961354</v>
      </c>
      <c r="Q349" s="46"/>
    </row>
    <row r="350" spans="2:17" x14ac:dyDescent="0.25">
      <c r="B350">
        <f t="shared" ref="B350:B376" si="41">IF(AND(L349&lt;&gt;"",L349&gt;0.001),B349+1,"")</f>
        <v>334</v>
      </c>
      <c r="D350" s="3">
        <f t="shared" ref="D350:D376" si="42">IF(B350="","",IF(L349&lt;$F$10,L349*(1+$F$8),$F$10))</f>
        <v>495.02231537972062</v>
      </c>
      <c r="F350" s="3">
        <f t="shared" ref="F350:F376" si="43">IF(B350="","",(D350-H350+J350))</f>
        <v>463.78985924447761</v>
      </c>
      <c r="H350" s="3">
        <f t="shared" ref="H350:H376" si="44">IF(B350="", "",L349*$F$8)</f>
        <v>31.232456135243027</v>
      </c>
      <c r="L350" s="3">
        <f t="shared" ref="L350:L376" si="45">IF(B350="","",L349-F350)</f>
        <v>12459.985093269877</v>
      </c>
      <c r="N350" s="3">
        <f t="shared" ref="N350:N376" si="46">IF(B350="","",N349+F350)</f>
        <v>106470.01490673005</v>
      </c>
      <c r="P350" s="45">
        <f t="shared" ref="P350:P376" si="47">IF(B350="","",P349+H350)</f>
        <v>58867.438430096598</v>
      </c>
      <c r="Q350" s="46"/>
    </row>
    <row r="351" spans="2:17" x14ac:dyDescent="0.25">
      <c r="B351">
        <f t="shared" si="41"/>
        <v>335</v>
      </c>
      <c r="D351" s="3">
        <f t="shared" si="42"/>
        <v>495.02231537972062</v>
      </c>
      <c r="F351" s="3">
        <f t="shared" si="43"/>
        <v>464.91068473765176</v>
      </c>
      <c r="H351" s="3">
        <f t="shared" si="44"/>
        <v>30.111630642068871</v>
      </c>
      <c r="L351" s="3">
        <f t="shared" si="45"/>
        <v>11995.074408532226</v>
      </c>
      <c r="N351" s="3">
        <f t="shared" si="46"/>
        <v>106934.92559146771</v>
      </c>
      <c r="P351" s="45">
        <f t="shared" si="47"/>
        <v>58897.550060738664</v>
      </c>
      <c r="Q351" s="46"/>
    </row>
    <row r="352" spans="2:17" x14ac:dyDescent="0.25">
      <c r="B352">
        <f t="shared" si="41"/>
        <v>336</v>
      </c>
      <c r="D352" s="3">
        <f t="shared" si="42"/>
        <v>495.02231537972062</v>
      </c>
      <c r="F352" s="3">
        <f t="shared" si="43"/>
        <v>466.03421889243441</v>
      </c>
      <c r="H352" s="3">
        <f t="shared" si="44"/>
        <v>28.988096487286214</v>
      </c>
      <c r="L352" s="3">
        <f t="shared" si="45"/>
        <v>11529.040189639791</v>
      </c>
      <c r="N352" s="3">
        <f t="shared" si="46"/>
        <v>107400.95981036015</v>
      </c>
      <c r="P352" s="45">
        <f t="shared" si="47"/>
        <v>58926.53815722595</v>
      </c>
      <c r="Q352" s="46"/>
    </row>
    <row r="353" spans="2:17" x14ac:dyDescent="0.25">
      <c r="B353">
        <f t="shared" si="41"/>
        <v>337</v>
      </c>
      <c r="D353" s="3">
        <f t="shared" si="42"/>
        <v>495.02231537972062</v>
      </c>
      <c r="F353" s="3">
        <f t="shared" si="43"/>
        <v>467.1604682547578</v>
      </c>
      <c r="H353" s="3">
        <f t="shared" si="44"/>
        <v>27.861847124962829</v>
      </c>
      <c r="L353" s="3">
        <f t="shared" si="45"/>
        <v>11061.879721385032</v>
      </c>
      <c r="N353" s="3">
        <f t="shared" si="46"/>
        <v>107868.12027861491</v>
      </c>
      <c r="P353" s="45">
        <f t="shared" si="47"/>
        <v>58954.400004350915</v>
      </c>
      <c r="Q353" s="46"/>
    </row>
    <row r="354" spans="2:17" x14ac:dyDescent="0.25">
      <c r="B354">
        <f t="shared" si="41"/>
        <v>338</v>
      </c>
      <c r="D354" s="3">
        <f t="shared" si="42"/>
        <v>495.02231537972062</v>
      </c>
      <c r="F354" s="3">
        <f t="shared" si="43"/>
        <v>468.28943938637349</v>
      </c>
      <c r="H354" s="3">
        <f t="shared" si="44"/>
        <v>26.732875993347161</v>
      </c>
      <c r="L354" s="3">
        <f t="shared" si="45"/>
        <v>10593.590281998659</v>
      </c>
      <c r="N354" s="3">
        <f t="shared" si="46"/>
        <v>108336.40971800128</v>
      </c>
      <c r="P354" s="45">
        <f t="shared" si="47"/>
        <v>58981.132880344259</v>
      </c>
      <c r="Q354" s="46"/>
    </row>
    <row r="355" spans="2:17" x14ac:dyDescent="0.25">
      <c r="B355">
        <f t="shared" si="41"/>
        <v>339</v>
      </c>
      <c r="D355" s="3">
        <f t="shared" si="42"/>
        <v>495.02231537972062</v>
      </c>
      <c r="F355" s="3">
        <f t="shared" si="43"/>
        <v>469.42113886489051</v>
      </c>
      <c r="H355" s="3">
        <f t="shared" si="44"/>
        <v>25.601176514830094</v>
      </c>
      <c r="L355" s="3">
        <f t="shared" si="45"/>
        <v>10124.169143133768</v>
      </c>
      <c r="N355" s="3">
        <f t="shared" si="46"/>
        <v>108805.83085686616</v>
      </c>
      <c r="P355" s="45">
        <f t="shared" si="47"/>
        <v>59006.734056859088</v>
      </c>
      <c r="Q355" s="46"/>
    </row>
    <row r="356" spans="2:17" x14ac:dyDescent="0.25">
      <c r="B356">
        <f t="shared" si="41"/>
        <v>340</v>
      </c>
      <c r="D356" s="3">
        <f t="shared" si="42"/>
        <v>495.02231537972062</v>
      </c>
      <c r="F356" s="3">
        <f t="shared" si="43"/>
        <v>470.555573283814</v>
      </c>
      <c r="H356" s="3">
        <f t="shared" si="44"/>
        <v>24.466742095906607</v>
      </c>
      <c r="L356" s="3">
        <f t="shared" si="45"/>
        <v>9653.6135698499529</v>
      </c>
      <c r="N356" s="3">
        <f t="shared" si="46"/>
        <v>109276.38643014997</v>
      </c>
      <c r="P356" s="45">
        <f t="shared" si="47"/>
        <v>59031.200798954997</v>
      </c>
      <c r="Q356" s="46"/>
    </row>
    <row r="357" spans="2:17" x14ac:dyDescent="0.25">
      <c r="B357">
        <f t="shared" si="41"/>
        <v>341</v>
      </c>
      <c r="D357" s="3">
        <f t="shared" si="42"/>
        <v>495.02231537972062</v>
      </c>
      <c r="F357" s="3">
        <f t="shared" si="43"/>
        <v>471.69274925258321</v>
      </c>
      <c r="H357" s="3">
        <f t="shared" si="44"/>
        <v>23.329566127137387</v>
      </c>
      <c r="L357" s="3">
        <f t="shared" si="45"/>
        <v>9181.92082059737</v>
      </c>
      <c r="N357" s="3">
        <f t="shared" si="46"/>
        <v>109748.07917940256</v>
      </c>
      <c r="P357" s="45">
        <f t="shared" si="47"/>
        <v>59054.530365082137</v>
      </c>
      <c r="Q357" s="46"/>
    </row>
    <row r="358" spans="2:17" x14ac:dyDescent="0.25">
      <c r="B358">
        <f t="shared" si="41"/>
        <v>342</v>
      </c>
      <c r="D358" s="3">
        <f t="shared" si="42"/>
        <v>495.02231537972062</v>
      </c>
      <c r="F358" s="3">
        <f t="shared" si="43"/>
        <v>472.83267339661029</v>
      </c>
      <c r="H358" s="3">
        <f t="shared" si="44"/>
        <v>22.189641983110313</v>
      </c>
      <c r="L358" s="3">
        <f t="shared" si="45"/>
        <v>8709.0881472007604</v>
      </c>
      <c r="N358" s="3">
        <f t="shared" si="46"/>
        <v>110220.91185279917</v>
      </c>
      <c r="P358" s="45">
        <f t="shared" si="47"/>
        <v>59076.720007065247</v>
      </c>
      <c r="Q358" s="46"/>
    </row>
    <row r="359" spans="2:17" x14ac:dyDescent="0.25">
      <c r="B359">
        <f t="shared" si="41"/>
        <v>343</v>
      </c>
      <c r="D359" s="3">
        <f t="shared" si="42"/>
        <v>495.02231537972062</v>
      </c>
      <c r="F359" s="3">
        <f t="shared" si="43"/>
        <v>473.9753523573188</v>
      </c>
      <c r="H359" s="3">
        <f t="shared" si="44"/>
        <v>21.04696302240184</v>
      </c>
      <c r="L359" s="3">
        <f t="shared" si="45"/>
        <v>8235.1127948434423</v>
      </c>
      <c r="N359" s="3">
        <f t="shared" si="46"/>
        <v>110694.88720515648</v>
      </c>
      <c r="P359" s="45">
        <f t="shared" si="47"/>
        <v>59097.76697008765</v>
      </c>
      <c r="Q359" s="46"/>
    </row>
    <row r="360" spans="2:17" x14ac:dyDescent="0.25">
      <c r="B360">
        <f t="shared" si="41"/>
        <v>344</v>
      </c>
      <c r="D360" s="3">
        <f t="shared" si="42"/>
        <v>495.02231537972062</v>
      </c>
      <c r="F360" s="3">
        <f t="shared" si="43"/>
        <v>475.12079279218233</v>
      </c>
      <c r="H360" s="3">
        <f t="shared" si="44"/>
        <v>19.90152258753832</v>
      </c>
      <c r="L360" s="3">
        <f t="shared" si="45"/>
        <v>7759.99200205126</v>
      </c>
      <c r="N360" s="3">
        <f t="shared" si="46"/>
        <v>111170.00799794866</v>
      </c>
      <c r="P360" s="45">
        <f t="shared" si="47"/>
        <v>59117.668492675191</v>
      </c>
      <c r="Q360" s="46"/>
    </row>
    <row r="361" spans="2:17" x14ac:dyDescent="0.25">
      <c r="B361">
        <f t="shared" si="41"/>
        <v>345</v>
      </c>
      <c r="D361" s="3">
        <f t="shared" si="42"/>
        <v>495.02231537972062</v>
      </c>
      <c r="F361" s="3">
        <f t="shared" si="43"/>
        <v>476.26900137476343</v>
      </c>
      <c r="H361" s="3">
        <f t="shared" si="44"/>
        <v>18.753314004957211</v>
      </c>
      <c r="L361" s="3">
        <f t="shared" si="45"/>
        <v>7283.7230006764967</v>
      </c>
      <c r="N361" s="3">
        <f t="shared" si="46"/>
        <v>111646.27699932343</v>
      </c>
      <c r="P361" s="45">
        <f t="shared" si="47"/>
        <v>59136.421806680148</v>
      </c>
      <c r="Q361" s="46"/>
    </row>
    <row r="362" spans="2:17" x14ac:dyDescent="0.25">
      <c r="B362">
        <f t="shared" si="41"/>
        <v>346</v>
      </c>
      <c r="D362" s="3">
        <f t="shared" si="42"/>
        <v>495.02231537972062</v>
      </c>
      <c r="F362" s="3">
        <f t="shared" si="43"/>
        <v>477.41998479475239</v>
      </c>
      <c r="H362" s="3">
        <f t="shared" si="44"/>
        <v>17.6023305849682</v>
      </c>
      <c r="L362" s="3">
        <f t="shared" si="45"/>
        <v>6806.3030158817446</v>
      </c>
      <c r="N362" s="3">
        <f t="shared" si="46"/>
        <v>112123.69698411817</v>
      </c>
      <c r="P362" s="45">
        <f t="shared" si="47"/>
        <v>59154.024137265114</v>
      </c>
      <c r="Q362" s="46"/>
    </row>
    <row r="363" spans="2:17" x14ac:dyDescent="0.25">
      <c r="B363">
        <f t="shared" si="41"/>
        <v>347</v>
      </c>
      <c r="D363" s="3">
        <f t="shared" si="42"/>
        <v>495.02231537972062</v>
      </c>
      <c r="F363" s="3">
        <f t="shared" si="43"/>
        <v>478.57374975800639</v>
      </c>
      <c r="H363" s="3">
        <f t="shared" si="44"/>
        <v>16.448565621714216</v>
      </c>
      <c r="L363" s="3">
        <f t="shared" si="45"/>
        <v>6327.7292661237379</v>
      </c>
      <c r="N363" s="3">
        <f t="shared" si="46"/>
        <v>112602.27073387618</v>
      </c>
      <c r="P363" s="45">
        <f t="shared" si="47"/>
        <v>59170.472702886829</v>
      </c>
      <c r="Q363" s="46"/>
    </row>
    <row r="364" spans="2:17" x14ac:dyDescent="0.25">
      <c r="B364">
        <f t="shared" si="41"/>
        <v>348</v>
      </c>
      <c r="D364" s="3">
        <f t="shared" si="42"/>
        <v>495.02231537972062</v>
      </c>
      <c r="F364" s="3">
        <f t="shared" si="43"/>
        <v>479.73030298658824</v>
      </c>
      <c r="H364" s="3">
        <f t="shared" si="44"/>
        <v>15.292012393132367</v>
      </c>
      <c r="L364" s="3">
        <f t="shared" si="45"/>
        <v>5847.99896313715</v>
      </c>
      <c r="N364" s="3">
        <f t="shared" si="46"/>
        <v>113082.00103686277</v>
      </c>
      <c r="P364" s="45">
        <f t="shared" si="47"/>
        <v>59185.764715279962</v>
      </c>
      <c r="Q364" s="46"/>
    </row>
    <row r="365" spans="2:17" x14ac:dyDescent="0.25">
      <c r="B365">
        <f t="shared" si="41"/>
        <v>349</v>
      </c>
      <c r="D365" s="3">
        <f t="shared" si="42"/>
        <v>495.02231537972062</v>
      </c>
      <c r="F365" s="3">
        <f t="shared" si="43"/>
        <v>480.88965121880585</v>
      </c>
      <c r="H365" s="3">
        <f t="shared" si="44"/>
        <v>14.13266416091478</v>
      </c>
      <c r="L365" s="3">
        <f t="shared" si="45"/>
        <v>5367.1093119183442</v>
      </c>
      <c r="N365" s="3">
        <f t="shared" si="46"/>
        <v>113562.89068808158</v>
      </c>
      <c r="P365" s="45">
        <f t="shared" si="47"/>
        <v>59199.897379440874</v>
      </c>
      <c r="Q365" s="46"/>
    </row>
    <row r="366" spans="2:17" x14ac:dyDescent="0.25">
      <c r="B366">
        <f t="shared" si="41"/>
        <v>350</v>
      </c>
      <c r="D366" s="3">
        <f t="shared" si="42"/>
        <v>495.02231537972062</v>
      </c>
      <c r="F366" s="3">
        <f t="shared" si="43"/>
        <v>482.05180120925127</v>
      </c>
      <c r="H366" s="3">
        <f t="shared" si="44"/>
        <v>12.970514170469333</v>
      </c>
      <c r="L366" s="3">
        <f t="shared" si="45"/>
        <v>4885.0575107090926</v>
      </c>
      <c r="N366" s="3">
        <f t="shared" si="46"/>
        <v>114044.94248929083</v>
      </c>
      <c r="P366" s="45">
        <f t="shared" si="47"/>
        <v>59212.867893611343</v>
      </c>
      <c r="Q366" s="46"/>
    </row>
    <row r="367" spans="2:17" x14ac:dyDescent="0.25">
      <c r="B367">
        <f t="shared" si="41"/>
        <v>351</v>
      </c>
      <c r="D367" s="3">
        <f t="shared" si="42"/>
        <v>495.02231537972062</v>
      </c>
      <c r="F367" s="3">
        <f t="shared" si="43"/>
        <v>483.21675972884032</v>
      </c>
      <c r="H367" s="3">
        <f t="shared" si="44"/>
        <v>11.805555650880308</v>
      </c>
      <c r="L367" s="3">
        <f t="shared" si="45"/>
        <v>4401.8407509802528</v>
      </c>
      <c r="N367" s="3">
        <f t="shared" si="46"/>
        <v>114528.15924901966</v>
      </c>
      <c r="P367" s="45">
        <f t="shared" si="47"/>
        <v>59224.67344926222</v>
      </c>
      <c r="Q367" s="46"/>
    </row>
    <row r="368" spans="2:17" x14ac:dyDescent="0.25">
      <c r="B368">
        <f t="shared" si="41"/>
        <v>352</v>
      </c>
      <c r="D368" s="3">
        <f t="shared" si="42"/>
        <v>495.02231537972062</v>
      </c>
      <c r="F368" s="3">
        <f t="shared" si="43"/>
        <v>484.38453356485167</v>
      </c>
      <c r="H368" s="3">
        <f t="shared" si="44"/>
        <v>10.637781814868944</v>
      </c>
      <c r="L368" s="3">
        <f t="shared" si="45"/>
        <v>3917.4562174154012</v>
      </c>
      <c r="N368" s="3">
        <f t="shared" si="46"/>
        <v>115012.54378258451</v>
      </c>
      <c r="P368" s="45">
        <f t="shared" si="47"/>
        <v>59235.311231077088</v>
      </c>
      <c r="Q368" s="46"/>
    </row>
    <row r="369" spans="2:17" x14ac:dyDescent="0.25">
      <c r="B369">
        <f t="shared" si="41"/>
        <v>353</v>
      </c>
      <c r="D369" s="3">
        <f t="shared" si="42"/>
        <v>495.02231537972062</v>
      </c>
      <c r="F369" s="3">
        <f t="shared" si="43"/>
        <v>485.55512952096672</v>
      </c>
      <c r="H369" s="3">
        <f t="shared" si="44"/>
        <v>9.4671858587538864</v>
      </c>
      <c r="L369" s="3">
        <f t="shared" si="45"/>
        <v>3431.9010878944346</v>
      </c>
      <c r="N369" s="3">
        <f t="shared" si="46"/>
        <v>115498.09891210549</v>
      </c>
      <c r="P369" s="45">
        <f t="shared" si="47"/>
        <v>59244.778416935842</v>
      </c>
      <c r="Q369" s="46"/>
    </row>
    <row r="370" spans="2:17" x14ac:dyDescent="0.25">
      <c r="B370">
        <f t="shared" si="41"/>
        <v>354</v>
      </c>
      <c r="D370" s="3">
        <f t="shared" si="42"/>
        <v>495.02231537972062</v>
      </c>
      <c r="F370" s="3">
        <f t="shared" si="43"/>
        <v>486.72855441730906</v>
      </c>
      <c r="H370" s="3">
        <f t="shared" si="44"/>
        <v>8.2937609624115503</v>
      </c>
      <c r="L370" s="3">
        <f t="shared" si="45"/>
        <v>2945.1725334771254</v>
      </c>
      <c r="N370" s="3">
        <f t="shared" si="46"/>
        <v>115984.82746652279</v>
      </c>
      <c r="P370" s="45">
        <f t="shared" si="47"/>
        <v>59253.072177898255</v>
      </c>
      <c r="Q370" s="46"/>
    </row>
    <row r="371" spans="2:17" x14ac:dyDescent="0.25">
      <c r="B371">
        <f t="shared" si="41"/>
        <v>355</v>
      </c>
      <c r="D371" s="3">
        <f t="shared" si="42"/>
        <v>495.02231537972062</v>
      </c>
      <c r="F371" s="3">
        <f t="shared" si="43"/>
        <v>487.90481509048425</v>
      </c>
      <c r="H371" s="3">
        <f t="shared" si="44"/>
        <v>7.1175002892363866</v>
      </c>
      <c r="L371" s="3">
        <f t="shared" si="45"/>
        <v>2457.2677183866413</v>
      </c>
      <c r="N371" s="3">
        <f t="shared" si="46"/>
        <v>116472.73228161328</v>
      </c>
      <c r="P371" s="45">
        <f t="shared" si="47"/>
        <v>59260.189678187489</v>
      </c>
      <c r="Q371" s="46"/>
    </row>
    <row r="372" spans="2:17" x14ac:dyDescent="0.25">
      <c r="B372">
        <f t="shared" si="41"/>
        <v>356</v>
      </c>
      <c r="D372" s="3">
        <f t="shared" si="42"/>
        <v>495.02231537972062</v>
      </c>
      <c r="F372" s="3">
        <f t="shared" si="43"/>
        <v>489.08391839361957</v>
      </c>
      <c r="H372" s="3">
        <f t="shared" si="44"/>
        <v>5.9383969861010497</v>
      </c>
      <c r="L372" s="3">
        <f t="shared" si="45"/>
        <v>1968.1837999930217</v>
      </c>
      <c r="N372" s="3">
        <f t="shared" si="46"/>
        <v>116961.8162000069</v>
      </c>
      <c r="P372" s="45">
        <f t="shared" si="47"/>
        <v>59266.12807517359</v>
      </c>
      <c r="Q372" s="46"/>
    </row>
    <row r="373" spans="2:17" x14ac:dyDescent="0.25">
      <c r="B373">
        <f t="shared" si="41"/>
        <v>357</v>
      </c>
      <c r="D373" s="3">
        <f t="shared" si="42"/>
        <v>495.02231537972062</v>
      </c>
      <c r="F373" s="3">
        <f t="shared" si="43"/>
        <v>490.26587119640413</v>
      </c>
      <c r="H373" s="3">
        <f t="shared" si="44"/>
        <v>4.7564441833164697</v>
      </c>
      <c r="L373" s="3">
        <f t="shared" si="45"/>
        <v>1477.9179287966176</v>
      </c>
      <c r="N373" s="3">
        <f t="shared" si="46"/>
        <v>117452.0820712033</v>
      </c>
      <c r="P373" s="45">
        <f t="shared" si="47"/>
        <v>59270.884519356907</v>
      </c>
      <c r="Q373" s="46"/>
    </row>
    <row r="374" spans="2:17" x14ac:dyDescent="0.25">
      <c r="B374">
        <f t="shared" si="41"/>
        <v>358</v>
      </c>
      <c r="D374" s="3">
        <f t="shared" si="42"/>
        <v>495.02231537972062</v>
      </c>
      <c r="F374" s="3">
        <f t="shared" si="43"/>
        <v>491.45068038512881</v>
      </c>
      <c r="H374" s="3">
        <f t="shared" si="44"/>
        <v>3.5716349945918262</v>
      </c>
      <c r="L374" s="3">
        <f t="shared" si="45"/>
        <v>986.46724841148875</v>
      </c>
      <c r="N374" s="3">
        <f t="shared" si="46"/>
        <v>117943.53275158843</v>
      </c>
      <c r="P374" s="45">
        <f t="shared" si="47"/>
        <v>59274.456154351501</v>
      </c>
      <c r="Q374" s="46"/>
    </row>
    <row r="375" spans="2:17" x14ac:dyDescent="0.25">
      <c r="B375">
        <f t="shared" si="41"/>
        <v>359</v>
      </c>
      <c r="D375" s="3">
        <f t="shared" si="42"/>
        <v>495.02231537972062</v>
      </c>
      <c r="F375" s="3">
        <f t="shared" si="43"/>
        <v>492.63835286272621</v>
      </c>
      <c r="H375" s="3">
        <f t="shared" si="44"/>
        <v>2.3839625169944312</v>
      </c>
      <c r="L375" s="3">
        <f t="shared" si="45"/>
        <v>493.82889554876255</v>
      </c>
      <c r="N375" s="3">
        <f t="shared" si="46"/>
        <v>118436.17110445115</v>
      </c>
      <c r="P375" s="45">
        <f t="shared" si="47"/>
        <v>59276.840116868494</v>
      </c>
      <c r="Q375" s="46"/>
    </row>
    <row r="376" spans="2:17" x14ac:dyDescent="0.25">
      <c r="B376">
        <f t="shared" si="41"/>
        <v>360</v>
      </c>
      <c r="D376" s="3">
        <f t="shared" si="42"/>
        <v>495.02231537967208</v>
      </c>
      <c r="F376" s="3">
        <f t="shared" si="43"/>
        <v>493.82889554876255</v>
      </c>
      <c r="H376" s="3">
        <f t="shared" si="44"/>
        <v>1.1934198309095096</v>
      </c>
      <c r="L376" s="3">
        <f t="shared" si="45"/>
        <v>0</v>
      </c>
      <c r="N376" s="3">
        <f t="shared" si="46"/>
        <v>118929.99999999991</v>
      </c>
      <c r="P376" s="45">
        <f t="shared" si="47"/>
        <v>59278.033536699404</v>
      </c>
      <c r="Q376" s="4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workbookViewId="0">
      <selection activeCell="C2" sqref="C2"/>
    </sheetView>
  </sheetViews>
  <sheetFormatPr defaultRowHeight="15" x14ac:dyDescent="0.25"/>
  <cols>
    <col min="1" max="1" width="26.5703125" bestFit="1" customWidth="1"/>
  </cols>
  <sheetData>
    <row r="1" spans="1:15" x14ac:dyDescent="0.25">
      <c r="A1" t="s">
        <v>99</v>
      </c>
      <c r="B1" s="54">
        <v>2.9000000000000001E-2</v>
      </c>
    </row>
    <row r="2" spans="1:15" x14ac:dyDescent="0.25">
      <c r="A2" t="s">
        <v>98</v>
      </c>
      <c r="B2" s="47">
        <v>0.03</v>
      </c>
    </row>
    <row r="3" spans="1:15" x14ac:dyDescent="0.25">
      <c r="A3" t="s">
        <v>100</v>
      </c>
      <c r="B3" s="53">
        <f>P105/100</f>
        <v>2.4545454545454551E-2</v>
      </c>
    </row>
    <row r="4" spans="1:15" x14ac:dyDescent="0.25">
      <c r="A4" t="s">
        <v>101</v>
      </c>
      <c r="B4" s="47">
        <v>0.2</v>
      </c>
    </row>
    <row r="5" spans="1:15" x14ac:dyDescent="0.25">
      <c r="A5" t="s">
        <v>137</v>
      </c>
      <c r="B5" s="56">
        <v>9.3799999999999994E-3</v>
      </c>
    </row>
    <row r="6" spans="1:15" x14ac:dyDescent="0.25">
      <c r="B6" s="214" t="s">
        <v>122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spans="1:15" x14ac:dyDescent="0.25">
      <c r="B7" s="48" t="s">
        <v>108</v>
      </c>
      <c r="C7" s="48" t="s">
        <v>109</v>
      </c>
      <c r="D7" s="48" t="s">
        <v>110</v>
      </c>
      <c r="E7" s="48" t="s">
        <v>111</v>
      </c>
      <c r="F7" s="48" t="s">
        <v>112</v>
      </c>
      <c r="G7" s="48" t="s">
        <v>113</v>
      </c>
      <c r="H7" s="48" t="s">
        <v>114</v>
      </c>
      <c r="I7" s="48" t="s">
        <v>115</v>
      </c>
      <c r="J7" s="48" t="s">
        <v>116</v>
      </c>
      <c r="K7" s="48" t="s">
        <v>117</v>
      </c>
      <c r="L7" s="48" t="s">
        <v>118</v>
      </c>
      <c r="M7" s="48" t="s">
        <v>119</v>
      </c>
      <c r="N7" s="48" t="s">
        <v>120</v>
      </c>
      <c r="O7" s="48" t="s">
        <v>121</v>
      </c>
    </row>
    <row r="8" spans="1:15" x14ac:dyDescent="0.25">
      <c r="B8" s="49">
        <v>1914</v>
      </c>
      <c r="C8" s="50">
        <v>2</v>
      </c>
      <c r="D8" s="50">
        <v>1</v>
      </c>
      <c r="E8" s="50">
        <v>1</v>
      </c>
      <c r="F8" s="50">
        <v>0</v>
      </c>
      <c r="G8" s="50">
        <v>2.1</v>
      </c>
      <c r="H8" s="50">
        <v>1</v>
      </c>
      <c r="I8" s="50">
        <v>1</v>
      </c>
      <c r="J8" s="50">
        <v>3</v>
      </c>
      <c r="K8" s="50">
        <v>2</v>
      </c>
      <c r="L8" s="50">
        <v>1</v>
      </c>
      <c r="M8" s="50">
        <v>1</v>
      </c>
      <c r="N8" s="50">
        <v>1</v>
      </c>
      <c r="O8" s="50">
        <v>1</v>
      </c>
    </row>
    <row r="9" spans="1:15" x14ac:dyDescent="0.25">
      <c r="B9" s="51">
        <v>1915</v>
      </c>
      <c r="C9" s="52">
        <v>1</v>
      </c>
      <c r="D9" s="52">
        <v>1</v>
      </c>
      <c r="E9" s="52">
        <v>0</v>
      </c>
      <c r="F9" s="52">
        <v>2</v>
      </c>
      <c r="G9" s="52">
        <v>2</v>
      </c>
      <c r="H9" s="52">
        <v>2</v>
      </c>
      <c r="I9" s="52">
        <v>1</v>
      </c>
      <c r="J9" s="52">
        <v>-1</v>
      </c>
      <c r="K9" s="52">
        <v>-1</v>
      </c>
      <c r="L9" s="52">
        <v>1</v>
      </c>
      <c r="M9" s="52">
        <v>1</v>
      </c>
      <c r="N9" s="52">
        <v>2</v>
      </c>
      <c r="O9" s="52">
        <v>1</v>
      </c>
    </row>
    <row r="10" spans="1:15" x14ac:dyDescent="0.25">
      <c r="B10" s="49">
        <v>1916</v>
      </c>
      <c r="C10" s="50">
        <v>3</v>
      </c>
      <c r="D10" s="50">
        <v>4</v>
      </c>
      <c r="E10" s="50">
        <v>6.1</v>
      </c>
      <c r="F10" s="50">
        <v>6</v>
      </c>
      <c r="G10" s="50">
        <v>5.9</v>
      </c>
      <c r="H10" s="50">
        <v>6.9</v>
      </c>
      <c r="I10" s="50">
        <v>6.9</v>
      </c>
      <c r="J10" s="50">
        <v>7.9</v>
      </c>
      <c r="K10" s="50">
        <v>9.9</v>
      </c>
      <c r="L10" s="50">
        <v>10.8</v>
      </c>
      <c r="M10" s="50">
        <v>11.7</v>
      </c>
      <c r="N10" s="50">
        <v>12.6</v>
      </c>
      <c r="O10" s="50">
        <v>7.9</v>
      </c>
    </row>
    <row r="11" spans="1:15" x14ac:dyDescent="0.25">
      <c r="B11" s="51">
        <v>1917</v>
      </c>
      <c r="C11" s="52">
        <v>12.5</v>
      </c>
      <c r="D11" s="52">
        <v>15.4</v>
      </c>
      <c r="E11" s="52">
        <v>14.3</v>
      </c>
      <c r="F11" s="52">
        <v>18.899999999999999</v>
      </c>
      <c r="G11" s="52">
        <v>19.600000000000001</v>
      </c>
      <c r="H11" s="52">
        <v>20.399999999999999</v>
      </c>
      <c r="I11" s="52">
        <v>18.5</v>
      </c>
      <c r="J11" s="52">
        <v>19.3</v>
      </c>
      <c r="K11" s="52">
        <v>19.8</v>
      </c>
      <c r="L11" s="52">
        <v>19.5</v>
      </c>
      <c r="M11" s="52">
        <v>17.399999999999999</v>
      </c>
      <c r="N11" s="52">
        <v>18.100000000000001</v>
      </c>
      <c r="O11" s="52">
        <v>17.399999999999999</v>
      </c>
    </row>
    <row r="12" spans="1:15" x14ac:dyDescent="0.25">
      <c r="B12" s="49">
        <v>1918</v>
      </c>
      <c r="C12" s="50">
        <v>19.7</v>
      </c>
      <c r="D12" s="50">
        <v>17.5</v>
      </c>
      <c r="E12" s="50">
        <v>16.7</v>
      </c>
      <c r="F12" s="50">
        <v>12.7</v>
      </c>
      <c r="G12" s="50">
        <v>13.3</v>
      </c>
      <c r="H12" s="50">
        <v>13.1</v>
      </c>
      <c r="I12" s="50">
        <v>18</v>
      </c>
      <c r="J12" s="50">
        <v>18.5</v>
      </c>
      <c r="K12" s="50">
        <v>18</v>
      </c>
      <c r="L12" s="50">
        <v>18.5</v>
      </c>
      <c r="M12" s="50">
        <v>20.7</v>
      </c>
      <c r="N12" s="50">
        <v>20.399999999999999</v>
      </c>
      <c r="O12" s="50">
        <v>18</v>
      </c>
    </row>
    <row r="13" spans="1:15" x14ac:dyDescent="0.25">
      <c r="B13" s="51">
        <v>1919</v>
      </c>
      <c r="C13" s="52">
        <v>17.899999999999999</v>
      </c>
      <c r="D13" s="52">
        <v>14.9</v>
      </c>
      <c r="E13" s="52">
        <v>17.100000000000001</v>
      </c>
      <c r="F13" s="52">
        <v>17.600000000000001</v>
      </c>
      <c r="G13" s="52">
        <v>16.600000000000001</v>
      </c>
      <c r="H13" s="52">
        <v>15</v>
      </c>
      <c r="I13" s="52">
        <v>15.2</v>
      </c>
      <c r="J13" s="52">
        <v>14.9</v>
      </c>
      <c r="K13" s="52">
        <v>13.4</v>
      </c>
      <c r="L13" s="52">
        <v>13.1</v>
      </c>
      <c r="M13" s="52">
        <v>13.5</v>
      </c>
      <c r="N13" s="52">
        <v>14.5</v>
      </c>
      <c r="O13" s="52">
        <v>14.6</v>
      </c>
    </row>
    <row r="14" spans="1:15" x14ac:dyDescent="0.25">
      <c r="B14" s="49">
        <v>1920</v>
      </c>
      <c r="C14" s="50">
        <v>17</v>
      </c>
      <c r="D14" s="50">
        <v>20.399999999999999</v>
      </c>
      <c r="E14" s="50">
        <v>20.100000000000001</v>
      </c>
      <c r="F14" s="50">
        <v>21.6</v>
      </c>
      <c r="G14" s="50">
        <v>21.9</v>
      </c>
      <c r="H14" s="50">
        <v>23.7</v>
      </c>
      <c r="I14" s="50">
        <v>19.5</v>
      </c>
      <c r="J14" s="50">
        <v>14.7</v>
      </c>
      <c r="K14" s="50">
        <v>12.4</v>
      </c>
      <c r="L14" s="50">
        <v>9.9</v>
      </c>
      <c r="M14" s="50">
        <v>7</v>
      </c>
      <c r="N14" s="50">
        <v>2.6</v>
      </c>
      <c r="O14" s="50">
        <v>15.6</v>
      </c>
    </row>
    <row r="15" spans="1:15" x14ac:dyDescent="0.25">
      <c r="B15" s="51">
        <v>1921</v>
      </c>
      <c r="C15" s="52">
        <v>-1.6</v>
      </c>
      <c r="D15" s="52">
        <v>-5.6</v>
      </c>
      <c r="E15" s="52">
        <v>-7.1</v>
      </c>
      <c r="F15" s="52">
        <v>-10.8</v>
      </c>
      <c r="G15" s="52">
        <v>-14.1</v>
      </c>
      <c r="H15" s="52">
        <v>-15.8</v>
      </c>
      <c r="I15" s="52">
        <v>-14.9</v>
      </c>
      <c r="J15" s="52">
        <v>-12.8</v>
      </c>
      <c r="K15" s="52">
        <v>-12.5</v>
      </c>
      <c r="L15" s="52">
        <v>-12.1</v>
      </c>
      <c r="M15" s="52">
        <v>-12.1</v>
      </c>
      <c r="N15" s="52">
        <v>-10.8</v>
      </c>
      <c r="O15" s="52">
        <v>-10.5</v>
      </c>
    </row>
    <row r="16" spans="1:15" x14ac:dyDescent="0.25">
      <c r="B16" s="49">
        <v>1922</v>
      </c>
      <c r="C16" s="50">
        <v>-11.1</v>
      </c>
      <c r="D16" s="50">
        <v>-8.1999999999999993</v>
      </c>
      <c r="E16" s="50">
        <v>-8.6999999999999993</v>
      </c>
      <c r="F16" s="50">
        <v>-7.7</v>
      </c>
      <c r="G16" s="50">
        <v>-5.6</v>
      </c>
      <c r="H16" s="50">
        <v>-5.0999999999999996</v>
      </c>
      <c r="I16" s="50">
        <v>-5.0999999999999996</v>
      </c>
      <c r="J16" s="50">
        <v>-6.2</v>
      </c>
      <c r="K16" s="50">
        <v>-5.0999999999999996</v>
      </c>
      <c r="L16" s="50">
        <v>-4.5999999999999996</v>
      </c>
      <c r="M16" s="50">
        <v>-3.4</v>
      </c>
      <c r="N16" s="50">
        <v>-2.2999999999999998</v>
      </c>
      <c r="O16" s="50">
        <v>-6.1</v>
      </c>
    </row>
    <row r="17" spans="2:15" x14ac:dyDescent="0.25">
      <c r="B17" s="51">
        <v>1923</v>
      </c>
      <c r="C17" s="52">
        <v>-0.6</v>
      </c>
      <c r="D17" s="52">
        <v>-0.6</v>
      </c>
      <c r="E17" s="52">
        <v>0.6</v>
      </c>
      <c r="F17" s="52">
        <v>1.2</v>
      </c>
      <c r="G17" s="52">
        <v>1.2</v>
      </c>
      <c r="H17" s="52">
        <v>1.8</v>
      </c>
      <c r="I17" s="52">
        <v>2.4</v>
      </c>
      <c r="J17" s="52">
        <v>3</v>
      </c>
      <c r="K17" s="52">
        <v>3.6</v>
      </c>
      <c r="L17" s="52">
        <v>3.6</v>
      </c>
      <c r="M17" s="52">
        <v>3</v>
      </c>
      <c r="N17" s="52">
        <v>2.4</v>
      </c>
      <c r="O17" s="52">
        <v>1.8</v>
      </c>
    </row>
    <row r="18" spans="2:15" x14ac:dyDescent="0.25">
      <c r="B18" s="49">
        <v>1924</v>
      </c>
      <c r="C18" s="50">
        <v>3</v>
      </c>
      <c r="D18" s="50">
        <v>2.4</v>
      </c>
      <c r="E18" s="50">
        <v>1.8</v>
      </c>
      <c r="F18" s="50">
        <v>0.6</v>
      </c>
      <c r="G18" s="50">
        <v>0.6</v>
      </c>
      <c r="H18" s="50">
        <v>0</v>
      </c>
      <c r="I18" s="50">
        <v>-0.6</v>
      </c>
      <c r="J18" s="50">
        <v>-0.6</v>
      </c>
      <c r="K18" s="50">
        <v>-0.6</v>
      </c>
      <c r="L18" s="50">
        <v>-0.6</v>
      </c>
      <c r="M18" s="50">
        <v>-0.6</v>
      </c>
      <c r="N18" s="50">
        <v>0</v>
      </c>
      <c r="O18" s="50">
        <v>0</v>
      </c>
    </row>
    <row r="19" spans="2:15" x14ac:dyDescent="0.25">
      <c r="B19" s="51">
        <v>1925</v>
      </c>
      <c r="C19" s="52">
        <v>0</v>
      </c>
      <c r="D19" s="52">
        <v>0</v>
      </c>
      <c r="E19" s="52">
        <v>1.2</v>
      </c>
      <c r="F19" s="52">
        <v>1.2</v>
      </c>
      <c r="G19" s="52">
        <v>1.8</v>
      </c>
      <c r="H19" s="52">
        <v>2.9</v>
      </c>
      <c r="I19" s="52">
        <v>3.5</v>
      </c>
      <c r="J19" s="52">
        <v>4.0999999999999996</v>
      </c>
      <c r="K19" s="52">
        <v>3.5</v>
      </c>
      <c r="L19" s="52">
        <v>2.9</v>
      </c>
      <c r="M19" s="52">
        <v>4.7</v>
      </c>
      <c r="N19" s="52">
        <v>3.5</v>
      </c>
      <c r="O19" s="52">
        <v>2.2999999999999998</v>
      </c>
    </row>
    <row r="20" spans="2:15" x14ac:dyDescent="0.25">
      <c r="B20" s="49">
        <v>1926</v>
      </c>
      <c r="C20" s="50">
        <v>3.5</v>
      </c>
      <c r="D20" s="50">
        <v>4.0999999999999996</v>
      </c>
      <c r="E20" s="50">
        <v>2.9</v>
      </c>
      <c r="F20" s="50">
        <v>4.0999999999999996</v>
      </c>
      <c r="G20" s="50">
        <v>2.9</v>
      </c>
      <c r="H20" s="50">
        <v>1.1000000000000001</v>
      </c>
      <c r="I20" s="50">
        <v>-1.1000000000000001</v>
      </c>
      <c r="J20" s="50">
        <v>-1.7</v>
      </c>
      <c r="K20" s="50">
        <v>-1.1000000000000001</v>
      </c>
      <c r="L20" s="50">
        <v>-0.6</v>
      </c>
      <c r="M20" s="50">
        <v>-1.7</v>
      </c>
      <c r="N20" s="50">
        <v>-1.1000000000000001</v>
      </c>
      <c r="O20" s="50">
        <v>1.1000000000000001</v>
      </c>
    </row>
    <row r="21" spans="2:15" x14ac:dyDescent="0.25">
      <c r="B21" s="51">
        <v>1927</v>
      </c>
      <c r="C21" s="52">
        <v>-2.2000000000000002</v>
      </c>
      <c r="D21" s="52">
        <v>-2.8</v>
      </c>
      <c r="E21" s="52">
        <v>-2.8</v>
      </c>
      <c r="F21" s="52">
        <v>-3.4</v>
      </c>
      <c r="G21" s="52">
        <v>-2.2000000000000002</v>
      </c>
      <c r="H21" s="52">
        <v>-0.6</v>
      </c>
      <c r="I21" s="52">
        <v>-1.1000000000000001</v>
      </c>
      <c r="J21" s="52">
        <v>-1.1000000000000001</v>
      </c>
      <c r="K21" s="52">
        <v>-1.1000000000000001</v>
      </c>
      <c r="L21" s="52">
        <v>-1.1000000000000001</v>
      </c>
      <c r="M21" s="52">
        <v>-2.2999999999999998</v>
      </c>
      <c r="N21" s="52">
        <v>-2.2999999999999998</v>
      </c>
      <c r="O21" s="52">
        <v>-1.7</v>
      </c>
    </row>
    <row r="22" spans="2:15" x14ac:dyDescent="0.25">
      <c r="B22" s="49">
        <v>1928</v>
      </c>
      <c r="C22" s="50">
        <v>-1.1000000000000001</v>
      </c>
      <c r="D22" s="50">
        <v>-1.7</v>
      </c>
      <c r="E22" s="50">
        <v>-1.2</v>
      </c>
      <c r="F22" s="50">
        <v>-1.2</v>
      </c>
      <c r="G22" s="50">
        <v>-1.1000000000000001</v>
      </c>
      <c r="H22" s="50">
        <v>-2.8</v>
      </c>
      <c r="I22" s="50">
        <v>-1.2</v>
      </c>
      <c r="J22" s="50">
        <v>-0.6</v>
      </c>
      <c r="K22" s="50">
        <v>0</v>
      </c>
      <c r="L22" s="50">
        <v>-1.1000000000000001</v>
      </c>
      <c r="M22" s="50">
        <v>-0.6</v>
      </c>
      <c r="N22" s="50">
        <v>-1.2</v>
      </c>
      <c r="O22" s="50">
        <v>-1.7</v>
      </c>
    </row>
    <row r="23" spans="2:15" x14ac:dyDescent="0.25">
      <c r="B23" s="51">
        <v>1929</v>
      </c>
      <c r="C23" s="52">
        <v>-1.2</v>
      </c>
      <c r="D23" s="52">
        <v>0</v>
      </c>
      <c r="E23" s="52">
        <v>-0.6</v>
      </c>
      <c r="F23" s="52">
        <v>-1.2</v>
      </c>
      <c r="G23" s="52">
        <v>-1.2</v>
      </c>
      <c r="H23" s="52">
        <v>0</v>
      </c>
      <c r="I23" s="52">
        <v>1.2</v>
      </c>
      <c r="J23" s="52">
        <v>1.2</v>
      </c>
      <c r="K23" s="52">
        <v>0</v>
      </c>
      <c r="L23" s="52">
        <v>0.6</v>
      </c>
      <c r="M23" s="52">
        <v>0.6</v>
      </c>
      <c r="N23" s="52">
        <v>0.6</v>
      </c>
      <c r="O23" s="52">
        <v>0</v>
      </c>
    </row>
    <row r="24" spans="2:15" x14ac:dyDescent="0.25">
      <c r="B24" s="49">
        <v>1930</v>
      </c>
      <c r="C24" s="50">
        <v>0</v>
      </c>
      <c r="D24" s="50">
        <v>-0.6</v>
      </c>
      <c r="E24" s="50">
        <v>-0.6</v>
      </c>
      <c r="F24" s="50">
        <v>0.6</v>
      </c>
      <c r="G24" s="50">
        <v>-0.6</v>
      </c>
      <c r="H24" s="50">
        <v>-1.8</v>
      </c>
      <c r="I24" s="50">
        <v>-4</v>
      </c>
      <c r="J24" s="50">
        <v>-4.5999999999999996</v>
      </c>
      <c r="K24" s="50">
        <v>-4</v>
      </c>
      <c r="L24" s="50">
        <v>-4.5999999999999996</v>
      </c>
      <c r="M24" s="50">
        <v>-5.2</v>
      </c>
      <c r="N24" s="50">
        <v>-6.4</v>
      </c>
      <c r="O24" s="50">
        <v>-2.2999999999999998</v>
      </c>
    </row>
    <row r="25" spans="2:15" x14ac:dyDescent="0.25">
      <c r="B25" s="51">
        <v>1931</v>
      </c>
      <c r="C25" s="52">
        <v>-7</v>
      </c>
      <c r="D25" s="52">
        <v>-7.6</v>
      </c>
      <c r="E25" s="52">
        <v>-7.7</v>
      </c>
      <c r="F25" s="52">
        <v>-8.8000000000000007</v>
      </c>
      <c r="G25" s="52">
        <v>-9.5</v>
      </c>
      <c r="H25" s="52">
        <v>-10.1</v>
      </c>
      <c r="I25" s="52">
        <v>-9</v>
      </c>
      <c r="J25" s="52">
        <v>-8.5</v>
      </c>
      <c r="K25" s="52">
        <v>-9.6</v>
      </c>
      <c r="L25" s="52">
        <v>-9.6999999999999993</v>
      </c>
      <c r="M25" s="52">
        <v>-10.4</v>
      </c>
      <c r="N25" s="52">
        <v>-9.3000000000000007</v>
      </c>
      <c r="O25" s="52">
        <v>-9</v>
      </c>
    </row>
    <row r="26" spans="2:15" x14ac:dyDescent="0.25">
      <c r="B26" s="49">
        <v>1932</v>
      </c>
      <c r="C26" s="50">
        <v>-10.1</v>
      </c>
      <c r="D26" s="50">
        <v>-10.199999999999999</v>
      </c>
      <c r="E26" s="50">
        <v>-10.3</v>
      </c>
      <c r="F26" s="50">
        <v>-10.3</v>
      </c>
      <c r="G26" s="50">
        <v>-10.5</v>
      </c>
      <c r="H26" s="50">
        <v>-9.9</v>
      </c>
      <c r="I26" s="50">
        <v>-9.9</v>
      </c>
      <c r="J26" s="50">
        <v>-10.6</v>
      </c>
      <c r="K26" s="50">
        <v>-10.7</v>
      </c>
      <c r="L26" s="50">
        <v>-10.7</v>
      </c>
      <c r="M26" s="50">
        <v>-10.199999999999999</v>
      </c>
      <c r="N26" s="50">
        <v>-10.3</v>
      </c>
      <c r="O26" s="50">
        <v>-9.9</v>
      </c>
    </row>
    <row r="27" spans="2:15" x14ac:dyDescent="0.25">
      <c r="B27" s="51">
        <v>1933</v>
      </c>
      <c r="C27" s="52">
        <v>-9.8000000000000007</v>
      </c>
      <c r="D27" s="52">
        <v>-9.9</v>
      </c>
      <c r="E27" s="52">
        <v>-10</v>
      </c>
      <c r="F27" s="52">
        <v>-9.4</v>
      </c>
      <c r="G27" s="52">
        <v>-8</v>
      </c>
      <c r="H27" s="52">
        <v>-6.6</v>
      </c>
      <c r="I27" s="52">
        <v>-3.7</v>
      </c>
      <c r="J27" s="52">
        <v>-2.2000000000000002</v>
      </c>
      <c r="K27" s="52">
        <v>-1.5</v>
      </c>
      <c r="L27" s="52">
        <v>-0.8</v>
      </c>
      <c r="M27" s="52">
        <v>0</v>
      </c>
      <c r="N27" s="52">
        <v>0.8</v>
      </c>
      <c r="O27" s="52">
        <v>-5.0999999999999996</v>
      </c>
    </row>
    <row r="28" spans="2:15" x14ac:dyDescent="0.25">
      <c r="B28" s="49">
        <v>1934</v>
      </c>
      <c r="C28" s="50">
        <v>2.2999999999999998</v>
      </c>
      <c r="D28" s="50">
        <v>4.7</v>
      </c>
      <c r="E28" s="50">
        <v>5.6</v>
      </c>
      <c r="F28" s="50">
        <v>5.6</v>
      </c>
      <c r="G28" s="50">
        <v>5.6</v>
      </c>
      <c r="H28" s="50">
        <v>5.5</v>
      </c>
      <c r="I28" s="50">
        <v>2.2999999999999998</v>
      </c>
      <c r="J28" s="50">
        <v>1.5</v>
      </c>
      <c r="K28" s="50">
        <v>3</v>
      </c>
      <c r="L28" s="50">
        <v>2.2999999999999998</v>
      </c>
      <c r="M28" s="50">
        <v>2.2999999999999998</v>
      </c>
      <c r="N28" s="50">
        <v>1.5</v>
      </c>
      <c r="O28" s="50">
        <v>3.1</v>
      </c>
    </row>
    <row r="29" spans="2:15" x14ac:dyDescent="0.25">
      <c r="B29" s="51">
        <v>1935</v>
      </c>
      <c r="C29" s="52">
        <v>3</v>
      </c>
      <c r="D29" s="52">
        <v>3</v>
      </c>
      <c r="E29" s="52">
        <v>3</v>
      </c>
      <c r="F29" s="52">
        <v>3.8</v>
      </c>
      <c r="G29" s="52">
        <v>3.8</v>
      </c>
      <c r="H29" s="52">
        <v>2.2000000000000002</v>
      </c>
      <c r="I29" s="52">
        <v>2.2000000000000002</v>
      </c>
      <c r="J29" s="52">
        <v>2.2000000000000002</v>
      </c>
      <c r="K29" s="52">
        <v>0.7</v>
      </c>
      <c r="L29" s="52">
        <v>1.5</v>
      </c>
      <c r="M29" s="52">
        <v>2.2000000000000002</v>
      </c>
      <c r="N29" s="52">
        <v>3</v>
      </c>
      <c r="O29" s="52">
        <v>2.2000000000000002</v>
      </c>
    </row>
    <row r="30" spans="2:15" x14ac:dyDescent="0.25">
      <c r="B30" s="49">
        <v>1936</v>
      </c>
      <c r="C30" s="50">
        <v>1.5</v>
      </c>
      <c r="D30" s="50">
        <v>0.7</v>
      </c>
      <c r="E30" s="50">
        <v>0</v>
      </c>
      <c r="F30" s="50">
        <v>-0.7</v>
      </c>
      <c r="G30" s="50">
        <v>-0.7</v>
      </c>
      <c r="H30" s="50">
        <v>0.7</v>
      </c>
      <c r="I30" s="50">
        <v>1.5</v>
      </c>
      <c r="J30" s="50">
        <v>2.2000000000000002</v>
      </c>
      <c r="K30" s="50">
        <v>2.2000000000000002</v>
      </c>
      <c r="L30" s="50">
        <v>2.2000000000000002</v>
      </c>
      <c r="M30" s="50">
        <v>1.4</v>
      </c>
      <c r="N30" s="50">
        <v>1.4</v>
      </c>
      <c r="O30" s="50">
        <v>1.5</v>
      </c>
    </row>
    <row r="31" spans="2:15" x14ac:dyDescent="0.25">
      <c r="B31" s="51">
        <v>1937</v>
      </c>
      <c r="C31" s="52">
        <v>2.2000000000000002</v>
      </c>
      <c r="D31" s="52">
        <v>2.2000000000000002</v>
      </c>
      <c r="E31" s="52">
        <v>3.6</v>
      </c>
      <c r="F31" s="52">
        <v>4.4000000000000004</v>
      </c>
      <c r="G31" s="52">
        <v>5.0999999999999996</v>
      </c>
      <c r="H31" s="52">
        <v>4.3</v>
      </c>
      <c r="I31" s="52">
        <v>4.3</v>
      </c>
      <c r="J31" s="52">
        <v>3.6</v>
      </c>
      <c r="K31" s="52">
        <v>4.3</v>
      </c>
      <c r="L31" s="52">
        <v>4.3</v>
      </c>
      <c r="M31" s="52">
        <v>3.6</v>
      </c>
      <c r="N31" s="52">
        <v>2.9</v>
      </c>
      <c r="O31" s="52">
        <v>3.6</v>
      </c>
    </row>
    <row r="32" spans="2:15" x14ac:dyDescent="0.25">
      <c r="B32" s="49">
        <v>1938</v>
      </c>
      <c r="C32" s="50">
        <v>0.7</v>
      </c>
      <c r="D32" s="50">
        <v>0</v>
      </c>
      <c r="E32" s="50">
        <v>-0.7</v>
      </c>
      <c r="F32" s="50">
        <v>-0.7</v>
      </c>
      <c r="G32" s="50">
        <v>-2.1</v>
      </c>
      <c r="H32" s="50">
        <v>-2.1</v>
      </c>
      <c r="I32" s="50">
        <v>-2.8</v>
      </c>
      <c r="J32" s="50">
        <v>-2.8</v>
      </c>
      <c r="K32" s="50">
        <v>-3.4</v>
      </c>
      <c r="L32" s="50">
        <v>-4.0999999999999996</v>
      </c>
      <c r="M32" s="50">
        <v>-3.4</v>
      </c>
      <c r="N32" s="50">
        <v>-2.8</v>
      </c>
      <c r="O32" s="50">
        <v>-2.1</v>
      </c>
    </row>
    <row r="33" spans="2:15" x14ac:dyDescent="0.25">
      <c r="B33" s="51">
        <v>1939</v>
      </c>
      <c r="C33" s="52">
        <v>-1.4</v>
      </c>
      <c r="D33" s="52">
        <v>-1.4</v>
      </c>
      <c r="E33" s="52">
        <v>-1.4</v>
      </c>
      <c r="F33" s="52">
        <v>-2.8</v>
      </c>
      <c r="G33" s="52">
        <v>-2.1</v>
      </c>
      <c r="H33" s="52">
        <v>-2.1</v>
      </c>
      <c r="I33" s="52">
        <v>-2.1</v>
      </c>
      <c r="J33" s="52">
        <v>-2.1</v>
      </c>
      <c r="K33" s="52">
        <v>0</v>
      </c>
      <c r="L33" s="52">
        <v>0</v>
      </c>
      <c r="M33" s="52">
        <v>0</v>
      </c>
      <c r="N33" s="52">
        <v>0</v>
      </c>
      <c r="O33" s="52">
        <v>-1.4</v>
      </c>
    </row>
    <row r="34" spans="2:15" x14ac:dyDescent="0.25">
      <c r="B34" s="49">
        <v>1940</v>
      </c>
      <c r="C34" s="50">
        <v>-0.7</v>
      </c>
      <c r="D34" s="50">
        <v>0.7</v>
      </c>
      <c r="E34" s="50">
        <v>0.7</v>
      </c>
      <c r="F34" s="50">
        <v>1.4</v>
      </c>
      <c r="G34" s="50">
        <v>1.4</v>
      </c>
      <c r="H34" s="50">
        <v>2.2000000000000002</v>
      </c>
      <c r="I34" s="50">
        <v>1.4</v>
      </c>
      <c r="J34" s="50">
        <v>1.4</v>
      </c>
      <c r="K34" s="50">
        <v>-0.7</v>
      </c>
      <c r="L34" s="50">
        <v>0</v>
      </c>
      <c r="M34" s="50">
        <v>0</v>
      </c>
      <c r="N34" s="50">
        <v>0.7</v>
      </c>
      <c r="O34" s="50">
        <v>0.7</v>
      </c>
    </row>
    <row r="35" spans="2:15" x14ac:dyDescent="0.25">
      <c r="B35" s="51">
        <v>1941</v>
      </c>
      <c r="C35" s="52">
        <v>1.4</v>
      </c>
      <c r="D35" s="52">
        <v>0.7</v>
      </c>
      <c r="E35" s="52">
        <v>1.4</v>
      </c>
      <c r="F35" s="52">
        <v>2.1</v>
      </c>
      <c r="G35" s="52">
        <v>2.9</v>
      </c>
      <c r="H35" s="52">
        <v>4.3</v>
      </c>
      <c r="I35" s="52">
        <v>5</v>
      </c>
      <c r="J35" s="52">
        <v>6.4</v>
      </c>
      <c r="K35" s="52">
        <v>7.9</v>
      </c>
      <c r="L35" s="52">
        <v>9.3000000000000007</v>
      </c>
      <c r="M35" s="52">
        <v>10</v>
      </c>
      <c r="N35" s="52">
        <v>9.9</v>
      </c>
      <c r="O35" s="52">
        <v>5</v>
      </c>
    </row>
    <row r="36" spans="2:15" x14ac:dyDescent="0.25">
      <c r="B36" s="49">
        <v>1942</v>
      </c>
      <c r="C36" s="50">
        <v>11.3</v>
      </c>
      <c r="D36" s="50">
        <v>12.1</v>
      </c>
      <c r="E36" s="50">
        <v>12.7</v>
      </c>
      <c r="F36" s="50">
        <v>12.6</v>
      </c>
      <c r="G36" s="50">
        <v>13.2</v>
      </c>
      <c r="H36" s="50">
        <v>10.9</v>
      </c>
      <c r="I36" s="50">
        <v>11.6</v>
      </c>
      <c r="J36" s="50">
        <v>10.7</v>
      </c>
      <c r="K36" s="50">
        <v>9.3000000000000007</v>
      </c>
      <c r="L36" s="50">
        <v>9.1999999999999993</v>
      </c>
      <c r="M36" s="50">
        <v>9.1</v>
      </c>
      <c r="N36" s="50">
        <v>9</v>
      </c>
      <c r="O36" s="50">
        <v>10.9</v>
      </c>
    </row>
    <row r="37" spans="2:15" x14ac:dyDescent="0.25">
      <c r="B37" s="51">
        <v>1943</v>
      </c>
      <c r="C37" s="52">
        <v>7.6</v>
      </c>
      <c r="D37" s="52">
        <v>7</v>
      </c>
      <c r="E37" s="52">
        <v>7.5</v>
      </c>
      <c r="F37" s="52">
        <v>8.1</v>
      </c>
      <c r="G37" s="52">
        <v>7.4</v>
      </c>
      <c r="H37" s="52">
        <v>7.4</v>
      </c>
      <c r="I37" s="52">
        <v>6.1</v>
      </c>
      <c r="J37" s="52">
        <v>4.8</v>
      </c>
      <c r="K37" s="52">
        <v>5.5</v>
      </c>
      <c r="L37" s="52">
        <v>4.2</v>
      </c>
      <c r="M37" s="52">
        <v>3.6</v>
      </c>
      <c r="N37" s="52">
        <v>3</v>
      </c>
      <c r="O37" s="52">
        <v>6.1</v>
      </c>
    </row>
    <row r="38" spans="2:15" x14ac:dyDescent="0.25">
      <c r="B38" s="49">
        <v>1944</v>
      </c>
      <c r="C38" s="50">
        <v>3</v>
      </c>
      <c r="D38" s="50">
        <v>3</v>
      </c>
      <c r="E38" s="50">
        <v>1.2</v>
      </c>
      <c r="F38" s="50">
        <v>0.6</v>
      </c>
      <c r="G38" s="50">
        <v>0</v>
      </c>
      <c r="H38" s="50">
        <v>0.6</v>
      </c>
      <c r="I38" s="50">
        <v>1.7</v>
      </c>
      <c r="J38" s="50">
        <v>2.2999999999999998</v>
      </c>
      <c r="K38" s="50">
        <v>1.7</v>
      </c>
      <c r="L38" s="50">
        <v>1.7</v>
      </c>
      <c r="M38" s="50">
        <v>1.7</v>
      </c>
      <c r="N38" s="50">
        <v>2.2999999999999998</v>
      </c>
      <c r="O38" s="50">
        <v>1.7</v>
      </c>
    </row>
    <row r="39" spans="2:15" x14ac:dyDescent="0.25">
      <c r="B39" s="51">
        <v>1945</v>
      </c>
      <c r="C39" s="52">
        <v>2.2999999999999998</v>
      </c>
      <c r="D39" s="52">
        <v>2.2999999999999998</v>
      </c>
      <c r="E39" s="52">
        <v>2.2999999999999998</v>
      </c>
      <c r="F39" s="52">
        <v>1.7</v>
      </c>
      <c r="G39" s="52">
        <v>2.2999999999999998</v>
      </c>
      <c r="H39" s="52">
        <v>2.8</v>
      </c>
      <c r="I39" s="52">
        <v>2.2999999999999998</v>
      </c>
      <c r="J39" s="52">
        <v>2.2999999999999998</v>
      </c>
      <c r="K39" s="52">
        <v>2.2999999999999998</v>
      </c>
      <c r="L39" s="52">
        <v>2.2999999999999998</v>
      </c>
      <c r="M39" s="52">
        <v>2.2999999999999998</v>
      </c>
      <c r="N39" s="52">
        <v>2.2000000000000002</v>
      </c>
      <c r="O39" s="52">
        <v>2.2999999999999998</v>
      </c>
    </row>
    <row r="40" spans="2:15" x14ac:dyDescent="0.25">
      <c r="B40" s="49">
        <v>1946</v>
      </c>
      <c r="C40" s="50">
        <v>2.2000000000000002</v>
      </c>
      <c r="D40" s="50">
        <v>1.7</v>
      </c>
      <c r="E40" s="50">
        <v>2.8</v>
      </c>
      <c r="F40" s="50">
        <v>3.4</v>
      </c>
      <c r="G40" s="50">
        <v>3.4</v>
      </c>
      <c r="H40" s="50">
        <v>3.3</v>
      </c>
      <c r="I40" s="50">
        <v>9.4</v>
      </c>
      <c r="J40" s="50">
        <v>11.6</v>
      </c>
      <c r="K40" s="50">
        <v>12.7</v>
      </c>
      <c r="L40" s="50">
        <v>14.9</v>
      </c>
      <c r="M40" s="50">
        <v>17.7</v>
      </c>
      <c r="N40" s="50">
        <v>18.100000000000001</v>
      </c>
      <c r="O40" s="50">
        <v>8.3000000000000007</v>
      </c>
    </row>
    <row r="41" spans="2:15" x14ac:dyDescent="0.25">
      <c r="B41" s="51">
        <v>1947</v>
      </c>
      <c r="C41" s="52">
        <v>18.100000000000001</v>
      </c>
      <c r="D41" s="52">
        <v>18.8</v>
      </c>
      <c r="E41" s="52">
        <v>19.7</v>
      </c>
      <c r="F41" s="52">
        <v>19</v>
      </c>
      <c r="G41" s="52">
        <v>18.399999999999999</v>
      </c>
      <c r="H41" s="52">
        <v>17.600000000000001</v>
      </c>
      <c r="I41" s="52">
        <v>12.1</v>
      </c>
      <c r="J41" s="52">
        <v>11.4</v>
      </c>
      <c r="K41" s="52">
        <v>12.7</v>
      </c>
      <c r="L41" s="52">
        <v>10.6</v>
      </c>
      <c r="M41" s="52">
        <v>8.5</v>
      </c>
      <c r="N41" s="52">
        <v>8.8000000000000007</v>
      </c>
      <c r="O41" s="52">
        <v>14.4</v>
      </c>
    </row>
    <row r="42" spans="2:15" x14ac:dyDescent="0.25">
      <c r="B42" s="49">
        <v>1948</v>
      </c>
      <c r="C42" s="50">
        <v>10.199999999999999</v>
      </c>
      <c r="D42" s="50">
        <v>9.3000000000000007</v>
      </c>
      <c r="E42" s="50">
        <v>6.8</v>
      </c>
      <c r="F42" s="50">
        <v>8.6999999999999993</v>
      </c>
      <c r="G42" s="50">
        <v>9.1</v>
      </c>
      <c r="H42" s="50">
        <v>9.5</v>
      </c>
      <c r="I42" s="50">
        <v>9.9</v>
      </c>
      <c r="J42" s="50">
        <v>8.9</v>
      </c>
      <c r="K42" s="50">
        <v>6.5</v>
      </c>
      <c r="L42" s="50">
        <v>6.1</v>
      </c>
      <c r="M42" s="50">
        <v>4.8</v>
      </c>
      <c r="N42" s="50">
        <v>3</v>
      </c>
      <c r="O42" s="50">
        <v>8.1</v>
      </c>
    </row>
    <row r="43" spans="2:15" x14ac:dyDescent="0.25">
      <c r="B43" s="51">
        <v>1949</v>
      </c>
      <c r="C43" s="52">
        <v>1.3</v>
      </c>
      <c r="D43" s="52">
        <v>1.3</v>
      </c>
      <c r="E43" s="52">
        <v>1.7</v>
      </c>
      <c r="F43" s="52">
        <v>0.4</v>
      </c>
      <c r="G43" s="52">
        <v>-0.4</v>
      </c>
      <c r="H43" s="52">
        <v>-0.8</v>
      </c>
      <c r="I43" s="52">
        <v>-2.9</v>
      </c>
      <c r="J43" s="52">
        <v>-2.9</v>
      </c>
      <c r="K43" s="52">
        <v>-2.4</v>
      </c>
      <c r="L43" s="52">
        <v>-2.9</v>
      </c>
      <c r="M43" s="52">
        <v>-1.7</v>
      </c>
      <c r="N43" s="52">
        <v>-2.1</v>
      </c>
      <c r="O43" s="52">
        <v>-1.2</v>
      </c>
    </row>
    <row r="44" spans="2:15" x14ac:dyDescent="0.25">
      <c r="B44" s="49">
        <v>1950</v>
      </c>
      <c r="C44" s="50">
        <v>-2.1</v>
      </c>
      <c r="D44" s="50">
        <v>-1.3</v>
      </c>
      <c r="E44" s="50">
        <v>-0.8</v>
      </c>
      <c r="F44" s="50">
        <v>-1.3</v>
      </c>
      <c r="G44" s="50">
        <v>-0.4</v>
      </c>
      <c r="H44" s="50">
        <v>-0.4</v>
      </c>
      <c r="I44" s="50">
        <v>1.7</v>
      </c>
      <c r="J44" s="50">
        <v>2.1</v>
      </c>
      <c r="K44" s="50">
        <v>2.1</v>
      </c>
      <c r="L44" s="50">
        <v>3.8</v>
      </c>
      <c r="M44" s="50">
        <v>3.8</v>
      </c>
      <c r="N44" s="50">
        <v>5.9</v>
      </c>
      <c r="O44" s="50">
        <v>1.3</v>
      </c>
    </row>
    <row r="45" spans="2:15" x14ac:dyDescent="0.25">
      <c r="B45" s="51">
        <v>1951</v>
      </c>
      <c r="C45" s="52">
        <v>8.1</v>
      </c>
      <c r="D45" s="52">
        <v>9.4</v>
      </c>
      <c r="E45" s="52">
        <v>9.3000000000000007</v>
      </c>
      <c r="F45" s="52">
        <v>9.3000000000000007</v>
      </c>
      <c r="G45" s="52">
        <v>9.3000000000000007</v>
      </c>
      <c r="H45" s="52">
        <v>8.8000000000000007</v>
      </c>
      <c r="I45" s="52">
        <v>7.5</v>
      </c>
      <c r="J45" s="52">
        <v>6.6</v>
      </c>
      <c r="K45" s="52">
        <v>7</v>
      </c>
      <c r="L45" s="52">
        <v>6.5</v>
      </c>
      <c r="M45" s="52">
        <v>6.9</v>
      </c>
      <c r="N45" s="52">
        <v>6</v>
      </c>
      <c r="O45" s="52">
        <v>7.9</v>
      </c>
    </row>
    <row r="46" spans="2:15" x14ac:dyDescent="0.25">
      <c r="B46" s="49">
        <v>1952</v>
      </c>
      <c r="C46" s="50">
        <v>4.3</v>
      </c>
      <c r="D46" s="50">
        <v>2.2999999999999998</v>
      </c>
      <c r="E46" s="50">
        <v>1.9</v>
      </c>
      <c r="F46" s="50">
        <v>2.2999999999999998</v>
      </c>
      <c r="G46" s="50">
        <v>1.9</v>
      </c>
      <c r="H46" s="50">
        <v>2.2999999999999998</v>
      </c>
      <c r="I46" s="50">
        <v>3.1</v>
      </c>
      <c r="J46" s="50">
        <v>3.1</v>
      </c>
      <c r="K46" s="50">
        <v>2.2999999999999998</v>
      </c>
      <c r="L46" s="50">
        <v>1.9</v>
      </c>
      <c r="M46" s="50">
        <v>1.1000000000000001</v>
      </c>
      <c r="N46" s="50">
        <v>0.8</v>
      </c>
      <c r="O46" s="50">
        <v>1.9</v>
      </c>
    </row>
    <row r="47" spans="2:15" x14ac:dyDescent="0.25">
      <c r="B47" s="51">
        <v>1953</v>
      </c>
      <c r="C47" s="52">
        <v>0.4</v>
      </c>
      <c r="D47" s="52">
        <v>0.8</v>
      </c>
      <c r="E47" s="52">
        <v>1.1000000000000001</v>
      </c>
      <c r="F47" s="52">
        <v>0.8</v>
      </c>
      <c r="G47" s="52">
        <v>1.1000000000000001</v>
      </c>
      <c r="H47" s="52">
        <v>1.1000000000000001</v>
      </c>
      <c r="I47" s="52">
        <v>0.4</v>
      </c>
      <c r="J47" s="52">
        <v>0.7</v>
      </c>
      <c r="K47" s="52">
        <v>0.7</v>
      </c>
      <c r="L47" s="52">
        <v>1.1000000000000001</v>
      </c>
      <c r="M47" s="52">
        <v>0.7</v>
      </c>
      <c r="N47" s="52">
        <v>0.7</v>
      </c>
      <c r="O47" s="52">
        <v>0.8</v>
      </c>
    </row>
    <row r="48" spans="2:15" x14ac:dyDescent="0.25">
      <c r="B48" s="49">
        <v>1954</v>
      </c>
      <c r="C48" s="50">
        <v>1.1000000000000001</v>
      </c>
      <c r="D48" s="50">
        <v>1.5</v>
      </c>
      <c r="E48" s="50">
        <v>1.1000000000000001</v>
      </c>
      <c r="F48" s="50">
        <v>0.8</v>
      </c>
      <c r="G48" s="50">
        <v>0.7</v>
      </c>
      <c r="H48" s="50">
        <v>0.4</v>
      </c>
      <c r="I48" s="50">
        <v>0.4</v>
      </c>
      <c r="J48" s="50">
        <v>0</v>
      </c>
      <c r="K48" s="50">
        <v>-0.4</v>
      </c>
      <c r="L48" s="50">
        <v>-0.7</v>
      </c>
      <c r="M48" s="50">
        <v>-0.4</v>
      </c>
      <c r="N48" s="50">
        <v>-0.7</v>
      </c>
      <c r="O48" s="50">
        <v>0.7</v>
      </c>
    </row>
    <row r="49" spans="2:15" x14ac:dyDescent="0.25">
      <c r="B49" s="51">
        <v>1955</v>
      </c>
      <c r="C49" s="52">
        <v>-0.7</v>
      </c>
      <c r="D49" s="52">
        <v>-0.7</v>
      </c>
      <c r="E49" s="52">
        <v>-0.7</v>
      </c>
      <c r="F49" s="52">
        <v>-0.4</v>
      </c>
      <c r="G49" s="52">
        <v>-0.7</v>
      </c>
      <c r="H49" s="52">
        <v>-0.7</v>
      </c>
      <c r="I49" s="52">
        <v>-0.4</v>
      </c>
      <c r="J49" s="52">
        <v>-0.4</v>
      </c>
      <c r="K49" s="52">
        <v>0.4</v>
      </c>
      <c r="L49" s="52">
        <v>0.4</v>
      </c>
      <c r="M49" s="52">
        <v>0.4</v>
      </c>
      <c r="N49" s="52">
        <v>0.4</v>
      </c>
      <c r="O49" s="52">
        <v>-0.4</v>
      </c>
    </row>
    <row r="50" spans="2:15" x14ac:dyDescent="0.25">
      <c r="B50" s="49">
        <v>1956</v>
      </c>
      <c r="C50" s="50">
        <v>0.4</v>
      </c>
      <c r="D50" s="50">
        <v>0.4</v>
      </c>
      <c r="E50" s="50">
        <v>0.4</v>
      </c>
      <c r="F50" s="50">
        <v>0.7</v>
      </c>
      <c r="G50" s="50">
        <v>1.1000000000000001</v>
      </c>
      <c r="H50" s="50">
        <v>1.9</v>
      </c>
      <c r="I50" s="50">
        <v>2.2000000000000002</v>
      </c>
      <c r="J50" s="50">
        <v>1.9</v>
      </c>
      <c r="K50" s="50">
        <v>1.9</v>
      </c>
      <c r="L50" s="50">
        <v>2.2000000000000002</v>
      </c>
      <c r="M50" s="50">
        <v>2.2000000000000002</v>
      </c>
      <c r="N50" s="50">
        <v>3</v>
      </c>
      <c r="O50" s="50">
        <v>1.5</v>
      </c>
    </row>
    <row r="51" spans="2:15" x14ac:dyDescent="0.25">
      <c r="B51" s="51">
        <v>1957</v>
      </c>
      <c r="C51" s="52">
        <v>3</v>
      </c>
      <c r="D51" s="52">
        <v>3.4</v>
      </c>
      <c r="E51" s="52">
        <v>3.7</v>
      </c>
      <c r="F51" s="52">
        <v>3.7</v>
      </c>
      <c r="G51" s="52">
        <v>3.7</v>
      </c>
      <c r="H51" s="52">
        <v>3.3</v>
      </c>
      <c r="I51" s="52">
        <v>3.3</v>
      </c>
      <c r="J51" s="52">
        <v>3.7</v>
      </c>
      <c r="K51" s="52">
        <v>3.3</v>
      </c>
      <c r="L51" s="52">
        <v>2.9</v>
      </c>
      <c r="M51" s="52">
        <v>3.3</v>
      </c>
      <c r="N51" s="52">
        <v>2.9</v>
      </c>
      <c r="O51" s="52">
        <v>3.3</v>
      </c>
    </row>
    <row r="52" spans="2:15" x14ac:dyDescent="0.25">
      <c r="B52" s="49">
        <v>1958</v>
      </c>
      <c r="C52" s="50">
        <v>3.6</v>
      </c>
      <c r="D52" s="50">
        <v>3.2</v>
      </c>
      <c r="E52" s="50">
        <v>3.6</v>
      </c>
      <c r="F52" s="50">
        <v>3.6</v>
      </c>
      <c r="G52" s="50">
        <v>3.2</v>
      </c>
      <c r="H52" s="50">
        <v>2.8</v>
      </c>
      <c r="I52" s="50">
        <v>2.5</v>
      </c>
      <c r="J52" s="50">
        <v>2.1</v>
      </c>
      <c r="K52" s="50">
        <v>2.1</v>
      </c>
      <c r="L52" s="50">
        <v>2.1</v>
      </c>
      <c r="M52" s="50">
        <v>2.1</v>
      </c>
      <c r="N52" s="50">
        <v>1.8</v>
      </c>
      <c r="O52" s="50">
        <v>2.8</v>
      </c>
    </row>
    <row r="53" spans="2:15" x14ac:dyDescent="0.25">
      <c r="B53" s="51">
        <v>1959</v>
      </c>
      <c r="C53" s="52">
        <v>1.4</v>
      </c>
      <c r="D53" s="52">
        <v>1</v>
      </c>
      <c r="E53" s="52">
        <v>0.3</v>
      </c>
      <c r="F53" s="52">
        <v>0.3</v>
      </c>
      <c r="G53" s="52">
        <v>0.3</v>
      </c>
      <c r="H53" s="52">
        <v>0.7</v>
      </c>
      <c r="I53" s="52">
        <v>0.7</v>
      </c>
      <c r="J53" s="52">
        <v>1</v>
      </c>
      <c r="K53" s="52">
        <v>1.4</v>
      </c>
      <c r="L53" s="52">
        <v>1.7</v>
      </c>
      <c r="M53" s="52">
        <v>1.4</v>
      </c>
      <c r="N53" s="52">
        <v>1.7</v>
      </c>
      <c r="O53" s="52">
        <v>0.7</v>
      </c>
    </row>
    <row r="54" spans="2:15" x14ac:dyDescent="0.25">
      <c r="B54" s="49">
        <v>1960</v>
      </c>
      <c r="C54" s="50">
        <v>1</v>
      </c>
      <c r="D54" s="50">
        <v>1.7</v>
      </c>
      <c r="E54" s="50">
        <v>1.7</v>
      </c>
      <c r="F54" s="50">
        <v>1.7</v>
      </c>
      <c r="G54" s="50">
        <v>1.7</v>
      </c>
      <c r="H54" s="50">
        <v>1.7</v>
      </c>
      <c r="I54" s="50">
        <v>1.4</v>
      </c>
      <c r="J54" s="50">
        <v>1.4</v>
      </c>
      <c r="K54" s="50">
        <v>1</v>
      </c>
      <c r="L54" s="50">
        <v>1.4</v>
      </c>
      <c r="M54" s="50">
        <v>1.4</v>
      </c>
      <c r="N54" s="50">
        <v>1.4</v>
      </c>
      <c r="O54" s="50">
        <v>1.7</v>
      </c>
    </row>
    <row r="55" spans="2:15" x14ac:dyDescent="0.25">
      <c r="B55" s="51">
        <v>1961</v>
      </c>
      <c r="C55" s="52">
        <v>1.7</v>
      </c>
      <c r="D55" s="52">
        <v>1.4</v>
      </c>
      <c r="E55" s="52">
        <v>1.4</v>
      </c>
      <c r="F55" s="52">
        <v>1</v>
      </c>
      <c r="G55" s="52">
        <v>1</v>
      </c>
      <c r="H55" s="52">
        <v>0.7</v>
      </c>
      <c r="I55" s="52">
        <v>1.4</v>
      </c>
      <c r="J55" s="52">
        <v>1</v>
      </c>
      <c r="K55" s="52">
        <v>1.4</v>
      </c>
      <c r="L55" s="52">
        <v>0.7</v>
      </c>
      <c r="M55" s="52">
        <v>0.7</v>
      </c>
      <c r="N55" s="52">
        <v>0.7</v>
      </c>
      <c r="O55" s="52">
        <v>1</v>
      </c>
    </row>
    <row r="56" spans="2:15" x14ac:dyDescent="0.25">
      <c r="B56" s="49">
        <v>1962</v>
      </c>
      <c r="C56" s="50">
        <v>0.7</v>
      </c>
      <c r="D56" s="50">
        <v>1</v>
      </c>
      <c r="E56" s="50">
        <v>1</v>
      </c>
      <c r="F56" s="50">
        <v>1.3</v>
      </c>
      <c r="G56" s="50">
        <v>1.3</v>
      </c>
      <c r="H56" s="50">
        <v>1.3</v>
      </c>
      <c r="I56" s="50">
        <v>1</v>
      </c>
      <c r="J56" s="50">
        <v>1.3</v>
      </c>
      <c r="K56" s="50">
        <v>1.3</v>
      </c>
      <c r="L56" s="50">
        <v>1.3</v>
      </c>
      <c r="M56" s="50">
        <v>1.3</v>
      </c>
      <c r="N56" s="50">
        <v>1.3</v>
      </c>
      <c r="O56" s="50">
        <v>1</v>
      </c>
    </row>
    <row r="57" spans="2:15" x14ac:dyDescent="0.25">
      <c r="B57" s="51">
        <v>1963</v>
      </c>
      <c r="C57" s="52">
        <v>1.3</v>
      </c>
      <c r="D57" s="52">
        <v>1</v>
      </c>
      <c r="E57" s="52">
        <v>1.3</v>
      </c>
      <c r="F57" s="52">
        <v>1</v>
      </c>
      <c r="G57" s="52">
        <v>1</v>
      </c>
      <c r="H57" s="52">
        <v>1.3</v>
      </c>
      <c r="I57" s="52">
        <v>1.3</v>
      </c>
      <c r="J57" s="52">
        <v>1.3</v>
      </c>
      <c r="K57" s="52">
        <v>1</v>
      </c>
      <c r="L57" s="52">
        <v>1.3</v>
      </c>
      <c r="M57" s="52">
        <v>1.3</v>
      </c>
      <c r="N57" s="52">
        <v>1.6</v>
      </c>
      <c r="O57" s="52">
        <v>1.3</v>
      </c>
    </row>
    <row r="58" spans="2:15" x14ac:dyDescent="0.25">
      <c r="B58" s="49">
        <v>1964</v>
      </c>
      <c r="C58" s="50">
        <v>1.6</v>
      </c>
      <c r="D58" s="50">
        <v>1.6</v>
      </c>
      <c r="E58" s="50">
        <v>1.3</v>
      </c>
      <c r="F58" s="50">
        <v>1.3</v>
      </c>
      <c r="G58" s="50">
        <v>1.3</v>
      </c>
      <c r="H58" s="50">
        <v>1.3</v>
      </c>
      <c r="I58" s="50">
        <v>1.3</v>
      </c>
      <c r="J58" s="50">
        <v>1</v>
      </c>
      <c r="K58" s="50">
        <v>1.3</v>
      </c>
      <c r="L58" s="50">
        <v>1</v>
      </c>
      <c r="M58" s="50">
        <v>1.3</v>
      </c>
      <c r="N58" s="50">
        <v>1</v>
      </c>
      <c r="O58" s="50">
        <v>1.3</v>
      </c>
    </row>
    <row r="59" spans="2:15" x14ac:dyDescent="0.25">
      <c r="B59" s="51">
        <v>1965</v>
      </c>
      <c r="C59" s="52">
        <v>1</v>
      </c>
      <c r="D59" s="52">
        <v>1</v>
      </c>
      <c r="E59" s="52">
        <v>1.3</v>
      </c>
      <c r="F59" s="52">
        <v>1.6</v>
      </c>
      <c r="G59" s="52">
        <v>1.6</v>
      </c>
      <c r="H59" s="52">
        <v>1.9</v>
      </c>
      <c r="I59" s="52">
        <v>1.6</v>
      </c>
      <c r="J59" s="52">
        <v>1.9</v>
      </c>
      <c r="K59" s="52">
        <v>1.6</v>
      </c>
      <c r="L59" s="52">
        <v>1.9</v>
      </c>
      <c r="M59" s="52">
        <v>1.6</v>
      </c>
      <c r="N59" s="52">
        <v>1.9</v>
      </c>
      <c r="O59" s="52">
        <v>1.6</v>
      </c>
    </row>
    <row r="60" spans="2:15" x14ac:dyDescent="0.25">
      <c r="B60" s="49">
        <v>1966</v>
      </c>
      <c r="C60" s="50">
        <v>1.9</v>
      </c>
      <c r="D60" s="50">
        <v>2.6</v>
      </c>
      <c r="E60" s="50">
        <v>2.6</v>
      </c>
      <c r="F60" s="50">
        <v>2.9</v>
      </c>
      <c r="G60" s="50">
        <v>2.9</v>
      </c>
      <c r="H60" s="50">
        <v>2.5</v>
      </c>
      <c r="I60" s="50">
        <v>2.8</v>
      </c>
      <c r="J60" s="50">
        <v>3.5</v>
      </c>
      <c r="K60" s="50">
        <v>3.5</v>
      </c>
      <c r="L60" s="50">
        <v>3.8</v>
      </c>
      <c r="M60" s="50">
        <v>3.8</v>
      </c>
      <c r="N60" s="50">
        <v>3.5</v>
      </c>
      <c r="O60" s="50">
        <v>2.9</v>
      </c>
    </row>
    <row r="61" spans="2:15" x14ac:dyDescent="0.25">
      <c r="B61" s="51">
        <v>1967</v>
      </c>
      <c r="C61" s="52">
        <v>3.5</v>
      </c>
      <c r="D61" s="52">
        <v>2.8</v>
      </c>
      <c r="E61" s="52">
        <v>2.8</v>
      </c>
      <c r="F61" s="52">
        <v>2.5</v>
      </c>
      <c r="G61" s="52">
        <v>2.8</v>
      </c>
      <c r="H61" s="52">
        <v>2.8</v>
      </c>
      <c r="I61" s="52">
        <v>2.8</v>
      </c>
      <c r="J61" s="52">
        <v>2.4</v>
      </c>
      <c r="K61" s="52">
        <v>2.8</v>
      </c>
      <c r="L61" s="52">
        <v>2.4</v>
      </c>
      <c r="M61" s="52">
        <v>2.7</v>
      </c>
      <c r="N61" s="52">
        <v>3</v>
      </c>
      <c r="O61" s="52">
        <v>3.1</v>
      </c>
    </row>
    <row r="62" spans="2:15" x14ac:dyDescent="0.25">
      <c r="B62" s="49">
        <v>1968</v>
      </c>
      <c r="C62" s="50">
        <v>3.6</v>
      </c>
      <c r="D62" s="50">
        <v>4</v>
      </c>
      <c r="E62" s="50">
        <v>3.9</v>
      </c>
      <c r="F62" s="50">
        <v>3.9</v>
      </c>
      <c r="G62" s="50">
        <v>3.9</v>
      </c>
      <c r="H62" s="50">
        <v>4.2</v>
      </c>
      <c r="I62" s="50">
        <v>4.5</v>
      </c>
      <c r="J62" s="50">
        <v>4.5</v>
      </c>
      <c r="K62" s="50">
        <v>4.5</v>
      </c>
      <c r="L62" s="50">
        <v>4.7</v>
      </c>
      <c r="M62" s="50">
        <v>4.7</v>
      </c>
      <c r="N62" s="50">
        <v>4.7</v>
      </c>
      <c r="O62" s="50">
        <v>4.2</v>
      </c>
    </row>
    <row r="63" spans="2:15" x14ac:dyDescent="0.25">
      <c r="B63" s="51">
        <v>1969</v>
      </c>
      <c r="C63" s="52">
        <v>4.4000000000000004</v>
      </c>
      <c r="D63" s="52">
        <v>4.7</v>
      </c>
      <c r="E63" s="52">
        <v>5.2</v>
      </c>
      <c r="F63" s="52">
        <v>5.5</v>
      </c>
      <c r="G63" s="52">
        <v>5.5</v>
      </c>
      <c r="H63" s="52">
        <v>5.5</v>
      </c>
      <c r="I63" s="52">
        <v>5.4</v>
      </c>
      <c r="J63" s="52">
        <v>5.7</v>
      </c>
      <c r="K63" s="52">
        <v>5.7</v>
      </c>
      <c r="L63" s="52">
        <v>5.7</v>
      </c>
      <c r="M63" s="52">
        <v>5.9</v>
      </c>
      <c r="N63" s="52">
        <v>6.2</v>
      </c>
      <c r="O63" s="52">
        <v>5.5</v>
      </c>
    </row>
    <row r="64" spans="2:15" x14ac:dyDescent="0.25">
      <c r="B64" s="49">
        <v>1970</v>
      </c>
      <c r="C64" s="50">
        <v>6.2</v>
      </c>
      <c r="D64" s="50">
        <v>6.1</v>
      </c>
      <c r="E64" s="50">
        <v>5.8</v>
      </c>
      <c r="F64" s="50">
        <v>6.1</v>
      </c>
      <c r="G64" s="50">
        <v>6</v>
      </c>
      <c r="H64" s="50">
        <v>6</v>
      </c>
      <c r="I64" s="50">
        <v>6</v>
      </c>
      <c r="J64" s="50">
        <v>5.4</v>
      </c>
      <c r="K64" s="50">
        <v>5.7</v>
      </c>
      <c r="L64" s="50">
        <v>5.6</v>
      </c>
      <c r="M64" s="50">
        <v>5.6</v>
      </c>
      <c r="N64" s="50">
        <v>5.6</v>
      </c>
      <c r="O64" s="50">
        <v>5.7</v>
      </c>
    </row>
    <row r="65" spans="2:15" x14ac:dyDescent="0.25">
      <c r="B65" s="51">
        <v>1971</v>
      </c>
      <c r="C65" s="52">
        <v>5.3</v>
      </c>
      <c r="D65" s="52">
        <v>5</v>
      </c>
      <c r="E65" s="52">
        <v>4.7</v>
      </c>
      <c r="F65" s="52">
        <v>4.2</v>
      </c>
      <c r="G65" s="52">
        <v>4.4000000000000004</v>
      </c>
      <c r="H65" s="52">
        <v>4.5999999999999996</v>
      </c>
      <c r="I65" s="52">
        <v>4.4000000000000004</v>
      </c>
      <c r="J65" s="52">
        <v>4.5999999999999996</v>
      </c>
      <c r="K65" s="52">
        <v>4.0999999999999996</v>
      </c>
      <c r="L65" s="52">
        <v>3.8</v>
      </c>
      <c r="M65" s="52">
        <v>3.3</v>
      </c>
      <c r="N65" s="52">
        <v>3.3</v>
      </c>
      <c r="O65" s="52">
        <v>4.4000000000000004</v>
      </c>
    </row>
    <row r="66" spans="2:15" x14ac:dyDescent="0.25">
      <c r="B66" s="49">
        <v>1972</v>
      </c>
      <c r="C66" s="50">
        <v>3.3</v>
      </c>
      <c r="D66" s="50">
        <v>3.5</v>
      </c>
      <c r="E66" s="50">
        <v>3.5</v>
      </c>
      <c r="F66" s="50">
        <v>3.5</v>
      </c>
      <c r="G66" s="50">
        <v>3.2</v>
      </c>
      <c r="H66" s="50">
        <v>2.7</v>
      </c>
      <c r="I66" s="50">
        <v>2.9</v>
      </c>
      <c r="J66" s="50">
        <v>2.9</v>
      </c>
      <c r="K66" s="50">
        <v>3.2</v>
      </c>
      <c r="L66" s="50">
        <v>3.4</v>
      </c>
      <c r="M66" s="50">
        <v>3.7</v>
      </c>
      <c r="N66" s="50">
        <v>3.4</v>
      </c>
      <c r="O66" s="50">
        <v>3.2</v>
      </c>
    </row>
    <row r="67" spans="2:15" x14ac:dyDescent="0.25">
      <c r="B67" s="51">
        <v>1973</v>
      </c>
      <c r="C67" s="52">
        <v>3.6</v>
      </c>
      <c r="D67" s="52">
        <v>3.9</v>
      </c>
      <c r="E67" s="52">
        <v>4.5999999999999996</v>
      </c>
      <c r="F67" s="52">
        <v>5.0999999999999996</v>
      </c>
      <c r="G67" s="52">
        <v>5.5</v>
      </c>
      <c r="H67" s="52">
        <v>6</v>
      </c>
      <c r="I67" s="52">
        <v>5.7</v>
      </c>
      <c r="J67" s="52">
        <v>7.4</v>
      </c>
      <c r="K67" s="52">
        <v>7.4</v>
      </c>
      <c r="L67" s="52">
        <v>7.8</v>
      </c>
      <c r="M67" s="52">
        <v>8.3000000000000007</v>
      </c>
      <c r="N67" s="52">
        <v>8.6999999999999993</v>
      </c>
      <c r="O67" s="52">
        <v>6.2</v>
      </c>
    </row>
    <row r="68" spans="2:15" x14ac:dyDescent="0.25">
      <c r="B68" s="49">
        <v>1974</v>
      </c>
      <c r="C68" s="50">
        <v>9.4</v>
      </c>
      <c r="D68" s="50">
        <v>10</v>
      </c>
      <c r="E68" s="50">
        <v>10.4</v>
      </c>
      <c r="F68" s="50">
        <v>10.1</v>
      </c>
      <c r="G68" s="50">
        <v>10.7</v>
      </c>
      <c r="H68" s="50">
        <v>10.9</v>
      </c>
      <c r="I68" s="50">
        <v>11.5</v>
      </c>
      <c r="J68" s="50">
        <v>10.9</v>
      </c>
      <c r="K68" s="50">
        <v>11.9</v>
      </c>
      <c r="L68" s="50">
        <v>12.1</v>
      </c>
      <c r="M68" s="50">
        <v>12.2</v>
      </c>
      <c r="N68" s="50">
        <v>12.3</v>
      </c>
      <c r="O68" s="50">
        <v>11</v>
      </c>
    </row>
    <row r="69" spans="2:15" x14ac:dyDescent="0.25">
      <c r="B69" s="51">
        <v>1975</v>
      </c>
      <c r="C69" s="52">
        <v>11.8</v>
      </c>
      <c r="D69" s="52">
        <v>11.2</v>
      </c>
      <c r="E69" s="52">
        <v>10.3</v>
      </c>
      <c r="F69" s="52">
        <v>10.199999999999999</v>
      </c>
      <c r="G69" s="52">
        <v>9.5</v>
      </c>
      <c r="H69" s="52">
        <v>9.4</v>
      </c>
      <c r="I69" s="52">
        <v>9.6999999999999993</v>
      </c>
      <c r="J69" s="52">
        <v>8.6</v>
      </c>
      <c r="K69" s="52">
        <v>7.9</v>
      </c>
      <c r="L69" s="52">
        <v>7.4</v>
      </c>
      <c r="M69" s="52">
        <v>7.4</v>
      </c>
      <c r="N69" s="52">
        <v>6.9</v>
      </c>
      <c r="O69" s="52">
        <v>9.1</v>
      </c>
    </row>
    <row r="70" spans="2:15" x14ac:dyDescent="0.25">
      <c r="B70" s="49">
        <v>1976</v>
      </c>
      <c r="C70" s="50">
        <v>6.7</v>
      </c>
      <c r="D70" s="50">
        <v>6.3</v>
      </c>
      <c r="E70" s="50">
        <v>6.1</v>
      </c>
      <c r="F70" s="50">
        <v>6</v>
      </c>
      <c r="G70" s="50">
        <v>6.2</v>
      </c>
      <c r="H70" s="50">
        <v>6</v>
      </c>
      <c r="I70" s="50">
        <v>5.4</v>
      </c>
      <c r="J70" s="50">
        <v>5.7</v>
      </c>
      <c r="K70" s="50">
        <v>5.5</v>
      </c>
      <c r="L70" s="50">
        <v>5.5</v>
      </c>
      <c r="M70" s="50">
        <v>4.9000000000000004</v>
      </c>
      <c r="N70" s="50">
        <v>4.9000000000000004</v>
      </c>
      <c r="O70" s="50">
        <v>5.8</v>
      </c>
    </row>
    <row r="71" spans="2:15" x14ac:dyDescent="0.25">
      <c r="B71" s="51">
        <v>1977</v>
      </c>
      <c r="C71" s="52">
        <v>5.2</v>
      </c>
      <c r="D71" s="52">
        <v>5.9</v>
      </c>
      <c r="E71" s="52">
        <v>6.4</v>
      </c>
      <c r="F71" s="52">
        <v>7</v>
      </c>
      <c r="G71" s="52">
        <v>6.7</v>
      </c>
      <c r="H71" s="52">
        <v>6.9</v>
      </c>
      <c r="I71" s="52">
        <v>6.8</v>
      </c>
      <c r="J71" s="52">
        <v>6.6</v>
      </c>
      <c r="K71" s="52">
        <v>6.6</v>
      </c>
      <c r="L71" s="52">
        <v>6.4</v>
      </c>
      <c r="M71" s="52">
        <v>6.7</v>
      </c>
      <c r="N71" s="52">
        <v>6.7</v>
      </c>
      <c r="O71" s="52">
        <v>6.5</v>
      </c>
    </row>
    <row r="72" spans="2:15" x14ac:dyDescent="0.25">
      <c r="B72" s="49">
        <v>1978</v>
      </c>
      <c r="C72" s="50">
        <v>6.8</v>
      </c>
      <c r="D72" s="50">
        <v>6.4</v>
      </c>
      <c r="E72" s="50">
        <v>6.6</v>
      </c>
      <c r="F72" s="50">
        <v>6.5</v>
      </c>
      <c r="G72" s="50">
        <v>7</v>
      </c>
      <c r="H72" s="50">
        <v>7.4</v>
      </c>
      <c r="I72" s="50">
        <v>7.7</v>
      </c>
      <c r="J72" s="50">
        <v>7.8</v>
      </c>
      <c r="K72" s="50">
        <v>8.3000000000000007</v>
      </c>
      <c r="L72" s="50">
        <v>8.9</v>
      </c>
      <c r="M72" s="50">
        <v>8.9</v>
      </c>
      <c r="N72" s="50">
        <v>9</v>
      </c>
      <c r="O72" s="50">
        <v>7.6</v>
      </c>
    </row>
    <row r="73" spans="2:15" x14ac:dyDescent="0.25">
      <c r="B73" s="51">
        <v>1979</v>
      </c>
      <c r="C73" s="52">
        <v>9.3000000000000007</v>
      </c>
      <c r="D73" s="52">
        <v>9.9</v>
      </c>
      <c r="E73" s="52">
        <v>10.1</v>
      </c>
      <c r="F73" s="52">
        <v>10.5</v>
      </c>
      <c r="G73" s="52">
        <v>10.9</v>
      </c>
      <c r="H73" s="52">
        <v>10.9</v>
      </c>
      <c r="I73" s="52">
        <v>11.3</v>
      </c>
      <c r="J73" s="52">
        <v>11.8</v>
      </c>
      <c r="K73" s="52">
        <v>12.2</v>
      </c>
      <c r="L73" s="52">
        <v>12.1</v>
      </c>
      <c r="M73" s="52">
        <v>12.6</v>
      </c>
      <c r="N73" s="52">
        <v>13.3</v>
      </c>
      <c r="O73" s="52">
        <v>11.3</v>
      </c>
    </row>
    <row r="74" spans="2:15" x14ac:dyDescent="0.25">
      <c r="B74" s="49">
        <v>1980</v>
      </c>
      <c r="C74" s="50">
        <v>13.9</v>
      </c>
      <c r="D74" s="50">
        <v>14.2</v>
      </c>
      <c r="E74" s="50">
        <v>14.8</v>
      </c>
      <c r="F74" s="50">
        <v>14.7</v>
      </c>
      <c r="G74" s="50">
        <v>14.4</v>
      </c>
      <c r="H74" s="50">
        <v>14.4</v>
      </c>
      <c r="I74" s="50">
        <v>13.1</v>
      </c>
      <c r="J74" s="50">
        <v>12.9</v>
      </c>
      <c r="K74" s="50">
        <v>12.6</v>
      </c>
      <c r="L74" s="50">
        <v>12.8</v>
      </c>
      <c r="M74" s="50">
        <v>12.6</v>
      </c>
      <c r="N74" s="50">
        <v>12.5</v>
      </c>
      <c r="O74" s="50">
        <v>13.5</v>
      </c>
    </row>
    <row r="75" spans="2:15" x14ac:dyDescent="0.25">
      <c r="B75" s="51">
        <v>1981</v>
      </c>
      <c r="C75" s="52">
        <v>11.8</v>
      </c>
      <c r="D75" s="52">
        <v>11.4</v>
      </c>
      <c r="E75" s="52">
        <v>10.5</v>
      </c>
      <c r="F75" s="52">
        <v>10</v>
      </c>
      <c r="G75" s="52">
        <v>9.8000000000000007</v>
      </c>
      <c r="H75" s="52">
        <v>9.6</v>
      </c>
      <c r="I75" s="52">
        <v>10.8</v>
      </c>
      <c r="J75" s="52">
        <v>10.8</v>
      </c>
      <c r="K75" s="52">
        <v>11</v>
      </c>
      <c r="L75" s="52">
        <v>10.1</v>
      </c>
      <c r="M75" s="52">
        <v>9.6</v>
      </c>
      <c r="N75" s="52">
        <v>8.9</v>
      </c>
      <c r="O75" s="52">
        <v>10.3</v>
      </c>
    </row>
    <row r="76" spans="2:15" x14ac:dyDescent="0.25">
      <c r="B76" s="49">
        <v>1982</v>
      </c>
      <c r="C76" s="50">
        <v>8.4</v>
      </c>
      <c r="D76" s="50">
        <v>7.6</v>
      </c>
      <c r="E76" s="50">
        <v>6.8</v>
      </c>
      <c r="F76" s="50">
        <v>6.5</v>
      </c>
      <c r="G76" s="50">
        <v>6.7</v>
      </c>
      <c r="H76" s="50">
        <v>7.1</v>
      </c>
      <c r="I76" s="50">
        <v>6.4</v>
      </c>
      <c r="J76" s="50">
        <v>5.9</v>
      </c>
      <c r="K76" s="50">
        <v>5</v>
      </c>
      <c r="L76" s="50">
        <v>5.0999999999999996</v>
      </c>
      <c r="M76" s="50">
        <v>4.5999999999999996</v>
      </c>
      <c r="N76" s="50">
        <v>3.8</v>
      </c>
      <c r="O76" s="50">
        <v>6.2</v>
      </c>
    </row>
    <row r="77" spans="2:15" x14ac:dyDescent="0.25">
      <c r="B77" s="51">
        <v>1983</v>
      </c>
      <c r="C77" s="52">
        <v>3.7</v>
      </c>
      <c r="D77" s="52">
        <v>3.5</v>
      </c>
      <c r="E77" s="52">
        <v>3.6</v>
      </c>
      <c r="F77" s="52">
        <v>3.9</v>
      </c>
      <c r="G77" s="52">
        <v>3.5</v>
      </c>
      <c r="H77" s="52">
        <v>2.6</v>
      </c>
      <c r="I77" s="52">
        <v>2.5</v>
      </c>
      <c r="J77" s="52">
        <v>2.6</v>
      </c>
      <c r="K77" s="52">
        <v>2.9</v>
      </c>
      <c r="L77" s="52">
        <v>2.9</v>
      </c>
      <c r="M77" s="52">
        <v>3.3</v>
      </c>
      <c r="N77" s="52">
        <v>3.8</v>
      </c>
      <c r="O77" s="52">
        <v>3.2</v>
      </c>
    </row>
    <row r="78" spans="2:15" x14ac:dyDescent="0.25">
      <c r="B78" s="49">
        <v>1984</v>
      </c>
      <c r="C78" s="50">
        <v>4.2</v>
      </c>
      <c r="D78" s="50">
        <v>4.5999999999999996</v>
      </c>
      <c r="E78" s="50">
        <v>4.8</v>
      </c>
      <c r="F78" s="50">
        <v>4.5999999999999996</v>
      </c>
      <c r="G78" s="50">
        <v>4.2</v>
      </c>
      <c r="H78" s="50">
        <v>4.2</v>
      </c>
      <c r="I78" s="50">
        <v>4.2</v>
      </c>
      <c r="J78" s="50">
        <v>4.3</v>
      </c>
      <c r="K78" s="50">
        <v>4.3</v>
      </c>
      <c r="L78" s="50">
        <v>4.3</v>
      </c>
      <c r="M78" s="50">
        <v>4.0999999999999996</v>
      </c>
      <c r="N78" s="50">
        <v>3.9</v>
      </c>
      <c r="O78" s="50">
        <v>4.3</v>
      </c>
    </row>
    <row r="79" spans="2:15" x14ac:dyDescent="0.25">
      <c r="B79" s="51">
        <v>1985</v>
      </c>
      <c r="C79" s="52">
        <v>3.5</v>
      </c>
      <c r="D79" s="52">
        <v>3.5</v>
      </c>
      <c r="E79" s="52">
        <v>3.7</v>
      </c>
      <c r="F79" s="52">
        <v>3.7</v>
      </c>
      <c r="G79" s="52">
        <v>3.8</v>
      </c>
      <c r="H79" s="52">
        <v>3.8</v>
      </c>
      <c r="I79" s="52">
        <v>3.6</v>
      </c>
      <c r="J79" s="52">
        <v>3.3</v>
      </c>
      <c r="K79" s="52">
        <v>3.1</v>
      </c>
      <c r="L79" s="52">
        <v>3.2</v>
      </c>
      <c r="M79" s="52">
        <v>3.5</v>
      </c>
      <c r="N79" s="52">
        <v>3.8</v>
      </c>
      <c r="O79" s="52">
        <v>3.6</v>
      </c>
    </row>
    <row r="80" spans="2:15" x14ac:dyDescent="0.25">
      <c r="B80" s="49">
        <v>1986</v>
      </c>
      <c r="C80" s="50">
        <v>3.9</v>
      </c>
      <c r="D80" s="50">
        <v>3.1</v>
      </c>
      <c r="E80" s="50">
        <v>2.2999999999999998</v>
      </c>
      <c r="F80" s="50">
        <v>1.6</v>
      </c>
      <c r="G80" s="50">
        <v>1.5</v>
      </c>
      <c r="H80" s="50">
        <v>1.8</v>
      </c>
      <c r="I80" s="50">
        <v>1.6</v>
      </c>
      <c r="J80" s="50">
        <v>1.6</v>
      </c>
      <c r="K80" s="50">
        <v>1.8</v>
      </c>
      <c r="L80" s="50">
        <v>1.5</v>
      </c>
      <c r="M80" s="50">
        <v>1.3</v>
      </c>
      <c r="N80" s="50">
        <v>1.1000000000000001</v>
      </c>
      <c r="O80" s="50">
        <v>1.9</v>
      </c>
    </row>
    <row r="81" spans="2:15" x14ac:dyDescent="0.25">
      <c r="B81" s="51">
        <v>1987</v>
      </c>
      <c r="C81" s="52">
        <v>1.5</v>
      </c>
      <c r="D81" s="52">
        <v>2.1</v>
      </c>
      <c r="E81" s="52">
        <v>3</v>
      </c>
      <c r="F81" s="52">
        <v>3.8</v>
      </c>
      <c r="G81" s="52">
        <v>3.9</v>
      </c>
      <c r="H81" s="52">
        <v>3.7</v>
      </c>
      <c r="I81" s="52">
        <v>3.9</v>
      </c>
      <c r="J81" s="52">
        <v>4.3</v>
      </c>
      <c r="K81" s="52">
        <v>4.4000000000000004</v>
      </c>
      <c r="L81" s="52">
        <v>4.5</v>
      </c>
      <c r="M81" s="52">
        <v>4.5</v>
      </c>
      <c r="N81" s="52">
        <v>4.4000000000000004</v>
      </c>
      <c r="O81" s="52">
        <v>3.6</v>
      </c>
    </row>
    <row r="82" spans="2:15" x14ac:dyDescent="0.25">
      <c r="B82" s="49">
        <v>1988</v>
      </c>
      <c r="C82" s="50">
        <v>4</v>
      </c>
      <c r="D82" s="50">
        <v>3.9</v>
      </c>
      <c r="E82" s="50">
        <v>3.9</v>
      </c>
      <c r="F82" s="50">
        <v>3.9</v>
      </c>
      <c r="G82" s="50">
        <v>3.9</v>
      </c>
      <c r="H82" s="50">
        <v>4</v>
      </c>
      <c r="I82" s="50">
        <v>4.0999999999999996</v>
      </c>
      <c r="J82" s="50">
        <v>4</v>
      </c>
      <c r="K82" s="50">
        <v>4.2</v>
      </c>
      <c r="L82" s="50">
        <v>4.2</v>
      </c>
      <c r="M82" s="50">
        <v>4.2</v>
      </c>
      <c r="N82" s="50">
        <v>4.4000000000000004</v>
      </c>
      <c r="O82" s="50">
        <v>4.0999999999999996</v>
      </c>
    </row>
    <row r="83" spans="2:15" x14ac:dyDescent="0.25">
      <c r="B83" s="51">
        <v>1989</v>
      </c>
      <c r="C83" s="52">
        <v>4.7</v>
      </c>
      <c r="D83" s="52">
        <v>4.8</v>
      </c>
      <c r="E83" s="52">
        <v>5</v>
      </c>
      <c r="F83" s="52">
        <v>5.0999999999999996</v>
      </c>
      <c r="G83" s="52">
        <v>5.4</v>
      </c>
      <c r="H83" s="52">
        <v>5.2</v>
      </c>
      <c r="I83" s="52">
        <v>5</v>
      </c>
      <c r="J83" s="52">
        <v>4.7</v>
      </c>
      <c r="K83" s="52">
        <v>4.3</v>
      </c>
      <c r="L83" s="52">
        <v>4.5</v>
      </c>
      <c r="M83" s="52">
        <v>4.7</v>
      </c>
      <c r="N83" s="52">
        <v>4.5999999999999996</v>
      </c>
      <c r="O83" s="52">
        <v>4.8</v>
      </c>
    </row>
    <row r="84" spans="2:15" x14ac:dyDescent="0.25">
      <c r="B84" s="49">
        <v>1990</v>
      </c>
      <c r="C84" s="50">
        <v>5.2</v>
      </c>
      <c r="D84" s="50">
        <v>5.3</v>
      </c>
      <c r="E84" s="50">
        <v>5.2</v>
      </c>
      <c r="F84" s="50">
        <v>4.7</v>
      </c>
      <c r="G84" s="50">
        <v>4.4000000000000004</v>
      </c>
      <c r="H84" s="50">
        <v>4.7</v>
      </c>
      <c r="I84" s="50">
        <v>4.8</v>
      </c>
      <c r="J84" s="50">
        <v>5.6</v>
      </c>
      <c r="K84" s="50">
        <v>6.2</v>
      </c>
      <c r="L84" s="50">
        <v>6.3</v>
      </c>
      <c r="M84" s="50">
        <v>6.3</v>
      </c>
      <c r="N84" s="50">
        <v>6.1</v>
      </c>
      <c r="O84" s="50">
        <v>5.4</v>
      </c>
    </row>
    <row r="85" spans="2:15" x14ac:dyDescent="0.25">
      <c r="B85" s="51">
        <v>1991</v>
      </c>
      <c r="C85" s="52">
        <v>5.7</v>
      </c>
      <c r="D85" s="52">
        <v>5.3</v>
      </c>
      <c r="E85" s="52">
        <v>4.9000000000000004</v>
      </c>
      <c r="F85" s="52">
        <v>4.9000000000000004</v>
      </c>
      <c r="G85" s="52">
        <v>5</v>
      </c>
      <c r="H85" s="52">
        <v>4.7</v>
      </c>
      <c r="I85" s="52">
        <v>4.4000000000000004</v>
      </c>
      <c r="J85" s="52">
        <v>3.8</v>
      </c>
      <c r="K85" s="52">
        <v>3.4</v>
      </c>
      <c r="L85" s="52">
        <v>2.9</v>
      </c>
      <c r="M85" s="52">
        <v>3</v>
      </c>
      <c r="N85" s="52">
        <v>3.1</v>
      </c>
      <c r="O85" s="52">
        <v>4.2</v>
      </c>
    </row>
    <row r="86" spans="2:15" x14ac:dyDescent="0.25">
      <c r="B86" s="49">
        <v>1992</v>
      </c>
      <c r="C86" s="50">
        <v>2.6</v>
      </c>
      <c r="D86" s="50">
        <v>2.8</v>
      </c>
      <c r="E86" s="50">
        <v>3.2</v>
      </c>
      <c r="F86" s="50">
        <v>3.2</v>
      </c>
      <c r="G86" s="50">
        <v>3</v>
      </c>
      <c r="H86" s="50">
        <v>3.1</v>
      </c>
      <c r="I86" s="50">
        <v>3.2</v>
      </c>
      <c r="J86" s="50">
        <v>3.1</v>
      </c>
      <c r="K86" s="50">
        <v>3</v>
      </c>
      <c r="L86" s="50">
        <v>3.2</v>
      </c>
      <c r="M86" s="50">
        <v>3</v>
      </c>
      <c r="N86" s="50">
        <v>2.9</v>
      </c>
      <c r="O86" s="50">
        <v>3</v>
      </c>
    </row>
    <row r="87" spans="2:15" x14ac:dyDescent="0.25">
      <c r="B87" s="51">
        <v>1993</v>
      </c>
      <c r="C87" s="52">
        <v>3.3</v>
      </c>
      <c r="D87" s="52">
        <v>3.2</v>
      </c>
      <c r="E87" s="52">
        <v>3.1</v>
      </c>
      <c r="F87" s="52">
        <v>3.2</v>
      </c>
      <c r="G87" s="52">
        <v>3.2</v>
      </c>
      <c r="H87" s="52">
        <v>3</v>
      </c>
      <c r="I87" s="52">
        <v>2.8</v>
      </c>
      <c r="J87" s="52">
        <v>2.8</v>
      </c>
      <c r="K87" s="52">
        <v>2.7</v>
      </c>
      <c r="L87" s="52">
        <v>2.8</v>
      </c>
      <c r="M87" s="52">
        <v>2.7</v>
      </c>
      <c r="N87" s="52">
        <v>2.7</v>
      </c>
      <c r="O87" s="52">
        <v>3</v>
      </c>
    </row>
    <row r="88" spans="2:15" x14ac:dyDescent="0.25">
      <c r="B88" s="49">
        <v>1994</v>
      </c>
      <c r="C88" s="50">
        <v>2.5</v>
      </c>
      <c r="D88" s="50">
        <v>2.5</v>
      </c>
      <c r="E88" s="50">
        <v>2.5</v>
      </c>
      <c r="F88" s="50">
        <v>2.4</v>
      </c>
      <c r="G88" s="50">
        <v>2.2999999999999998</v>
      </c>
      <c r="H88" s="50">
        <v>2.5</v>
      </c>
      <c r="I88" s="50">
        <v>2.8</v>
      </c>
      <c r="J88" s="50">
        <v>2.9</v>
      </c>
      <c r="K88" s="50">
        <v>3</v>
      </c>
      <c r="L88" s="50">
        <v>2.6</v>
      </c>
      <c r="M88" s="50">
        <v>2.7</v>
      </c>
      <c r="N88" s="50">
        <v>2.7</v>
      </c>
      <c r="O88" s="50">
        <v>2.6</v>
      </c>
    </row>
    <row r="89" spans="2:15" x14ac:dyDescent="0.25">
      <c r="B89" s="51">
        <v>1995</v>
      </c>
      <c r="C89" s="52">
        <v>2.8</v>
      </c>
      <c r="D89" s="52">
        <v>2.9</v>
      </c>
      <c r="E89" s="52">
        <v>2.9</v>
      </c>
      <c r="F89" s="52">
        <v>3.1</v>
      </c>
      <c r="G89" s="52">
        <v>3.2</v>
      </c>
      <c r="H89" s="52">
        <v>3</v>
      </c>
      <c r="I89" s="52">
        <v>2.8</v>
      </c>
      <c r="J89" s="52">
        <v>2.6</v>
      </c>
      <c r="K89" s="52">
        <v>2.5</v>
      </c>
      <c r="L89" s="52">
        <v>2.8</v>
      </c>
      <c r="M89" s="52">
        <v>2.6</v>
      </c>
      <c r="N89" s="52">
        <v>2.5</v>
      </c>
      <c r="O89" s="52">
        <v>2.8</v>
      </c>
    </row>
    <row r="90" spans="2:15" x14ac:dyDescent="0.25">
      <c r="B90" s="49">
        <v>1996</v>
      </c>
      <c r="C90" s="50">
        <v>2.7</v>
      </c>
      <c r="D90" s="50">
        <v>2.7</v>
      </c>
      <c r="E90" s="50">
        <v>2.8</v>
      </c>
      <c r="F90" s="50">
        <v>2.9</v>
      </c>
      <c r="G90" s="50">
        <v>2.9</v>
      </c>
      <c r="H90" s="50">
        <v>2.8</v>
      </c>
      <c r="I90" s="50">
        <v>3</v>
      </c>
      <c r="J90" s="50">
        <v>2.9</v>
      </c>
      <c r="K90" s="50">
        <v>3</v>
      </c>
      <c r="L90" s="50">
        <v>3</v>
      </c>
      <c r="M90" s="50">
        <v>3.3</v>
      </c>
      <c r="N90" s="50">
        <v>3.3</v>
      </c>
      <c r="O90" s="50">
        <v>3</v>
      </c>
    </row>
    <row r="91" spans="2:15" x14ac:dyDescent="0.25">
      <c r="B91" s="51">
        <v>1997</v>
      </c>
      <c r="C91" s="52">
        <v>3</v>
      </c>
      <c r="D91" s="52">
        <v>3</v>
      </c>
      <c r="E91" s="52">
        <v>2.8</v>
      </c>
      <c r="F91" s="52">
        <v>2.5</v>
      </c>
      <c r="G91" s="52">
        <v>2.2000000000000002</v>
      </c>
      <c r="H91" s="52">
        <v>2.2999999999999998</v>
      </c>
      <c r="I91" s="52">
        <v>2.2000000000000002</v>
      </c>
      <c r="J91" s="52">
        <v>2.2000000000000002</v>
      </c>
      <c r="K91" s="52">
        <v>2.2000000000000002</v>
      </c>
      <c r="L91" s="52">
        <v>2.1</v>
      </c>
      <c r="M91" s="52">
        <v>1.8</v>
      </c>
      <c r="N91" s="52">
        <v>1.7</v>
      </c>
      <c r="O91" s="52">
        <v>2.2999999999999998</v>
      </c>
    </row>
    <row r="92" spans="2:15" x14ac:dyDescent="0.25">
      <c r="B92" s="49">
        <v>1998</v>
      </c>
      <c r="C92" s="50">
        <v>1.6</v>
      </c>
      <c r="D92" s="50">
        <v>1.4</v>
      </c>
      <c r="E92" s="50">
        <v>1.4</v>
      </c>
      <c r="F92" s="50">
        <v>1.4</v>
      </c>
      <c r="G92" s="50">
        <v>1.7</v>
      </c>
      <c r="H92" s="50">
        <v>1.7</v>
      </c>
      <c r="I92" s="50">
        <v>1.7</v>
      </c>
      <c r="J92" s="50">
        <v>1.6</v>
      </c>
      <c r="K92" s="50">
        <v>1.5</v>
      </c>
      <c r="L92" s="50">
        <v>1.5</v>
      </c>
      <c r="M92" s="50">
        <v>1.5</v>
      </c>
      <c r="N92" s="50">
        <v>1.6</v>
      </c>
      <c r="O92" s="50">
        <v>1.6</v>
      </c>
    </row>
    <row r="93" spans="2:15" x14ac:dyDescent="0.25">
      <c r="B93" s="51">
        <v>1999</v>
      </c>
      <c r="C93" s="52">
        <v>1.7</v>
      </c>
      <c r="D93" s="52">
        <v>1.6</v>
      </c>
      <c r="E93" s="52">
        <v>1.7</v>
      </c>
      <c r="F93" s="52">
        <v>2.2999999999999998</v>
      </c>
      <c r="G93" s="52">
        <v>2.1</v>
      </c>
      <c r="H93" s="52">
        <v>2</v>
      </c>
      <c r="I93" s="52">
        <v>2.1</v>
      </c>
      <c r="J93" s="52">
        <v>2.2999999999999998</v>
      </c>
      <c r="K93" s="52">
        <v>2.6</v>
      </c>
      <c r="L93" s="52">
        <v>2.6</v>
      </c>
      <c r="M93" s="52">
        <v>2.6</v>
      </c>
      <c r="N93" s="52">
        <v>2.7</v>
      </c>
      <c r="O93" s="52">
        <v>2.2000000000000002</v>
      </c>
    </row>
    <row r="94" spans="2:15" x14ac:dyDescent="0.25">
      <c r="B94" s="49">
        <v>2000</v>
      </c>
      <c r="C94" s="50">
        <v>2.7</v>
      </c>
      <c r="D94" s="50">
        <v>3.2</v>
      </c>
      <c r="E94" s="50">
        <v>3.8</v>
      </c>
      <c r="F94" s="50">
        <v>3.1</v>
      </c>
      <c r="G94" s="50">
        <v>3.2</v>
      </c>
      <c r="H94" s="50">
        <v>3.7</v>
      </c>
      <c r="I94" s="50">
        <v>3.7</v>
      </c>
      <c r="J94" s="50">
        <v>3.4</v>
      </c>
      <c r="K94" s="50">
        <v>3.5</v>
      </c>
      <c r="L94" s="50">
        <v>3.4</v>
      </c>
      <c r="M94" s="50">
        <v>3.4</v>
      </c>
      <c r="N94" s="50">
        <v>3.4</v>
      </c>
      <c r="O94" s="50">
        <v>3.4</v>
      </c>
    </row>
    <row r="95" spans="2:15" x14ac:dyDescent="0.25">
      <c r="B95" s="51">
        <v>2001</v>
      </c>
      <c r="C95" s="52">
        <v>3.7</v>
      </c>
      <c r="D95" s="52">
        <v>3.5</v>
      </c>
      <c r="E95" s="52">
        <v>2.9</v>
      </c>
      <c r="F95" s="52">
        <v>3.3</v>
      </c>
      <c r="G95" s="52">
        <v>3.6</v>
      </c>
      <c r="H95" s="52">
        <v>3.2</v>
      </c>
      <c r="I95" s="52">
        <v>2.7</v>
      </c>
      <c r="J95" s="52">
        <v>2.7</v>
      </c>
      <c r="K95" s="52">
        <v>2.6</v>
      </c>
      <c r="L95" s="52">
        <v>2.1</v>
      </c>
      <c r="M95" s="52">
        <v>1.9</v>
      </c>
      <c r="N95" s="52">
        <v>1.6</v>
      </c>
      <c r="O95" s="52">
        <v>2.8</v>
      </c>
    </row>
    <row r="96" spans="2:15" x14ac:dyDescent="0.25">
      <c r="B96" s="49">
        <v>2002</v>
      </c>
      <c r="C96" s="50">
        <v>1.1000000000000001</v>
      </c>
      <c r="D96" s="50">
        <v>1.1000000000000001</v>
      </c>
      <c r="E96" s="50">
        <v>1.5</v>
      </c>
      <c r="F96" s="50">
        <v>1.6</v>
      </c>
      <c r="G96" s="50">
        <v>1.2</v>
      </c>
      <c r="H96" s="50">
        <v>1.1000000000000001</v>
      </c>
      <c r="I96" s="50">
        <v>1.5</v>
      </c>
      <c r="J96" s="50">
        <v>1.8</v>
      </c>
      <c r="K96" s="50">
        <v>1.5</v>
      </c>
      <c r="L96" s="50">
        <v>2</v>
      </c>
      <c r="M96" s="50">
        <v>2.2000000000000002</v>
      </c>
      <c r="N96" s="50">
        <v>2.4</v>
      </c>
      <c r="O96" s="50">
        <v>1.6</v>
      </c>
    </row>
    <row r="97" spans="2:16" x14ac:dyDescent="0.25">
      <c r="B97" s="51">
        <v>2003</v>
      </c>
      <c r="C97" s="52">
        <v>2.6</v>
      </c>
      <c r="D97" s="52">
        <v>3</v>
      </c>
      <c r="E97" s="52">
        <v>3</v>
      </c>
      <c r="F97" s="52">
        <v>2.2000000000000002</v>
      </c>
      <c r="G97" s="52">
        <v>2.1</v>
      </c>
      <c r="H97" s="52">
        <v>2.1</v>
      </c>
      <c r="I97" s="52">
        <v>2.1</v>
      </c>
      <c r="J97" s="52">
        <v>2.2000000000000002</v>
      </c>
      <c r="K97" s="52">
        <v>2.2999999999999998</v>
      </c>
      <c r="L97" s="52">
        <v>2</v>
      </c>
      <c r="M97" s="52">
        <v>1.8</v>
      </c>
      <c r="N97" s="52">
        <v>1.9</v>
      </c>
      <c r="O97" s="52">
        <v>2.2999999999999998</v>
      </c>
    </row>
    <row r="98" spans="2:16" x14ac:dyDescent="0.25">
      <c r="B98" s="49">
        <v>2004</v>
      </c>
      <c r="C98" s="50">
        <v>1.9</v>
      </c>
      <c r="D98" s="50">
        <v>1.7</v>
      </c>
      <c r="E98" s="50">
        <v>1.7</v>
      </c>
      <c r="F98" s="50">
        <v>2.2999999999999998</v>
      </c>
      <c r="G98" s="50">
        <v>3.1</v>
      </c>
      <c r="H98" s="50">
        <v>3.3</v>
      </c>
      <c r="I98" s="50">
        <v>3</v>
      </c>
      <c r="J98" s="50">
        <v>2.7</v>
      </c>
      <c r="K98" s="50">
        <v>2.5</v>
      </c>
      <c r="L98" s="50">
        <v>3.2</v>
      </c>
      <c r="M98" s="50">
        <v>3.5</v>
      </c>
      <c r="N98" s="50">
        <v>3.3</v>
      </c>
      <c r="O98" s="50">
        <v>2.7</v>
      </c>
    </row>
    <row r="99" spans="2:16" x14ac:dyDescent="0.25">
      <c r="B99" s="51">
        <v>2005</v>
      </c>
      <c r="C99" s="52">
        <v>3</v>
      </c>
      <c r="D99" s="52">
        <v>3</v>
      </c>
      <c r="E99" s="52">
        <v>3.1</v>
      </c>
      <c r="F99" s="52">
        <v>3.5</v>
      </c>
      <c r="G99" s="52">
        <v>2.8</v>
      </c>
      <c r="H99" s="52">
        <v>2.5</v>
      </c>
      <c r="I99" s="52">
        <v>3.2</v>
      </c>
      <c r="J99" s="52">
        <v>3.6</v>
      </c>
      <c r="K99" s="52">
        <v>4.7</v>
      </c>
      <c r="L99" s="52">
        <v>4.3</v>
      </c>
      <c r="M99" s="52">
        <v>3.5</v>
      </c>
      <c r="N99" s="52">
        <v>3.4</v>
      </c>
      <c r="O99" s="52">
        <v>3.4</v>
      </c>
    </row>
    <row r="100" spans="2:16" x14ac:dyDescent="0.25">
      <c r="B100" s="49">
        <v>2006</v>
      </c>
      <c r="C100" s="50">
        <v>4</v>
      </c>
      <c r="D100" s="50">
        <v>3.6</v>
      </c>
      <c r="E100" s="50">
        <v>3.4</v>
      </c>
      <c r="F100" s="50">
        <v>3.5</v>
      </c>
      <c r="G100" s="50">
        <v>4.2</v>
      </c>
      <c r="H100" s="50">
        <v>4.3</v>
      </c>
      <c r="I100" s="50">
        <v>4.0999999999999996</v>
      </c>
      <c r="J100" s="50">
        <v>3.8</v>
      </c>
      <c r="K100" s="50">
        <v>2.1</v>
      </c>
      <c r="L100" s="50">
        <v>1.3</v>
      </c>
      <c r="M100" s="50">
        <v>2</v>
      </c>
      <c r="N100" s="50">
        <v>2.5</v>
      </c>
      <c r="O100" s="50">
        <v>3.2</v>
      </c>
    </row>
    <row r="101" spans="2:16" x14ac:dyDescent="0.25">
      <c r="B101" s="51">
        <v>2007</v>
      </c>
      <c r="C101" s="52">
        <v>2.1</v>
      </c>
      <c r="D101" s="52">
        <v>2.4</v>
      </c>
      <c r="E101" s="52">
        <v>2.8</v>
      </c>
      <c r="F101" s="52">
        <v>2.6</v>
      </c>
      <c r="G101" s="52">
        <v>2.7</v>
      </c>
      <c r="H101" s="52">
        <v>2.7</v>
      </c>
      <c r="I101" s="52">
        <v>2.4</v>
      </c>
      <c r="J101" s="52">
        <v>2</v>
      </c>
      <c r="K101" s="52">
        <v>2.8</v>
      </c>
      <c r="L101" s="52">
        <v>3.5</v>
      </c>
      <c r="M101" s="52">
        <v>4.3</v>
      </c>
      <c r="N101" s="52">
        <v>4.0999999999999996</v>
      </c>
      <c r="O101" s="52">
        <v>2.8</v>
      </c>
    </row>
    <row r="102" spans="2:16" x14ac:dyDescent="0.25">
      <c r="B102" s="49">
        <v>2008</v>
      </c>
      <c r="C102" s="50">
        <v>4.3</v>
      </c>
      <c r="D102" s="50">
        <v>4</v>
      </c>
      <c r="E102" s="50">
        <v>4</v>
      </c>
      <c r="F102" s="50">
        <v>3.9</v>
      </c>
      <c r="G102" s="50">
        <v>4.2</v>
      </c>
      <c r="H102" s="50">
        <v>5</v>
      </c>
      <c r="I102" s="50">
        <v>5.6</v>
      </c>
      <c r="J102" s="50">
        <v>5.4</v>
      </c>
      <c r="K102" s="50">
        <v>4.9000000000000004</v>
      </c>
      <c r="L102" s="50">
        <v>3.7</v>
      </c>
      <c r="M102" s="50">
        <v>1.1000000000000001</v>
      </c>
      <c r="N102" s="50">
        <v>0.1</v>
      </c>
      <c r="O102" s="50">
        <v>3.8</v>
      </c>
    </row>
    <row r="103" spans="2:16" x14ac:dyDescent="0.25">
      <c r="B103" s="51">
        <v>2009</v>
      </c>
      <c r="C103" s="52">
        <v>0</v>
      </c>
      <c r="D103" s="52">
        <v>0.2</v>
      </c>
      <c r="E103" s="52">
        <v>-0.4</v>
      </c>
      <c r="F103" s="52">
        <v>-0.7</v>
      </c>
      <c r="G103" s="52">
        <v>-1.3</v>
      </c>
      <c r="H103" s="52">
        <v>-1.4</v>
      </c>
      <c r="I103" s="52">
        <v>-2.1</v>
      </c>
      <c r="J103" s="52">
        <v>-1.5</v>
      </c>
      <c r="K103" s="52">
        <v>-1.3</v>
      </c>
      <c r="L103" s="52">
        <v>-0.2</v>
      </c>
      <c r="M103" s="52">
        <v>1.8</v>
      </c>
      <c r="N103" s="52">
        <v>2.7</v>
      </c>
      <c r="O103" s="52">
        <v>-0.4</v>
      </c>
    </row>
    <row r="104" spans="2:16" x14ac:dyDescent="0.25">
      <c r="B104" s="49">
        <v>2010</v>
      </c>
      <c r="C104" s="50">
        <v>2.6</v>
      </c>
      <c r="D104" s="50">
        <v>2.1</v>
      </c>
      <c r="E104" s="50">
        <v>2.2999999999999998</v>
      </c>
      <c r="F104" s="50">
        <v>2.2000000000000002</v>
      </c>
      <c r="G104" s="50">
        <v>2</v>
      </c>
      <c r="H104" s="50">
        <v>1.1000000000000001</v>
      </c>
      <c r="I104" s="50">
        <v>1.2</v>
      </c>
      <c r="J104" s="50">
        <v>1.1000000000000001</v>
      </c>
      <c r="K104" s="50">
        <v>1.1000000000000001</v>
      </c>
      <c r="L104" s="50">
        <v>1.2</v>
      </c>
      <c r="M104" s="50">
        <v>1.1000000000000001</v>
      </c>
      <c r="N104" s="50">
        <v>1.5</v>
      </c>
      <c r="O104" s="50">
        <v>1.6</v>
      </c>
    </row>
    <row r="105" spans="2:16" x14ac:dyDescent="0.25">
      <c r="B105" s="51">
        <v>2011</v>
      </c>
      <c r="C105" s="52">
        <v>1.6</v>
      </c>
      <c r="D105" s="52">
        <v>2.1</v>
      </c>
      <c r="E105" s="52">
        <v>2.7</v>
      </c>
      <c r="F105" s="52">
        <v>3.2</v>
      </c>
      <c r="G105" s="52">
        <v>3.6</v>
      </c>
      <c r="H105" s="52">
        <v>3.6</v>
      </c>
      <c r="I105" s="52">
        <v>3.6</v>
      </c>
      <c r="J105" s="52">
        <v>3.8</v>
      </c>
      <c r="K105" s="52">
        <v>3.9</v>
      </c>
      <c r="L105" s="52">
        <v>3.5</v>
      </c>
      <c r="M105" s="52">
        <v>3.4</v>
      </c>
      <c r="N105" s="52">
        <v>3</v>
      </c>
      <c r="O105" s="52">
        <v>3.2</v>
      </c>
      <c r="P105">
        <f>AVERAGE(O95:O105)</f>
        <v>2.454545454545455</v>
      </c>
    </row>
    <row r="106" spans="2:16" x14ac:dyDescent="0.25">
      <c r="B106" s="49">
        <v>2012</v>
      </c>
      <c r="C106" s="50">
        <v>2.9</v>
      </c>
      <c r="D106" s="50">
        <v>2.9</v>
      </c>
      <c r="E106" s="50">
        <v>2.7</v>
      </c>
      <c r="F106" s="50">
        <v>2.2999999999999998</v>
      </c>
      <c r="G106" s="50">
        <v>1.7</v>
      </c>
      <c r="H106" s="50">
        <v>1.7</v>
      </c>
      <c r="I106" s="50">
        <v>1.4</v>
      </c>
      <c r="J106" s="50">
        <v>1.7</v>
      </c>
      <c r="K106" s="50"/>
      <c r="L106" s="50"/>
      <c r="M106" s="50"/>
      <c r="N106" s="50"/>
      <c r="O106" s="50"/>
    </row>
  </sheetData>
  <mergeCells count="1">
    <mergeCell ref="B6:O6"/>
  </mergeCells>
  <hyperlinks>
    <hyperlink ref="B1" r:id="rId1" display="http://newsok.com/mortgage-rates-reach-record-low/article/3715838"/>
    <hyperlink ref="B5" r:id="rId2" display="http://www.growidahofalls.org/metro-area/quality-of-life.html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4" sqref="C4"/>
    </sheetView>
  </sheetViews>
  <sheetFormatPr defaultRowHeight="15" x14ac:dyDescent="0.25"/>
  <cols>
    <col min="1" max="1" width="2" bestFit="1" customWidth="1"/>
    <col min="2" max="2" width="14.42578125" bestFit="1" customWidth="1"/>
  </cols>
  <sheetData>
    <row r="1" spans="1:3" x14ac:dyDescent="0.25">
      <c r="A1">
        <v>1</v>
      </c>
      <c r="B1" t="s">
        <v>37</v>
      </c>
      <c r="C1" t="s">
        <v>124</v>
      </c>
    </row>
    <row r="2" spans="1:3" x14ac:dyDescent="0.25">
      <c r="A2">
        <v>2</v>
      </c>
      <c r="B2" t="s">
        <v>68</v>
      </c>
      <c r="C2" t="s">
        <v>129</v>
      </c>
    </row>
    <row r="3" spans="1:3" x14ac:dyDescent="0.25">
      <c r="A3">
        <v>3</v>
      </c>
      <c r="B3" t="s">
        <v>123</v>
      </c>
      <c r="C3" t="s">
        <v>126</v>
      </c>
    </row>
    <row r="4" spans="1:3" x14ac:dyDescent="0.25">
      <c r="A4">
        <v>4</v>
      </c>
      <c r="B4" t="s">
        <v>125</v>
      </c>
      <c r="C4" t="s">
        <v>128</v>
      </c>
    </row>
    <row r="5" spans="1:3" x14ac:dyDescent="0.25">
      <c r="A5">
        <v>5</v>
      </c>
      <c r="B5" t="s">
        <v>130</v>
      </c>
      <c r="C5" t="s">
        <v>127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2" workbookViewId="0">
      <selection activeCell="K14" sqref="K14"/>
    </sheetView>
  </sheetViews>
  <sheetFormatPr defaultRowHeight="15" x14ac:dyDescent="0.25"/>
  <sheetData>
    <row r="1" spans="1:12" x14ac:dyDescent="0.25">
      <c r="A1" s="17" t="s">
        <v>132</v>
      </c>
    </row>
    <row r="13" spans="1:12" x14ac:dyDescent="0.25">
      <c r="J13" t="s">
        <v>133</v>
      </c>
    </row>
    <row r="14" spans="1:12" x14ac:dyDescent="0.25">
      <c r="J14" t="s">
        <v>108</v>
      </c>
      <c r="K14">
        <f>+K15+K16</f>
        <v>539.88</v>
      </c>
    </row>
    <row r="15" spans="1:12" x14ac:dyDescent="0.25">
      <c r="J15">
        <v>47.06</v>
      </c>
      <c r="K15">
        <f>J15*3</f>
        <v>141.18</v>
      </c>
      <c r="L15" t="s">
        <v>134</v>
      </c>
    </row>
    <row r="16" spans="1:12" x14ac:dyDescent="0.25">
      <c r="J16">
        <v>44.3</v>
      </c>
      <c r="K16">
        <f>J16*9</f>
        <v>398.7</v>
      </c>
      <c r="L16" t="s">
        <v>135</v>
      </c>
    </row>
  </sheetData>
  <hyperlinks>
    <hyperlink ref="A1" r:id="rId1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8:P26"/>
  <sheetViews>
    <sheetView topLeftCell="A9" workbookViewId="0">
      <selection activeCell="P27" sqref="P27"/>
    </sheetView>
  </sheetViews>
  <sheetFormatPr defaultRowHeight="15" x14ac:dyDescent="0.25"/>
  <cols>
    <col min="14" max="14" width="18.28515625" customWidth="1"/>
    <col min="15" max="15" width="13.42578125" customWidth="1"/>
    <col min="16" max="16" width="11.85546875" customWidth="1"/>
  </cols>
  <sheetData>
    <row r="8" spans="14:16" x14ac:dyDescent="0.25">
      <c r="O8" s="2" t="s">
        <v>139</v>
      </c>
      <c r="P8" s="2" t="s">
        <v>140</v>
      </c>
    </row>
    <row r="9" spans="14:16" x14ac:dyDescent="0.25">
      <c r="N9" t="s">
        <v>141</v>
      </c>
      <c r="O9">
        <f>10/6</f>
        <v>1.6666666666666667</v>
      </c>
      <c r="P9">
        <f>10/6</f>
        <v>1.6666666666666667</v>
      </c>
    </row>
    <row r="10" spans="14:16" x14ac:dyDescent="0.25">
      <c r="N10" t="s">
        <v>142</v>
      </c>
      <c r="O10" s="45">
        <f>O9*405</f>
        <v>675</v>
      </c>
      <c r="P10" s="45">
        <f>P9*1295</f>
        <v>2158.3333333333335</v>
      </c>
    </row>
    <row r="25" spans="14:16" x14ac:dyDescent="0.25">
      <c r="N25" s="2" t="s">
        <v>143</v>
      </c>
      <c r="O25" t="s">
        <v>145</v>
      </c>
      <c r="P25" t="s">
        <v>108</v>
      </c>
    </row>
    <row r="26" spans="14:16" x14ac:dyDescent="0.25">
      <c r="N26" t="s">
        <v>144</v>
      </c>
      <c r="O26" s="45">
        <f>18.89*2</f>
        <v>37.78</v>
      </c>
      <c r="P26" s="46">
        <f>O26*12</f>
        <v>453.36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25" sqref="B25"/>
    </sheetView>
  </sheetViews>
  <sheetFormatPr defaultRowHeight="15" x14ac:dyDescent="0.25"/>
  <sheetData>
    <row r="1" spans="6:6" x14ac:dyDescent="0.25">
      <c r="F1" s="17" t="s">
        <v>146</v>
      </c>
    </row>
    <row r="20" spans="1:4" x14ac:dyDescent="0.25">
      <c r="A20" t="s">
        <v>147</v>
      </c>
      <c r="D20" s="3">
        <f>29.99*2</f>
        <v>59.98</v>
      </c>
    </row>
    <row r="21" spans="1:4" x14ac:dyDescent="0.25">
      <c r="A21" t="s">
        <v>148</v>
      </c>
      <c r="D21" s="3">
        <f>39.99*2</f>
        <v>79.98</v>
      </c>
    </row>
  </sheetData>
  <hyperlinks>
    <hyperlink ref="F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Forecast</vt:lpstr>
      <vt:lpstr>Mortgage</vt:lpstr>
      <vt:lpstr>Rate Assumptions</vt:lpstr>
      <vt:lpstr>Issues</vt:lpstr>
      <vt:lpstr>Electricity</vt:lpstr>
      <vt:lpstr>Water&amp;Waste</vt:lpstr>
      <vt:lpstr>TV&amp;Internet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2013-12-02T21:18:25Z</dcterms:created>
  <dcterms:modified xsi:type="dcterms:W3CDTF">2019-07-17T21:23:32Z</dcterms:modified>
</cp:coreProperties>
</file>