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20" windowWidth="20115" windowHeight="7935" activeTab="5"/>
  </bookViews>
  <sheets>
    <sheet name="Income Statement" sheetId="1" r:id="rId1"/>
    <sheet name="Mortgage" sheetId="2" r:id="rId2"/>
    <sheet name="Ratios" sheetId="3" r:id="rId3"/>
    <sheet name="WACC" sheetId="7" r:id="rId4"/>
    <sheet name="IRR" sheetId="6" r:id="rId5"/>
    <sheet name="Assumptions" sheetId="8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8" i="7" l="1"/>
  <c r="G25" i="7" s="1"/>
  <c r="C12" i="7"/>
  <c r="C13" i="7" s="1"/>
  <c r="C24" i="7" s="1"/>
  <c r="C15" i="7"/>
  <c r="C19" i="7"/>
  <c r="C20" i="7"/>
  <c r="C21" i="7" s="1"/>
  <c r="C25" i="7" s="1"/>
  <c r="G24" i="7"/>
  <c r="C33" i="7"/>
  <c r="C34" i="7"/>
  <c r="C42" i="7" s="1"/>
  <c r="C50" i="7"/>
  <c r="C51" i="7"/>
  <c r="G56" i="7"/>
  <c r="I56" i="7" l="1"/>
  <c r="E24" i="7"/>
  <c r="C26" i="7"/>
  <c r="E25" i="7"/>
  <c r="C36" i="7" s="1"/>
  <c r="I25" i="7" l="1"/>
  <c r="C35" i="7"/>
  <c r="C38" i="7" s="1"/>
  <c r="C41" i="7" s="1"/>
  <c r="C46" i="7" s="1"/>
  <c r="C49" i="7" s="1"/>
  <c r="C53" i="7" s="1"/>
  <c r="G57" i="7" s="1"/>
  <c r="I57" i="7" s="1"/>
  <c r="I58" i="7" s="1"/>
  <c r="C37" i="6" s="1"/>
  <c r="I24" i="7"/>
  <c r="I26" i="7" s="1"/>
  <c r="E20" i="6" l="1"/>
  <c r="D20" i="6"/>
  <c r="C48" i="1"/>
  <c r="D48" i="1" s="1"/>
  <c r="F20" i="6" s="1"/>
  <c r="C13" i="6"/>
  <c r="C31" i="6" s="1"/>
  <c r="E48" i="1" l="1"/>
  <c r="G20" i="6" s="1"/>
  <c r="C36" i="6"/>
  <c r="F48" i="1" l="1"/>
  <c r="H20" i="6" s="1"/>
  <c r="G48" i="1" l="1"/>
  <c r="I20" i="6" s="1"/>
  <c r="H48" i="1" l="1"/>
  <c r="J20" i="6" s="1"/>
  <c r="I48" i="1" l="1"/>
  <c r="K27" i="6" s="1"/>
  <c r="K20" i="6" l="1"/>
  <c r="B37" i="1"/>
  <c r="B88" i="1" s="1"/>
  <c r="C88" i="1" s="1"/>
  <c r="C37" i="1"/>
  <c r="D37" i="1"/>
  <c r="E37" i="1"/>
  <c r="F37" i="1"/>
  <c r="G37" i="1"/>
  <c r="H37" i="1"/>
  <c r="I37" i="1"/>
  <c r="XFD68" i="1"/>
  <c r="E71" i="1"/>
  <c r="B26" i="1"/>
  <c r="B83" i="1" s="1"/>
  <c r="C83" i="1" s="1"/>
  <c r="B19" i="1"/>
  <c r="B18" i="1"/>
  <c r="B20" i="1"/>
  <c r="B31" i="1" s="1"/>
  <c r="B86" i="1" s="1"/>
  <c r="C86" i="1" s="1"/>
  <c r="C26" i="1"/>
  <c r="D26" i="1"/>
  <c r="E26" i="1"/>
  <c r="F26" i="1"/>
  <c r="G26" i="1"/>
  <c r="H26" i="1"/>
  <c r="I26" i="1"/>
  <c r="B36" i="1"/>
  <c r="D5" i="6" s="1"/>
  <c r="D8" i="6" s="1"/>
  <c r="B21" i="1"/>
  <c r="B74" i="1" s="1"/>
  <c r="C74" i="1" s="1"/>
  <c r="B22" i="1"/>
  <c r="B24" i="1" s="1"/>
  <c r="B25" i="1" s="1"/>
  <c r="A75" i="1"/>
  <c r="A74" i="1"/>
  <c r="C7" i="1"/>
  <c r="D7" i="1"/>
  <c r="E7" i="1" s="1"/>
  <c r="F7" i="1" s="1"/>
  <c r="G7" i="1" s="1"/>
  <c r="H7" i="1" s="1"/>
  <c r="I7" i="1" s="1"/>
  <c r="C6" i="1"/>
  <c r="D6" i="1" s="1"/>
  <c r="E6" i="1" s="1"/>
  <c r="F6" i="1" s="1"/>
  <c r="G6" i="1" s="1"/>
  <c r="H6" i="1" s="1"/>
  <c r="I6" i="1" s="1"/>
  <c r="C36" i="1"/>
  <c r="E5" i="6" s="1"/>
  <c r="E8" i="6" s="1"/>
  <c r="D36" i="1"/>
  <c r="F5" i="6" s="1"/>
  <c r="F8" i="6" s="1"/>
  <c r="E36" i="1"/>
  <c r="G5" i="6" s="1"/>
  <c r="G8" i="6" s="1"/>
  <c r="F36" i="1"/>
  <c r="H5" i="6" s="1"/>
  <c r="H8" i="6" s="1"/>
  <c r="G36" i="1"/>
  <c r="I5" i="6" s="1"/>
  <c r="I8" i="6" s="1"/>
  <c r="H36" i="1"/>
  <c r="J5" i="6" s="1"/>
  <c r="J8" i="6" s="1"/>
  <c r="I36" i="1"/>
  <c r="K5" i="6" s="1"/>
  <c r="K8" i="6" s="1"/>
  <c r="B30" i="1"/>
  <c r="C30" i="1" s="1"/>
  <c r="D30" i="1" s="1"/>
  <c r="E30" i="1" s="1"/>
  <c r="F30" i="1" s="1"/>
  <c r="G30" i="1" s="1"/>
  <c r="H30" i="1" s="1"/>
  <c r="I30" i="1" s="1"/>
  <c r="I23" i="1"/>
  <c r="H23" i="1"/>
  <c r="G23" i="1"/>
  <c r="F23" i="1"/>
  <c r="E23" i="1"/>
  <c r="D23" i="1"/>
  <c r="C23" i="1"/>
  <c r="B23" i="1"/>
  <c r="C63" i="1"/>
  <c r="D63" i="1"/>
  <c r="E63" i="1"/>
  <c r="F63" i="1"/>
  <c r="G63" i="1"/>
  <c r="H63" i="1"/>
  <c r="I63" i="1"/>
  <c r="B63" i="1"/>
  <c r="C3" i="2"/>
  <c r="B8" i="2" s="1"/>
  <c r="C8" i="2" s="1"/>
  <c r="B81" i="1"/>
  <c r="I74" i="1"/>
  <c r="C46" i="1"/>
  <c r="D46" i="1"/>
  <c r="E46" i="1"/>
  <c r="F46" i="1"/>
  <c r="G46" i="1"/>
  <c r="H46" i="1"/>
  <c r="I46" i="1"/>
  <c r="B46" i="1"/>
  <c r="C1" i="2"/>
  <c r="C4" i="2"/>
  <c r="D121" i="2" s="1"/>
  <c r="C11" i="1"/>
  <c r="D11" i="1" s="1"/>
  <c r="C10" i="1"/>
  <c r="D10" i="1"/>
  <c r="E10" i="1" s="1"/>
  <c r="C9" i="1"/>
  <c r="C19" i="1" s="1"/>
  <c r="C8" i="1"/>
  <c r="C18" i="1" s="1"/>
  <c r="B27" i="1"/>
  <c r="B82" i="1" s="1"/>
  <c r="C81" i="1"/>
  <c r="C21" i="1"/>
  <c r="B84" i="1"/>
  <c r="C84" i="1" s="1"/>
  <c r="D8" i="1"/>
  <c r="D80" i="2" l="1"/>
  <c r="D42" i="2"/>
  <c r="D27" i="2"/>
  <c r="D123" i="2"/>
  <c r="D32" i="2"/>
  <c r="D64" i="2"/>
  <c r="D96" i="2"/>
  <c r="D11" i="2"/>
  <c r="D74" i="2"/>
  <c r="D9" i="2"/>
  <c r="D109" i="2"/>
  <c r="D43" i="2"/>
  <c r="D75" i="2"/>
  <c r="D107" i="2"/>
  <c r="D70" i="2"/>
  <c r="D8" i="2"/>
  <c r="E8" i="2" s="1"/>
  <c r="F8" i="2" s="1"/>
  <c r="B9" i="2" s="1"/>
  <c r="C9" i="2" s="1"/>
  <c r="E9" i="2" s="1"/>
  <c r="F9" i="2" s="1"/>
  <c r="B10" i="2" s="1"/>
  <c r="C10" i="2" s="1"/>
  <c r="D49" i="2"/>
  <c r="D113" i="2"/>
  <c r="D44" i="2"/>
  <c r="D76" i="2"/>
  <c r="D108" i="2"/>
  <c r="D34" i="2"/>
  <c r="D98" i="2"/>
  <c r="D69" i="2"/>
  <c r="D23" i="2"/>
  <c r="D55" i="2"/>
  <c r="D87" i="2"/>
  <c r="D119" i="2"/>
  <c r="D30" i="2"/>
  <c r="D94" i="2"/>
  <c r="D29" i="2"/>
  <c r="D73" i="2"/>
  <c r="C20" i="1"/>
  <c r="C28" i="1" s="1"/>
  <c r="C49" i="1" s="1"/>
  <c r="B52" i="1"/>
  <c r="C52" i="1" s="1"/>
  <c r="D52" i="1" s="1"/>
  <c r="E52" i="1" s="1"/>
  <c r="B85" i="1"/>
  <c r="C85" i="1" s="1"/>
  <c r="D48" i="2"/>
  <c r="D112" i="2"/>
  <c r="D106" i="2"/>
  <c r="D77" i="2"/>
  <c r="D59" i="2"/>
  <c r="D91" i="2"/>
  <c r="D38" i="2"/>
  <c r="D102" i="2"/>
  <c r="D33" i="2"/>
  <c r="D81" i="2"/>
  <c r="D28" i="2"/>
  <c r="D60" i="2"/>
  <c r="D92" i="2"/>
  <c r="D124" i="2"/>
  <c r="D66" i="2"/>
  <c r="D13" i="2"/>
  <c r="D101" i="2"/>
  <c r="D39" i="2"/>
  <c r="D71" i="2"/>
  <c r="D103" i="2"/>
  <c r="D18" i="2"/>
  <c r="D62" i="2"/>
  <c r="D17" i="2"/>
  <c r="D45" i="2"/>
  <c r="D105" i="2"/>
  <c r="C29" i="1"/>
  <c r="C82" i="1"/>
  <c r="F10" i="1"/>
  <c r="E11" i="1"/>
  <c r="D18" i="1"/>
  <c r="E8" i="1"/>
  <c r="E21" i="1" s="1"/>
  <c r="D21" i="1"/>
  <c r="C22" i="1"/>
  <c r="F52" i="1"/>
  <c r="G52" i="1" s="1"/>
  <c r="H52" i="1" s="1"/>
  <c r="I52" i="1" s="1"/>
  <c r="N13" i="6" s="1"/>
  <c r="K14" i="6" s="1"/>
  <c r="K15" i="6" s="1"/>
  <c r="B75" i="1"/>
  <c r="B71" i="1"/>
  <c r="B28" i="1"/>
  <c r="B11" i="3"/>
  <c r="D24" i="2"/>
  <c r="D40" i="2"/>
  <c r="D56" i="2"/>
  <c r="D72" i="2"/>
  <c r="D88" i="2"/>
  <c r="D104" i="2"/>
  <c r="D120" i="2"/>
  <c r="D19" i="2"/>
  <c r="D58" i="2"/>
  <c r="D90" i="2"/>
  <c r="D122" i="2"/>
  <c r="D61" i="2"/>
  <c r="D93" i="2"/>
  <c r="D16" i="2"/>
  <c r="D35" i="2"/>
  <c r="D51" i="2"/>
  <c r="D67" i="2"/>
  <c r="D83" i="2"/>
  <c r="D99" i="2"/>
  <c r="D115" i="2"/>
  <c r="D14" i="2"/>
  <c r="D26" i="2"/>
  <c r="D54" i="2"/>
  <c r="D86" i="2"/>
  <c r="D118" i="2"/>
  <c r="D25" i="2"/>
  <c r="D41" i="2"/>
  <c r="D65" i="2"/>
  <c r="D97" i="2"/>
  <c r="D12" i="2"/>
  <c r="B59" i="1"/>
  <c r="D22" i="6" s="1"/>
  <c r="D9" i="1"/>
  <c r="D20" i="2"/>
  <c r="B29" i="1"/>
  <c r="B76" i="1" s="1"/>
  <c r="C76" i="1" s="1"/>
  <c r="D36" i="2"/>
  <c r="D52" i="2"/>
  <c r="D68" i="2"/>
  <c r="D84" i="2"/>
  <c r="D100" i="2"/>
  <c r="D116" i="2"/>
  <c r="D15" i="2"/>
  <c r="D50" i="2"/>
  <c r="D82" i="2"/>
  <c r="D114" i="2"/>
  <c r="D53" i="2"/>
  <c r="D85" i="2"/>
  <c r="D117" i="2"/>
  <c r="D31" i="2"/>
  <c r="D47" i="2"/>
  <c r="D63" i="2"/>
  <c r="D79" i="2"/>
  <c r="D95" i="2"/>
  <c r="D111" i="2"/>
  <c r="D10" i="2"/>
  <c r="D22" i="2"/>
  <c r="D46" i="2"/>
  <c r="D78" i="2"/>
  <c r="D110" i="2"/>
  <c r="D21" i="2"/>
  <c r="D37" i="2"/>
  <c r="D57" i="2"/>
  <c r="D89" i="2"/>
  <c r="C27" i="1" l="1"/>
  <c r="C31" i="1"/>
  <c r="D19" i="1"/>
  <c r="D20" i="1" s="1"/>
  <c r="E9" i="1"/>
  <c r="F8" i="1"/>
  <c r="F21" i="1" s="1"/>
  <c r="E18" i="1"/>
  <c r="F75" i="1"/>
  <c r="G75" i="1" s="1"/>
  <c r="C75" i="1"/>
  <c r="G10" i="1"/>
  <c r="C71" i="1"/>
  <c r="B78" i="1"/>
  <c r="F74" i="1"/>
  <c r="F11" i="1"/>
  <c r="E22" i="1"/>
  <c r="E59" i="1" s="1"/>
  <c r="B89" i="1"/>
  <c r="C89" i="1" s="1"/>
  <c r="B49" i="1"/>
  <c r="E19" i="6" s="1"/>
  <c r="C59" i="1"/>
  <c r="E22" i="6" s="1"/>
  <c r="C24" i="1"/>
  <c r="E10" i="2"/>
  <c r="F10" i="2" s="1"/>
  <c r="B11" i="2" s="1"/>
  <c r="C11" i="2" s="1"/>
  <c r="B32" i="1"/>
  <c r="B33" i="1" s="1"/>
  <c r="C54" i="1"/>
  <c r="D22" i="1"/>
  <c r="D24" i="1" s="1"/>
  <c r="C32" i="1" l="1"/>
  <c r="C78" i="1"/>
  <c r="H10" i="1"/>
  <c r="F9" i="1"/>
  <c r="F22" i="1" s="1"/>
  <c r="F24" i="1" s="1"/>
  <c r="E19" i="1"/>
  <c r="E20" i="1" s="1"/>
  <c r="E11" i="2"/>
  <c r="F11" i="2" s="1"/>
  <c r="B12" i="2" s="1"/>
  <c r="C12" i="2" s="1"/>
  <c r="E12" i="2" s="1"/>
  <c r="F12" i="2" s="1"/>
  <c r="B13" i="2" s="1"/>
  <c r="C13" i="2" s="1"/>
  <c r="E13" i="2" s="1"/>
  <c r="F13" i="2" s="1"/>
  <c r="B14" i="2" s="1"/>
  <c r="C14" i="2" s="1"/>
  <c r="E14" i="2" s="1"/>
  <c r="F14" i="2" s="1"/>
  <c r="B15" i="2" s="1"/>
  <c r="C15" i="2" s="1"/>
  <c r="E15" i="2" s="1"/>
  <c r="F15" i="2" s="1"/>
  <c r="B16" i="2" s="1"/>
  <c r="C16" i="2" s="1"/>
  <c r="E16" i="2" s="1"/>
  <c r="F16" i="2" s="1"/>
  <c r="B17" i="2" s="1"/>
  <c r="C17" i="2" s="1"/>
  <c r="E17" i="2" s="1"/>
  <c r="F17" i="2" s="1"/>
  <c r="B18" i="2" s="1"/>
  <c r="C18" i="2" s="1"/>
  <c r="E18" i="2" s="1"/>
  <c r="F18" i="2" s="1"/>
  <c r="B19" i="2" s="1"/>
  <c r="C19" i="2" s="1"/>
  <c r="E19" i="2" s="1"/>
  <c r="F19" i="2" s="1"/>
  <c r="D59" i="1"/>
  <c r="F22" i="6" s="1"/>
  <c r="E24" i="1"/>
  <c r="G11" i="1"/>
  <c r="F18" i="1"/>
  <c r="G8" i="1"/>
  <c r="D11" i="3"/>
  <c r="D31" i="1"/>
  <c r="D29" i="1"/>
  <c r="D28" i="1"/>
  <c r="D49" i="1" s="1"/>
  <c r="D27" i="1"/>
  <c r="D25" i="1"/>
  <c r="C25" i="1"/>
  <c r="C33" i="1" s="1"/>
  <c r="C11" i="3"/>
  <c r="G74" i="1"/>
  <c r="H74" i="1" s="1"/>
  <c r="F76" i="1"/>
  <c r="D4" i="6"/>
  <c r="D6" i="6" s="1"/>
  <c r="D9" i="6" s="1"/>
  <c r="D19" i="6"/>
  <c r="B54" i="1"/>
  <c r="D32" i="1" l="1"/>
  <c r="F19" i="6"/>
  <c r="D54" i="1"/>
  <c r="H8" i="1"/>
  <c r="H21" i="1" s="1"/>
  <c r="G18" i="1"/>
  <c r="E28" i="1"/>
  <c r="E49" i="1" s="1"/>
  <c r="E27" i="1"/>
  <c r="E25" i="1"/>
  <c r="E29" i="1"/>
  <c r="E31" i="1"/>
  <c r="E11" i="3"/>
  <c r="F59" i="1"/>
  <c r="H22" i="6" s="1"/>
  <c r="I10" i="1"/>
  <c r="G76" i="1"/>
  <c r="H11" i="1"/>
  <c r="D33" i="1"/>
  <c r="H19" i="2"/>
  <c r="B35" i="1" s="1"/>
  <c r="G21" i="1"/>
  <c r="G22" i="6"/>
  <c r="B58" i="1"/>
  <c r="B20" i="2"/>
  <c r="C20" i="2" s="1"/>
  <c r="E4" i="6"/>
  <c r="E6" i="6" s="1"/>
  <c r="E7" i="6" s="1"/>
  <c r="E9" i="6" s="1"/>
  <c r="G9" i="1"/>
  <c r="G22" i="1" s="1"/>
  <c r="F19" i="1"/>
  <c r="F20" i="1" s="1"/>
  <c r="H75" i="1"/>
  <c r="G24" i="1" l="1"/>
  <c r="G59" i="1"/>
  <c r="I22" i="6" s="1"/>
  <c r="G19" i="6"/>
  <c r="E54" i="1"/>
  <c r="H76" i="1"/>
  <c r="F91" i="1" s="1"/>
  <c r="F90" i="1"/>
  <c r="E32" i="1"/>
  <c r="E33" i="1" s="1"/>
  <c r="G19" i="1"/>
  <c r="G20" i="1" s="1"/>
  <c r="H9" i="1"/>
  <c r="F4" i="6"/>
  <c r="F6" i="6" s="1"/>
  <c r="F7" i="6" s="1"/>
  <c r="F9" i="6" s="1"/>
  <c r="I8" i="1"/>
  <c r="I18" i="1" s="1"/>
  <c r="H18" i="1"/>
  <c r="F11" i="3"/>
  <c r="F31" i="1"/>
  <c r="F29" i="1"/>
  <c r="F25" i="1"/>
  <c r="F27" i="1"/>
  <c r="F28" i="1"/>
  <c r="F49" i="1" s="1"/>
  <c r="E20" i="2"/>
  <c r="F20" i="2" s="1"/>
  <c r="B21" i="2" s="1"/>
  <c r="C21" i="2" s="1"/>
  <c r="B87" i="1"/>
  <c r="B39" i="1"/>
  <c r="I11" i="1"/>
  <c r="H22" i="1"/>
  <c r="H24" i="1" s="1"/>
  <c r="I21" i="1" l="1"/>
  <c r="E21" i="2"/>
  <c r="F21" i="2" s="1"/>
  <c r="B22" i="2" s="1"/>
  <c r="C22" i="2" s="1"/>
  <c r="I22" i="1"/>
  <c r="I9" i="1"/>
  <c r="I19" i="1" s="1"/>
  <c r="I20" i="1" s="1"/>
  <c r="H19" i="1"/>
  <c r="H20" i="1" s="1"/>
  <c r="F32" i="1"/>
  <c r="H59" i="1"/>
  <c r="J22" i="6" s="1"/>
  <c r="G4" i="6"/>
  <c r="G6" i="6" s="1"/>
  <c r="G28" i="1"/>
  <c r="G49" i="1" s="1"/>
  <c r="G11" i="3"/>
  <c r="G27" i="1"/>
  <c r="G25" i="1"/>
  <c r="G29" i="1"/>
  <c r="G31" i="1"/>
  <c r="I59" i="1"/>
  <c r="I24" i="1"/>
  <c r="C87" i="1"/>
  <c r="F77" i="1"/>
  <c r="B91" i="1"/>
  <c r="C91" i="1" s="1"/>
  <c r="B40" i="1"/>
  <c r="B60" i="1" s="1"/>
  <c r="H19" i="6"/>
  <c r="F54" i="1"/>
  <c r="F33" i="1"/>
  <c r="B41" i="1" l="1"/>
  <c r="B64" i="1" s="1"/>
  <c r="B5" i="3" s="1"/>
  <c r="D21" i="6"/>
  <c r="D31" i="6" s="1"/>
  <c r="I19" i="6"/>
  <c r="G54" i="1"/>
  <c r="H11" i="3"/>
  <c r="H28" i="1"/>
  <c r="H49" i="1" s="1"/>
  <c r="H25" i="1"/>
  <c r="H27" i="1"/>
  <c r="H31" i="1"/>
  <c r="H29" i="1"/>
  <c r="F87" i="1"/>
  <c r="G77" i="1"/>
  <c r="H77" i="1" s="1"/>
  <c r="F78" i="1"/>
  <c r="G78" i="1" s="1"/>
  <c r="H78" i="1" s="1"/>
  <c r="H4" i="6"/>
  <c r="H6" i="6" s="1"/>
  <c r="E22" i="2"/>
  <c r="F22" i="2" s="1"/>
  <c r="B23" i="2" s="1"/>
  <c r="C23" i="2" s="1"/>
  <c r="K29" i="6"/>
  <c r="K22" i="6"/>
  <c r="G7" i="6"/>
  <c r="G9" i="6"/>
  <c r="I28" i="1"/>
  <c r="I49" i="1" s="1"/>
  <c r="I11" i="3"/>
  <c r="I27" i="1"/>
  <c r="I31" i="1"/>
  <c r="I25" i="1"/>
  <c r="I29" i="1"/>
  <c r="G32" i="1"/>
  <c r="G33" i="1" s="1"/>
  <c r="B2" i="3" l="1"/>
  <c r="I4" i="6"/>
  <c r="I6" i="6" s="1"/>
  <c r="B8" i="3"/>
  <c r="I32" i="1"/>
  <c r="I33" i="1" s="1"/>
  <c r="H32" i="1"/>
  <c r="D36" i="6"/>
  <c r="K26" i="6"/>
  <c r="K19" i="6"/>
  <c r="I54" i="1"/>
  <c r="H7" i="6"/>
  <c r="H9" i="6" s="1"/>
  <c r="J19" i="6"/>
  <c r="H54" i="1"/>
  <c r="B66" i="1"/>
  <c r="B68" i="1" s="1"/>
  <c r="E23" i="2"/>
  <c r="F23" i="2" s="1"/>
  <c r="B24" i="2" s="1"/>
  <c r="C24" i="2" s="1"/>
  <c r="H87" i="1"/>
  <c r="H89" i="1"/>
  <c r="H33" i="1"/>
  <c r="K4" i="6" l="1"/>
  <c r="K6" i="6" s="1"/>
  <c r="K7" i="6" s="1"/>
  <c r="K9" i="6" s="1"/>
  <c r="I7" i="6"/>
  <c r="I9" i="6" s="1"/>
  <c r="J4" i="6"/>
  <c r="J6" i="6" s="1"/>
  <c r="J7" i="6" s="1"/>
  <c r="J9" i="6" s="1"/>
  <c r="E24" i="2"/>
  <c r="F24" i="2" s="1"/>
  <c r="B25" i="2" s="1"/>
  <c r="C25" i="2" s="1"/>
  <c r="E25" i="2" l="1"/>
  <c r="F25" i="2" s="1"/>
  <c r="B26" i="2" s="1"/>
  <c r="C26" i="2" s="1"/>
  <c r="E26" i="2" l="1"/>
  <c r="F26" i="2" s="1"/>
  <c r="B27" i="2" s="1"/>
  <c r="C27" i="2" s="1"/>
  <c r="E27" i="2" l="1"/>
  <c r="F27" i="2" s="1"/>
  <c r="B28" i="2" s="1"/>
  <c r="C28" i="2" s="1"/>
  <c r="E28" i="2" l="1"/>
  <c r="F28" i="2" s="1"/>
  <c r="B29" i="2" s="1"/>
  <c r="C29" i="2" s="1"/>
  <c r="E29" i="2" l="1"/>
  <c r="F29" i="2" s="1"/>
  <c r="B30" i="2" s="1"/>
  <c r="C30" i="2" s="1"/>
  <c r="E30" i="2" l="1"/>
  <c r="F30" i="2" s="1"/>
  <c r="B31" i="2" s="1"/>
  <c r="C31" i="2" s="1"/>
  <c r="E31" i="2" l="1"/>
  <c r="F31" i="2" s="1"/>
  <c r="H31" i="2"/>
  <c r="C35" i="1" s="1"/>
  <c r="C39" i="1" s="1"/>
  <c r="B32" i="2" l="1"/>
  <c r="C32" i="2" s="1"/>
  <c r="C58" i="1"/>
  <c r="C40" i="1"/>
  <c r="C60" i="1" s="1"/>
  <c r="E21" i="6" s="1"/>
  <c r="E31" i="6" s="1"/>
  <c r="C41" i="1" l="1"/>
  <c r="E32" i="2"/>
  <c r="F32" i="2" s="1"/>
  <c r="B33" i="2" s="1"/>
  <c r="C33" i="2" s="1"/>
  <c r="H32" i="2"/>
  <c r="E36" i="6"/>
  <c r="C2" i="3"/>
  <c r="C64" i="1" l="1"/>
  <c r="C66" i="1" s="1"/>
  <c r="C68" i="1" s="1"/>
  <c r="E33" i="2"/>
  <c r="F33" i="2" s="1"/>
  <c r="B34" i="2" s="1"/>
  <c r="C34" i="2" s="1"/>
  <c r="H33" i="2"/>
  <c r="C8" i="3" l="1"/>
  <c r="C5" i="3"/>
  <c r="E34" i="2"/>
  <c r="F34" i="2" s="1"/>
  <c r="B35" i="2" s="1"/>
  <c r="C35" i="2" s="1"/>
  <c r="H34" i="2"/>
  <c r="E35" i="2" l="1"/>
  <c r="F35" i="2" s="1"/>
  <c r="B36" i="2" s="1"/>
  <c r="C36" i="2" s="1"/>
  <c r="H35" i="2"/>
  <c r="E36" i="2" l="1"/>
  <c r="F36" i="2" s="1"/>
  <c r="B37" i="2" s="1"/>
  <c r="C37" i="2" s="1"/>
  <c r="H36" i="2"/>
  <c r="E37" i="2" l="1"/>
  <c r="F37" i="2" s="1"/>
  <c r="B38" i="2" s="1"/>
  <c r="C38" i="2" s="1"/>
  <c r="H37" i="2"/>
  <c r="E38" i="2" l="1"/>
  <c r="F38" i="2" s="1"/>
  <c r="B39" i="2" s="1"/>
  <c r="C39" i="2" s="1"/>
  <c r="H38" i="2"/>
  <c r="E39" i="2" l="1"/>
  <c r="F39" i="2" s="1"/>
  <c r="B40" i="2" s="1"/>
  <c r="C40" i="2" s="1"/>
  <c r="H39" i="2"/>
  <c r="E40" i="2" l="1"/>
  <c r="F40" i="2" s="1"/>
  <c r="B41" i="2" s="1"/>
  <c r="C41" i="2" s="1"/>
  <c r="H40" i="2"/>
  <c r="E41" i="2" l="1"/>
  <c r="F41" i="2" s="1"/>
  <c r="B42" i="2" s="1"/>
  <c r="C42" i="2" s="1"/>
  <c r="H41" i="2"/>
  <c r="E42" i="2" l="1"/>
  <c r="F42" i="2" s="1"/>
  <c r="B43" i="2" s="1"/>
  <c r="C43" i="2" s="1"/>
  <c r="H42" i="2"/>
  <c r="E43" i="2" l="1"/>
  <c r="F43" i="2" s="1"/>
  <c r="H43" i="2"/>
  <c r="D35" i="1" s="1"/>
  <c r="D39" i="1" s="1"/>
  <c r="D58" i="1" l="1"/>
  <c r="B44" i="2"/>
  <c r="C44" i="2" s="1"/>
  <c r="D40" i="1"/>
  <c r="D60" i="1" s="1"/>
  <c r="F21" i="6" s="1"/>
  <c r="F31" i="6" s="1"/>
  <c r="E44" i="2" l="1"/>
  <c r="F44" i="2" s="1"/>
  <c r="B45" i="2" s="1"/>
  <c r="C45" i="2" s="1"/>
  <c r="H44" i="2"/>
  <c r="D41" i="1"/>
  <c r="F36" i="6"/>
  <c r="D2" i="3" l="1"/>
  <c r="D64" i="1"/>
  <c r="D5" i="3" s="1"/>
  <c r="E45" i="2"/>
  <c r="F45" i="2" s="1"/>
  <c r="B46" i="2" s="1"/>
  <c r="C46" i="2" s="1"/>
  <c r="H45" i="2"/>
  <c r="E46" i="2" l="1"/>
  <c r="F46" i="2" s="1"/>
  <c r="B47" i="2" s="1"/>
  <c r="C47" i="2" s="1"/>
  <c r="H46" i="2"/>
  <c r="D66" i="1"/>
  <c r="D68" i="1" s="1"/>
  <c r="D8" i="3"/>
  <c r="E47" i="2" l="1"/>
  <c r="F47" i="2" s="1"/>
  <c r="B48" i="2" s="1"/>
  <c r="C48" i="2" s="1"/>
  <c r="H47" i="2"/>
  <c r="E48" i="2" l="1"/>
  <c r="F48" i="2" s="1"/>
  <c r="B49" i="2" s="1"/>
  <c r="C49" i="2" s="1"/>
  <c r="H48" i="2"/>
  <c r="E49" i="2" l="1"/>
  <c r="F49" i="2" s="1"/>
  <c r="B50" i="2" s="1"/>
  <c r="C50" i="2" s="1"/>
  <c r="H49" i="2"/>
  <c r="E50" i="2" l="1"/>
  <c r="F50" i="2" s="1"/>
  <c r="B51" i="2" s="1"/>
  <c r="C51" i="2" s="1"/>
  <c r="H50" i="2"/>
  <c r="E51" i="2" l="1"/>
  <c r="F51" i="2" s="1"/>
  <c r="B52" i="2" s="1"/>
  <c r="C52" i="2" s="1"/>
  <c r="H51" i="2"/>
  <c r="E52" i="2" l="1"/>
  <c r="F52" i="2" s="1"/>
  <c r="B53" i="2" s="1"/>
  <c r="C53" i="2" s="1"/>
  <c r="H52" i="2"/>
  <c r="E53" i="2" l="1"/>
  <c r="F53" i="2" s="1"/>
  <c r="B54" i="2" s="1"/>
  <c r="C54" i="2" s="1"/>
  <c r="H53" i="2"/>
  <c r="E54" i="2" l="1"/>
  <c r="F54" i="2" s="1"/>
  <c r="B55" i="2" s="1"/>
  <c r="C55" i="2" s="1"/>
  <c r="H54" i="2"/>
  <c r="E55" i="2" l="1"/>
  <c r="F55" i="2" s="1"/>
  <c r="H55" i="2"/>
  <c r="E35" i="1" s="1"/>
  <c r="E39" i="1" s="1"/>
  <c r="E40" i="1" l="1"/>
  <c r="E60" i="1" s="1"/>
  <c r="G21" i="6" s="1"/>
  <c r="G31" i="6" s="1"/>
  <c r="B56" i="2"/>
  <c r="C56" i="2" s="1"/>
  <c r="E58" i="1"/>
  <c r="G36" i="6" l="1"/>
  <c r="E41" i="1"/>
  <c r="E56" i="2"/>
  <c r="F56" i="2" s="1"/>
  <c r="B57" i="2" s="1"/>
  <c r="C57" i="2" s="1"/>
  <c r="H56" i="2"/>
  <c r="E2" i="3" l="1"/>
  <c r="E64" i="1"/>
  <c r="E5" i="3" s="1"/>
  <c r="E57" i="2"/>
  <c r="F57" i="2" s="1"/>
  <c r="B58" i="2" s="1"/>
  <c r="C58" i="2" s="1"/>
  <c r="H57" i="2"/>
  <c r="E58" i="2" l="1"/>
  <c r="F58" i="2" s="1"/>
  <c r="B59" i="2" s="1"/>
  <c r="C59" i="2" s="1"/>
  <c r="H58" i="2"/>
  <c r="E8" i="3"/>
  <c r="E66" i="1"/>
  <c r="E68" i="1" s="1"/>
  <c r="E59" i="2" l="1"/>
  <c r="F59" i="2" s="1"/>
  <c r="B60" i="2" s="1"/>
  <c r="C60" i="2" s="1"/>
  <c r="H59" i="2"/>
  <c r="E60" i="2" l="1"/>
  <c r="F60" i="2" s="1"/>
  <c r="B61" i="2" s="1"/>
  <c r="C61" i="2" s="1"/>
  <c r="H60" i="2"/>
  <c r="E61" i="2" l="1"/>
  <c r="F61" i="2" s="1"/>
  <c r="B62" i="2" s="1"/>
  <c r="C62" i="2" s="1"/>
  <c r="H61" i="2"/>
  <c r="E62" i="2" l="1"/>
  <c r="F62" i="2" s="1"/>
  <c r="B63" i="2" s="1"/>
  <c r="C63" i="2" s="1"/>
  <c r="H62" i="2"/>
  <c r="E63" i="2" l="1"/>
  <c r="F63" i="2" s="1"/>
  <c r="B64" i="2" s="1"/>
  <c r="C64" i="2" s="1"/>
  <c r="H63" i="2"/>
  <c r="E64" i="2" l="1"/>
  <c r="F64" i="2" s="1"/>
  <c r="B65" i="2" s="1"/>
  <c r="C65" i="2" s="1"/>
  <c r="H64" i="2"/>
  <c r="E65" i="2" l="1"/>
  <c r="F65" i="2" s="1"/>
  <c r="B66" i="2" s="1"/>
  <c r="C66" i="2" s="1"/>
  <c r="H65" i="2"/>
  <c r="E66" i="2" l="1"/>
  <c r="F66" i="2" s="1"/>
  <c r="B67" i="2" s="1"/>
  <c r="C67" i="2" s="1"/>
  <c r="H66" i="2"/>
  <c r="E67" i="2" l="1"/>
  <c r="F67" i="2" s="1"/>
  <c r="H67" i="2"/>
  <c r="F35" i="1" s="1"/>
  <c r="F39" i="1" s="1"/>
  <c r="F58" i="1" l="1"/>
  <c r="B68" i="2"/>
  <c r="C68" i="2" s="1"/>
  <c r="F40" i="1"/>
  <c r="F60" i="1" s="1"/>
  <c r="H21" i="6" s="1"/>
  <c r="H31" i="6" s="1"/>
  <c r="H36" i="6" l="1"/>
  <c r="E68" i="2"/>
  <c r="F68" i="2" s="1"/>
  <c r="B69" i="2" s="1"/>
  <c r="C69" i="2" s="1"/>
  <c r="H68" i="2"/>
  <c r="F41" i="1"/>
  <c r="E69" i="2" l="1"/>
  <c r="F69" i="2" s="1"/>
  <c r="B70" i="2" s="1"/>
  <c r="C70" i="2" s="1"/>
  <c r="H69" i="2"/>
  <c r="F2" i="3"/>
  <c r="F64" i="1"/>
  <c r="F5" i="3" s="1"/>
  <c r="E70" i="2" l="1"/>
  <c r="F70" i="2" s="1"/>
  <c r="B71" i="2" s="1"/>
  <c r="C71" i="2" s="1"/>
  <c r="H70" i="2"/>
  <c r="F8" i="3"/>
  <c r="F66" i="1"/>
  <c r="F68" i="1" s="1"/>
  <c r="E71" i="2" l="1"/>
  <c r="F71" i="2" s="1"/>
  <c r="B72" i="2" s="1"/>
  <c r="C72" i="2" s="1"/>
  <c r="H71" i="2"/>
  <c r="E72" i="2" l="1"/>
  <c r="F72" i="2" s="1"/>
  <c r="B73" i="2" s="1"/>
  <c r="C73" i="2" s="1"/>
  <c r="H72" i="2"/>
  <c r="E73" i="2" l="1"/>
  <c r="F73" i="2" s="1"/>
  <c r="B74" i="2" s="1"/>
  <c r="C74" i="2" s="1"/>
  <c r="H73" i="2"/>
  <c r="E74" i="2" l="1"/>
  <c r="F74" i="2" s="1"/>
  <c r="B75" i="2" s="1"/>
  <c r="C75" i="2" s="1"/>
  <c r="H74" i="2"/>
  <c r="E75" i="2" l="1"/>
  <c r="F75" i="2" s="1"/>
  <c r="B76" i="2" s="1"/>
  <c r="C76" i="2" s="1"/>
  <c r="H75" i="2"/>
  <c r="E76" i="2" l="1"/>
  <c r="F76" i="2" s="1"/>
  <c r="B77" i="2" s="1"/>
  <c r="C77" i="2" s="1"/>
  <c r="H76" i="2"/>
  <c r="E77" i="2" l="1"/>
  <c r="F77" i="2" s="1"/>
  <c r="B78" i="2" s="1"/>
  <c r="C78" i="2" s="1"/>
  <c r="H77" i="2"/>
  <c r="E78" i="2" l="1"/>
  <c r="F78" i="2" s="1"/>
  <c r="B79" i="2" s="1"/>
  <c r="C79" i="2" s="1"/>
  <c r="H78" i="2"/>
  <c r="E79" i="2" l="1"/>
  <c r="F79" i="2" s="1"/>
  <c r="H79" i="2"/>
  <c r="G35" i="1" s="1"/>
  <c r="G39" i="1" s="1"/>
  <c r="G40" i="1" l="1"/>
  <c r="G60" i="1" s="1"/>
  <c r="I21" i="6" s="1"/>
  <c r="I31" i="6" s="1"/>
  <c r="I36" i="6" s="1"/>
  <c r="B80" i="2"/>
  <c r="C80" i="2" s="1"/>
  <c r="G58" i="1"/>
  <c r="E80" i="2" l="1"/>
  <c r="F80" i="2" s="1"/>
  <c r="B81" i="2" s="1"/>
  <c r="C81" i="2" s="1"/>
  <c r="H80" i="2"/>
  <c r="G41" i="1"/>
  <c r="G2" i="3" l="1"/>
  <c r="G64" i="1"/>
  <c r="G5" i="3" s="1"/>
  <c r="E81" i="2"/>
  <c r="F81" i="2" s="1"/>
  <c r="B82" i="2" s="1"/>
  <c r="C82" i="2" s="1"/>
  <c r="H81" i="2"/>
  <c r="E82" i="2" l="1"/>
  <c r="F82" i="2" s="1"/>
  <c r="B83" i="2" s="1"/>
  <c r="C83" i="2" s="1"/>
  <c r="H82" i="2"/>
  <c r="G8" i="3"/>
  <c r="G66" i="1"/>
  <c r="G68" i="1" s="1"/>
  <c r="E83" i="2" l="1"/>
  <c r="F83" i="2" s="1"/>
  <c r="B84" i="2" s="1"/>
  <c r="C84" i="2" s="1"/>
  <c r="H83" i="2"/>
  <c r="E84" i="2" l="1"/>
  <c r="F84" i="2" s="1"/>
  <c r="B85" i="2" s="1"/>
  <c r="C85" i="2" s="1"/>
  <c r="H84" i="2"/>
  <c r="E85" i="2" l="1"/>
  <c r="F85" i="2" s="1"/>
  <c r="B86" i="2" s="1"/>
  <c r="C86" i="2" s="1"/>
  <c r="H85" i="2"/>
  <c r="E86" i="2" l="1"/>
  <c r="F86" i="2" s="1"/>
  <c r="B87" i="2" s="1"/>
  <c r="C87" i="2" s="1"/>
  <c r="H86" i="2"/>
  <c r="E87" i="2" l="1"/>
  <c r="F87" i="2" s="1"/>
  <c r="B88" i="2" s="1"/>
  <c r="C88" i="2" s="1"/>
  <c r="H87" i="2"/>
  <c r="E88" i="2" l="1"/>
  <c r="F88" i="2" s="1"/>
  <c r="B89" i="2" s="1"/>
  <c r="C89" i="2" s="1"/>
  <c r="H88" i="2"/>
  <c r="E89" i="2" l="1"/>
  <c r="F89" i="2" s="1"/>
  <c r="B90" i="2" s="1"/>
  <c r="C90" i="2" s="1"/>
  <c r="H89" i="2"/>
  <c r="E90" i="2" l="1"/>
  <c r="F90" i="2" s="1"/>
  <c r="B91" i="2" s="1"/>
  <c r="C91" i="2" s="1"/>
  <c r="H90" i="2"/>
  <c r="E91" i="2" l="1"/>
  <c r="F91" i="2" s="1"/>
  <c r="H91" i="2"/>
  <c r="H35" i="1" s="1"/>
  <c r="H39" i="1" s="1"/>
  <c r="H58" i="1" l="1"/>
  <c r="B92" i="2"/>
  <c r="C92" i="2" s="1"/>
  <c r="H40" i="1"/>
  <c r="H60" i="1" s="1"/>
  <c r="J21" i="6" s="1"/>
  <c r="J31" i="6" s="1"/>
  <c r="J36" i="6" s="1"/>
  <c r="E92" i="2" l="1"/>
  <c r="F92" i="2" s="1"/>
  <c r="B93" i="2" s="1"/>
  <c r="C93" i="2" s="1"/>
  <c r="H92" i="2"/>
  <c r="H41" i="1"/>
  <c r="H2" i="3" l="1"/>
  <c r="H64" i="1"/>
  <c r="H5" i="3" s="1"/>
  <c r="E93" i="2"/>
  <c r="F93" i="2" s="1"/>
  <c r="B94" i="2" s="1"/>
  <c r="C94" i="2" s="1"/>
  <c r="H93" i="2"/>
  <c r="E94" i="2" l="1"/>
  <c r="F94" i="2" s="1"/>
  <c r="B95" i="2" s="1"/>
  <c r="C95" i="2" s="1"/>
  <c r="H94" i="2"/>
  <c r="H66" i="1"/>
  <c r="H68" i="1" s="1"/>
  <c r="H8" i="3"/>
  <c r="E95" i="2" l="1"/>
  <c r="F95" i="2" s="1"/>
  <c r="B96" i="2" s="1"/>
  <c r="C96" i="2" s="1"/>
  <c r="H95" i="2"/>
  <c r="E96" i="2" l="1"/>
  <c r="F96" i="2" s="1"/>
  <c r="B97" i="2" s="1"/>
  <c r="C97" i="2" s="1"/>
  <c r="H96" i="2"/>
  <c r="E97" i="2" l="1"/>
  <c r="F97" i="2" s="1"/>
  <c r="B98" i="2" s="1"/>
  <c r="C98" i="2" s="1"/>
  <c r="H97" i="2"/>
  <c r="E98" i="2" l="1"/>
  <c r="F98" i="2" s="1"/>
  <c r="B99" i="2" s="1"/>
  <c r="C99" i="2" s="1"/>
  <c r="H98" i="2"/>
  <c r="E99" i="2" l="1"/>
  <c r="F99" i="2" s="1"/>
  <c r="B100" i="2" s="1"/>
  <c r="C100" i="2" s="1"/>
  <c r="H99" i="2"/>
  <c r="E100" i="2" l="1"/>
  <c r="F100" i="2" s="1"/>
  <c r="B101" i="2" s="1"/>
  <c r="C101" i="2" s="1"/>
  <c r="H100" i="2"/>
  <c r="E101" i="2" l="1"/>
  <c r="F101" i="2" s="1"/>
  <c r="B102" i="2" s="1"/>
  <c r="C102" i="2" s="1"/>
  <c r="H101" i="2"/>
  <c r="E102" i="2" l="1"/>
  <c r="F102" i="2" s="1"/>
  <c r="B103" i="2" s="1"/>
  <c r="C103" i="2" s="1"/>
  <c r="H102" i="2"/>
  <c r="E103" i="2" l="1"/>
  <c r="F103" i="2" s="1"/>
  <c r="H103" i="2"/>
  <c r="I35" i="1" s="1"/>
  <c r="I39" i="1" s="1"/>
  <c r="B104" i="2" l="1"/>
  <c r="C104" i="2" s="1"/>
  <c r="I58" i="1"/>
  <c r="I40" i="1"/>
  <c r="I60" i="1" s="1"/>
  <c r="I41" i="1" l="1"/>
  <c r="E104" i="2"/>
  <c r="F104" i="2" s="1"/>
  <c r="B105" i="2" s="1"/>
  <c r="C105" i="2" s="1"/>
  <c r="H104" i="2"/>
  <c r="I2" i="3"/>
  <c r="I64" i="1"/>
  <c r="K28" i="6"/>
  <c r="K21" i="6"/>
  <c r="K31" i="6" s="1"/>
  <c r="I5" i="3" l="1"/>
  <c r="E105" i="2"/>
  <c r="F105" i="2" s="1"/>
  <c r="B106" i="2" s="1"/>
  <c r="C106" i="2" s="1"/>
  <c r="H105" i="2"/>
  <c r="I8" i="3"/>
  <c r="I66" i="1"/>
  <c r="I68" i="1" s="1"/>
  <c r="K36" i="6"/>
  <c r="C39" i="6" s="1"/>
  <c r="C34" i="6"/>
  <c r="E106" i="2" l="1"/>
  <c r="F106" i="2" s="1"/>
  <c r="B107" i="2" s="1"/>
  <c r="C107" i="2" s="1"/>
  <c r="H106" i="2"/>
  <c r="E107" i="2" l="1"/>
  <c r="F107" i="2" s="1"/>
  <c r="B108" i="2" s="1"/>
  <c r="C108" i="2" s="1"/>
  <c r="H107" i="2"/>
  <c r="E108" i="2" l="1"/>
  <c r="F108" i="2" s="1"/>
  <c r="B109" i="2" s="1"/>
  <c r="C109" i="2" s="1"/>
  <c r="H108" i="2"/>
  <c r="E109" i="2" l="1"/>
  <c r="F109" i="2" s="1"/>
  <c r="B110" i="2" s="1"/>
  <c r="C110" i="2" s="1"/>
  <c r="H109" i="2"/>
  <c r="E110" i="2" l="1"/>
  <c r="F110" i="2" s="1"/>
  <c r="B111" i="2" s="1"/>
  <c r="C111" i="2" s="1"/>
  <c r="H110" i="2"/>
  <c r="E111" i="2" l="1"/>
  <c r="F111" i="2" s="1"/>
  <c r="B112" i="2" s="1"/>
  <c r="C112" i="2" s="1"/>
  <c r="H111" i="2"/>
  <c r="E112" i="2" l="1"/>
  <c r="F112" i="2" s="1"/>
  <c r="B113" i="2" s="1"/>
  <c r="C113" i="2" s="1"/>
  <c r="H112" i="2"/>
  <c r="E113" i="2" l="1"/>
  <c r="F113" i="2" s="1"/>
  <c r="B114" i="2" s="1"/>
  <c r="C114" i="2" s="1"/>
  <c r="H113" i="2"/>
  <c r="E114" i="2" l="1"/>
  <c r="F114" i="2" s="1"/>
  <c r="B115" i="2" s="1"/>
  <c r="C115" i="2" s="1"/>
  <c r="E115" i="2" s="1"/>
  <c r="F115" i="2" s="1"/>
  <c r="B116" i="2" s="1"/>
  <c r="C116" i="2" s="1"/>
  <c r="E116" i="2" s="1"/>
  <c r="F116" i="2" s="1"/>
  <c r="B117" i="2" s="1"/>
  <c r="C117" i="2" s="1"/>
  <c r="E117" i="2" s="1"/>
  <c r="F117" i="2" s="1"/>
  <c r="B118" i="2" s="1"/>
  <c r="C118" i="2" s="1"/>
  <c r="E118" i="2" s="1"/>
  <c r="F118" i="2" s="1"/>
  <c r="B119" i="2" s="1"/>
  <c r="C119" i="2" s="1"/>
  <c r="E119" i="2" s="1"/>
  <c r="F119" i="2" s="1"/>
  <c r="B120" i="2" s="1"/>
  <c r="C120" i="2" s="1"/>
  <c r="E120" i="2" s="1"/>
  <c r="F120" i="2" s="1"/>
  <c r="B121" i="2" s="1"/>
  <c r="C121" i="2" s="1"/>
  <c r="E121" i="2" s="1"/>
  <c r="F121" i="2" s="1"/>
  <c r="B122" i="2" s="1"/>
  <c r="C122" i="2" s="1"/>
  <c r="E122" i="2" s="1"/>
  <c r="F122" i="2" s="1"/>
  <c r="B123" i="2" s="1"/>
  <c r="C123" i="2" s="1"/>
  <c r="E123" i="2" s="1"/>
  <c r="F123" i="2" s="1"/>
  <c r="B124" i="2" s="1"/>
  <c r="C124" i="2" s="1"/>
  <c r="E124" i="2" s="1"/>
  <c r="F124" i="2" s="1"/>
  <c r="H114" i="2"/>
</calcChain>
</file>

<file path=xl/sharedStrings.xml><?xml version="1.0" encoding="utf-8"?>
<sst xmlns="http://schemas.openxmlformats.org/spreadsheetml/2006/main" count="248" uniqueCount="191">
  <si>
    <t>Assumptions</t>
  </si>
  <si>
    <t>Income Statement</t>
  </si>
  <si>
    <t>Balance Sheet</t>
  </si>
  <si>
    <t>Asking Price</t>
  </si>
  <si>
    <t>Loan</t>
  </si>
  <si>
    <t>Shareholders Contribution</t>
  </si>
  <si>
    <t>Price of carwash</t>
  </si>
  <si>
    <t>Detail</t>
  </si>
  <si>
    <t>Details a day</t>
  </si>
  <si>
    <t>Car washes a day</t>
  </si>
  <si>
    <t>Car wash Revenue</t>
  </si>
  <si>
    <t>Detail Revenue</t>
  </si>
  <si>
    <t>Total Revenue</t>
  </si>
  <si>
    <t>interest</t>
  </si>
  <si>
    <t>years</t>
  </si>
  <si>
    <t>Cost of carwash</t>
  </si>
  <si>
    <t>cost per hour labor</t>
  </si>
  <si>
    <t>Labor</t>
  </si>
  <si>
    <t>Cost of detail</t>
  </si>
  <si>
    <t>increase</t>
  </si>
  <si>
    <t>every other year</t>
  </si>
  <si>
    <t>Net Sales</t>
  </si>
  <si>
    <t>General &amp; Administrative</t>
  </si>
  <si>
    <t>of total sales</t>
  </si>
  <si>
    <t>Utilities</t>
  </si>
  <si>
    <t>Maintenance</t>
  </si>
  <si>
    <t>Total Expenses</t>
  </si>
  <si>
    <t>Net Income before Tax &amp; Interest</t>
  </si>
  <si>
    <t>Interest Expense</t>
  </si>
  <si>
    <t>Rate</t>
  </si>
  <si>
    <t>NPER</t>
  </si>
  <si>
    <t>PV</t>
  </si>
  <si>
    <t>PMT</t>
  </si>
  <si>
    <t>Balance</t>
  </si>
  <si>
    <t>Interest</t>
  </si>
  <si>
    <t>Principal</t>
  </si>
  <si>
    <t>New Balance</t>
  </si>
  <si>
    <t>Income before Tax</t>
  </si>
  <si>
    <t>Tax</t>
  </si>
  <si>
    <t>Net Income</t>
  </si>
  <si>
    <t>Tax Rate</t>
  </si>
  <si>
    <t>Assets</t>
  </si>
  <si>
    <t>Cash</t>
  </si>
  <si>
    <t>a year</t>
  </si>
  <si>
    <t>Total Assets</t>
  </si>
  <si>
    <t>Liabilities</t>
  </si>
  <si>
    <t>Bank Loan</t>
  </si>
  <si>
    <t>Shareholders Equity</t>
  </si>
  <si>
    <t>Retained Earnings</t>
  </si>
  <si>
    <t>CM</t>
  </si>
  <si>
    <t>Breakeven</t>
  </si>
  <si>
    <t>Revenue</t>
  </si>
  <si>
    <t>Unit</t>
  </si>
  <si>
    <t>Total</t>
  </si>
  <si>
    <t># of units</t>
  </si>
  <si>
    <t>Variable</t>
  </si>
  <si>
    <t>Fixed</t>
  </si>
  <si>
    <t>Profit</t>
  </si>
  <si>
    <t>Fixed Expenses</t>
  </si>
  <si>
    <t>Desired Profit</t>
  </si>
  <si>
    <t>CM/ Unit</t>
  </si>
  <si>
    <t>CM%</t>
  </si>
  <si>
    <t>Sales</t>
  </si>
  <si>
    <t>VC</t>
  </si>
  <si>
    <t>FC</t>
  </si>
  <si>
    <t>BE UNITS</t>
  </si>
  <si>
    <t>BE$</t>
  </si>
  <si>
    <t>UNITS</t>
  </si>
  <si>
    <t>Insurance</t>
  </si>
  <si>
    <t>Prepaid Insurance</t>
  </si>
  <si>
    <t>insurance</t>
  </si>
  <si>
    <t>Accounts Payable</t>
  </si>
  <si>
    <t>%</t>
  </si>
  <si>
    <t>ROA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</si>
  <si>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</si>
  <si>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</si>
  <si>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</si>
  <si>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</si>
  <si>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</si>
  <si>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</si>
  <si>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</si>
  <si>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</si>
  <si>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ROE</t>
  </si>
  <si>
    <t>Debt/Equity</t>
  </si>
  <si>
    <t>Gross Profit Margin</t>
  </si>
  <si>
    <t>unit = 1 wash and 1/3 detail</t>
  </si>
  <si>
    <t>Hours open</t>
  </si>
  <si>
    <t># of employees</t>
  </si>
  <si>
    <t>Variable Car Wash costs</t>
  </si>
  <si>
    <t>Variable Detail costs</t>
  </si>
  <si>
    <t>Total variable cost</t>
  </si>
  <si>
    <t>Owners Salary</t>
  </si>
  <si>
    <t>Each owner</t>
  </si>
  <si>
    <t>Water</t>
  </si>
  <si>
    <t>a month</t>
  </si>
  <si>
    <t>increase a year</t>
  </si>
  <si>
    <t xml:space="preserve"> Extra Bank Loan Interest</t>
  </si>
  <si>
    <t>Depreciation</t>
  </si>
  <si>
    <t>Building</t>
  </si>
  <si>
    <t>Land</t>
  </si>
  <si>
    <t>Less: Accumulated Depreciation</t>
  </si>
  <si>
    <t>% of Variable Cost</t>
  </si>
  <si>
    <t>Total Liabilities &amp; Equity</t>
  </si>
  <si>
    <t>Extra Cash</t>
  </si>
  <si>
    <t>Income Tax Payable</t>
  </si>
  <si>
    <t>Small Equipment</t>
  </si>
  <si>
    <t>Extra Bank Loan</t>
  </si>
  <si>
    <t>Interest extra bank Loan</t>
  </si>
  <si>
    <t>Salaries</t>
  </si>
  <si>
    <t>If Assets are higher than Liabilities</t>
  </si>
  <si>
    <t>If Liabilities are higher than Assets</t>
  </si>
  <si>
    <t>Extra Bank Loan Interest</t>
  </si>
  <si>
    <t>Difference</t>
  </si>
  <si>
    <t>WACC</t>
  </si>
  <si>
    <t>Interest Rate</t>
  </si>
  <si>
    <t>Unlevered Beta</t>
  </si>
  <si>
    <t>Total Debt</t>
  </si>
  <si>
    <t>Total Equity</t>
  </si>
  <si>
    <t>Relevered Beta</t>
  </si>
  <si>
    <t>Beta</t>
  </si>
  <si>
    <t>Operating Profit</t>
  </si>
  <si>
    <t>IRR</t>
  </si>
  <si>
    <t>NPV</t>
  </si>
  <si>
    <t>Cash From Operating Income</t>
  </si>
  <si>
    <t>Less Depreciation</t>
  </si>
  <si>
    <t>Taxable Operating Income</t>
  </si>
  <si>
    <t>Taxes on Operation Only</t>
  </si>
  <si>
    <t>Add Back Depreciation</t>
  </si>
  <si>
    <t>Total Cash From Operations</t>
  </si>
  <si>
    <t>Cash in/Out from Capital Expenditures</t>
  </si>
  <si>
    <t>Pay Taxes</t>
  </si>
  <si>
    <t>Cash in/Out from Working Capital</t>
  </si>
  <si>
    <t>-</t>
  </si>
  <si>
    <t>+</t>
  </si>
  <si>
    <t>Accounts Payable COGS</t>
  </si>
  <si>
    <t>Cash In/Out from Liquidating Working Capital</t>
  </si>
  <si>
    <t>Total free cash flows</t>
  </si>
  <si>
    <t>PV of FCF</t>
  </si>
  <si>
    <t>Book Value</t>
  </si>
  <si>
    <t>Buy Building &amp; Land</t>
  </si>
  <si>
    <t>Sell Building &amp; Land</t>
  </si>
  <si>
    <t>(don't know)</t>
  </si>
  <si>
    <t>(don’t know)</t>
  </si>
  <si>
    <t>Proportions</t>
  </si>
  <si>
    <t>Totals</t>
  </si>
  <si>
    <t>Total Capital</t>
  </si>
  <si>
    <t>Return Equity Holders Wants</t>
  </si>
  <si>
    <t>given</t>
  </si>
  <si>
    <t>S&amp;P 500 Return</t>
  </si>
  <si>
    <t>T-Bills Return</t>
  </si>
  <si>
    <t>CAPM As a 60/40 company</t>
  </si>
  <si>
    <t>Percent Equity HOPED FOR</t>
  </si>
  <si>
    <t>Percent Debt HOPED FOR</t>
  </si>
  <si>
    <t>Tax rate</t>
  </si>
  <si>
    <t>Relever the Beta</t>
  </si>
  <si>
    <t>Unlevered Beta (theoretical no debt co)</t>
  </si>
  <si>
    <t>Percent Equity AS IT IS NOW</t>
  </si>
  <si>
    <t>Percent Debt AS IT IS NOW</t>
  </si>
  <si>
    <t>Original Beta</t>
  </si>
  <si>
    <t>Unlever the Beta</t>
  </si>
  <si>
    <t>WHAT ABOUT IF DEBT/EQUITY IS 60% / 40%</t>
  </si>
  <si>
    <t>Shareholder Contributions</t>
  </si>
  <si>
    <t>Equity on 12/31/15</t>
  </si>
  <si>
    <t>Bank Loans</t>
  </si>
  <si>
    <t>Debt on 12/31/19</t>
  </si>
  <si>
    <t>Return Equity Holders Wants (CAPM)</t>
  </si>
  <si>
    <t>Average over past 10 years</t>
  </si>
  <si>
    <t>Current Rate</t>
  </si>
  <si>
    <t>Average given online</t>
  </si>
  <si>
    <t>CAPM As it is on 12/31/19</t>
  </si>
  <si>
    <t>S&amp;P 500 would be 9.17</t>
  </si>
  <si>
    <t>T-Bill would be 1.75</t>
  </si>
  <si>
    <t>The beta would be 1.25</t>
  </si>
  <si>
    <t>Accounts payable would be 5% of the total varible costs</t>
  </si>
  <si>
    <t>Prepaid inusrance would be 10% of the insurance cost</t>
  </si>
  <si>
    <t>We would need a minimum of $10,000 cash on hand</t>
  </si>
  <si>
    <t>The tax rate would be 25%</t>
  </si>
  <si>
    <t>Bank Loan interest rate 12%</t>
  </si>
  <si>
    <t>Interest rate would be 6%</t>
  </si>
  <si>
    <t>Maintanece would be 10% of sales every year</t>
  </si>
  <si>
    <t>Utilities would be $400 a month with a 3% increase each year</t>
  </si>
  <si>
    <t>Water costs would be 4% of sales every year</t>
  </si>
  <si>
    <t>General &amp; administrative and insurance would be 5% of sales every year</t>
  </si>
  <si>
    <t>Our salary will be $15,000 a year per person for a total of $60,000</t>
  </si>
  <si>
    <t>The cost of 1 hour of labor will go up by .25 cents every other year</t>
  </si>
  <si>
    <t>Our cost for the car wash and detail will go up by 3% each year</t>
  </si>
  <si>
    <t>Small equiptment will increase by 3% each year</t>
  </si>
  <si>
    <t>The amount of car washes and details we would be able to do do a year would go up by 5% each</t>
  </si>
  <si>
    <t>The price of the car wash wil go up by .50</t>
  </si>
  <si>
    <t>The price of the car wash will go up by .25 cents a year</t>
  </si>
  <si>
    <t>Assumptions: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</si>
</sst>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\$* #,##0_);_(\$* \(#,##0\);_(\$* \-??_);_(@_)"/>
    <numFmt numFmtId="168" formatCode="_(* #,##0.0_);_(* \(#,##0.0\);_(* &quot;-&quot;?_);_(@_)"/>
    <numFmt numFmtId="169" formatCode="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70C0"/>
      <name val="Calibri"/>
      <family val="2"/>
      <charset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0" xfId="2" applyFont="1"/>
    <xf numFmtId="164" fontId="0" fillId="0" borderId="0" xfId="1" applyNumberFormat="1" applyFont="1"/>
    <xf numFmtId="164" fontId="0" fillId="0" borderId="0" xfId="0" applyNumberFormat="1"/>
    <xf numFmtId="9" fontId="0" fillId="0" borderId="0" xfId="3" applyFont="1"/>
    <xf numFmtId="44" fontId="0" fillId="0" borderId="1" xfId="2" applyFont="1" applyBorder="1"/>
    <xf numFmtId="44" fontId="0" fillId="0" borderId="0" xfId="0" applyNumberFormat="1"/>
    <xf numFmtId="44" fontId="0" fillId="0" borderId="2" xfId="0" applyNumberFormat="1" applyBorder="1"/>
    <xf numFmtId="44" fontId="2" fillId="0" borderId="0" xfId="0" applyNumberFormat="1" applyFont="1"/>
    <xf numFmtId="44" fontId="2" fillId="0" borderId="0" xfId="2" applyFont="1"/>
    <xf numFmtId="44" fontId="0" fillId="0" borderId="2" xfId="2" applyFont="1" applyBorder="1"/>
    <xf numFmtId="8" fontId="0" fillId="0" borderId="0" xfId="0" applyNumberFormat="1"/>
    <xf numFmtId="0" fontId="0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44" fontId="0" fillId="0" borderId="0" xfId="0" applyNumberFormat="1" applyBorder="1"/>
    <xf numFmtId="0" fontId="0" fillId="0" borderId="2" xfId="0" applyBorder="1"/>
    <xf numFmtId="0" fontId="0" fillId="0" borderId="8" xfId="0" applyBorder="1"/>
    <xf numFmtId="9" fontId="0" fillId="0" borderId="0" xfId="3" applyFont="1" applyBorder="1"/>
    <xf numFmtId="44" fontId="0" fillId="0" borderId="0" xfId="2" applyFont="1" applyBorder="1"/>
    <xf numFmtId="9" fontId="0" fillId="0" borderId="1" xfId="0" applyNumberFormat="1" applyBorder="1"/>
    <xf numFmtId="164" fontId="0" fillId="0" borderId="0" xfId="1" applyNumberFormat="1" applyFont="1" applyBorder="1"/>
    <xf numFmtId="165" fontId="0" fillId="0" borderId="0" xfId="3" applyNumberFormat="1" applyFont="1"/>
    <xf numFmtId="44" fontId="1" fillId="0" borderId="0" xfId="2" applyFont="1"/>
    <xf numFmtId="10" fontId="0" fillId="0" borderId="0" xfId="0" applyNumberFormat="1"/>
    <xf numFmtId="0" fontId="4" fillId="0" borderId="0" xfId="4" applyFont="1"/>
    <xf numFmtId="0" fontId="3" fillId="0" borderId="0" xfId="4"/>
    <xf numFmtId="0" fontId="6" fillId="0" borderId="0" xfId="4" applyFont="1"/>
    <xf numFmtId="167" fontId="3" fillId="0" borderId="0" xfId="2" applyNumberFormat="1" applyFont="1"/>
    <xf numFmtId="167" fontId="3" fillId="0" borderId="0" xfId="4" applyNumberFormat="1"/>
    <xf numFmtId="43" fontId="3" fillId="0" borderId="0" xfId="4" applyNumberFormat="1"/>
    <xf numFmtId="168" fontId="3" fillId="0" borderId="0" xfId="4" applyNumberFormat="1"/>
    <xf numFmtId="6" fontId="3" fillId="0" borderId="0" xfId="4" applyNumberFormat="1"/>
    <xf numFmtId="10" fontId="3" fillId="0" borderId="0" xfId="4" applyNumberFormat="1"/>
    <xf numFmtId="8" fontId="3" fillId="0" borderId="0" xfId="4" applyNumberFormat="1"/>
    <xf numFmtId="0" fontId="3" fillId="0" borderId="0" xfId="4" applyFill="1"/>
    <xf numFmtId="44" fontId="3" fillId="0" borderId="0" xfId="4" applyNumberFormat="1"/>
    <xf numFmtId="166" fontId="0" fillId="0" borderId="0" xfId="2" applyNumberFormat="1" applyFont="1"/>
    <xf numFmtId="165" fontId="3" fillId="0" borderId="0" xfId="4" applyNumberFormat="1"/>
    <xf numFmtId="10" fontId="4" fillId="0" borderId="0" xfId="3" applyNumberFormat="1" applyFont="1"/>
    <xf numFmtId="169" fontId="3" fillId="0" borderId="1" xfId="4" applyNumberFormat="1" applyBorder="1"/>
    <xf numFmtId="9" fontId="7" fillId="0" borderId="0" xfId="3" applyFont="1"/>
    <xf numFmtId="167" fontId="3" fillId="0" borderId="1" xfId="4" applyNumberFormat="1" applyBorder="1"/>
    <xf numFmtId="169" fontId="3" fillId="0" borderId="0" xfId="4" applyNumberFormat="1"/>
    <xf numFmtId="10" fontId="7" fillId="0" borderId="0" xfId="3" applyNumberFormat="1" applyFont="1"/>
    <xf numFmtId="2" fontId="3" fillId="0" borderId="0" xfId="4" applyNumberFormat="1"/>
    <xf numFmtId="167" fontId="7" fillId="0" borderId="1" xfId="4" applyNumberFormat="1" applyFont="1" applyBorder="1"/>
    <xf numFmtId="167" fontId="7" fillId="0" borderId="0" xfId="4" applyNumberFormat="1" applyFont="1"/>
    <xf numFmtId="0" fontId="3" fillId="0" borderId="0" xfId="4" applyBorder="1"/>
    <xf numFmtId="165" fontId="3" fillId="0" borderId="0" xfId="3" applyNumberFormat="1" applyFont="1"/>
    <xf numFmtId="165" fontId="7" fillId="0" borderId="0" xfId="3" applyNumberFormat="1" applyFont="1"/>
    <xf numFmtId="0" fontId="8" fillId="0" borderId="0" xfId="4" applyFont="1"/>
    <xf numFmtId="165" fontId="4" fillId="0" borderId="0" xfId="3" applyNumberFormat="1" applyFont="1"/>
    <xf numFmtId="0" fontId="7" fillId="0" borderId="0" xfId="4" applyFont="1"/>
  </cellXfs>
  <cellStyles count="8">
    <cellStyle name="Comma" xfId="1" builtinId="3"/>
    <cellStyle name="Comma 2" xfId="6"/>
    <cellStyle name="Currency" xfId="2" builtinId="4"/>
    <cellStyle name="Currency 2" xfId="7"/>
    <cellStyle name="Excel Built-in Normal" xfId="4"/>
    <cellStyle name="Normal" xfId="0" builtinId="0"/>
    <cellStyle name="Normal 2" xfId="5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gan/Downloads/Newest%20car%20wash%20with%20WAC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Mortgage"/>
      <sheetName val="Ratios"/>
      <sheetName val="IRR"/>
      <sheetName val="Sheet1"/>
    </sheetNames>
    <sheetDataSet>
      <sheetData sheetId="0">
        <row r="40">
          <cell r="L40">
            <v>0.25</v>
          </cell>
        </row>
        <row r="58">
          <cell r="I58">
            <v>315980.47501486825</v>
          </cell>
        </row>
        <row r="63">
          <cell r="I63">
            <v>10000</v>
          </cell>
        </row>
        <row r="64">
          <cell r="I64">
            <v>87553.76481729059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FD96"/>
  <sheetViews>
    <sheetView topLeftCell="A45" zoomScale="90" zoomScaleNormal="90" workbookViewId="0">
      <selection activeCell="B43" sqref="B43"/>
    </sheetView>
  </sheetViews>
  <sheetFormatPr defaultRowHeight="12.75" x14ac:dyDescent="0.2"/>
  <cols>
    <col min="1" max="1" width="28.7109375" bestFit="1" customWidth="1"/>
    <col min="2" max="3" width="13.28515625" bestFit="1" customWidth="1"/>
    <col min="4" max="4" width="13.28515625" customWidth="1"/>
    <col min="5" max="5" width="14.5703125" bestFit="1" customWidth="1"/>
    <col min="6" max="6" width="13.28515625" customWidth="1"/>
    <col min="7" max="7" width="14" bestFit="1" customWidth="1"/>
    <col min="8" max="8" width="14" customWidth="1"/>
    <col min="9" max="9" width="14" bestFit="1" customWidth="1"/>
    <col min="10" max="10" width="13.85546875" customWidth="1"/>
    <col min="12" max="12" width="16" customWidth="1"/>
  </cols>
  <sheetData>
    <row r="2" spans="1:13" x14ac:dyDescent="0.2">
      <c r="A2" s="2" t="s">
        <v>0</v>
      </c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</row>
    <row r="3" spans="1:13" x14ac:dyDescent="0.2">
      <c r="A3" t="s">
        <v>3</v>
      </c>
      <c r="B3" s="3">
        <v>465000</v>
      </c>
    </row>
    <row r="4" spans="1:13" x14ac:dyDescent="0.2">
      <c r="A4" t="s">
        <v>4</v>
      </c>
      <c r="B4" s="3">
        <v>360000</v>
      </c>
      <c r="C4" s="6">
        <v>0.05</v>
      </c>
      <c r="D4" t="s">
        <v>13</v>
      </c>
      <c r="E4">
        <v>30</v>
      </c>
      <c r="F4" t="s">
        <v>14</v>
      </c>
    </row>
    <row r="5" spans="1:13" x14ac:dyDescent="0.2">
      <c r="A5" t="s">
        <v>5</v>
      </c>
      <c r="B5" s="3">
        <v>10000</v>
      </c>
    </row>
    <row r="6" spans="1:13" x14ac:dyDescent="0.2">
      <c r="A6" t="s">
        <v>6</v>
      </c>
      <c r="B6" s="3">
        <v>5</v>
      </c>
      <c r="C6" s="8">
        <f>B6+$L$6</f>
        <v>5.25</v>
      </c>
      <c r="D6" s="8">
        <f t="shared" ref="D6:I6" si="0">C6+$L$6</f>
        <v>5.5</v>
      </c>
      <c r="E6" s="8">
        <f t="shared" si="0"/>
        <v>5.75</v>
      </c>
      <c r="F6" s="8">
        <f t="shared" si="0"/>
        <v>6</v>
      </c>
      <c r="G6" s="8">
        <f t="shared" si="0"/>
        <v>6.25</v>
      </c>
      <c r="H6" s="8">
        <f t="shared" si="0"/>
        <v>6.5</v>
      </c>
      <c r="I6" s="8">
        <f t="shared" si="0"/>
        <v>6.75</v>
      </c>
      <c r="L6" s="3">
        <v>0.25</v>
      </c>
      <c r="M6" t="s">
        <v>19</v>
      </c>
    </row>
    <row r="7" spans="1:13" x14ac:dyDescent="0.2">
      <c r="A7" t="s">
        <v>7</v>
      </c>
      <c r="B7" s="3">
        <v>50</v>
      </c>
      <c r="C7" s="8">
        <f>B7+$L$7</f>
        <v>50.5</v>
      </c>
      <c r="D7" s="8">
        <f t="shared" ref="D7:I7" si="1">C7+$L$7</f>
        <v>51</v>
      </c>
      <c r="E7" s="8">
        <f t="shared" si="1"/>
        <v>51.5</v>
      </c>
      <c r="F7" s="8">
        <f t="shared" si="1"/>
        <v>52</v>
      </c>
      <c r="G7" s="8">
        <f t="shared" si="1"/>
        <v>52.5</v>
      </c>
      <c r="H7" s="8">
        <f t="shared" si="1"/>
        <v>53</v>
      </c>
      <c r="I7" s="8">
        <f t="shared" si="1"/>
        <v>53.5</v>
      </c>
      <c r="L7" s="3">
        <v>0.5</v>
      </c>
      <c r="M7" t="s">
        <v>19</v>
      </c>
    </row>
    <row r="8" spans="1:13" x14ac:dyDescent="0.2">
      <c r="A8" t="s">
        <v>9</v>
      </c>
      <c r="B8" s="4">
        <v>32</v>
      </c>
      <c r="C8" s="5">
        <f>B8*1.05</f>
        <v>33.6</v>
      </c>
      <c r="D8" s="5">
        <f t="shared" ref="D8:G8" si="2">C8*1.05</f>
        <v>35.28</v>
      </c>
      <c r="E8" s="5">
        <f t="shared" si="2"/>
        <v>37.044000000000004</v>
      </c>
      <c r="F8" s="5">
        <f t="shared" si="2"/>
        <v>38.896200000000007</v>
      </c>
      <c r="G8" s="5">
        <f t="shared" si="2"/>
        <v>40.841010000000011</v>
      </c>
      <c r="H8" s="5">
        <f>G8*1.05</f>
        <v>42.883060500000013</v>
      </c>
      <c r="I8" s="5">
        <f>H8*1.05</f>
        <v>45.027213525000015</v>
      </c>
      <c r="L8" s="6">
        <v>0.05</v>
      </c>
      <c r="M8" t="s">
        <v>19</v>
      </c>
    </row>
    <row r="9" spans="1:13" x14ac:dyDescent="0.2">
      <c r="A9" t="s">
        <v>8</v>
      </c>
      <c r="B9" s="4">
        <v>10</v>
      </c>
      <c r="C9" s="5">
        <f>B9*1.05</f>
        <v>10.5</v>
      </c>
      <c r="D9" s="5">
        <f t="shared" ref="D9:G9" si="3">C9*1.05</f>
        <v>11.025</v>
      </c>
      <c r="E9" s="5">
        <f t="shared" si="3"/>
        <v>11.576250000000002</v>
      </c>
      <c r="F9" s="5">
        <f t="shared" si="3"/>
        <v>12.155062500000001</v>
      </c>
      <c r="G9" s="5">
        <f t="shared" si="3"/>
        <v>12.762815625000002</v>
      </c>
      <c r="H9" s="5">
        <f>G9*1.05</f>
        <v>13.400956406250003</v>
      </c>
      <c r="I9" s="5">
        <f>H9*1.05</f>
        <v>14.071004226562504</v>
      </c>
      <c r="L9" s="6">
        <v>0.05</v>
      </c>
      <c r="M9" t="s">
        <v>19</v>
      </c>
    </row>
    <row r="10" spans="1:13" x14ac:dyDescent="0.2">
      <c r="A10" t="s">
        <v>15</v>
      </c>
      <c r="B10" s="3">
        <v>0.25</v>
      </c>
      <c r="C10" s="3">
        <f>B10*1.03</f>
        <v>0.25750000000000001</v>
      </c>
      <c r="D10" s="3">
        <f t="shared" ref="D10:G10" si="4">C10*1.03</f>
        <v>0.26522499999999999</v>
      </c>
      <c r="E10" s="3">
        <f t="shared" si="4"/>
        <v>0.27318175</v>
      </c>
      <c r="F10" s="3">
        <f t="shared" si="4"/>
        <v>0.28137720250000003</v>
      </c>
      <c r="G10" s="3">
        <f t="shared" si="4"/>
        <v>0.28981851857500002</v>
      </c>
      <c r="H10" s="3">
        <f>G10*1.03</f>
        <v>0.29851307413225003</v>
      </c>
      <c r="I10" s="3">
        <f>H10*1.03</f>
        <v>0.30746846635621755</v>
      </c>
      <c r="L10" s="6">
        <v>0.03</v>
      </c>
      <c r="M10" t="s">
        <v>19</v>
      </c>
    </row>
    <row r="11" spans="1:13" x14ac:dyDescent="0.2">
      <c r="A11" t="s">
        <v>18</v>
      </c>
      <c r="B11" s="3">
        <v>5</v>
      </c>
      <c r="C11" s="3">
        <f>B11*1.03</f>
        <v>5.15</v>
      </c>
      <c r="D11" s="3">
        <f t="shared" ref="D11:G11" si="5">C11*1.03</f>
        <v>5.3045000000000009</v>
      </c>
      <c r="E11" s="3">
        <f t="shared" si="5"/>
        <v>5.4636350000000009</v>
      </c>
      <c r="F11" s="3">
        <f t="shared" si="5"/>
        <v>5.6275440500000009</v>
      </c>
      <c r="G11" s="3">
        <f t="shared" si="5"/>
        <v>5.796370371500001</v>
      </c>
      <c r="H11" s="3">
        <f>G11*1.03</f>
        <v>5.9702614826450011</v>
      </c>
      <c r="I11" s="3">
        <f>H11*1.03</f>
        <v>6.1493693271243517</v>
      </c>
      <c r="L11" s="6">
        <v>0.03</v>
      </c>
      <c r="M11" t="s">
        <v>19</v>
      </c>
    </row>
    <row r="12" spans="1:13" x14ac:dyDescent="0.2">
      <c r="A12" t="s">
        <v>16</v>
      </c>
      <c r="B12" s="3">
        <v>8</v>
      </c>
      <c r="C12" s="3">
        <v>8</v>
      </c>
      <c r="D12" s="3">
        <v>8.25</v>
      </c>
      <c r="E12" s="3">
        <v>8.25</v>
      </c>
      <c r="F12" s="3">
        <v>8.5</v>
      </c>
      <c r="G12" s="3">
        <v>8.5</v>
      </c>
      <c r="H12" s="3">
        <v>8.75</v>
      </c>
      <c r="I12" s="3">
        <v>8.75</v>
      </c>
      <c r="L12" s="3">
        <v>0.25</v>
      </c>
      <c r="M12" t="s">
        <v>20</v>
      </c>
    </row>
    <row r="13" spans="1:13" x14ac:dyDescent="0.2">
      <c r="A13" t="s">
        <v>86</v>
      </c>
      <c r="B13" s="4">
        <v>8</v>
      </c>
      <c r="C13" s="4">
        <v>8</v>
      </c>
      <c r="D13" s="4">
        <v>8</v>
      </c>
      <c r="E13" s="4">
        <v>8</v>
      </c>
      <c r="F13" s="4">
        <v>8</v>
      </c>
      <c r="G13" s="4">
        <v>8</v>
      </c>
      <c r="H13" s="4">
        <v>8</v>
      </c>
      <c r="I13" s="4">
        <v>8</v>
      </c>
    </row>
    <row r="14" spans="1:13" x14ac:dyDescent="0.2">
      <c r="A14" t="s">
        <v>87</v>
      </c>
      <c r="B14" s="4">
        <v>4</v>
      </c>
      <c r="C14" s="4">
        <v>4</v>
      </c>
      <c r="D14" s="4">
        <v>4</v>
      </c>
      <c r="E14" s="4">
        <v>4</v>
      </c>
      <c r="F14" s="4">
        <v>4</v>
      </c>
      <c r="G14" s="4">
        <v>4</v>
      </c>
      <c r="H14" s="4">
        <v>4</v>
      </c>
      <c r="I14" s="4">
        <v>4</v>
      </c>
    </row>
    <row r="15" spans="1:13" x14ac:dyDescent="0.2">
      <c r="B15" s="4"/>
      <c r="C15" s="5"/>
      <c r="D15" s="5"/>
      <c r="E15" s="5"/>
    </row>
    <row r="16" spans="1:13" x14ac:dyDescent="0.2">
      <c r="B16" s="5"/>
    </row>
    <row r="17" spans="1:15" x14ac:dyDescent="0.2">
      <c r="A17" s="2" t="s">
        <v>1</v>
      </c>
    </row>
    <row r="18" spans="1:15" x14ac:dyDescent="0.2">
      <c r="A18" t="s">
        <v>10</v>
      </c>
      <c r="B18" s="3">
        <f>B8*B6*360</f>
        <v>57600</v>
      </c>
      <c r="C18" s="3">
        <f t="shared" ref="C18:E18" si="6">C8*C6*360</f>
        <v>63504</v>
      </c>
      <c r="D18" s="3">
        <f t="shared" si="6"/>
        <v>69854.400000000009</v>
      </c>
      <c r="E18" s="3">
        <f t="shared" si="6"/>
        <v>76681.08</v>
      </c>
      <c r="F18" s="3">
        <f t="shared" ref="F18:G18" si="7">F8*F6*360</f>
        <v>84015.792000000016</v>
      </c>
      <c r="G18" s="3">
        <f t="shared" si="7"/>
        <v>91892.272500000021</v>
      </c>
      <c r="H18" s="3">
        <f>H8*H6*360</f>
        <v>100346.36157000002</v>
      </c>
      <c r="I18" s="3">
        <f>I8*I6*360</f>
        <v>109416.12886575003</v>
      </c>
    </row>
    <row r="19" spans="1:15" x14ac:dyDescent="0.2">
      <c r="A19" t="s">
        <v>11</v>
      </c>
      <c r="B19" s="7">
        <f>B9*B7*360</f>
        <v>180000</v>
      </c>
      <c r="C19" s="7">
        <f t="shared" ref="C19:E19" si="8">C9*C7*360</f>
        <v>190890</v>
      </c>
      <c r="D19" s="7">
        <f t="shared" si="8"/>
        <v>202419</v>
      </c>
      <c r="E19" s="7">
        <f t="shared" si="8"/>
        <v>214623.67500000005</v>
      </c>
      <c r="F19" s="7">
        <f t="shared" ref="F19:G19" si="9">F9*F7*360</f>
        <v>227542.77000000002</v>
      </c>
      <c r="G19" s="7">
        <f t="shared" si="9"/>
        <v>241217.21531250005</v>
      </c>
      <c r="H19" s="7">
        <f>H9*H7*360</f>
        <v>255690.24823125007</v>
      </c>
      <c r="I19" s="7">
        <f>I9*I7*360</f>
        <v>271007.54140359384</v>
      </c>
    </row>
    <row r="20" spans="1:15" x14ac:dyDescent="0.2">
      <c r="A20" t="s">
        <v>12</v>
      </c>
      <c r="B20" s="3">
        <f>B19+B18</f>
        <v>237600</v>
      </c>
      <c r="C20" s="3">
        <f t="shared" ref="C20:E20" si="10">C19+C18</f>
        <v>254394</v>
      </c>
      <c r="D20" s="3">
        <f t="shared" si="10"/>
        <v>272273.40000000002</v>
      </c>
      <c r="E20" s="3">
        <f t="shared" si="10"/>
        <v>291304.75500000006</v>
      </c>
      <c r="F20" s="3">
        <f t="shared" ref="F20" si="11">F19+F18</f>
        <v>311558.56200000003</v>
      </c>
      <c r="G20" s="3">
        <f t="shared" ref="G20" si="12">G19+G18</f>
        <v>333109.4878125001</v>
      </c>
      <c r="H20" s="3">
        <f t="shared" ref="H20" si="13">H19+H18</f>
        <v>356036.6098012501</v>
      </c>
      <c r="I20" s="3">
        <f t="shared" ref="I20" si="14">I19+I18</f>
        <v>380423.67026934389</v>
      </c>
    </row>
    <row r="21" spans="1:15" x14ac:dyDescent="0.2">
      <c r="A21" t="s">
        <v>88</v>
      </c>
      <c r="B21" s="3">
        <f>B10*B8*360</f>
        <v>2880</v>
      </c>
      <c r="C21" s="3">
        <f t="shared" ref="C21:G21" si="15">C10*C8*360</f>
        <v>3114.7200000000003</v>
      </c>
      <c r="D21" s="3">
        <f t="shared" si="15"/>
        <v>3368.5696799999996</v>
      </c>
      <c r="E21" s="3">
        <f t="shared" si="15"/>
        <v>3643.1081089200002</v>
      </c>
      <c r="F21" s="3">
        <f t="shared" si="15"/>
        <v>3940.0214197969813</v>
      </c>
      <c r="G21" s="3">
        <f t="shared" si="15"/>
        <v>4261.133165510435</v>
      </c>
      <c r="H21" s="3">
        <f>H10*H8*360</f>
        <v>4608.4155184995361</v>
      </c>
      <c r="I21" s="3">
        <f>I10*I8*360</f>
        <v>4984.0013832572486</v>
      </c>
    </row>
    <row r="22" spans="1:15" x14ac:dyDescent="0.2">
      <c r="A22" t="s">
        <v>89</v>
      </c>
      <c r="B22" s="3">
        <f>B11*B9*360</f>
        <v>18000</v>
      </c>
      <c r="C22" s="3">
        <f t="shared" ref="C22:G22" si="16">C11*C9*360</f>
        <v>19467</v>
      </c>
      <c r="D22" s="3">
        <f t="shared" si="16"/>
        <v>21053.560500000003</v>
      </c>
      <c r="E22" s="3">
        <f t="shared" si="16"/>
        <v>22769.425680750006</v>
      </c>
      <c r="F22" s="3">
        <f t="shared" si="16"/>
        <v>24625.133873731131</v>
      </c>
      <c r="G22" s="3">
        <f t="shared" si="16"/>
        <v>26632.082284440221</v>
      </c>
      <c r="H22" s="3">
        <f>H11*H9*360</f>
        <v>28802.5969906221</v>
      </c>
      <c r="I22" s="3">
        <f>I11*I9*360</f>
        <v>31150.008645357804</v>
      </c>
    </row>
    <row r="23" spans="1:15" x14ac:dyDescent="0.2">
      <c r="A23" t="s">
        <v>17</v>
      </c>
      <c r="B23" s="3">
        <f>B12*B13*B14*360</f>
        <v>92160</v>
      </c>
      <c r="C23" s="3">
        <f t="shared" ref="C23:I23" si="17">C12*C13*C14*360</f>
        <v>92160</v>
      </c>
      <c r="D23" s="3">
        <f t="shared" si="17"/>
        <v>95040</v>
      </c>
      <c r="E23" s="3">
        <f t="shared" si="17"/>
        <v>95040</v>
      </c>
      <c r="F23" s="3">
        <f t="shared" si="17"/>
        <v>97920</v>
      </c>
      <c r="G23" s="3">
        <f t="shared" si="17"/>
        <v>97920</v>
      </c>
      <c r="H23" s="3">
        <f t="shared" si="17"/>
        <v>100800</v>
      </c>
      <c r="I23" s="3">
        <f t="shared" si="17"/>
        <v>100800</v>
      </c>
    </row>
    <row r="24" spans="1:15" x14ac:dyDescent="0.2">
      <c r="A24" t="s">
        <v>90</v>
      </c>
      <c r="B24" s="12">
        <f>SUM(B21:B23)</f>
        <v>113040</v>
      </c>
      <c r="C24" s="12">
        <f t="shared" ref="C24:G24" si="18">SUM(C21:C23)</f>
        <v>114741.72</v>
      </c>
      <c r="D24" s="12">
        <f t="shared" si="18"/>
        <v>119462.13018000001</v>
      </c>
      <c r="E24" s="12">
        <f t="shared" si="18"/>
        <v>121452.53378967001</v>
      </c>
      <c r="F24" s="12">
        <f t="shared" si="18"/>
        <v>126485.15529352811</v>
      </c>
      <c r="G24" s="12">
        <f t="shared" si="18"/>
        <v>128813.21544995066</v>
      </c>
      <c r="H24" s="12">
        <f>SUM(H21:H23)</f>
        <v>134211.01250912162</v>
      </c>
      <c r="I24" s="12">
        <f>SUM(I21:I23)</f>
        <v>136934.01002861507</v>
      </c>
    </row>
    <row r="25" spans="1:15" x14ac:dyDescent="0.2">
      <c r="A25" s="1" t="s">
        <v>21</v>
      </c>
      <c r="B25" s="11">
        <f>B20-B24</f>
        <v>124560</v>
      </c>
      <c r="C25" s="11">
        <f t="shared" ref="C25:G25" si="19">C20-C24</f>
        <v>139652.28</v>
      </c>
      <c r="D25" s="11">
        <f t="shared" si="19"/>
        <v>152811.26982000002</v>
      </c>
      <c r="E25" s="11">
        <f t="shared" si="19"/>
        <v>169852.22121033006</v>
      </c>
      <c r="F25" s="11">
        <f t="shared" si="19"/>
        <v>185073.40670647193</v>
      </c>
      <c r="G25" s="11">
        <f t="shared" si="19"/>
        <v>204296.27236254944</v>
      </c>
      <c r="H25" s="11">
        <f>H20-H24</f>
        <v>221825.59729212848</v>
      </c>
      <c r="I25" s="11">
        <f>I20-I24</f>
        <v>243489.66024072882</v>
      </c>
    </row>
    <row r="26" spans="1:15" x14ac:dyDescent="0.2">
      <c r="A26" t="s">
        <v>91</v>
      </c>
      <c r="B26" s="30">
        <f>4*$L$26</f>
        <v>60000</v>
      </c>
      <c r="C26" s="30">
        <f t="shared" ref="C26:I26" si="20">4*$L$26</f>
        <v>60000</v>
      </c>
      <c r="D26" s="30">
        <f t="shared" si="20"/>
        <v>60000</v>
      </c>
      <c r="E26" s="30">
        <f t="shared" si="20"/>
        <v>60000</v>
      </c>
      <c r="F26" s="30">
        <f t="shared" si="20"/>
        <v>60000</v>
      </c>
      <c r="G26" s="30">
        <f t="shared" si="20"/>
        <v>60000</v>
      </c>
      <c r="H26" s="30">
        <f t="shared" si="20"/>
        <v>60000</v>
      </c>
      <c r="I26" s="30">
        <f t="shared" si="20"/>
        <v>60000</v>
      </c>
      <c r="L26" s="30">
        <v>15000</v>
      </c>
      <c r="M26" t="s">
        <v>92</v>
      </c>
    </row>
    <row r="27" spans="1:15" x14ac:dyDescent="0.2">
      <c r="A27" t="s">
        <v>22</v>
      </c>
      <c r="B27" s="8">
        <f>B20*$L$27</f>
        <v>11880</v>
      </c>
      <c r="C27" s="8">
        <f t="shared" ref="C27:G27" si="21">C20*$L$27</f>
        <v>12719.7</v>
      </c>
      <c r="D27" s="8">
        <f t="shared" si="21"/>
        <v>13613.670000000002</v>
      </c>
      <c r="E27" s="8">
        <f t="shared" si="21"/>
        <v>14565.237750000004</v>
      </c>
      <c r="F27" s="8">
        <f t="shared" si="21"/>
        <v>15577.928100000003</v>
      </c>
      <c r="G27" s="8">
        <f t="shared" si="21"/>
        <v>16655.474390625004</v>
      </c>
      <c r="H27" s="8">
        <f>H20*$L$27</f>
        <v>17801.830490062504</v>
      </c>
      <c r="I27" s="8">
        <f>I20*$L$27</f>
        <v>19021.183513467196</v>
      </c>
      <c r="L27" s="6">
        <v>0.05</v>
      </c>
      <c r="M27" t="s">
        <v>23</v>
      </c>
    </row>
    <row r="28" spans="1:15" x14ac:dyDescent="0.2">
      <c r="A28" t="s">
        <v>68</v>
      </c>
      <c r="B28" s="8">
        <f>$L$28*B20</f>
        <v>11880</v>
      </c>
      <c r="C28" s="8">
        <f t="shared" ref="C28:G28" si="22">$L$28*C20</f>
        <v>12719.7</v>
      </c>
      <c r="D28" s="8">
        <f t="shared" si="22"/>
        <v>13613.670000000002</v>
      </c>
      <c r="E28" s="8">
        <f t="shared" si="22"/>
        <v>14565.237750000004</v>
      </c>
      <c r="F28" s="8">
        <f t="shared" si="22"/>
        <v>15577.928100000003</v>
      </c>
      <c r="G28" s="8">
        <f t="shared" si="22"/>
        <v>16655.474390625004</v>
      </c>
      <c r="H28" s="8">
        <f>$L$28*H20</f>
        <v>17801.830490062504</v>
      </c>
      <c r="I28" s="8">
        <f>$L$28*I20</f>
        <v>19021.183513467196</v>
      </c>
      <c r="L28" s="6">
        <v>0.05</v>
      </c>
      <c r="M28" t="s">
        <v>23</v>
      </c>
    </row>
    <row r="29" spans="1:15" x14ac:dyDescent="0.2">
      <c r="A29" t="s">
        <v>93</v>
      </c>
      <c r="B29" s="8">
        <f>B20*$L$29</f>
        <v>9504</v>
      </c>
      <c r="C29" s="8">
        <f t="shared" ref="C29:I29" si="23">C20*$L$29</f>
        <v>10175.76</v>
      </c>
      <c r="D29" s="8">
        <f t="shared" si="23"/>
        <v>10890.936000000002</v>
      </c>
      <c r="E29" s="8">
        <f t="shared" si="23"/>
        <v>11652.190200000003</v>
      </c>
      <c r="F29" s="8">
        <f t="shared" si="23"/>
        <v>12462.342480000001</v>
      </c>
      <c r="G29" s="8">
        <f t="shared" si="23"/>
        <v>13324.379512500003</v>
      </c>
      <c r="H29" s="8">
        <f t="shared" si="23"/>
        <v>14241.464392050004</v>
      </c>
      <c r="I29" s="8">
        <f t="shared" si="23"/>
        <v>15216.946810773756</v>
      </c>
      <c r="L29" s="6">
        <v>0.04</v>
      </c>
      <c r="M29" t="s">
        <v>23</v>
      </c>
    </row>
    <row r="30" spans="1:15" x14ac:dyDescent="0.2">
      <c r="A30" t="s">
        <v>24</v>
      </c>
      <c r="B30" s="8">
        <f>12*$L$30</f>
        <v>4800</v>
      </c>
      <c r="C30" s="8">
        <f>B30*(1+$N$30)</f>
        <v>4944</v>
      </c>
      <c r="D30" s="8">
        <f t="shared" ref="D30:I30" si="24">C30*(1+$N$30)</f>
        <v>5092.32</v>
      </c>
      <c r="E30" s="8">
        <f t="shared" si="24"/>
        <v>5245.0896000000002</v>
      </c>
      <c r="F30" s="8">
        <f t="shared" si="24"/>
        <v>5402.4422880000002</v>
      </c>
      <c r="G30" s="8">
        <f t="shared" si="24"/>
        <v>5564.5155566399999</v>
      </c>
      <c r="H30" s="8">
        <f t="shared" si="24"/>
        <v>5731.4510233392002</v>
      </c>
      <c r="I30" s="8">
        <f t="shared" si="24"/>
        <v>5903.3945540393761</v>
      </c>
      <c r="L30" s="3">
        <v>400</v>
      </c>
      <c r="M30" t="s">
        <v>94</v>
      </c>
      <c r="N30" s="6">
        <v>0.03</v>
      </c>
      <c r="O30" t="s">
        <v>95</v>
      </c>
    </row>
    <row r="31" spans="1:15" x14ac:dyDescent="0.2">
      <c r="A31" t="s">
        <v>25</v>
      </c>
      <c r="B31" s="8">
        <f>$L$31*B20</f>
        <v>23760</v>
      </c>
      <c r="C31" s="8">
        <f t="shared" ref="C31:G31" si="25">$L$31*C20</f>
        <v>25439.4</v>
      </c>
      <c r="D31" s="8">
        <f t="shared" si="25"/>
        <v>27227.340000000004</v>
      </c>
      <c r="E31" s="8">
        <f t="shared" si="25"/>
        <v>29130.475500000008</v>
      </c>
      <c r="F31" s="8">
        <f t="shared" si="25"/>
        <v>31155.856200000006</v>
      </c>
      <c r="G31" s="8">
        <f t="shared" si="25"/>
        <v>33310.948781250008</v>
      </c>
      <c r="H31" s="8">
        <f>$L$31*H20</f>
        <v>35603.660980125009</v>
      </c>
      <c r="I31" s="8">
        <f>$L$31*I20</f>
        <v>38042.367026934393</v>
      </c>
      <c r="L31" s="6">
        <v>0.1</v>
      </c>
      <c r="M31" t="s">
        <v>23</v>
      </c>
    </row>
    <row r="32" spans="1:15" x14ac:dyDescent="0.2">
      <c r="A32" t="s">
        <v>26</v>
      </c>
      <c r="B32" s="9">
        <f>SUM(B26:B31)</f>
        <v>121824</v>
      </c>
      <c r="C32" s="9">
        <f t="shared" ref="C32:I32" si="26">SUM(C26:C31)</f>
        <v>125998.56</v>
      </c>
      <c r="D32" s="9">
        <f t="shared" si="26"/>
        <v>130437.93599999999</v>
      </c>
      <c r="E32" s="9">
        <f t="shared" si="26"/>
        <v>135158.23080000002</v>
      </c>
      <c r="F32" s="9">
        <f t="shared" si="26"/>
        <v>140176.49716800003</v>
      </c>
      <c r="G32" s="9">
        <f t="shared" si="26"/>
        <v>145510.79263164004</v>
      </c>
      <c r="H32" s="9">
        <f t="shared" si="26"/>
        <v>151180.23737563923</v>
      </c>
      <c r="I32" s="9">
        <f t="shared" si="26"/>
        <v>157205.07541868192</v>
      </c>
    </row>
    <row r="33" spans="1:13" x14ac:dyDescent="0.2">
      <c r="A33" s="1" t="s">
        <v>27</v>
      </c>
      <c r="B33" s="10">
        <f t="shared" ref="B33:I33" si="27">B25-B32</f>
        <v>2736</v>
      </c>
      <c r="C33" s="10">
        <f t="shared" si="27"/>
        <v>13653.720000000001</v>
      </c>
      <c r="D33" s="10">
        <f t="shared" si="27"/>
        <v>22373.333820000029</v>
      </c>
      <c r="E33" s="10">
        <f t="shared" si="27"/>
        <v>34693.990410330036</v>
      </c>
      <c r="F33" s="10">
        <f t="shared" si="27"/>
        <v>44896.909538471897</v>
      </c>
      <c r="G33" s="10">
        <f t="shared" si="27"/>
        <v>58785.479730909399</v>
      </c>
      <c r="H33" s="10">
        <f t="shared" si="27"/>
        <v>70645.359916489251</v>
      </c>
      <c r="I33" s="10">
        <f t="shared" si="27"/>
        <v>86284.584822046891</v>
      </c>
    </row>
    <row r="35" spans="1:13" x14ac:dyDescent="0.2">
      <c r="A35" t="s">
        <v>28</v>
      </c>
      <c r="B35" s="3">
        <f>Mortgage!H19</f>
        <v>21479.74052240271</v>
      </c>
      <c r="C35" s="3">
        <f>Mortgage!H31</f>
        <v>21207.072651116774</v>
      </c>
      <c r="D35" s="3">
        <f>Mortgage!H43</f>
        <v>20917.587222164173</v>
      </c>
      <c r="E35" s="3">
        <f>Mortgage!H55</f>
        <v>20610.246965387109</v>
      </c>
      <c r="F35" s="3">
        <f>Mortgage!H67</f>
        <v>20283.950634074168</v>
      </c>
      <c r="G35" s="3">
        <f>Mortgage!H79</f>
        <v>19937.529059026427</v>
      </c>
      <c r="H35" s="3">
        <f>Mortgage!H91</f>
        <v>19569.740959247087</v>
      </c>
      <c r="I35" s="3">
        <f>Mortgage!H103</f>
        <v>19179.268494243563</v>
      </c>
      <c r="L35" s="31">
        <v>0.06</v>
      </c>
      <c r="M35" t="s">
        <v>114</v>
      </c>
    </row>
    <row r="36" spans="1:13" x14ac:dyDescent="0.2">
      <c r="A36" t="s">
        <v>97</v>
      </c>
      <c r="B36" s="3">
        <f>B50/30</f>
        <v>11666.666666666666</v>
      </c>
      <c r="C36" s="3">
        <f t="shared" ref="C36:I36" si="28">C50/30</f>
        <v>11666.666666666666</v>
      </c>
      <c r="D36" s="3">
        <f t="shared" si="28"/>
        <v>11666.666666666666</v>
      </c>
      <c r="E36" s="3">
        <f t="shared" si="28"/>
        <v>11666.666666666666</v>
      </c>
      <c r="F36" s="3">
        <f t="shared" si="28"/>
        <v>11666.666666666666</v>
      </c>
      <c r="G36" s="3">
        <f t="shared" si="28"/>
        <v>11666.666666666666</v>
      </c>
      <c r="H36" s="3">
        <f t="shared" si="28"/>
        <v>11666.666666666666</v>
      </c>
      <c r="I36" s="3">
        <f t="shared" si="28"/>
        <v>11666.666666666666</v>
      </c>
    </row>
    <row r="37" spans="1:13" x14ac:dyDescent="0.2">
      <c r="A37" t="s">
        <v>96</v>
      </c>
      <c r="B37" s="8">
        <f>$L$37*B61</f>
        <v>7723.8976390816715</v>
      </c>
      <c r="C37" s="8">
        <f t="shared" ref="C37:I37" si="29">$L$37*C61</f>
        <v>8876.5764107653631</v>
      </c>
      <c r="D37" s="8">
        <f t="shared" si="29"/>
        <v>8997.8084700877571</v>
      </c>
      <c r="E37" s="8">
        <f t="shared" si="29"/>
        <v>7455.8774256613824</v>
      </c>
      <c r="F37" s="8">
        <f t="shared" si="29"/>
        <v>4538.7043468089805</v>
      </c>
      <c r="G37" s="8">
        <f t="shared" si="29"/>
        <v>0</v>
      </c>
      <c r="H37" s="8">
        <f t="shared" si="29"/>
        <v>0</v>
      </c>
      <c r="I37" s="8">
        <f t="shared" si="29"/>
        <v>0</v>
      </c>
      <c r="L37" s="6">
        <v>0.12</v>
      </c>
      <c r="M37" t="s">
        <v>107</v>
      </c>
    </row>
    <row r="39" spans="1:13" x14ac:dyDescent="0.2">
      <c r="A39" t="s">
        <v>37</v>
      </c>
      <c r="B39" s="8">
        <f>B33-B35-B37</f>
        <v>-26467.638161484381</v>
      </c>
      <c r="C39" s="8">
        <f t="shared" ref="C39:G39" si="30">C33-C35-C37</f>
        <v>-16429.929061882136</v>
      </c>
      <c r="D39" s="8">
        <f t="shared" si="30"/>
        <v>-7542.0618722519011</v>
      </c>
      <c r="E39" s="8">
        <f t="shared" si="30"/>
        <v>6627.8660192815451</v>
      </c>
      <c r="F39" s="8">
        <f t="shared" si="30"/>
        <v>20074.254557588749</v>
      </c>
      <c r="G39" s="8">
        <f t="shared" si="30"/>
        <v>38847.950671882973</v>
      </c>
      <c r="H39" s="8">
        <f>H33-H35-H37</f>
        <v>51075.618957242164</v>
      </c>
      <c r="I39" s="8">
        <f>I33-I35-I37</f>
        <v>67105.316327803332</v>
      </c>
    </row>
    <row r="40" spans="1:13" x14ac:dyDescent="0.2">
      <c r="A40" t="s">
        <v>38</v>
      </c>
      <c r="B40" s="8">
        <f>IF((B39*$L$40)&lt;0,0,(B39*$L$40))</f>
        <v>0</v>
      </c>
      <c r="C40" s="8">
        <f t="shared" ref="C40:I40" si="31">IF((C39*$L$40)&lt;0,0,(C39*$L$40))</f>
        <v>0</v>
      </c>
      <c r="D40" s="8">
        <f t="shared" si="31"/>
        <v>0</v>
      </c>
      <c r="E40" s="8">
        <f t="shared" si="31"/>
        <v>1656.9665048203863</v>
      </c>
      <c r="F40" s="8">
        <f t="shared" si="31"/>
        <v>5018.5636393971872</v>
      </c>
      <c r="G40" s="8">
        <f t="shared" si="31"/>
        <v>9711.9876679707431</v>
      </c>
      <c r="H40" s="8">
        <f t="shared" si="31"/>
        <v>12768.904739310541</v>
      </c>
      <c r="I40" s="8">
        <f t="shared" si="31"/>
        <v>16776.329081950833</v>
      </c>
      <c r="L40" s="6">
        <v>0.25</v>
      </c>
      <c r="M40" t="s">
        <v>40</v>
      </c>
    </row>
    <row r="41" spans="1:13" x14ac:dyDescent="0.2">
      <c r="A41" s="1" t="s">
        <v>39</v>
      </c>
      <c r="B41" s="8">
        <f>B39-B40</f>
        <v>-26467.638161484381</v>
      </c>
      <c r="C41" s="8">
        <f t="shared" ref="C41:G41" si="32">C39-C40</f>
        <v>-16429.929061882136</v>
      </c>
      <c r="D41" s="8">
        <f t="shared" si="32"/>
        <v>-7542.0618722519011</v>
      </c>
      <c r="E41" s="8">
        <f t="shared" si="32"/>
        <v>4970.899514461159</v>
      </c>
      <c r="F41" s="8">
        <f t="shared" si="32"/>
        <v>15055.690918191562</v>
      </c>
      <c r="G41" s="8">
        <f t="shared" si="32"/>
        <v>29135.963003912228</v>
      </c>
      <c r="H41" s="8">
        <f>H39-H40</f>
        <v>38306.714217931622</v>
      </c>
      <c r="I41" s="8">
        <f>I39-I40</f>
        <v>50328.987245852499</v>
      </c>
    </row>
    <row r="44" spans="1:13" x14ac:dyDescent="0.2">
      <c r="A44" s="2" t="s">
        <v>2</v>
      </c>
    </row>
    <row r="45" spans="1:13" x14ac:dyDescent="0.2">
      <c r="A45" s="1" t="s">
        <v>41</v>
      </c>
    </row>
    <row r="46" spans="1:13" x14ac:dyDescent="0.2">
      <c r="A46" t="s">
        <v>42</v>
      </c>
      <c r="B46" s="3">
        <f>$L$46</f>
        <v>10000</v>
      </c>
      <c r="C46" s="3">
        <f t="shared" ref="C46:I46" si="33">$L$46</f>
        <v>10000</v>
      </c>
      <c r="D46" s="3">
        <f t="shared" si="33"/>
        <v>10000</v>
      </c>
      <c r="E46" s="3">
        <f t="shared" si="33"/>
        <v>10000</v>
      </c>
      <c r="F46" s="3">
        <f t="shared" si="33"/>
        <v>10000</v>
      </c>
      <c r="G46" s="3">
        <f t="shared" si="33"/>
        <v>10000</v>
      </c>
      <c r="H46" s="3">
        <f t="shared" si="33"/>
        <v>10000</v>
      </c>
      <c r="I46" s="3">
        <f t="shared" si="33"/>
        <v>10000</v>
      </c>
      <c r="L46" s="3">
        <v>10000</v>
      </c>
      <c r="M46" t="s">
        <v>43</v>
      </c>
    </row>
    <row r="47" spans="1:13" x14ac:dyDescent="0.2">
      <c r="A47" t="s">
        <v>103</v>
      </c>
      <c r="B47" s="3"/>
      <c r="C47" s="3"/>
      <c r="D47" s="3"/>
      <c r="E47" s="3"/>
      <c r="F47" s="3"/>
      <c r="G47" s="3">
        <v>1550.29</v>
      </c>
      <c r="H47" s="3">
        <v>48087.11</v>
      </c>
      <c r="I47" s="3">
        <v>107203.98</v>
      </c>
      <c r="L47" s="3" t="s">
        <v>110</v>
      </c>
    </row>
    <row r="48" spans="1:13" x14ac:dyDescent="0.2">
      <c r="A48" t="s">
        <v>105</v>
      </c>
      <c r="B48" s="3">
        <v>5000</v>
      </c>
      <c r="C48" s="3">
        <f>B48*1.03</f>
        <v>5150</v>
      </c>
      <c r="D48" s="3">
        <f t="shared" ref="D48:I48" si="34">C48*1.03</f>
        <v>5304.5</v>
      </c>
      <c r="E48" s="3">
        <f t="shared" si="34"/>
        <v>5463.6350000000002</v>
      </c>
      <c r="F48" s="3">
        <f t="shared" si="34"/>
        <v>5627.5440500000004</v>
      </c>
      <c r="G48" s="3">
        <f t="shared" si="34"/>
        <v>5796.3703715000001</v>
      </c>
      <c r="H48" s="3">
        <f t="shared" si="34"/>
        <v>5970.2614826449999</v>
      </c>
      <c r="I48" s="3">
        <f t="shared" si="34"/>
        <v>6149.3693271243501</v>
      </c>
      <c r="L48" s="3"/>
    </row>
    <row r="49" spans="1:13" x14ac:dyDescent="0.2">
      <c r="A49" t="s">
        <v>69</v>
      </c>
      <c r="B49" s="3">
        <f>$L$49*B28</f>
        <v>1188</v>
      </c>
      <c r="C49" s="3">
        <f t="shared" ref="C49:G49" si="35">$L$49*C28</f>
        <v>1271.9700000000003</v>
      </c>
      <c r="D49" s="3">
        <f t="shared" si="35"/>
        <v>1361.3670000000002</v>
      </c>
      <c r="E49" s="3">
        <f t="shared" si="35"/>
        <v>1456.5237750000006</v>
      </c>
      <c r="F49" s="3">
        <f t="shared" si="35"/>
        <v>1557.7928100000004</v>
      </c>
      <c r="G49" s="3">
        <f t="shared" si="35"/>
        <v>1665.5474390625004</v>
      </c>
      <c r="H49" s="3">
        <f>$L$49*H28</f>
        <v>1780.1830490062505</v>
      </c>
      <c r="I49" s="3">
        <f>$L$49*I28</f>
        <v>1902.1183513467197</v>
      </c>
      <c r="L49" s="6">
        <v>0.1</v>
      </c>
      <c r="M49" t="s">
        <v>70</v>
      </c>
    </row>
    <row r="50" spans="1:13" x14ac:dyDescent="0.2">
      <c r="A50" t="s">
        <v>98</v>
      </c>
      <c r="B50" s="3">
        <v>350000</v>
      </c>
      <c r="C50" s="3">
        <v>350000</v>
      </c>
      <c r="D50" s="3">
        <v>350000</v>
      </c>
      <c r="E50" s="3">
        <v>350000</v>
      </c>
      <c r="F50" s="3">
        <v>350000</v>
      </c>
      <c r="G50" s="3">
        <v>350000</v>
      </c>
      <c r="H50" s="3">
        <v>350000</v>
      </c>
      <c r="I50" s="3">
        <v>350000</v>
      </c>
    </row>
    <row r="51" spans="1:13" x14ac:dyDescent="0.2">
      <c r="A51" t="s">
        <v>99</v>
      </c>
      <c r="B51" s="3">
        <v>50000</v>
      </c>
      <c r="C51" s="3">
        <v>50000</v>
      </c>
      <c r="D51" s="3">
        <v>50000</v>
      </c>
      <c r="E51" s="3">
        <v>50000</v>
      </c>
      <c r="F51" s="3">
        <v>50000</v>
      </c>
      <c r="G51" s="3">
        <v>50000</v>
      </c>
      <c r="H51" s="3">
        <v>50000</v>
      </c>
      <c r="I51" s="3">
        <v>50000</v>
      </c>
    </row>
    <row r="52" spans="1:13" x14ac:dyDescent="0.2">
      <c r="A52" t="s">
        <v>100</v>
      </c>
      <c r="B52" s="3">
        <f>B36</f>
        <v>11666.666666666666</v>
      </c>
      <c r="C52" s="3">
        <f>C36+B52</f>
        <v>23333.333333333332</v>
      </c>
      <c r="D52" s="3">
        <f t="shared" ref="D52:I52" si="36">D36+C52</f>
        <v>35000</v>
      </c>
      <c r="E52" s="3">
        <f t="shared" si="36"/>
        <v>46666.666666666664</v>
      </c>
      <c r="F52" s="3">
        <f t="shared" si="36"/>
        <v>58333.333333333328</v>
      </c>
      <c r="G52" s="3">
        <f t="shared" si="36"/>
        <v>70000</v>
      </c>
      <c r="H52" s="3">
        <f t="shared" si="36"/>
        <v>81666.666666666672</v>
      </c>
      <c r="I52" s="3">
        <f t="shared" si="36"/>
        <v>93333.333333333343</v>
      </c>
    </row>
    <row r="54" spans="1:13" x14ac:dyDescent="0.2">
      <c r="A54" t="s">
        <v>44</v>
      </c>
      <c r="B54" s="3">
        <f>SUM(B46:B51)-B52</f>
        <v>404521.33333333331</v>
      </c>
      <c r="C54" s="3">
        <f t="shared" ref="C54:I54" si="37">SUM(C46:C51)-C52</f>
        <v>393088.63666666666</v>
      </c>
      <c r="D54" s="3">
        <f t="shared" si="37"/>
        <v>381665.86699999997</v>
      </c>
      <c r="E54" s="3">
        <f t="shared" si="37"/>
        <v>370253.49210833333</v>
      </c>
      <c r="F54" s="3">
        <f t="shared" si="37"/>
        <v>358852.00352666667</v>
      </c>
      <c r="G54" s="3">
        <f t="shared" si="37"/>
        <v>349012.20781056251</v>
      </c>
      <c r="H54" s="3">
        <f t="shared" si="37"/>
        <v>384170.88786498457</v>
      </c>
      <c r="I54" s="3">
        <f t="shared" si="37"/>
        <v>431922.13434513763</v>
      </c>
    </row>
    <row r="55" spans="1:13" x14ac:dyDescent="0.2">
      <c r="B55" s="3"/>
      <c r="C55" s="3"/>
      <c r="D55" s="3"/>
      <c r="E55" s="3"/>
      <c r="F55" s="3"/>
      <c r="G55" s="3"/>
      <c r="H55" s="3"/>
      <c r="I55" s="3"/>
    </row>
    <row r="57" spans="1:13" x14ac:dyDescent="0.2">
      <c r="A57" s="1" t="s">
        <v>45</v>
      </c>
    </row>
    <row r="58" spans="1:13" x14ac:dyDescent="0.2">
      <c r="A58" t="s">
        <v>46</v>
      </c>
      <c r="B58" s="13">
        <f>Mortgage!F19</f>
        <v>355579.15783580375</v>
      </c>
      <c r="C58" s="13">
        <f>Mortgage!F31</f>
        <v>350885.64780032169</v>
      </c>
      <c r="D58" s="13">
        <f>Mortgage!F43</f>
        <v>345902.65233588696</v>
      </c>
      <c r="E58" s="13">
        <f>Mortgage!F55</f>
        <v>340612.31661467516</v>
      </c>
      <c r="F58" s="13">
        <f>Mortgage!F67</f>
        <v>334995.68456215051</v>
      </c>
      <c r="G58" s="13">
        <f>Mortgage!F79</f>
        <v>329032.63093457796</v>
      </c>
      <c r="H58" s="13">
        <f>Mortgage!F91</f>
        <v>322701.78920722613</v>
      </c>
      <c r="I58" s="13">
        <f>Mortgage!F103</f>
        <v>315980.47501487087</v>
      </c>
    </row>
    <row r="59" spans="1:13" x14ac:dyDescent="0.2">
      <c r="A59" t="s">
        <v>71</v>
      </c>
      <c r="B59" s="8">
        <f>$L$59*(B21+B22)</f>
        <v>1044</v>
      </c>
      <c r="C59" s="8">
        <f t="shared" ref="C59:G59" si="38">$L$59*(C21+C22)</f>
        <v>1129.086</v>
      </c>
      <c r="D59" s="8">
        <f t="shared" si="38"/>
        <v>1221.1065090000002</v>
      </c>
      <c r="E59" s="8">
        <f t="shared" si="38"/>
        <v>1320.6266894835005</v>
      </c>
      <c r="F59" s="8">
        <f t="shared" si="38"/>
        <v>1428.2577646764057</v>
      </c>
      <c r="G59" s="8">
        <f t="shared" si="38"/>
        <v>1544.6607724975329</v>
      </c>
      <c r="H59" s="8">
        <f>$L$59*(H21+H22)</f>
        <v>1670.5506254560817</v>
      </c>
      <c r="I59" s="8">
        <f>$L$59*(I21+I22)</f>
        <v>1806.7005014307529</v>
      </c>
      <c r="L59">
        <v>0.05</v>
      </c>
      <c r="M59" t="s">
        <v>101</v>
      </c>
    </row>
    <row r="60" spans="1:13" x14ac:dyDescent="0.2">
      <c r="A60" t="s">
        <v>104</v>
      </c>
      <c r="B60" s="8">
        <f>B40</f>
        <v>0</v>
      </c>
      <c r="C60" s="8">
        <f t="shared" ref="C60:I60" si="39">C40</f>
        <v>0</v>
      </c>
      <c r="D60" s="8">
        <f t="shared" si="39"/>
        <v>0</v>
      </c>
      <c r="E60" s="8">
        <f t="shared" si="39"/>
        <v>1656.9665048203863</v>
      </c>
      <c r="F60" s="8">
        <f t="shared" si="39"/>
        <v>5018.5636393971872</v>
      </c>
      <c r="G60" s="8">
        <f t="shared" si="39"/>
        <v>9711.9876679707431</v>
      </c>
      <c r="H60" s="8">
        <f t="shared" si="39"/>
        <v>12768.904739310541</v>
      </c>
      <c r="I60" s="8">
        <f t="shared" si="39"/>
        <v>16776.329081950833</v>
      </c>
    </row>
    <row r="61" spans="1:13" x14ac:dyDescent="0.2">
      <c r="A61" t="s">
        <v>106</v>
      </c>
      <c r="B61" s="8">
        <v>64365.813659013933</v>
      </c>
      <c r="C61" s="8">
        <v>73971.470089711365</v>
      </c>
      <c r="D61" s="8">
        <v>74981.737250731312</v>
      </c>
      <c r="E61" s="8">
        <v>62132.311880511523</v>
      </c>
      <c r="F61" s="8">
        <v>37822.536223408169</v>
      </c>
      <c r="G61" s="8"/>
      <c r="H61" s="8"/>
      <c r="I61" s="8"/>
      <c r="L61" t="s">
        <v>109</v>
      </c>
    </row>
    <row r="62" spans="1:13" x14ac:dyDescent="0.2">
      <c r="B62" s="8"/>
      <c r="C62" s="8"/>
      <c r="D62" s="8"/>
      <c r="E62" s="8"/>
      <c r="F62" s="8"/>
      <c r="G62" s="8"/>
      <c r="H62" s="8"/>
      <c r="I62" s="8"/>
    </row>
    <row r="63" spans="1:13" x14ac:dyDescent="0.2">
      <c r="A63" t="s">
        <v>47</v>
      </c>
      <c r="B63" s="3">
        <f>$B$5</f>
        <v>10000</v>
      </c>
      <c r="C63" s="3">
        <f t="shared" ref="C63:I63" si="40">$B$5</f>
        <v>10000</v>
      </c>
      <c r="D63" s="3">
        <f t="shared" si="40"/>
        <v>10000</v>
      </c>
      <c r="E63" s="3">
        <f t="shared" si="40"/>
        <v>10000</v>
      </c>
      <c r="F63" s="3">
        <f t="shared" si="40"/>
        <v>10000</v>
      </c>
      <c r="G63" s="3">
        <f t="shared" si="40"/>
        <v>10000</v>
      </c>
      <c r="H63" s="3">
        <f t="shared" si="40"/>
        <v>10000</v>
      </c>
      <c r="I63" s="3">
        <f t="shared" si="40"/>
        <v>10000</v>
      </c>
    </row>
    <row r="64" spans="1:13" x14ac:dyDescent="0.2">
      <c r="A64" t="s">
        <v>48</v>
      </c>
      <c r="B64" s="8">
        <f>B41</f>
        <v>-26467.638161484381</v>
      </c>
      <c r="C64" s="8">
        <f>B64+C41</f>
        <v>-42897.567223366517</v>
      </c>
      <c r="D64" s="8">
        <f t="shared" ref="D64:G64" si="41">C64+D41</f>
        <v>-50439.629095618417</v>
      </c>
      <c r="E64" s="8">
        <f t="shared" si="41"/>
        <v>-45468.729581157255</v>
      </c>
      <c r="F64" s="8">
        <f t="shared" si="41"/>
        <v>-30413.038662965693</v>
      </c>
      <c r="G64" s="8">
        <f t="shared" si="41"/>
        <v>-1277.0756590534656</v>
      </c>
      <c r="H64" s="8">
        <f>G64+H41</f>
        <v>37029.638558878156</v>
      </c>
      <c r="I64" s="8">
        <f>H64+I41</f>
        <v>87358.625804730662</v>
      </c>
    </row>
    <row r="65" spans="1:9 16384:16384" x14ac:dyDescent="0.2">
      <c r="B65" s="8"/>
      <c r="C65" s="8"/>
      <c r="D65" s="8"/>
      <c r="E65" s="8"/>
      <c r="F65" s="8"/>
      <c r="G65" s="8"/>
      <c r="H65" s="8"/>
      <c r="I65" s="8"/>
    </row>
    <row r="66" spans="1:9 16384:16384" x14ac:dyDescent="0.2">
      <c r="A66" s="1" t="s">
        <v>102</v>
      </c>
      <c r="B66" s="13">
        <f>SUM(B58:B65)</f>
        <v>404521.33333333331</v>
      </c>
      <c r="C66" s="13">
        <f t="shared" ref="C66:I66" si="42">SUM(C58:C65)</f>
        <v>393088.63666666654</v>
      </c>
      <c r="D66" s="13">
        <f t="shared" si="42"/>
        <v>381665.86699999985</v>
      </c>
      <c r="E66" s="13">
        <f t="shared" si="42"/>
        <v>370253.49210833333</v>
      </c>
      <c r="F66" s="13">
        <f t="shared" si="42"/>
        <v>358852.00352666661</v>
      </c>
      <c r="G66" s="13">
        <f t="shared" si="42"/>
        <v>349012.2037159928</v>
      </c>
      <c r="H66" s="13">
        <f t="shared" si="42"/>
        <v>384170.88313087093</v>
      </c>
      <c r="I66" s="13">
        <f t="shared" si="42"/>
        <v>431922.13040298317</v>
      </c>
    </row>
    <row r="67" spans="1:9 16384:16384" x14ac:dyDescent="0.2">
      <c r="A67" s="1"/>
      <c r="B67" s="13"/>
      <c r="C67" s="13"/>
      <c r="D67" s="13"/>
      <c r="E67" s="13"/>
      <c r="F67" s="13"/>
      <c r="G67" s="13"/>
      <c r="H67" s="13"/>
      <c r="I67" s="13"/>
    </row>
    <row r="68" spans="1:9 16384:16384" x14ac:dyDescent="0.2">
      <c r="A68" t="s">
        <v>112</v>
      </c>
      <c r="B68" s="8">
        <f>B54-B66</f>
        <v>0</v>
      </c>
      <c r="C68" s="8">
        <f>C54-C66</f>
        <v>0</v>
      </c>
      <c r="D68" s="8">
        <f>D54-D66</f>
        <v>0</v>
      </c>
      <c r="E68" s="8">
        <f>E54-E66</f>
        <v>0</v>
      </c>
      <c r="F68" s="8">
        <f>F54-F66</f>
        <v>0</v>
      </c>
      <c r="G68" s="8">
        <f>G54-G66</f>
        <v>4.0945697110146284E-3</v>
      </c>
      <c r="H68" s="8">
        <f>H54-H66</f>
        <v>4.7341136378236115E-3</v>
      </c>
      <c r="I68" s="8">
        <f>I54-I66</f>
        <v>3.9421544643118978E-3</v>
      </c>
      <c r="XFD68" s="8">
        <f>XFD54-XFD66</f>
        <v>0</v>
      </c>
    </row>
    <row r="70" spans="1:9 16384:16384" x14ac:dyDescent="0.2">
      <c r="A70" s="2" t="s">
        <v>50</v>
      </c>
      <c r="B70" s="6" t="s">
        <v>53</v>
      </c>
      <c r="C70" s="8" t="s">
        <v>52</v>
      </c>
      <c r="E70" t="s">
        <v>54</v>
      </c>
    </row>
    <row r="71" spans="1:9 16384:16384" x14ac:dyDescent="0.2">
      <c r="A71" s="14" t="s">
        <v>51</v>
      </c>
      <c r="B71" s="3">
        <f>B20</f>
        <v>237600</v>
      </c>
      <c r="C71" s="8">
        <f>B71/$E$71</f>
        <v>20.625</v>
      </c>
      <c r="E71">
        <f>32*360</f>
        <v>11520</v>
      </c>
      <c r="G71" t="s">
        <v>85</v>
      </c>
    </row>
    <row r="72" spans="1:9 16384:16384" x14ac:dyDescent="0.2">
      <c r="B72" s="8"/>
      <c r="C72" s="6"/>
    </row>
    <row r="73" spans="1:9 16384:16384" x14ac:dyDescent="0.2">
      <c r="A73" s="1" t="s">
        <v>55</v>
      </c>
      <c r="C73" s="6"/>
      <c r="E73" s="15"/>
      <c r="F73" s="23" t="s">
        <v>53</v>
      </c>
      <c r="G73" s="23" t="s">
        <v>52</v>
      </c>
      <c r="H73" s="23" t="s">
        <v>72</v>
      </c>
      <c r="I73" s="24" t="s">
        <v>67</v>
      </c>
    </row>
    <row r="74" spans="1:9 16384:16384" x14ac:dyDescent="0.2">
      <c r="A74" t="str">
        <f>A21</f>
        <v>Variable Car Wash costs</v>
      </c>
      <c r="B74" s="8">
        <f>B21</f>
        <v>2880</v>
      </c>
      <c r="C74" s="3">
        <f>B74/$E$71</f>
        <v>0.25</v>
      </c>
      <c r="E74" s="16" t="s">
        <v>62</v>
      </c>
      <c r="F74" s="22">
        <f>B71</f>
        <v>237600</v>
      </c>
      <c r="G74" s="22">
        <f>F74/$I$74</f>
        <v>20.625</v>
      </c>
      <c r="H74" s="25">
        <f>G74/$G$74</f>
        <v>1</v>
      </c>
      <c r="I74" s="18">
        <f>E71</f>
        <v>11520</v>
      </c>
    </row>
    <row r="75" spans="1:9 16384:16384" x14ac:dyDescent="0.2">
      <c r="A75" t="str">
        <f>A22</f>
        <v>Variable Detail costs</v>
      </c>
      <c r="B75" s="8">
        <f>B22</f>
        <v>18000</v>
      </c>
      <c r="C75" s="3">
        <f>B75/$E$71</f>
        <v>1.5625</v>
      </c>
      <c r="E75" s="16" t="s">
        <v>63</v>
      </c>
      <c r="F75" s="22">
        <f>B74+B75+(0.5*B84)</f>
        <v>23280</v>
      </c>
      <c r="G75" s="22">
        <f t="shared" ref="G75:G78" si="43">F75/$I$74</f>
        <v>2.0208333333333335</v>
      </c>
      <c r="H75" s="25">
        <f t="shared" ref="H75:H78" si="44">G75/$G$74</f>
        <v>9.7979797979797986E-2</v>
      </c>
      <c r="I75" s="18"/>
    </row>
    <row r="76" spans="1:9 16384:16384" x14ac:dyDescent="0.2">
      <c r="A76" t="s">
        <v>93</v>
      </c>
      <c r="B76" s="8">
        <f>B29</f>
        <v>9504</v>
      </c>
      <c r="C76" s="3">
        <f>B76/$E$71</f>
        <v>0.82499999999999996</v>
      </c>
      <c r="E76" s="16" t="s">
        <v>49</v>
      </c>
      <c r="F76" s="22">
        <f>F74-F75</f>
        <v>214320</v>
      </c>
      <c r="G76" s="22">
        <f t="shared" si="43"/>
        <v>18.604166666666668</v>
      </c>
      <c r="H76" s="25">
        <f t="shared" si="44"/>
        <v>0.90202020202020206</v>
      </c>
      <c r="I76" s="18"/>
    </row>
    <row r="77" spans="1:9 16384:16384" x14ac:dyDescent="0.2">
      <c r="C77" s="3"/>
      <c r="E77" s="16" t="s">
        <v>64</v>
      </c>
      <c r="F77" s="22">
        <f>B81+B82+(0.5*B84)+B85+B86+B87</f>
        <v>163346.4071890694</v>
      </c>
      <c r="G77" s="22">
        <f t="shared" si="43"/>
        <v>14.179375624051163</v>
      </c>
      <c r="H77" s="25">
        <f t="shared" si="44"/>
        <v>0.68748487874187458</v>
      </c>
      <c r="I77" s="18"/>
    </row>
    <row r="78" spans="1:9 16384:16384" x14ac:dyDescent="0.2">
      <c r="A78" s="1" t="s">
        <v>49</v>
      </c>
      <c r="B78" s="3">
        <f>B71-SUM(B74:B76)</f>
        <v>207216</v>
      </c>
      <c r="C78" s="3">
        <f t="shared" ref="C78" si="45">B78/$E$71</f>
        <v>17.987500000000001</v>
      </c>
      <c r="E78" s="16" t="s">
        <v>57</v>
      </c>
      <c r="F78" s="22">
        <f>F76-F77</f>
        <v>50973.592810930597</v>
      </c>
      <c r="G78" s="22">
        <f t="shared" si="43"/>
        <v>4.424791042615503</v>
      </c>
      <c r="H78" s="25">
        <f t="shared" si="44"/>
        <v>0.21453532327832742</v>
      </c>
      <c r="I78" s="18"/>
    </row>
    <row r="79" spans="1:9 16384:16384" x14ac:dyDescent="0.2">
      <c r="C79" s="3"/>
      <c r="E79" s="16"/>
      <c r="F79" s="17"/>
      <c r="G79" s="17"/>
      <c r="H79" s="17"/>
      <c r="I79" s="18"/>
    </row>
    <row r="80" spans="1:9 16384:16384" x14ac:dyDescent="0.2">
      <c r="A80" s="1" t="s">
        <v>56</v>
      </c>
      <c r="C80" s="3"/>
      <c r="E80" s="16"/>
      <c r="F80" s="17"/>
      <c r="G80" s="17"/>
      <c r="H80" s="17"/>
      <c r="I80" s="18"/>
    </row>
    <row r="81" spans="1:12" x14ac:dyDescent="0.2">
      <c r="A81" t="s">
        <v>17</v>
      </c>
      <c r="B81" s="8">
        <f>B23</f>
        <v>92160</v>
      </c>
      <c r="C81" s="3">
        <f t="shared" ref="C81:C91" si="46">B81/$E$71</f>
        <v>8</v>
      </c>
      <c r="E81" s="16"/>
      <c r="F81" s="17"/>
      <c r="G81" s="17"/>
      <c r="H81" s="17"/>
      <c r="I81" s="18"/>
    </row>
    <row r="82" spans="1:12" x14ac:dyDescent="0.2">
      <c r="A82" t="s">
        <v>22</v>
      </c>
      <c r="B82" s="8">
        <f>B27</f>
        <v>11880</v>
      </c>
      <c r="C82" s="3">
        <f t="shared" si="46"/>
        <v>1.03125</v>
      </c>
      <c r="E82" s="16"/>
      <c r="F82" s="17"/>
      <c r="G82" s="17"/>
      <c r="H82" s="17"/>
      <c r="I82" s="18"/>
    </row>
    <row r="83" spans="1:12" x14ac:dyDescent="0.2">
      <c r="A83" t="s">
        <v>108</v>
      </c>
      <c r="B83" s="8">
        <f>B26</f>
        <v>60000</v>
      </c>
      <c r="C83" s="3">
        <f t="shared" si="46"/>
        <v>5.208333333333333</v>
      </c>
      <c r="E83" s="16"/>
      <c r="F83" s="17"/>
      <c r="G83" s="17"/>
      <c r="H83" s="17"/>
      <c r="I83" s="18"/>
    </row>
    <row r="84" spans="1:12" x14ac:dyDescent="0.2">
      <c r="A84" t="s">
        <v>24</v>
      </c>
      <c r="B84" s="8">
        <f>B30</f>
        <v>4800</v>
      </c>
      <c r="C84" s="3">
        <f t="shared" si="46"/>
        <v>0.41666666666666669</v>
      </c>
      <c r="E84" s="16"/>
      <c r="F84" s="17"/>
      <c r="G84" s="17"/>
      <c r="H84" s="17"/>
      <c r="I84" s="18"/>
    </row>
    <row r="85" spans="1:12" x14ac:dyDescent="0.2">
      <c r="A85" t="s">
        <v>97</v>
      </c>
      <c r="B85" s="8">
        <f>B36</f>
        <v>11666.666666666666</v>
      </c>
      <c r="C85" s="3">
        <f t="shared" si="46"/>
        <v>1.0127314814814814</v>
      </c>
      <c r="E85" s="16"/>
      <c r="F85" s="17"/>
      <c r="G85" s="17"/>
      <c r="H85" s="17"/>
      <c r="I85" s="18"/>
    </row>
    <row r="86" spans="1:12" x14ac:dyDescent="0.2">
      <c r="A86" t="s">
        <v>25</v>
      </c>
      <c r="B86" s="8">
        <f>B31</f>
        <v>23760</v>
      </c>
      <c r="C86" s="3">
        <f t="shared" si="46"/>
        <v>2.0625</v>
      </c>
      <c r="E86" s="16"/>
      <c r="F86" s="17"/>
      <c r="I86" s="18"/>
    </row>
    <row r="87" spans="1:12" x14ac:dyDescent="0.2">
      <c r="A87" t="s">
        <v>28</v>
      </c>
      <c r="B87" s="8">
        <f>B35</f>
        <v>21479.74052240271</v>
      </c>
      <c r="C87" s="3">
        <f t="shared" si="46"/>
        <v>1.8645608092363464</v>
      </c>
      <c r="E87" s="16" t="s">
        <v>58</v>
      </c>
      <c r="F87" s="26">
        <f>F77</f>
        <v>163346.4071890694</v>
      </c>
      <c r="G87" s="17" t="s">
        <v>65</v>
      </c>
      <c r="H87" s="28">
        <f>(F87+F89)/F90</f>
        <v>8780.0980347988025</v>
      </c>
      <c r="I87" s="18"/>
    </row>
    <row r="88" spans="1:12" x14ac:dyDescent="0.2">
      <c r="A88" t="s">
        <v>111</v>
      </c>
      <c r="B88" s="8">
        <f>B37</f>
        <v>7723.8976390816715</v>
      </c>
      <c r="C88" s="3">
        <f t="shared" si="46"/>
        <v>0.67047722561472844</v>
      </c>
      <c r="E88" s="16"/>
      <c r="F88" s="26"/>
      <c r="G88" s="17"/>
      <c r="H88" s="28"/>
      <c r="I88" s="18"/>
    </row>
    <row r="89" spans="1:12" x14ac:dyDescent="0.2">
      <c r="A89" t="s">
        <v>68</v>
      </c>
      <c r="B89" s="8">
        <f>B28</f>
        <v>11880</v>
      </c>
      <c r="C89" s="3">
        <f t="shared" si="46"/>
        <v>1.03125</v>
      </c>
      <c r="E89" s="16" t="s">
        <v>59</v>
      </c>
      <c r="F89" s="17"/>
      <c r="G89" s="17" t="s">
        <v>66</v>
      </c>
      <c r="H89" s="26">
        <f>(F87+F89)/F91</f>
        <v>181089.5219677253</v>
      </c>
      <c r="I89" s="18"/>
    </row>
    <row r="90" spans="1:12" x14ac:dyDescent="0.2">
      <c r="C90" s="3"/>
      <c r="E90" s="16" t="s">
        <v>60</v>
      </c>
      <c r="F90" s="22">
        <f>G76</f>
        <v>18.604166666666668</v>
      </c>
      <c r="G90" s="17"/>
      <c r="H90" s="17"/>
      <c r="I90" s="18"/>
    </row>
    <row r="91" spans="1:12" x14ac:dyDescent="0.2">
      <c r="A91" t="s">
        <v>57</v>
      </c>
      <c r="B91" s="8">
        <f>B78-SUM(B81:B89)</f>
        <v>-38134.304828151042</v>
      </c>
      <c r="C91" s="3">
        <f t="shared" si="46"/>
        <v>-3.3102695163325557</v>
      </c>
      <c r="E91" s="19" t="s">
        <v>61</v>
      </c>
      <c r="F91" s="27">
        <f>H76</f>
        <v>0.90202020202020206</v>
      </c>
      <c r="G91" s="20"/>
      <c r="H91" s="20"/>
      <c r="I91" s="21"/>
    </row>
    <row r="95" spans="1:12" ht="15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15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33"/>
  <sheetViews>
    <sheetView zoomScaleNormal="100" workbookViewId="0">
      <selection activeCell="C1" sqref="C1"/>
    </sheetView>
  </sheetViews>
  <sheetFormatPr defaultRowHeight="12.75" x14ac:dyDescent="0.2"/>
  <cols>
    <col min="2" max="2" width="11.7109375" bestFit="1" customWidth="1"/>
    <col min="3" max="3" width="12.28515625" bestFit="1" customWidth="1"/>
    <col min="4" max="4" width="10.28515625" bestFit="1" customWidth="1"/>
    <col min="6" max="6" width="11.85546875" bestFit="1" customWidth="1"/>
    <col min="8" max="8" width="11.28515625" bestFit="1" customWidth="1"/>
  </cols>
  <sheetData>
    <row r="1" spans="1:6" x14ac:dyDescent="0.2">
      <c r="B1" t="s">
        <v>29</v>
      </c>
      <c r="C1">
        <f>0.06/12</f>
        <v>5.0000000000000001E-3</v>
      </c>
    </row>
    <row r="2" spans="1:6" x14ac:dyDescent="0.2">
      <c r="B2" t="s">
        <v>30</v>
      </c>
      <c r="C2">
        <v>360</v>
      </c>
    </row>
    <row r="3" spans="1:6" x14ac:dyDescent="0.2">
      <c r="B3" t="s">
        <v>31</v>
      </c>
      <c r="C3" s="8">
        <f>'Income Statement'!B4</f>
        <v>360000</v>
      </c>
    </row>
    <row r="4" spans="1:6" x14ac:dyDescent="0.2">
      <c r="B4" t="s">
        <v>32</v>
      </c>
      <c r="C4" s="13">
        <f>PMT(C1,C2,C3,0)</f>
        <v>-2158.3818905499083</v>
      </c>
    </row>
    <row r="7" spans="1:6" x14ac:dyDescent="0.2">
      <c r="B7" t="s">
        <v>33</v>
      </c>
      <c r="C7" t="s">
        <v>34</v>
      </c>
      <c r="D7" t="s">
        <v>32</v>
      </c>
      <c r="E7" t="s">
        <v>35</v>
      </c>
      <c r="F7" t="s">
        <v>36</v>
      </c>
    </row>
    <row r="8" spans="1:6" x14ac:dyDescent="0.2">
      <c r="A8">
        <v>1</v>
      </c>
      <c r="B8">
        <f>C3</f>
        <v>360000</v>
      </c>
      <c r="C8">
        <f>$C$1*B8</f>
        <v>1800</v>
      </c>
      <c r="D8" s="13">
        <f>$C$4</f>
        <v>-2158.3818905499083</v>
      </c>
      <c r="E8" s="13">
        <f>C8+D8</f>
        <v>-358.38189054990835</v>
      </c>
      <c r="F8" s="13">
        <f>E8+B8</f>
        <v>359641.61810945009</v>
      </c>
    </row>
    <row r="9" spans="1:6" x14ac:dyDescent="0.2">
      <c r="A9">
        <v>2</v>
      </c>
      <c r="B9" s="13">
        <f>F8</f>
        <v>359641.61810945009</v>
      </c>
      <c r="C9">
        <f>$C$1*B9</f>
        <v>1798.2080905472505</v>
      </c>
      <c r="D9" s="13">
        <f>$C$4</f>
        <v>-2158.3818905499083</v>
      </c>
      <c r="E9" s="13">
        <f>C9+D9</f>
        <v>-360.1738000026578</v>
      </c>
      <c r="F9" s="13">
        <f>E9+B9</f>
        <v>359281.44430944743</v>
      </c>
    </row>
    <row r="10" spans="1:6" x14ac:dyDescent="0.2">
      <c r="A10">
        <v>3</v>
      </c>
      <c r="B10" s="13">
        <f t="shared" ref="B10:B20" si="0">F9</f>
        <v>359281.44430944743</v>
      </c>
      <c r="C10">
        <f t="shared" ref="C10:C73" si="1">$C$1*B10</f>
        <v>1796.4072215472372</v>
      </c>
      <c r="D10" s="13">
        <f t="shared" ref="D10:D73" si="2">$C$4</f>
        <v>-2158.3818905499083</v>
      </c>
      <c r="E10" s="13">
        <f t="shared" ref="E10:E20" si="3">C10+D10</f>
        <v>-361.97466900267113</v>
      </c>
      <c r="F10" s="13">
        <f t="shared" ref="F10:F20" si="4">E10+B10</f>
        <v>358919.46964044473</v>
      </c>
    </row>
    <row r="11" spans="1:6" x14ac:dyDescent="0.2">
      <c r="A11">
        <v>4</v>
      </c>
      <c r="B11" s="13">
        <f t="shared" si="0"/>
        <v>358919.46964044473</v>
      </c>
      <c r="C11">
        <f t="shared" si="1"/>
        <v>1794.5973482022237</v>
      </c>
      <c r="D11" s="13">
        <f t="shared" si="2"/>
        <v>-2158.3818905499083</v>
      </c>
      <c r="E11" s="13">
        <f t="shared" si="3"/>
        <v>-363.78454234768469</v>
      </c>
      <c r="F11" s="13">
        <f t="shared" si="4"/>
        <v>358555.68509809702</v>
      </c>
    </row>
    <row r="12" spans="1:6" x14ac:dyDescent="0.2">
      <c r="A12">
        <v>5</v>
      </c>
      <c r="B12" s="13">
        <f t="shared" si="0"/>
        <v>358555.68509809702</v>
      </c>
      <c r="C12">
        <f t="shared" si="1"/>
        <v>1792.7784254904852</v>
      </c>
      <c r="D12" s="13">
        <f t="shared" si="2"/>
        <v>-2158.3818905499083</v>
      </c>
      <c r="E12" s="13">
        <f t="shared" si="3"/>
        <v>-365.60346505942312</v>
      </c>
      <c r="F12" s="13">
        <f t="shared" si="4"/>
        <v>358190.0816330376</v>
      </c>
    </row>
    <row r="13" spans="1:6" x14ac:dyDescent="0.2">
      <c r="A13">
        <v>6</v>
      </c>
      <c r="B13" s="13">
        <f t="shared" si="0"/>
        <v>358190.0816330376</v>
      </c>
      <c r="C13">
        <f t="shared" si="1"/>
        <v>1790.950408165188</v>
      </c>
      <c r="D13" s="13">
        <f t="shared" si="2"/>
        <v>-2158.3818905499083</v>
      </c>
      <c r="E13" s="13">
        <f t="shared" si="3"/>
        <v>-367.43148238472031</v>
      </c>
      <c r="F13" s="13">
        <f t="shared" si="4"/>
        <v>357822.65015065286</v>
      </c>
    </row>
    <row r="14" spans="1:6" x14ac:dyDescent="0.2">
      <c r="A14">
        <v>7</v>
      </c>
      <c r="B14" s="13">
        <f t="shared" si="0"/>
        <v>357822.65015065286</v>
      </c>
      <c r="C14">
        <f t="shared" si="1"/>
        <v>1789.1132507532643</v>
      </c>
      <c r="D14" s="13">
        <f t="shared" si="2"/>
        <v>-2158.3818905499083</v>
      </c>
      <c r="E14" s="13">
        <f t="shared" si="3"/>
        <v>-369.26863979664404</v>
      </c>
      <c r="F14" s="13">
        <f t="shared" si="4"/>
        <v>357453.38151085621</v>
      </c>
    </row>
    <row r="15" spans="1:6" x14ac:dyDescent="0.2">
      <c r="A15">
        <v>8</v>
      </c>
      <c r="B15" s="13">
        <f t="shared" si="0"/>
        <v>357453.38151085621</v>
      </c>
      <c r="C15">
        <f t="shared" si="1"/>
        <v>1787.266907554281</v>
      </c>
      <c r="D15" s="13">
        <f t="shared" si="2"/>
        <v>-2158.3818905499083</v>
      </c>
      <c r="E15" s="13">
        <f t="shared" si="3"/>
        <v>-371.11498299562732</v>
      </c>
      <c r="F15" s="13">
        <f t="shared" si="4"/>
        <v>357082.2665278606</v>
      </c>
    </row>
    <row r="16" spans="1:6" x14ac:dyDescent="0.2">
      <c r="A16">
        <v>9</v>
      </c>
      <c r="B16" s="13">
        <f t="shared" si="0"/>
        <v>357082.2665278606</v>
      </c>
      <c r="C16">
        <f t="shared" si="1"/>
        <v>1785.4113326393031</v>
      </c>
      <c r="D16" s="13">
        <f t="shared" si="2"/>
        <v>-2158.3818905499083</v>
      </c>
      <c r="E16" s="13">
        <f t="shared" si="3"/>
        <v>-372.97055791060529</v>
      </c>
      <c r="F16" s="13">
        <f t="shared" si="4"/>
        <v>356709.29596994998</v>
      </c>
    </row>
    <row r="17" spans="1:8" x14ac:dyDescent="0.2">
      <c r="A17">
        <v>10</v>
      </c>
      <c r="B17" s="13">
        <f t="shared" si="0"/>
        <v>356709.29596994998</v>
      </c>
      <c r="C17">
        <f t="shared" si="1"/>
        <v>1783.5464798497499</v>
      </c>
      <c r="D17" s="13">
        <f t="shared" si="2"/>
        <v>-2158.3818905499083</v>
      </c>
      <c r="E17" s="13">
        <f t="shared" si="3"/>
        <v>-374.83541070015849</v>
      </c>
      <c r="F17" s="13">
        <f t="shared" si="4"/>
        <v>356334.4605592498</v>
      </c>
    </row>
    <row r="18" spans="1:8" x14ac:dyDescent="0.2">
      <c r="A18">
        <v>11</v>
      </c>
      <c r="B18" s="13">
        <f t="shared" si="0"/>
        <v>356334.4605592498</v>
      </c>
      <c r="C18">
        <f t="shared" si="1"/>
        <v>1781.6723027962489</v>
      </c>
      <c r="D18" s="13">
        <f t="shared" si="2"/>
        <v>-2158.3818905499083</v>
      </c>
      <c r="E18" s="13">
        <f t="shared" si="3"/>
        <v>-376.70958775365943</v>
      </c>
      <c r="F18" s="13">
        <f t="shared" si="4"/>
        <v>355957.75097149616</v>
      </c>
    </row>
    <row r="19" spans="1:8" x14ac:dyDescent="0.2">
      <c r="A19">
        <v>12</v>
      </c>
      <c r="B19" s="13">
        <f t="shared" si="0"/>
        <v>355957.75097149616</v>
      </c>
      <c r="C19">
        <f t="shared" si="1"/>
        <v>1779.7887548574809</v>
      </c>
      <c r="D19" s="13">
        <f t="shared" si="2"/>
        <v>-2158.3818905499083</v>
      </c>
      <c r="E19" s="13">
        <f t="shared" si="3"/>
        <v>-378.5931356924275</v>
      </c>
      <c r="F19" s="13">
        <f t="shared" si="4"/>
        <v>355579.15783580375</v>
      </c>
      <c r="H19" s="3">
        <f>SUM(C8:C19)</f>
        <v>21479.74052240271</v>
      </c>
    </row>
    <row r="20" spans="1:8" x14ac:dyDescent="0.2">
      <c r="A20">
        <v>13</v>
      </c>
      <c r="B20" s="13">
        <f t="shared" si="0"/>
        <v>355579.15783580375</v>
      </c>
      <c r="C20">
        <f t="shared" si="1"/>
        <v>1777.8957891790187</v>
      </c>
      <c r="D20" s="13">
        <f t="shared" si="2"/>
        <v>-2158.3818905499083</v>
      </c>
      <c r="E20" s="13">
        <f t="shared" si="3"/>
        <v>-380.48610137088963</v>
      </c>
      <c r="F20" s="13">
        <f t="shared" si="4"/>
        <v>355198.67173443286</v>
      </c>
    </row>
    <row r="21" spans="1:8" x14ac:dyDescent="0.2">
      <c r="A21">
        <v>14</v>
      </c>
      <c r="B21" s="13">
        <f t="shared" ref="B21:B84" si="5">F20</f>
        <v>355198.67173443286</v>
      </c>
      <c r="C21">
        <f t="shared" si="1"/>
        <v>1775.9933586721643</v>
      </c>
      <c r="D21" s="13">
        <f t="shared" si="2"/>
        <v>-2158.3818905499083</v>
      </c>
      <c r="E21" s="13">
        <f t="shared" ref="E21:E84" si="6">C21+D21</f>
        <v>-382.38853187774407</v>
      </c>
      <c r="F21" s="13">
        <f t="shared" ref="F21:F84" si="7">E21+B21</f>
        <v>354816.28320255515</v>
      </c>
    </row>
    <row r="22" spans="1:8" x14ac:dyDescent="0.2">
      <c r="A22">
        <v>15</v>
      </c>
      <c r="B22" s="13">
        <f t="shared" si="5"/>
        <v>354816.28320255515</v>
      </c>
      <c r="C22">
        <f t="shared" si="1"/>
        <v>1774.0814160127757</v>
      </c>
      <c r="D22" s="13">
        <f t="shared" si="2"/>
        <v>-2158.3818905499083</v>
      </c>
      <c r="E22" s="13">
        <f t="shared" si="6"/>
        <v>-384.30047453713269</v>
      </c>
      <c r="F22" s="13">
        <f t="shared" si="7"/>
        <v>354431.98272801802</v>
      </c>
    </row>
    <row r="23" spans="1:8" x14ac:dyDescent="0.2">
      <c r="A23">
        <v>16</v>
      </c>
      <c r="B23" s="13">
        <f t="shared" si="5"/>
        <v>354431.98272801802</v>
      </c>
      <c r="C23">
        <f t="shared" si="1"/>
        <v>1772.1599136400901</v>
      </c>
      <c r="D23" s="13">
        <f t="shared" si="2"/>
        <v>-2158.3818905499083</v>
      </c>
      <c r="E23" s="13">
        <f t="shared" si="6"/>
        <v>-386.2219769098183</v>
      </c>
      <c r="F23" s="13">
        <f t="shared" si="7"/>
        <v>354045.76075110817</v>
      </c>
    </row>
    <row r="24" spans="1:8" x14ac:dyDescent="0.2">
      <c r="A24">
        <v>17</v>
      </c>
      <c r="B24" s="13">
        <f t="shared" si="5"/>
        <v>354045.76075110817</v>
      </c>
      <c r="C24">
        <f t="shared" si="1"/>
        <v>1770.2288037555409</v>
      </c>
      <c r="D24" s="13">
        <f t="shared" si="2"/>
        <v>-2158.3818905499083</v>
      </c>
      <c r="E24" s="13">
        <f t="shared" si="6"/>
        <v>-388.15308679436748</v>
      </c>
      <c r="F24" s="13">
        <f t="shared" si="7"/>
        <v>353657.60766431381</v>
      </c>
    </row>
    <row r="25" spans="1:8" x14ac:dyDescent="0.2">
      <c r="A25">
        <v>18</v>
      </c>
      <c r="B25" s="13">
        <f t="shared" si="5"/>
        <v>353657.60766431381</v>
      </c>
      <c r="C25">
        <f t="shared" si="1"/>
        <v>1768.288038321569</v>
      </c>
      <c r="D25" s="13">
        <f t="shared" si="2"/>
        <v>-2158.3818905499083</v>
      </c>
      <c r="E25" s="13">
        <f t="shared" si="6"/>
        <v>-390.0938522283393</v>
      </c>
      <c r="F25" s="13">
        <f t="shared" si="7"/>
        <v>353267.5138120855</v>
      </c>
    </row>
    <row r="26" spans="1:8" x14ac:dyDescent="0.2">
      <c r="A26">
        <v>19</v>
      </c>
      <c r="B26" s="13">
        <f t="shared" si="5"/>
        <v>353267.5138120855</v>
      </c>
      <c r="C26">
        <f t="shared" si="1"/>
        <v>1766.3375690604275</v>
      </c>
      <c r="D26" s="13">
        <f t="shared" si="2"/>
        <v>-2158.3818905499083</v>
      </c>
      <c r="E26" s="13">
        <f t="shared" si="6"/>
        <v>-392.04432148948081</v>
      </c>
      <c r="F26" s="13">
        <f t="shared" si="7"/>
        <v>352875.46949059604</v>
      </c>
    </row>
    <row r="27" spans="1:8" x14ac:dyDescent="0.2">
      <c r="A27">
        <v>20</v>
      </c>
      <c r="B27" s="13">
        <f t="shared" si="5"/>
        <v>352875.46949059604</v>
      </c>
      <c r="C27">
        <f t="shared" si="1"/>
        <v>1764.3773474529803</v>
      </c>
      <c r="D27" s="13">
        <f t="shared" si="2"/>
        <v>-2158.3818905499083</v>
      </c>
      <c r="E27" s="13">
        <f t="shared" si="6"/>
        <v>-394.00454309692805</v>
      </c>
      <c r="F27" s="13">
        <f t="shared" si="7"/>
        <v>352481.4649474991</v>
      </c>
    </row>
    <row r="28" spans="1:8" x14ac:dyDescent="0.2">
      <c r="A28">
        <v>21</v>
      </c>
      <c r="B28" s="13">
        <f t="shared" si="5"/>
        <v>352481.4649474991</v>
      </c>
      <c r="C28">
        <f t="shared" si="1"/>
        <v>1762.4073247374956</v>
      </c>
      <c r="D28" s="13">
        <f t="shared" si="2"/>
        <v>-2158.3818905499083</v>
      </c>
      <c r="E28" s="13">
        <f t="shared" si="6"/>
        <v>-395.97456581241272</v>
      </c>
      <c r="F28" s="13">
        <f t="shared" si="7"/>
        <v>352085.49038168672</v>
      </c>
    </row>
    <row r="29" spans="1:8" x14ac:dyDescent="0.2">
      <c r="A29">
        <v>22</v>
      </c>
      <c r="B29" s="13">
        <f t="shared" si="5"/>
        <v>352085.49038168672</v>
      </c>
      <c r="C29">
        <f t="shared" si="1"/>
        <v>1760.4274519084336</v>
      </c>
      <c r="D29" s="13">
        <f t="shared" si="2"/>
        <v>-2158.3818905499083</v>
      </c>
      <c r="E29" s="13">
        <f t="shared" si="6"/>
        <v>-397.95443864147478</v>
      </c>
      <c r="F29" s="13">
        <f t="shared" si="7"/>
        <v>351687.53594304522</v>
      </c>
    </row>
    <row r="30" spans="1:8" x14ac:dyDescent="0.2">
      <c r="A30">
        <v>23</v>
      </c>
      <c r="B30" s="13">
        <f t="shared" si="5"/>
        <v>351687.53594304522</v>
      </c>
      <c r="C30">
        <f t="shared" si="1"/>
        <v>1758.4376797152261</v>
      </c>
      <c r="D30" s="13">
        <f t="shared" si="2"/>
        <v>-2158.3818905499083</v>
      </c>
      <c r="E30" s="13">
        <f t="shared" si="6"/>
        <v>-399.94421083468228</v>
      </c>
      <c r="F30" s="13">
        <f t="shared" si="7"/>
        <v>351287.59173221054</v>
      </c>
    </row>
    <row r="31" spans="1:8" x14ac:dyDescent="0.2">
      <c r="A31">
        <v>24</v>
      </c>
      <c r="B31" s="13">
        <f t="shared" si="5"/>
        <v>351287.59173221054</v>
      </c>
      <c r="C31">
        <f t="shared" si="1"/>
        <v>1756.4379586610528</v>
      </c>
      <c r="D31" s="13">
        <f t="shared" si="2"/>
        <v>-2158.3818905499083</v>
      </c>
      <c r="E31" s="13">
        <f t="shared" si="6"/>
        <v>-401.94393188885556</v>
      </c>
      <c r="F31" s="13">
        <f t="shared" si="7"/>
        <v>350885.64780032169</v>
      </c>
      <c r="H31">
        <f>SUM(C20:C31)</f>
        <v>21207.072651116774</v>
      </c>
    </row>
    <row r="32" spans="1:8" x14ac:dyDescent="0.2">
      <c r="A32">
        <v>25</v>
      </c>
      <c r="B32" s="13">
        <f t="shared" si="5"/>
        <v>350885.64780032169</v>
      </c>
      <c r="C32">
        <f t="shared" si="1"/>
        <v>1754.4282390016085</v>
      </c>
      <c r="D32" s="13">
        <f t="shared" si="2"/>
        <v>-2158.3818905499083</v>
      </c>
      <c r="E32" s="13">
        <f t="shared" si="6"/>
        <v>-403.95365154829983</v>
      </c>
      <c r="F32" s="13">
        <f t="shared" si="7"/>
        <v>350481.69414877339</v>
      </c>
      <c r="H32">
        <f t="shared" ref="H32:H95" si="8">SUM(C21:C32)</f>
        <v>21183.605100939367</v>
      </c>
    </row>
    <row r="33" spans="1:8" x14ac:dyDescent="0.2">
      <c r="A33">
        <v>26</v>
      </c>
      <c r="B33" s="13">
        <f t="shared" si="5"/>
        <v>350481.69414877339</v>
      </c>
      <c r="C33">
        <f t="shared" si="1"/>
        <v>1752.4084707438669</v>
      </c>
      <c r="D33" s="13">
        <f t="shared" si="2"/>
        <v>-2158.3818905499083</v>
      </c>
      <c r="E33" s="13">
        <f t="shared" si="6"/>
        <v>-405.97341980604142</v>
      </c>
      <c r="F33" s="13">
        <f t="shared" si="7"/>
        <v>350075.72072896734</v>
      </c>
      <c r="H33">
        <f t="shared" si="8"/>
        <v>21160.020213011067</v>
      </c>
    </row>
    <row r="34" spans="1:8" x14ac:dyDescent="0.2">
      <c r="A34">
        <v>27</v>
      </c>
      <c r="B34" s="13">
        <f t="shared" si="5"/>
        <v>350075.72072896734</v>
      </c>
      <c r="C34">
        <f t="shared" si="1"/>
        <v>1750.3786036448366</v>
      </c>
      <c r="D34" s="13">
        <f t="shared" si="2"/>
        <v>-2158.3818905499083</v>
      </c>
      <c r="E34" s="13">
        <f t="shared" si="6"/>
        <v>-408.00328690507172</v>
      </c>
      <c r="F34" s="13">
        <f t="shared" si="7"/>
        <v>349667.71744206228</v>
      </c>
      <c r="H34">
        <f t="shared" si="8"/>
        <v>21136.317400643125</v>
      </c>
    </row>
    <row r="35" spans="1:8" x14ac:dyDescent="0.2">
      <c r="A35">
        <v>28</v>
      </c>
      <c r="B35" s="13">
        <f t="shared" si="5"/>
        <v>349667.71744206228</v>
      </c>
      <c r="C35">
        <f t="shared" si="1"/>
        <v>1748.3385872103115</v>
      </c>
      <c r="D35" s="13">
        <f t="shared" si="2"/>
        <v>-2158.3818905499083</v>
      </c>
      <c r="E35" s="13">
        <f t="shared" si="6"/>
        <v>-410.04330333959683</v>
      </c>
      <c r="F35" s="13">
        <f t="shared" si="7"/>
        <v>349257.67413872265</v>
      </c>
      <c r="H35">
        <f t="shared" si="8"/>
        <v>21112.496074213348</v>
      </c>
    </row>
    <row r="36" spans="1:8" x14ac:dyDescent="0.2">
      <c r="A36">
        <v>29</v>
      </c>
      <c r="B36" s="13">
        <f t="shared" si="5"/>
        <v>349257.67413872265</v>
      </c>
      <c r="C36">
        <f t="shared" si="1"/>
        <v>1746.2883706936134</v>
      </c>
      <c r="D36" s="13">
        <f t="shared" si="2"/>
        <v>-2158.3818905499083</v>
      </c>
      <c r="E36" s="13">
        <f t="shared" si="6"/>
        <v>-412.09351985629496</v>
      </c>
      <c r="F36" s="13">
        <f t="shared" si="7"/>
        <v>348845.58061886637</v>
      </c>
      <c r="H36">
        <f t="shared" si="8"/>
        <v>21088.555641151419</v>
      </c>
    </row>
    <row r="37" spans="1:8" x14ac:dyDescent="0.2">
      <c r="A37">
        <v>30</v>
      </c>
      <c r="B37" s="13">
        <f t="shared" si="5"/>
        <v>348845.58061886637</v>
      </c>
      <c r="C37">
        <f t="shared" si="1"/>
        <v>1744.2279030943319</v>
      </c>
      <c r="D37" s="13">
        <f t="shared" si="2"/>
        <v>-2158.3818905499083</v>
      </c>
      <c r="E37" s="13">
        <f t="shared" si="6"/>
        <v>-414.1539874555765</v>
      </c>
      <c r="F37" s="13">
        <f t="shared" si="7"/>
        <v>348431.42663141078</v>
      </c>
      <c r="H37">
        <f t="shared" si="8"/>
        <v>21064.49550592418</v>
      </c>
    </row>
    <row r="38" spans="1:8" x14ac:dyDescent="0.2">
      <c r="A38">
        <v>31</v>
      </c>
      <c r="B38" s="13">
        <f t="shared" si="5"/>
        <v>348431.42663141078</v>
      </c>
      <c r="C38">
        <f t="shared" si="1"/>
        <v>1742.157133157054</v>
      </c>
      <c r="D38" s="13">
        <f t="shared" si="2"/>
        <v>-2158.3818905499083</v>
      </c>
      <c r="E38" s="13">
        <f t="shared" si="6"/>
        <v>-416.22475739285437</v>
      </c>
      <c r="F38" s="13">
        <f t="shared" si="7"/>
        <v>348015.20187401795</v>
      </c>
      <c r="H38">
        <f t="shared" si="8"/>
        <v>21040.315070020813</v>
      </c>
    </row>
    <row r="39" spans="1:8" x14ac:dyDescent="0.2">
      <c r="A39">
        <v>32</v>
      </c>
      <c r="B39" s="13">
        <f t="shared" si="5"/>
        <v>348015.20187401795</v>
      </c>
      <c r="C39">
        <f t="shared" si="1"/>
        <v>1740.0760093700899</v>
      </c>
      <c r="D39" s="13">
        <f t="shared" si="2"/>
        <v>-2158.3818905499083</v>
      </c>
      <c r="E39" s="13">
        <f t="shared" si="6"/>
        <v>-418.30588117981847</v>
      </c>
      <c r="F39" s="13">
        <f t="shared" si="7"/>
        <v>347596.89599283814</v>
      </c>
      <c r="H39">
        <f t="shared" si="8"/>
        <v>21016.013731937921</v>
      </c>
    </row>
    <row r="40" spans="1:8" x14ac:dyDescent="0.2">
      <c r="A40">
        <v>33</v>
      </c>
      <c r="B40" s="13">
        <f t="shared" si="5"/>
        <v>347596.89599283814</v>
      </c>
      <c r="C40">
        <f t="shared" si="1"/>
        <v>1737.9844799641908</v>
      </c>
      <c r="D40" s="13">
        <f t="shared" si="2"/>
        <v>-2158.3818905499083</v>
      </c>
      <c r="E40" s="13">
        <f t="shared" si="6"/>
        <v>-420.39741058571758</v>
      </c>
      <c r="F40" s="13">
        <f t="shared" si="7"/>
        <v>347176.49858225242</v>
      </c>
      <c r="H40">
        <f t="shared" si="8"/>
        <v>20991.590887164613</v>
      </c>
    </row>
    <row r="41" spans="1:8" x14ac:dyDescent="0.2">
      <c r="A41">
        <v>34</v>
      </c>
      <c r="B41" s="13">
        <f t="shared" si="5"/>
        <v>347176.49858225242</v>
      </c>
      <c r="C41">
        <f t="shared" si="1"/>
        <v>1735.882492911262</v>
      </c>
      <c r="D41" s="13">
        <f t="shared" si="2"/>
        <v>-2158.3818905499083</v>
      </c>
      <c r="E41" s="13">
        <f t="shared" si="6"/>
        <v>-422.49939763864631</v>
      </c>
      <c r="F41" s="13">
        <f t="shared" si="7"/>
        <v>346753.99918461376</v>
      </c>
      <c r="H41">
        <f t="shared" si="8"/>
        <v>20967.045928167445</v>
      </c>
    </row>
    <row r="42" spans="1:8" x14ac:dyDescent="0.2">
      <c r="A42">
        <v>35</v>
      </c>
      <c r="B42" s="13">
        <f t="shared" si="5"/>
        <v>346753.99918461376</v>
      </c>
      <c r="C42">
        <f t="shared" si="1"/>
        <v>1733.7699959230688</v>
      </c>
      <c r="D42" s="13">
        <f t="shared" si="2"/>
        <v>-2158.3818905499083</v>
      </c>
      <c r="E42" s="13">
        <f t="shared" si="6"/>
        <v>-424.61189462683956</v>
      </c>
      <c r="F42" s="13">
        <f t="shared" si="7"/>
        <v>346329.38728998695</v>
      </c>
      <c r="H42">
        <f t="shared" si="8"/>
        <v>20942.37824437529</v>
      </c>
    </row>
    <row r="43" spans="1:8" x14ac:dyDescent="0.2">
      <c r="A43">
        <v>36</v>
      </c>
      <c r="B43" s="13">
        <f t="shared" si="5"/>
        <v>346329.38728998695</v>
      </c>
      <c r="C43">
        <f t="shared" si="1"/>
        <v>1731.6469364499349</v>
      </c>
      <c r="D43" s="13">
        <f t="shared" si="2"/>
        <v>-2158.3818905499083</v>
      </c>
      <c r="E43" s="13">
        <f t="shared" si="6"/>
        <v>-426.73495409997349</v>
      </c>
      <c r="F43" s="13">
        <f t="shared" si="7"/>
        <v>345902.65233588696</v>
      </c>
      <c r="H43">
        <f t="shared" si="8"/>
        <v>20917.587222164173</v>
      </c>
    </row>
    <row r="44" spans="1:8" x14ac:dyDescent="0.2">
      <c r="A44">
        <v>37</v>
      </c>
      <c r="B44" s="13">
        <f t="shared" si="5"/>
        <v>345902.65233588696</v>
      </c>
      <c r="C44">
        <f t="shared" si="1"/>
        <v>1729.5132616794349</v>
      </c>
      <c r="D44" s="13">
        <f t="shared" si="2"/>
        <v>-2158.3818905499083</v>
      </c>
      <c r="E44" s="13">
        <f t="shared" si="6"/>
        <v>-428.86862887047346</v>
      </c>
      <c r="F44" s="13">
        <f t="shared" si="7"/>
        <v>345473.7837070165</v>
      </c>
      <c r="H44">
        <f t="shared" si="8"/>
        <v>20892.672244841997</v>
      </c>
    </row>
    <row r="45" spans="1:8" x14ac:dyDescent="0.2">
      <c r="A45">
        <v>38</v>
      </c>
      <c r="B45" s="13">
        <f t="shared" si="5"/>
        <v>345473.7837070165</v>
      </c>
      <c r="C45">
        <f t="shared" si="1"/>
        <v>1727.3689185350825</v>
      </c>
      <c r="D45" s="13">
        <f t="shared" si="2"/>
        <v>-2158.3818905499083</v>
      </c>
      <c r="E45" s="13">
        <f t="shared" si="6"/>
        <v>-431.01297201482589</v>
      </c>
      <c r="F45" s="13">
        <f t="shared" si="7"/>
        <v>345042.77073500166</v>
      </c>
      <c r="H45">
        <f t="shared" si="8"/>
        <v>20867.632692633211</v>
      </c>
    </row>
    <row r="46" spans="1:8" x14ac:dyDescent="0.2">
      <c r="A46">
        <v>39</v>
      </c>
      <c r="B46" s="13">
        <f t="shared" si="5"/>
        <v>345042.77073500166</v>
      </c>
      <c r="C46">
        <f t="shared" si="1"/>
        <v>1725.2138536750083</v>
      </c>
      <c r="D46" s="13">
        <f t="shared" si="2"/>
        <v>-2158.3818905499083</v>
      </c>
      <c r="E46" s="13">
        <f t="shared" si="6"/>
        <v>-433.16803687490005</v>
      </c>
      <c r="F46" s="13">
        <f t="shared" si="7"/>
        <v>344609.60269812675</v>
      </c>
      <c r="H46">
        <f t="shared" si="8"/>
        <v>20842.467942663385</v>
      </c>
    </row>
    <row r="47" spans="1:8" x14ac:dyDescent="0.2">
      <c r="A47">
        <v>40</v>
      </c>
      <c r="B47" s="13">
        <f t="shared" si="5"/>
        <v>344609.60269812675</v>
      </c>
      <c r="C47">
        <f t="shared" si="1"/>
        <v>1723.0480134906338</v>
      </c>
      <c r="D47" s="13">
        <f t="shared" si="2"/>
        <v>-2158.3818905499083</v>
      </c>
      <c r="E47" s="13">
        <f t="shared" si="6"/>
        <v>-435.33387705927453</v>
      </c>
      <c r="F47" s="13">
        <f t="shared" si="7"/>
        <v>344174.26882106747</v>
      </c>
      <c r="H47">
        <f t="shared" si="8"/>
        <v>20817.177368943703</v>
      </c>
    </row>
    <row r="48" spans="1:8" x14ac:dyDescent="0.2">
      <c r="A48">
        <v>41</v>
      </c>
      <c r="B48" s="13">
        <f t="shared" si="5"/>
        <v>344174.26882106747</v>
      </c>
      <c r="C48">
        <f t="shared" si="1"/>
        <v>1720.8713441053374</v>
      </c>
      <c r="D48" s="13">
        <f t="shared" si="2"/>
        <v>-2158.3818905499083</v>
      </c>
      <c r="E48" s="13">
        <f t="shared" si="6"/>
        <v>-437.51054644457099</v>
      </c>
      <c r="F48" s="13">
        <f t="shared" si="7"/>
        <v>343736.7582746229</v>
      </c>
      <c r="H48">
        <f t="shared" si="8"/>
        <v>20791.760342355428</v>
      </c>
    </row>
    <row r="49" spans="1:8" x14ac:dyDescent="0.2">
      <c r="A49">
        <v>42</v>
      </c>
      <c r="B49" s="13">
        <f t="shared" si="5"/>
        <v>343736.7582746229</v>
      </c>
      <c r="C49">
        <f t="shared" si="1"/>
        <v>1718.6837913731144</v>
      </c>
      <c r="D49" s="13">
        <f t="shared" si="2"/>
        <v>-2158.3818905499083</v>
      </c>
      <c r="E49" s="13">
        <f t="shared" si="6"/>
        <v>-439.6980991767939</v>
      </c>
      <c r="F49" s="13">
        <f t="shared" si="7"/>
        <v>343297.06017544609</v>
      </c>
      <c r="H49">
        <f t="shared" si="8"/>
        <v>20766.216230634211</v>
      </c>
    </row>
    <row r="50" spans="1:8" x14ac:dyDescent="0.2">
      <c r="A50">
        <v>43</v>
      </c>
      <c r="B50" s="13">
        <f t="shared" si="5"/>
        <v>343297.06017544609</v>
      </c>
      <c r="C50">
        <f t="shared" si="1"/>
        <v>1716.4853008772304</v>
      </c>
      <c r="D50" s="13">
        <f t="shared" si="2"/>
        <v>-2158.3818905499083</v>
      </c>
      <c r="E50" s="13">
        <f t="shared" si="6"/>
        <v>-441.89658967267792</v>
      </c>
      <c r="F50" s="13">
        <f t="shared" si="7"/>
        <v>342855.16358577344</v>
      </c>
      <c r="H50">
        <f t="shared" si="8"/>
        <v>20740.544398354388</v>
      </c>
    </row>
    <row r="51" spans="1:8" x14ac:dyDescent="0.2">
      <c r="A51">
        <v>44</v>
      </c>
      <c r="B51" s="13">
        <f t="shared" si="5"/>
        <v>342855.16358577344</v>
      </c>
      <c r="C51">
        <f t="shared" si="1"/>
        <v>1714.2758179288671</v>
      </c>
      <c r="D51" s="13">
        <f t="shared" si="2"/>
        <v>-2158.3818905499083</v>
      </c>
      <c r="E51" s="13">
        <f t="shared" si="6"/>
        <v>-444.10607262104122</v>
      </c>
      <c r="F51" s="13">
        <f t="shared" si="7"/>
        <v>342411.05751315242</v>
      </c>
      <c r="H51">
        <f t="shared" si="8"/>
        <v>20714.744206913165</v>
      </c>
    </row>
    <row r="52" spans="1:8" x14ac:dyDescent="0.2">
      <c r="A52">
        <v>45</v>
      </c>
      <c r="B52" s="13">
        <f t="shared" si="5"/>
        <v>342411.05751315242</v>
      </c>
      <c r="C52">
        <f t="shared" si="1"/>
        <v>1712.0552875657622</v>
      </c>
      <c r="D52" s="13">
        <f t="shared" si="2"/>
        <v>-2158.3818905499083</v>
      </c>
      <c r="E52" s="13">
        <f t="shared" si="6"/>
        <v>-446.32660298414612</v>
      </c>
      <c r="F52" s="13">
        <f t="shared" si="7"/>
        <v>341964.73091016826</v>
      </c>
      <c r="H52">
        <f t="shared" si="8"/>
        <v>20688.815014514737</v>
      </c>
    </row>
    <row r="53" spans="1:8" x14ac:dyDescent="0.2">
      <c r="A53">
        <v>46</v>
      </c>
      <c r="B53" s="13">
        <f t="shared" si="5"/>
        <v>341964.73091016826</v>
      </c>
      <c r="C53">
        <f t="shared" si="1"/>
        <v>1709.8236545508414</v>
      </c>
      <c r="D53" s="13">
        <f t="shared" si="2"/>
        <v>-2158.3818905499083</v>
      </c>
      <c r="E53" s="13">
        <f t="shared" si="6"/>
        <v>-448.55823599906694</v>
      </c>
      <c r="F53" s="13">
        <f t="shared" si="7"/>
        <v>341516.17267416918</v>
      </c>
      <c r="H53">
        <f t="shared" si="8"/>
        <v>20662.756176154315</v>
      </c>
    </row>
    <row r="54" spans="1:8" x14ac:dyDescent="0.2">
      <c r="A54">
        <v>47</v>
      </c>
      <c r="B54" s="13">
        <f t="shared" si="5"/>
        <v>341516.17267416918</v>
      </c>
      <c r="C54">
        <f t="shared" si="1"/>
        <v>1707.5808633708459</v>
      </c>
      <c r="D54" s="13">
        <f t="shared" si="2"/>
        <v>-2158.3818905499083</v>
      </c>
      <c r="E54" s="13">
        <f t="shared" si="6"/>
        <v>-450.80102717906243</v>
      </c>
      <c r="F54" s="13">
        <f t="shared" si="7"/>
        <v>341065.37164699013</v>
      </c>
      <c r="H54">
        <f t="shared" si="8"/>
        <v>20636.567043602092</v>
      </c>
    </row>
    <row r="55" spans="1:8" x14ac:dyDescent="0.2">
      <c r="A55">
        <v>48</v>
      </c>
      <c r="B55" s="13">
        <f t="shared" si="5"/>
        <v>341065.37164699013</v>
      </c>
      <c r="C55">
        <f t="shared" si="1"/>
        <v>1705.3268582349506</v>
      </c>
      <c r="D55" s="13">
        <f t="shared" si="2"/>
        <v>-2158.3818905499083</v>
      </c>
      <c r="E55" s="13">
        <f t="shared" si="6"/>
        <v>-453.05503231495777</v>
      </c>
      <c r="F55" s="13">
        <f t="shared" si="7"/>
        <v>340612.31661467516</v>
      </c>
      <c r="H55">
        <f t="shared" si="8"/>
        <v>20610.246965387109</v>
      </c>
    </row>
    <row r="56" spans="1:8" x14ac:dyDescent="0.2">
      <c r="A56">
        <v>49</v>
      </c>
      <c r="B56" s="13">
        <f t="shared" si="5"/>
        <v>340612.31661467516</v>
      </c>
      <c r="C56">
        <f t="shared" si="1"/>
        <v>1703.0615830733759</v>
      </c>
      <c r="D56" s="13">
        <f t="shared" si="2"/>
        <v>-2158.3818905499083</v>
      </c>
      <c r="E56" s="13">
        <f t="shared" si="6"/>
        <v>-455.32030747653243</v>
      </c>
      <c r="F56" s="13">
        <f t="shared" si="7"/>
        <v>340156.99630719866</v>
      </c>
      <c r="H56">
        <f t="shared" si="8"/>
        <v>20583.795286781053</v>
      </c>
    </row>
    <row r="57" spans="1:8" x14ac:dyDescent="0.2">
      <c r="A57">
        <v>50</v>
      </c>
      <c r="B57" s="13">
        <f t="shared" si="5"/>
        <v>340156.99630719866</v>
      </c>
      <c r="C57">
        <f t="shared" si="1"/>
        <v>1700.7849815359932</v>
      </c>
      <c r="D57" s="13">
        <f t="shared" si="2"/>
        <v>-2158.3818905499083</v>
      </c>
      <c r="E57" s="13">
        <f t="shared" si="6"/>
        <v>-457.59690901391514</v>
      </c>
      <c r="F57" s="13">
        <f t="shared" si="7"/>
        <v>339699.39939818473</v>
      </c>
      <c r="H57">
        <f t="shared" si="8"/>
        <v>20557.211349781959</v>
      </c>
    </row>
    <row r="58" spans="1:8" x14ac:dyDescent="0.2">
      <c r="A58">
        <v>51</v>
      </c>
      <c r="B58" s="13">
        <f t="shared" si="5"/>
        <v>339699.39939818473</v>
      </c>
      <c r="C58">
        <f t="shared" si="1"/>
        <v>1698.4969969909237</v>
      </c>
      <c r="D58" s="13">
        <f t="shared" si="2"/>
        <v>-2158.3818905499083</v>
      </c>
      <c r="E58" s="13">
        <f t="shared" si="6"/>
        <v>-459.88489355898469</v>
      </c>
      <c r="F58" s="13">
        <f t="shared" si="7"/>
        <v>339239.51450462575</v>
      </c>
      <c r="H58">
        <f t="shared" si="8"/>
        <v>20530.494493097878</v>
      </c>
    </row>
    <row r="59" spans="1:8" x14ac:dyDescent="0.2">
      <c r="A59">
        <v>52</v>
      </c>
      <c r="B59" s="13">
        <f t="shared" si="5"/>
        <v>339239.51450462575</v>
      </c>
      <c r="C59">
        <f t="shared" si="1"/>
        <v>1696.1975725231289</v>
      </c>
      <c r="D59" s="13">
        <f t="shared" si="2"/>
        <v>-2158.3818905499083</v>
      </c>
      <c r="E59" s="13">
        <f t="shared" si="6"/>
        <v>-462.18431802677947</v>
      </c>
      <c r="F59" s="13">
        <f t="shared" si="7"/>
        <v>338777.33018659899</v>
      </c>
      <c r="H59">
        <f t="shared" si="8"/>
        <v>20503.644052130374</v>
      </c>
    </row>
    <row r="60" spans="1:8" x14ac:dyDescent="0.2">
      <c r="A60">
        <v>53</v>
      </c>
      <c r="B60" s="13">
        <f t="shared" si="5"/>
        <v>338777.33018659899</v>
      </c>
      <c r="C60">
        <f t="shared" si="1"/>
        <v>1693.8866509329951</v>
      </c>
      <c r="D60" s="13">
        <f t="shared" si="2"/>
        <v>-2158.3818905499083</v>
      </c>
      <c r="E60" s="13">
        <f t="shared" si="6"/>
        <v>-464.4952396169133</v>
      </c>
      <c r="F60" s="13">
        <f t="shared" si="7"/>
        <v>338312.8349469821</v>
      </c>
      <c r="H60">
        <f t="shared" si="8"/>
        <v>20476.65935895803</v>
      </c>
    </row>
    <row r="61" spans="1:8" x14ac:dyDescent="0.2">
      <c r="A61">
        <v>54</v>
      </c>
      <c r="B61" s="13">
        <f t="shared" si="5"/>
        <v>338312.8349469821</v>
      </c>
      <c r="C61">
        <f t="shared" si="1"/>
        <v>1691.5641747349105</v>
      </c>
      <c r="D61" s="13">
        <f t="shared" si="2"/>
        <v>-2158.3818905499083</v>
      </c>
      <c r="E61" s="13">
        <f t="shared" si="6"/>
        <v>-466.81771581499788</v>
      </c>
      <c r="F61" s="13">
        <f t="shared" si="7"/>
        <v>337846.01723116712</v>
      </c>
      <c r="H61">
        <f t="shared" si="8"/>
        <v>20449.539742319826</v>
      </c>
    </row>
    <row r="62" spans="1:8" x14ac:dyDescent="0.2">
      <c r="A62">
        <v>55</v>
      </c>
      <c r="B62" s="13">
        <f t="shared" si="5"/>
        <v>337846.01723116712</v>
      </c>
      <c r="C62">
        <f t="shared" si="1"/>
        <v>1689.2300861558356</v>
      </c>
      <c r="D62" s="13">
        <f t="shared" si="2"/>
        <v>-2158.3818905499083</v>
      </c>
      <c r="E62" s="13">
        <f t="shared" si="6"/>
        <v>-469.15180439407277</v>
      </c>
      <c r="F62" s="13">
        <f t="shared" si="7"/>
        <v>337376.86542677303</v>
      </c>
      <c r="H62">
        <f t="shared" si="8"/>
        <v>20422.284527598429</v>
      </c>
    </row>
    <row r="63" spans="1:8" x14ac:dyDescent="0.2">
      <c r="A63">
        <v>56</v>
      </c>
      <c r="B63" s="13">
        <f t="shared" si="5"/>
        <v>337376.86542677303</v>
      </c>
      <c r="C63">
        <f t="shared" si="1"/>
        <v>1686.8843271338651</v>
      </c>
      <c r="D63" s="13">
        <f t="shared" si="2"/>
        <v>-2158.3818905499083</v>
      </c>
      <c r="E63" s="13">
        <f t="shared" si="6"/>
        <v>-471.49756341604325</v>
      </c>
      <c r="F63" s="13">
        <f t="shared" si="7"/>
        <v>336905.36786335701</v>
      </c>
      <c r="H63">
        <f t="shared" si="8"/>
        <v>20394.893036803431</v>
      </c>
    </row>
    <row r="64" spans="1:8" x14ac:dyDescent="0.2">
      <c r="A64">
        <v>57</v>
      </c>
      <c r="B64" s="13">
        <f t="shared" si="5"/>
        <v>336905.36786335701</v>
      </c>
      <c r="C64">
        <f t="shared" si="1"/>
        <v>1684.5268393167851</v>
      </c>
      <c r="D64" s="13">
        <f t="shared" si="2"/>
        <v>-2158.3818905499083</v>
      </c>
      <c r="E64" s="13">
        <f t="shared" si="6"/>
        <v>-473.85505123312328</v>
      </c>
      <c r="F64" s="13">
        <f t="shared" si="7"/>
        <v>336431.51281212387</v>
      </c>
      <c r="H64">
        <f t="shared" si="8"/>
        <v>20367.364588554454</v>
      </c>
    </row>
    <row r="65" spans="1:8" x14ac:dyDescent="0.2">
      <c r="A65">
        <v>58</v>
      </c>
      <c r="B65" s="13">
        <f t="shared" si="5"/>
        <v>336431.51281212387</v>
      </c>
      <c r="C65">
        <f t="shared" si="1"/>
        <v>1682.1575640606193</v>
      </c>
      <c r="D65" s="13">
        <f t="shared" si="2"/>
        <v>-2158.3818905499083</v>
      </c>
      <c r="E65" s="13">
        <f t="shared" si="6"/>
        <v>-476.22432648928907</v>
      </c>
      <c r="F65" s="13">
        <f t="shared" si="7"/>
        <v>335955.28848563461</v>
      </c>
      <c r="H65">
        <f t="shared" si="8"/>
        <v>20339.698498064234</v>
      </c>
    </row>
    <row r="66" spans="1:8" x14ac:dyDescent="0.2">
      <c r="A66">
        <v>59</v>
      </c>
      <c r="B66" s="13">
        <f t="shared" si="5"/>
        <v>335955.28848563461</v>
      </c>
      <c r="C66">
        <f t="shared" si="1"/>
        <v>1679.7764424281731</v>
      </c>
      <c r="D66" s="13">
        <f t="shared" si="2"/>
        <v>-2158.3818905499083</v>
      </c>
      <c r="E66" s="13">
        <f t="shared" si="6"/>
        <v>-478.60544812173521</v>
      </c>
      <c r="F66" s="13">
        <f t="shared" si="7"/>
        <v>335476.68303751288</v>
      </c>
      <c r="H66">
        <f t="shared" si="8"/>
        <v>20311.89407712156</v>
      </c>
    </row>
    <row r="67" spans="1:8" x14ac:dyDescent="0.2">
      <c r="A67">
        <v>60</v>
      </c>
      <c r="B67" s="13">
        <f t="shared" si="5"/>
        <v>335476.68303751288</v>
      </c>
      <c r="C67">
        <f t="shared" si="1"/>
        <v>1677.3834151875644</v>
      </c>
      <c r="D67" s="13">
        <f t="shared" si="2"/>
        <v>-2158.3818905499083</v>
      </c>
      <c r="E67" s="13">
        <f t="shared" si="6"/>
        <v>-480.99847536234392</v>
      </c>
      <c r="F67" s="13">
        <f t="shared" si="7"/>
        <v>334995.68456215051</v>
      </c>
      <c r="H67">
        <f t="shared" si="8"/>
        <v>20283.950634074168</v>
      </c>
    </row>
    <row r="68" spans="1:8" x14ac:dyDescent="0.2">
      <c r="A68">
        <v>61</v>
      </c>
      <c r="B68" s="13">
        <f t="shared" si="5"/>
        <v>334995.68456215051</v>
      </c>
      <c r="C68">
        <f t="shared" si="1"/>
        <v>1674.9784228107526</v>
      </c>
      <c r="D68" s="13">
        <f t="shared" si="2"/>
        <v>-2158.3818905499083</v>
      </c>
      <c r="E68" s="13">
        <f t="shared" si="6"/>
        <v>-483.40346773915576</v>
      </c>
      <c r="F68" s="13">
        <f t="shared" si="7"/>
        <v>334512.28109441133</v>
      </c>
      <c r="H68">
        <f t="shared" si="8"/>
        <v>20255.867473811544</v>
      </c>
    </row>
    <row r="69" spans="1:8" x14ac:dyDescent="0.2">
      <c r="A69">
        <v>62</v>
      </c>
      <c r="B69" s="13">
        <f t="shared" si="5"/>
        <v>334512.28109441133</v>
      </c>
      <c r="C69">
        <f t="shared" si="1"/>
        <v>1672.5614054720568</v>
      </c>
      <c r="D69" s="13">
        <f t="shared" si="2"/>
        <v>-2158.3818905499083</v>
      </c>
      <c r="E69" s="13">
        <f t="shared" si="6"/>
        <v>-485.82048507785157</v>
      </c>
      <c r="F69" s="13">
        <f t="shared" si="7"/>
        <v>334026.46060933347</v>
      </c>
      <c r="H69">
        <f t="shared" si="8"/>
        <v>20227.64389774761</v>
      </c>
    </row>
    <row r="70" spans="1:8" x14ac:dyDescent="0.2">
      <c r="A70">
        <v>63</v>
      </c>
      <c r="B70" s="13">
        <f t="shared" si="5"/>
        <v>334026.46060933347</v>
      </c>
      <c r="C70">
        <f t="shared" si="1"/>
        <v>1670.1323030466674</v>
      </c>
      <c r="D70" s="13">
        <f t="shared" si="2"/>
        <v>-2158.3818905499083</v>
      </c>
      <c r="E70" s="13">
        <f t="shared" si="6"/>
        <v>-488.24958750324095</v>
      </c>
      <c r="F70" s="13">
        <f t="shared" si="7"/>
        <v>333538.21102183021</v>
      </c>
      <c r="H70">
        <f t="shared" si="8"/>
        <v>20199.279203803351</v>
      </c>
    </row>
    <row r="71" spans="1:8" x14ac:dyDescent="0.2">
      <c r="A71">
        <v>64</v>
      </c>
      <c r="B71" s="13">
        <f t="shared" si="5"/>
        <v>333538.21102183021</v>
      </c>
      <c r="C71">
        <f t="shared" si="1"/>
        <v>1667.6910551091512</v>
      </c>
      <c r="D71" s="13">
        <f t="shared" si="2"/>
        <v>-2158.3818905499083</v>
      </c>
      <c r="E71" s="13">
        <f t="shared" si="6"/>
        <v>-490.69083544075716</v>
      </c>
      <c r="F71" s="13">
        <f t="shared" si="7"/>
        <v>333047.52018638945</v>
      </c>
      <c r="H71">
        <f t="shared" si="8"/>
        <v>20170.772686389373</v>
      </c>
    </row>
    <row r="72" spans="1:8" x14ac:dyDescent="0.2">
      <c r="A72">
        <v>65</v>
      </c>
      <c r="B72" s="13">
        <f t="shared" si="5"/>
        <v>333047.52018638945</v>
      </c>
      <c r="C72">
        <f t="shared" si="1"/>
        <v>1665.2376009319473</v>
      </c>
      <c r="D72" s="13">
        <f t="shared" si="2"/>
        <v>-2158.3818905499083</v>
      </c>
      <c r="E72" s="13">
        <f t="shared" si="6"/>
        <v>-493.14428961796102</v>
      </c>
      <c r="F72" s="13">
        <f t="shared" si="7"/>
        <v>332554.3758967715</v>
      </c>
      <c r="H72">
        <f t="shared" si="8"/>
        <v>20142.123636388329</v>
      </c>
    </row>
    <row r="73" spans="1:8" x14ac:dyDescent="0.2">
      <c r="A73">
        <v>66</v>
      </c>
      <c r="B73" s="13">
        <f t="shared" si="5"/>
        <v>332554.3758967715</v>
      </c>
      <c r="C73">
        <f t="shared" si="1"/>
        <v>1662.7718794838574</v>
      </c>
      <c r="D73" s="13">
        <f t="shared" si="2"/>
        <v>-2158.3818905499083</v>
      </c>
      <c r="E73" s="13">
        <f t="shared" si="6"/>
        <v>-495.6100110660509</v>
      </c>
      <c r="F73" s="13">
        <f t="shared" si="7"/>
        <v>332058.76588570542</v>
      </c>
      <c r="H73">
        <f t="shared" si="8"/>
        <v>20113.331341137276</v>
      </c>
    </row>
    <row r="74" spans="1:8" x14ac:dyDescent="0.2">
      <c r="A74">
        <v>67</v>
      </c>
      <c r="B74" s="13">
        <f t="shared" si="5"/>
        <v>332058.76588570542</v>
      </c>
      <c r="C74">
        <f t="shared" ref="C74:C124" si="9">$C$1*B74</f>
        <v>1660.293829428527</v>
      </c>
      <c r="D74" s="13">
        <f t="shared" ref="D74:D124" si="10">$C$4</f>
        <v>-2158.3818905499083</v>
      </c>
      <c r="E74" s="13">
        <f t="shared" si="6"/>
        <v>-498.08806112138132</v>
      </c>
      <c r="F74" s="13">
        <f t="shared" si="7"/>
        <v>331560.67782458401</v>
      </c>
      <c r="H74">
        <f t="shared" si="8"/>
        <v>20084.395084409967</v>
      </c>
    </row>
    <row r="75" spans="1:8" x14ac:dyDescent="0.2">
      <c r="A75">
        <v>68</v>
      </c>
      <c r="B75" s="13">
        <f t="shared" si="5"/>
        <v>331560.67782458401</v>
      </c>
      <c r="C75">
        <f t="shared" si="9"/>
        <v>1657.8033891229202</v>
      </c>
      <c r="D75" s="13">
        <f t="shared" si="10"/>
        <v>-2158.3818905499083</v>
      </c>
      <c r="E75" s="13">
        <f t="shared" si="6"/>
        <v>-500.57850142698817</v>
      </c>
      <c r="F75" s="13">
        <f t="shared" si="7"/>
        <v>331060.09932315705</v>
      </c>
      <c r="H75">
        <f t="shared" si="8"/>
        <v>20055.314146399021</v>
      </c>
    </row>
    <row r="76" spans="1:8" x14ac:dyDescent="0.2">
      <c r="A76">
        <v>69</v>
      </c>
      <c r="B76" s="13">
        <f t="shared" si="5"/>
        <v>331060.09932315705</v>
      </c>
      <c r="C76">
        <f t="shared" si="9"/>
        <v>1655.3004966157853</v>
      </c>
      <c r="D76" s="13">
        <f t="shared" si="10"/>
        <v>-2158.3818905499083</v>
      </c>
      <c r="E76" s="13">
        <f t="shared" si="6"/>
        <v>-503.08139393412307</v>
      </c>
      <c r="F76" s="13">
        <f t="shared" si="7"/>
        <v>330557.0179292229</v>
      </c>
      <c r="H76">
        <f t="shared" si="8"/>
        <v>20026.087803698025</v>
      </c>
    </row>
    <row r="77" spans="1:8" x14ac:dyDescent="0.2">
      <c r="A77">
        <v>70</v>
      </c>
      <c r="B77" s="13">
        <f t="shared" si="5"/>
        <v>330557.0179292229</v>
      </c>
      <c r="C77">
        <f t="shared" si="9"/>
        <v>1652.7850896461146</v>
      </c>
      <c r="D77" s="13">
        <f t="shared" si="10"/>
        <v>-2158.3818905499083</v>
      </c>
      <c r="E77" s="13">
        <f t="shared" si="6"/>
        <v>-505.59680090379379</v>
      </c>
      <c r="F77" s="13">
        <f t="shared" si="7"/>
        <v>330051.42112831911</v>
      </c>
      <c r="H77">
        <f t="shared" si="8"/>
        <v>19996.715329283517</v>
      </c>
    </row>
    <row r="78" spans="1:8" x14ac:dyDescent="0.2">
      <c r="A78">
        <v>71</v>
      </c>
      <c r="B78" s="13">
        <f t="shared" si="5"/>
        <v>330051.42112831911</v>
      </c>
      <c r="C78">
        <f t="shared" si="9"/>
        <v>1650.2571056415957</v>
      </c>
      <c r="D78" s="13">
        <f t="shared" si="10"/>
        <v>-2158.3818905499083</v>
      </c>
      <c r="E78" s="13">
        <f t="shared" si="6"/>
        <v>-508.12478490831268</v>
      </c>
      <c r="F78" s="13">
        <f t="shared" si="7"/>
        <v>329543.2963434108</v>
      </c>
      <c r="H78">
        <f t="shared" si="8"/>
        <v>19967.195992496938</v>
      </c>
    </row>
    <row r="79" spans="1:8" x14ac:dyDescent="0.2">
      <c r="A79">
        <v>72</v>
      </c>
      <c r="B79" s="13">
        <f t="shared" si="5"/>
        <v>329543.2963434108</v>
      </c>
      <c r="C79">
        <f t="shared" si="9"/>
        <v>1647.716481717054</v>
      </c>
      <c r="D79" s="13">
        <f t="shared" si="10"/>
        <v>-2158.3818905499083</v>
      </c>
      <c r="E79" s="13">
        <f t="shared" si="6"/>
        <v>-510.66540883285438</v>
      </c>
      <c r="F79" s="13">
        <f t="shared" si="7"/>
        <v>329032.63093457796</v>
      </c>
      <c r="H79">
        <f t="shared" si="8"/>
        <v>19937.529059026427</v>
      </c>
    </row>
    <row r="80" spans="1:8" x14ac:dyDescent="0.2">
      <c r="A80">
        <v>73</v>
      </c>
      <c r="B80" s="13">
        <f t="shared" si="5"/>
        <v>329032.63093457796</v>
      </c>
      <c r="C80">
        <f t="shared" si="9"/>
        <v>1645.1631546728897</v>
      </c>
      <c r="D80" s="13">
        <f t="shared" si="10"/>
        <v>-2158.3818905499083</v>
      </c>
      <c r="E80" s="13">
        <f t="shared" si="6"/>
        <v>-513.21873587701862</v>
      </c>
      <c r="F80" s="13">
        <f t="shared" si="7"/>
        <v>328519.41219870094</v>
      </c>
      <c r="H80">
        <f t="shared" si="8"/>
        <v>19907.713790888567</v>
      </c>
    </row>
    <row r="81" spans="1:8" x14ac:dyDescent="0.2">
      <c r="A81">
        <v>74</v>
      </c>
      <c r="B81" s="13">
        <f t="shared" si="5"/>
        <v>328519.41219870094</v>
      </c>
      <c r="C81">
        <f t="shared" si="9"/>
        <v>1642.5970609935048</v>
      </c>
      <c r="D81" s="13">
        <f t="shared" si="10"/>
        <v>-2158.3818905499083</v>
      </c>
      <c r="E81" s="13">
        <f t="shared" si="6"/>
        <v>-515.78482955640357</v>
      </c>
      <c r="F81" s="13">
        <f t="shared" si="7"/>
        <v>328003.62736914452</v>
      </c>
      <c r="H81">
        <f t="shared" si="8"/>
        <v>19877.749446410016</v>
      </c>
    </row>
    <row r="82" spans="1:8" x14ac:dyDescent="0.2">
      <c r="A82">
        <v>75</v>
      </c>
      <c r="B82" s="13">
        <f t="shared" si="5"/>
        <v>328003.62736914452</v>
      </c>
      <c r="C82">
        <f t="shared" si="9"/>
        <v>1640.0181368457227</v>
      </c>
      <c r="D82" s="13">
        <f t="shared" si="10"/>
        <v>-2158.3818905499083</v>
      </c>
      <c r="E82" s="13">
        <f t="shared" si="6"/>
        <v>-518.36375370418568</v>
      </c>
      <c r="F82" s="13">
        <f t="shared" si="7"/>
        <v>327485.26361544034</v>
      </c>
      <c r="H82">
        <f t="shared" si="8"/>
        <v>19847.635280209073</v>
      </c>
    </row>
    <row r="83" spans="1:8" x14ac:dyDescent="0.2">
      <c r="A83">
        <v>76</v>
      </c>
      <c r="B83" s="13">
        <f t="shared" si="5"/>
        <v>327485.26361544034</v>
      </c>
      <c r="C83">
        <f t="shared" si="9"/>
        <v>1637.4263180772018</v>
      </c>
      <c r="D83" s="13">
        <f t="shared" si="10"/>
        <v>-2158.3818905499083</v>
      </c>
      <c r="E83" s="13">
        <f t="shared" si="6"/>
        <v>-520.95557247270654</v>
      </c>
      <c r="F83" s="13">
        <f t="shared" si="7"/>
        <v>326964.30804296763</v>
      </c>
      <c r="H83">
        <f t="shared" si="8"/>
        <v>19817.370543177127</v>
      </c>
    </row>
    <row r="84" spans="1:8" x14ac:dyDescent="0.2">
      <c r="A84">
        <v>77</v>
      </c>
      <c r="B84" s="13">
        <f t="shared" si="5"/>
        <v>326964.30804296763</v>
      </c>
      <c r="C84">
        <f t="shared" si="9"/>
        <v>1634.8215402148383</v>
      </c>
      <c r="D84" s="13">
        <f t="shared" si="10"/>
        <v>-2158.3818905499083</v>
      </c>
      <c r="E84" s="13">
        <f t="shared" si="6"/>
        <v>-523.5603503350701</v>
      </c>
      <c r="F84" s="13">
        <f t="shared" si="7"/>
        <v>326440.74769263255</v>
      </c>
      <c r="H84">
        <f t="shared" si="8"/>
        <v>19786.954482460013</v>
      </c>
    </row>
    <row r="85" spans="1:8" x14ac:dyDescent="0.2">
      <c r="A85">
        <v>78</v>
      </c>
      <c r="B85" s="13">
        <f t="shared" ref="B85:B124" si="11">F84</f>
        <v>326440.74769263255</v>
      </c>
      <c r="C85">
        <f t="shared" si="9"/>
        <v>1632.2037384631628</v>
      </c>
      <c r="D85" s="13">
        <f t="shared" si="10"/>
        <v>-2158.3818905499083</v>
      </c>
      <c r="E85" s="13">
        <f t="shared" ref="E85:E124" si="12">C85+D85</f>
        <v>-526.17815208674551</v>
      </c>
      <c r="F85" s="13">
        <f t="shared" ref="F85:F124" si="13">E85+B85</f>
        <v>325914.56954054581</v>
      </c>
      <c r="H85">
        <f t="shared" si="8"/>
        <v>19756.386341439316</v>
      </c>
    </row>
    <row r="86" spans="1:8" x14ac:dyDescent="0.2">
      <c r="A86">
        <v>79</v>
      </c>
      <c r="B86" s="13">
        <f t="shared" si="11"/>
        <v>325914.56954054581</v>
      </c>
      <c r="C86">
        <f t="shared" si="9"/>
        <v>1629.5728477027292</v>
      </c>
      <c r="D86" s="13">
        <f t="shared" si="10"/>
        <v>-2158.3818905499083</v>
      </c>
      <c r="E86" s="13">
        <f t="shared" si="12"/>
        <v>-528.80904284717917</v>
      </c>
      <c r="F86" s="13">
        <f t="shared" si="13"/>
        <v>325385.76049769862</v>
      </c>
      <c r="H86">
        <f t="shared" si="8"/>
        <v>19725.665359713519</v>
      </c>
    </row>
    <row r="87" spans="1:8" x14ac:dyDescent="0.2">
      <c r="A87">
        <v>80</v>
      </c>
      <c r="B87" s="13">
        <f t="shared" si="11"/>
        <v>325385.76049769862</v>
      </c>
      <c r="C87">
        <f t="shared" si="9"/>
        <v>1626.9288024884931</v>
      </c>
      <c r="D87" s="13">
        <f t="shared" si="10"/>
        <v>-2158.3818905499083</v>
      </c>
      <c r="E87" s="13">
        <f t="shared" si="12"/>
        <v>-531.4530880614152</v>
      </c>
      <c r="F87" s="13">
        <f t="shared" si="13"/>
        <v>324854.3074096372</v>
      </c>
      <c r="H87">
        <f t="shared" si="8"/>
        <v>19694.79077307909</v>
      </c>
    </row>
    <row r="88" spans="1:8" x14ac:dyDescent="0.2">
      <c r="A88">
        <v>81</v>
      </c>
      <c r="B88" s="13">
        <f t="shared" si="11"/>
        <v>324854.3074096372</v>
      </c>
      <c r="C88">
        <f t="shared" si="9"/>
        <v>1624.271537048186</v>
      </c>
      <c r="D88" s="13">
        <f t="shared" si="10"/>
        <v>-2158.3818905499083</v>
      </c>
      <c r="E88" s="13">
        <f t="shared" si="12"/>
        <v>-534.11035350172233</v>
      </c>
      <c r="F88" s="13">
        <f t="shared" si="13"/>
        <v>324320.19705613545</v>
      </c>
      <c r="H88">
        <f t="shared" si="8"/>
        <v>19663.76181351149</v>
      </c>
    </row>
    <row r="89" spans="1:8" x14ac:dyDescent="0.2">
      <c r="A89">
        <v>82</v>
      </c>
      <c r="B89" s="13">
        <f t="shared" si="11"/>
        <v>324320.19705613545</v>
      </c>
      <c r="C89">
        <f t="shared" si="9"/>
        <v>1621.6009852806774</v>
      </c>
      <c r="D89" s="13">
        <f t="shared" si="10"/>
        <v>-2158.3818905499083</v>
      </c>
      <c r="E89" s="13">
        <f t="shared" si="12"/>
        <v>-536.78090526923097</v>
      </c>
      <c r="F89" s="13">
        <f t="shared" si="13"/>
        <v>323783.41615086625</v>
      </c>
      <c r="H89">
        <f t="shared" si="8"/>
        <v>19632.577709146055</v>
      </c>
    </row>
    <row r="90" spans="1:8" x14ac:dyDescent="0.2">
      <c r="A90">
        <v>83</v>
      </c>
      <c r="B90" s="13">
        <f t="shared" si="11"/>
        <v>323783.41615086625</v>
      </c>
      <c r="C90">
        <f t="shared" si="9"/>
        <v>1618.9170807543312</v>
      </c>
      <c r="D90" s="13">
        <f t="shared" si="10"/>
        <v>-2158.3818905499083</v>
      </c>
      <c r="E90" s="13">
        <f t="shared" si="12"/>
        <v>-539.46480979557714</v>
      </c>
      <c r="F90" s="13">
        <f t="shared" si="13"/>
        <v>323243.9513410707</v>
      </c>
      <c r="H90">
        <f t="shared" si="8"/>
        <v>19601.237684258791</v>
      </c>
    </row>
    <row r="91" spans="1:8" x14ac:dyDescent="0.2">
      <c r="A91">
        <v>84</v>
      </c>
      <c r="B91" s="13">
        <f t="shared" si="11"/>
        <v>323243.9513410707</v>
      </c>
      <c r="C91">
        <f t="shared" si="9"/>
        <v>1616.2197567053536</v>
      </c>
      <c r="D91" s="13">
        <f t="shared" si="10"/>
        <v>-2158.3818905499083</v>
      </c>
      <c r="E91" s="13">
        <f t="shared" si="12"/>
        <v>-542.16213384455477</v>
      </c>
      <c r="F91" s="13">
        <f t="shared" si="13"/>
        <v>322701.78920722613</v>
      </c>
      <c r="H91">
        <f t="shared" si="8"/>
        <v>19569.740959247087</v>
      </c>
    </row>
    <row r="92" spans="1:8" x14ac:dyDescent="0.2">
      <c r="A92">
        <v>85</v>
      </c>
      <c r="B92" s="13">
        <f t="shared" si="11"/>
        <v>322701.78920722613</v>
      </c>
      <c r="C92">
        <f t="shared" si="9"/>
        <v>1613.5089460361307</v>
      </c>
      <c r="D92" s="13">
        <f t="shared" si="10"/>
        <v>-2158.3818905499083</v>
      </c>
      <c r="E92" s="13">
        <f t="shared" si="12"/>
        <v>-544.87294451377761</v>
      </c>
      <c r="F92" s="13">
        <f t="shared" si="13"/>
        <v>322156.91626271233</v>
      </c>
      <c r="H92">
        <f t="shared" si="8"/>
        <v>19538.086750610328</v>
      </c>
    </row>
    <row r="93" spans="1:8" x14ac:dyDescent="0.2">
      <c r="A93">
        <v>86</v>
      </c>
      <c r="B93" s="13">
        <f t="shared" si="11"/>
        <v>322156.91626271233</v>
      </c>
      <c r="C93">
        <f t="shared" si="9"/>
        <v>1610.7845813135616</v>
      </c>
      <c r="D93" s="13">
        <f t="shared" si="10"/>
        <v>-2158.3818905499083</v>
      </c>
      <c r="E93" s="13">
        <f t="shared" si="12"/>
        <v>-547.59730923634675</v>
      </c>
      <c r="F93" s="13">
        <f t="shared" si="13"/>
        <v>321609.31895347597</v>
      </c>
      <c r="H93">
        <f t="shared" si="8"/>
        <v>19506.274270930389</v>
      </c>
    </row>
    <row r="94" spans="1:8" x14ac:dyDescent="0.2">
      <c r="A94">
        <v>87</v>
      </c>
      <c r="B94" s="13">
        <f t="shared" si="11"/>
        <v>321609.31895347597</v>
      </c>
      <c r="C94">
        <f t="shared" si="9"/>
        <v>1608.0465947673799</v>
      </c>
      <c r="D94" s="13">
        <f t="shared" si="10"/>
        <v>-2158.3818905499083</v>
      </c>
      <c r="E94" s="13">
        <f t="shared" si="12"/>
        <v>-550.33529578252842</v>
      </c>
      <c r="F94" s="13">
        <f t="shared" si="13"/>
        <v>321058.98365769343</v>
      </c>
      <c r="H94">
        <f t="shared" si="8"/>
        <v>19474.302728852046</v>
      </c>
    </row>
    <row r="95" spans="1:8" x14ac:dyDescent="0.2">
      <c r="A95">
        <v>88</v>
      </c>
      <c r="B95" s="13">
        <f t="shared" si="11"/>
        <v>321058.98365769343</v>
      </c>
      <c r="C95">
        <f t="shared" si="9"/>
        <v>1605.2949182884672</v>
      </c>
      <c r="D95" s="13">
        <f t="shared" si="10"/>
        <v>-2158.3818905499083</v>
      </c>
      <c r="E95" s="13">
        <f t="shared" si="12"/>
        <v>-553.08697226144113</v>
      </c>
      <c r="F95" s="13">
        <f t="shared" si="13"/>
        <v>320505.896685432</v>
      </c>
      <c r="H95">
        <f t="shared" si="8"/>
        <v>19442.171329063305</v>
      </c>
    </row>
    <row r="96" spans="1:8" x14ac:dyDescent="0.2">
      <c r="A96">
        <v>89</v>
      </c>
      <c r="B96" s="13">
        <f t="shared" si="11"/>
        <v>320505.896685432</v>
      </c>
      <c r="C96">
        <f t="shared" si="9"/>
        <v>1602.5294834271601</v>
      </c>
      <c r="D96" s="13">
        <f t="shared" si="10"/>
        <v>-2158.3818905499083</v>
      </c>
      <c r="E96" s="13">
        <f t="shared" si="12"/>
        <v>-555.85240712274822</v>
      </c>
      <c r="F96" s="13">
        <f t="shared" si="13"/>
        <v>319950.04427830927</v>
      </c>
      <c r="H96">
        <f t="shared" ref="H96:H114" si="14">SUM(C85:C96)</f>
        <v>19409.87927227563</v>
      </c>
    </row>
    <row r="97" spans="1:8" x14ac:dyDescent="0.2">
      <c r="A97">
        <v>90</v>
      </c>
      <c r="B97" s="13">
        <f t="shared" si="11"/>
        <v>319950.04427830927</v>
      </c>
      <c r="C97">
        <f t="shared" si="9"/>
        <v>1599.7502213915463</v>
      </c>
      <c r="D97" s="13">
        <f t="shared" si="10"/>
        <v>-2158.3818905499083</v>
      </c>
      <c r="E97" s="13">
        <f t="shared" si="12"/>
        <v>-558.631669158362</v>
      </c>
      <c r="F97" s="13">
        <f t="shared" si="13"/>
        <v>319391.41260915092</v>
      </c>
      <c r="H97">
        <f t="shared" si="14"/>
        <v>19377.425755204018</v>
      </c>
    </row>
    <row r="98" spans="1:8" x14ac:dyDescent="0.2">
      <c r="A98">
        <v>91</v>
      </c>
      <c r="B98" s="13">
        <f t="shared" si="11"/>
        <v>319391.41260915092</v>
      </c>
      <c r="C98">
        <f t="shared" si="9"/>
        <v>1596.9570630457547</v>
      </c>
      <c r="D98" s="13">
        <f t="shared" si="10"/>
        <v>-2158.3818905499083</v>
      </c>
      <c r="E98" s="13">
        <f t="shared" si="12"/>
        <v>-561.42482750415365</v>
      </c>
      <c r="F98" s="13">
        <f t="shared" si="13"/>
        <v>318829.98778164678</v>
      </c>
      <c r="H98">
        <f t="shared" si="14"/>
        <v>19344.809970547045</v>
      </c>
    </row>
    <row r="99" spans="1:8" x14ac:dyDescent="0.2">
      <c r="A99">
        <v>92</v>
      </c>
      <c r="B99" s="13">
        <f t="shared" si="11"/>
        <v>318829.98778164678</v>
      </c>
      <c r="C99">
        <f t="shared" si="9"/>
        <v>1594.1499389082339</v>
      </c>
      <c r="D99" s="13">
        <f t="shared" si="10"/>
        <v>-2158.3818905499083</v>
      </c>
      <c r="E99" s="13">
        <f t="shared" si="12"/>
        <v>-564.23195164167441</v>
      </c>
      <c r="F99" s="13">
        <f t="shared" si="13"/>
        <v>318265.7558300051</v>
      </c>
      <c r="H99">
        <f t="shared" si="14"/>
        <v>19312.031106966784</v>
      </c>
    </row>
    <row r="100" spans="1:8" x14ac:dyDescent="0.2">
      <c r="A100">
        <v>93</v>
      </c>
      <c r="B100" s="13">
        <f t="shared" si="11"/>
        <v>318265.7558300051</v>
      </c>
      <c r="C100">
        <f t="shared" si="9"/>
        <v>1591.3287791500256</v>
      </c>
      <c r="D100" s="13">
        <f t="shared" si="10"/>
        <v>-2158.3818905499083</v>
      </c>
      <c r="E100" s="13">
        <f t="shared" si="12"/>
        <v>-567.05311139988271</v>
      </c>
      <c r="F100" s="13">
        <f t="shared" si="13"/>
        <v>317698.70271860523</v>
      </c>
      <c r="H100">
        <f t="shared" si="14"/>
        <v>19279.088349068625</v>
      </c>
    </row>
    <row r="101" spans="1:8" x14ac:dyDescent="0.2">
      <c r="A101">
        <v>94</v>
      </c>
      <c r="B101" s="13">
        <f t="shared" si="11"/>
        <v>317698.70271860523</v>
      </c>
      <c r="C101">
        <f t="shared" si="9"/>
        <v>1588.4935135930261</v>
      </c>
      <c r="D101" s="13">
        <f t="shared" si="10"/>
        <v>-2158.3818905499083</v>
      </c>
      <c r="E101" s="13">
        <f t="shared" si="12"/>
        <v>-569.88837695688221</v>
      </c>
      <c r="F101" s="13">
        <f t="shared" si="13"/>
        <v>317128.81434164837</v>
      </c>
      <c r="H101">
        <f t="shared" si="14"/>
        <v>19245.980877380971</v>
      </c>
    </row>
    <row r="102" spans="1:8" x14ac:dyDescent="0.2">
      <c r="A102">
        <v>95</v>
      </c>
      <c r="B102" s="13">
        <f t="shared" si="11"/>
        <v>317128.81434164837</v>
      </c>
      <c r="C102">
        <f t="shared" si="9"/>
        <v>1585.6440717082419</v>
      </c>
      <c r="D102" s="13">
        <f t="shared" si="10"/>
        <v>-2158.3818905499083</v>
      </c>
      <c r="E102" s="13">
        <f t="shared" si="12"/>
        <v>-572.73781884166647</v>
      </c>
      <c r="F102" s="13">
        <f t="shared" si="13"/>
        <v>316556.07652280672</v>
      </c>
      <c r="H102">
        <f t="shared" si="14"/>
        <v>19212.707868334881</v>
      </c>
    </row>
    <row r="103" spans="1:8" x14ac:dyDescent="0.2">
      <c r="A103">
        <v>96</v>
      </c>
      <c r="B103" s="13">
        <f t="shared" si="11"/>
        <v>316556.07652280672</v>
      </c>
      <c r="C103">
        <f t="shared" si="9"/>
        <v>1582.7803826140337</v>
      </c>
      <c r="D103" s="13">
        <f t="shared" si="10"/>
        <v>-2158.3818905499083</v>
      </c>
      <c r="E103" s="13">
        <f t="shared" si="12"/>
        <v>-575.60150793587468</v>
      </c>
      <c r="F103" s="13">
        <f t="shared" si="13"/>
        <v>315980.47501487087</v>
      </c>
      <c r="H103">
        <f t="shared" si="14"/>
        <v>19179.268494243563</v>
      </c>
    </row>
    <row r="104" spans="1:8" x14ac:dyDescent="0.2">
      <c r="A104">
        <v>97</v>
      </c>
      <c r="B104" s="13">
        <f t="shared" si="11"/>
        <v>315980.47501487087</v>
      </c>
      <c r="C104">
        <f t="shared" si="9"/>
        <v>1579.9023750743545</v>
      </c>
      <c r="D104" s="13">
        <f t="shared" si="10"/>
        <v>-2158.3818905499083</v>
      </c>
      <c r="E104" s="13">
        <f t="shared" si="12"/>
        <v>-578.47951547555385</v>
      </c>
      <c r="F104" s="13">
        <f t="shared" si="13"/>
        <v>315401.9954993953</v>
      </c>
      <c r="H104">
        <f t="shared" si="14"/>
        <v>19145.661923281787</v>
      </c>
    </row>
    <row r="105" spans="1:8" x14ac:dyDescent="0.2">
      <c r="A105">
        <v>98</v>
      </c>
      <c r="B105" s="13">
        <f t="shared" si="11"/>
        <v>315401.9954993953</v>
      </c>
      <c r="C105">
        <f t="shared" si="9"/>
        <v>1577.0099774969765</v>
      </c>
      <c r="D105" s="13">
        <f t="shared" si="10"/>
        <v>-2158.3818905499083</v>
      </c>
      <c r="E105" s="13">
        <f t="shared" si="12"/>
        <v>-581.37191305293186</v>
      </c>
      <c r="F105" s="13">
        <f t="shared" si="13"/>
        <v>314820.62358634238</v>
      </c>
      <c r="H105">
        <f t="shared" si="14"/>
        <v>19111.887319465201</v>
      </c>
    </row>
    <row r="106" spans="1:8" x14ac:dyDescent="0.2">
      <c r="A106">
        <v>99</v>
      </c>
      <c r="B106" s="13">
        <f t="shared" si="11"/>
        <v>314820.62358634238</v>
      </c>
      <c r="C106">
        <f t="shared" si="9"/>
        <v>1574.1031179317119</v>
      </c>
      <c r="D106" s="13">
        <f t="shared" si="10"/>
        <v>-2158.3818905499083</v>
      </c>
      <c r="E106" s="13">
        <f t="shared" si="12"/>
        <v>-584.2787726181964</v>
      </c>
      <c r="F106" s="13">
        <f t="shared" si="13"/>
        <v>314236.34481372416</v>
      </c>
      <c r="H106">
        <f t="shared" si="14"/>
        <v>19077.943842629531</v>
      </c>
    </row>
    <row r="107" spans="1:8" x14ac:dyDescent="0.2">
      <c r="A107">
        <v>100</v>
      </c>
      <c r="B107" s="13">
        <f t="shared" si="11"/>
        <v>314236.34481372416</v>
      </c>
      <c r="C107">
        <f t="shared" si="9"/>
        <v>1571.181724068621</v>
      </c>
      <c r="D107" s="13">
        <f t="shared" si="10"/>
        <v>-2158.3818905499083</v>
      </c>
      <c r="E107" s="13">
        <f t="shared" si="12"/>
        <v>-587.2001664812874</v>
      </c>
      <c r="F107" s="13">
        <f t="shared" si="13"/>
        <v>313649.14464724285</v>
      </c>
      <c r="H107">
        <f t="shared" si="14"/>
        <v>19043.830648409687</v>
      </c>
    </row>
    <row r="108" spans="1:8" x14ac:dyDescent="0.2">
      <c r="A108">
        <v>101</v>
      </c>
      <c r="B108" s="13">
        <f t="shared" si="11"/>
        <v>313649.14464724285</v>
      </c>
      <c r="C108">
        <f t="shared" si="9"/>
        <v>1568.2457232362142</v>
      </c>
      <c r="D108" s="13">
        <f t="shared" si="10"/>
        <v>-2158.3818905499083</v>
      </c>
      <c r="E108" s="13">
        <f t="shared" si="12"/>
        <v>-590.13616731369416</v>
      </c>
      <c r="F108" s="13">
        <f t="shared" si="13"/>
        <v>313059.00847992918</v>
      </c>
      <c r="H108">
        <f t="shared" si="14"/>
        <v>19009.546888218742</v>
      </c>
    </row>
    <row r="109" spans="1:8" x14ac:dyDescent="0.2">
      <c r="A109">
        <v>102</v>
      </c>
      <c r="B109" s="13">
        <f t="shared" si="11"/>
        <v>313059.00847992918</v>
      </c>
      <c r="C109">
        <f t="shared" si="9"/>
        <v>1565.295042399646</v>
      </c>
      <c r="D109" s="13">
        <f t="shared" si="10"/>
        <v>-2158.3818905499083</v>
      </c>
      <c r="E109" s="13">
        <f t="shared" si="12"/>
        <v>-593.08684815026231</v>
      </c>
      <c r="F109" s="13">
        <f t="shared" si="13"/>
        <v>312465.92163177894</v>
      </c>
      <c r="H109">
        <f t="shared" si="14"/>
        <v>18975.091709226839</v>
      </c>
    </row>
    <row r="110" spans="1:8" x14ac:dyDescent="0.2">
      <c r="A110">
        <v>103</v>
      </c>
      <c r="B110" s="13">
        <f t="shared" si="11"/>
        <v>312465.92163177894</v>
      </c>
      <c r="C110">
        <f t="shared" si="9"/>
        <v>1562.3296081588946</v>
      </c>
      <c r="D110" s="13">
        <f t="shared" si="10"/>
        <v>-2158.3818905499083</v>
      </c>
      <c r="E110" s="13">
        <f t="shared" si="12"/>
        <v>-596.0522823910137</v>
      </c>
      <c r="F110" s="13">
        <f t="shared" si="13"/>
        <v>311869.86934938794</v>
      </c>
      <c r="H110">
        <f t="shared" si="14"/>
        <v>18940.464254339982</v>
      </c>
    </row>
    <row r="111" spans="1:8" x14ac:dyDescent="0.2">
      <c r="A111">
        <v>104</v>
      </c>
      <c r="B111" s="13">
        <f t="shared" si="11"/>
        <v>311869.86934938794</v>
      </c>
      <c r="C111">
        <f t="shared" si="9"/>
        <v>1559.3493467469398</v>
      </c>
      <c r="D111" s="13">
        <f t="shared" si="10"/>
        <v>-2158.3818905499083</v>
      </c>
      <c r="E111" s="13">
        <f t="shared" si="12"/>
        <v>-599.03254380296858</v>
      </c>
      <c r="F111" s="13">
        <f t="shared" si="13"/>
        <v>311270.83680558496</v>
      </c>
      <c r="H111">
        <f t="shared" si="14"/>
        <v>18905.663662178689</v>
      </c>
    </row>
    <row r="112" spans="1:8" x14ac:dyDescent="0.2">
      <c r="A112">
        <v>105</v>
      </c>
      <c r="B112" s="13">
        <f t="shared" si="11"/>
        <v>311270.83680558496</v>
      </c>
      <c r="C112">
        <f t="shared" si="9"/>
        <v>1556.3541840279249</v>
      </c>
      <c r="D112" s="13">
        <f t="shared" si="10"/>
        <v>-2158.3818905499083</v>
      </c>
      <c r="E112" s="13">
        <f t="shared" si="12"/>
        <v>-602.02770652198342</v>
      </c>
      <c r="F112" s="13">
        <f t="shared" si="13"/>
        <v>310668.80909906299</v>
      </c>
      <c r="H112">
        <f t="shared" si="14"/>
        <v>18870.689067056584</v>
      </c>
    </row>
    <row r="113" spans="1:8" x14ac:dyDescent="0.2">
      <c r="A113">
        <v>106</v>
      </c>
      <c r="B113" s="13">
        <f t="shared" si="11"/>
        <v>310668.80909906299</v>
      </c>
      <c r="C113">
        <f t="shared" si="9"/>
        <v>1553.344045495315</v>
      </c>
      <c r="D113" s="13">
        <f t="shared" si="10"/>
        <v>-2158.3818905499083</v>
      </c>
      <c r="E113" s="13">
        <f t="shared" si="12"/>
        <v>-605.03784505459339</v>
      </c>
      <c r="F113" s="13">
        <f t="shared" si="13"/>
        <v>310063.7712540084</v>
      </c>
      <c r="H113">
        <f t="shared" si="14"/>
        <v>18835.539598958876</v>
      </c>
    </row>
    <row r="114" spans="1:8" x14ac:dyDescent="0.2">
      <c r="A114">
        <v>107</v>
      </c>
      <c r="B114" s="13">
        <f t="shared" si="11"/>
        <v>310063.7712540084</v>
      </c>
      <c r="C114">
        <f t="shared" si="9"/>
        <v>1550.318856270042</v>
      </c>
      <c r="D114" s="13">
        <f t="shared" si="10"/>
        <v>-2158.3818905499083</v>
      </c>
      <c r="E114" s="13">
        <f t="shared" si="12"/>
        <v>-608.06303427986632</v>
      </c>
      <c r="F114" s="13">
        <f t="shared" si="13"/>
        <v>309455.70821972855</v>
      </c>
      <c r="H114">
        <f t="shared" si="14"/>
        <v>18800.214383520673</v>
      </c>
    </row>
    <row r="115" spans="1:8" x14ac:dyDescent="0.2">
      <c r="A115">
        <v>108</v>
      </c>
      <c r="B115" s="13">
        <f t="shared" si="11"/>
        <v>309455.70821972855</v>
      </c>
      <c r="C115">
        <f t="shared" si="9"/>
        <v>1547.2785410986428</v>
      </c>
      <c r="D115" s="13">
        <f t="shared" si="10"/>
        <v>-2158.3818905499083</v>
      </c>
      <c r="E115" s="13">
        <f t="shared" si="12"/>
        <v>-611.10334945126556</v>
      </c>
      <c r="F115" s="13">
        <f t="shared" si="13"/>
        <v>308844.60487027728</v>
      </c>
    </row>
    <row r="116" spans="1:8" x14ac:dyDescent="0.2">
      <c r="A116">
        <v>109</v>
      </c>
      <c r="B116" s="13">
        <f t="shared" si="11"/>
        <v>308844.60487027728</v>
      </c>
      <c r="C116">
        <f t="shared" si="9"/>
        <v>1544.2230243513864</v>
      </c>
      <c r="D116" s="13">
        <f t="shared" si="10"/>
        <v>-2158.3818905499083</v>
      </c>
      <c r="E116" s="13">
        <f t="shared" si="12"/>
        <v>-614.15886619852199</v>
      </c>
      <c r="F116" s="13">
        <f t="shared" si="13"/>
        <v>308230.44600407878</v>
      </c>
    </row>
    <row r="117" spans="1:8" x14ac:dyDescent="0.2">
      <c r="A117">
        <v>110</v>
      </c>
      <c r="B117" s="13">
        <f t="shared" si="11"/>
        <v>308230.44600407878</v>
      </c>
      <c r="C117">
        <f t="shared" si="9"/>
        <v>1541.152230020394</v>
      </c>
      <c r="D117" s="13">
        <f t="shared" si="10"/>
        <v>-2158.3818905499083</v>
      </c>
      <c r="E117" s="13">
        <f t="shared" si="12"/>
        <v>-617.22966052951438</v>
      </c>
      <c r="F117" s="13">
        <f t="shared" si="13"/>
        <v>307613.21634354925</v>
      </c>
    </row>
    <row r="118" spans="1:8" x14ac:dyDescent="0.2">
      <c r="A118">
        <v>111</v>
      </c>
      <c r="B118" s="13">
        <f t="shared" si="11"/>
        <v>307613.21634354925</v>
      </c>
      <c r="C118">
        <f t="shared" si="9"/>
        <v>1538.0660817177463</v>
      </c>
      <c r="D118" s="13">
        <f t="shared" si="10"/>
        <v>-2158.3818905499083</v>
      </c>
      <c r="E118" s="13">
        <f t="shared" si="12"/>
        <v>-620.31580883216202</v>
      </c>
      <c r="F118" s="13">
        <f t="shared" si="13"/>
        <v>306992.90053471708</v>
      </c>
    </row>
    <row r="119" spans="1:8" x14ac:dyDescent="0.2">
      <c r="A119">
        <v>112</v>
      </c>
      <c r="B119" s="13">
        <f t="shared" si="11"/>
        <v>306992.90053471708</v>
      </c>
      <c r="C119">
        <f t="shared" si="9"/>
        <v>1534.9645026735855</v>
      </c>
      <c r="D119" s="13">
        <f t="shared" si="10"/>
        <v>-2158.3818905499083</v>
      </c>
      <c r="E119" s="13">
        <f t="shared" si="12"/>
        <v>-623.41738787632289</v>
      </c>
      <c r="F119" s="13">
        <f t="shared" si="13"/>
        <v>306369.48314684076</v>
      </c>
    </row>
    <row r="120" spans="1:8" x14ac:dyDescent="0.2">
      <c r="A120">
        <v>113</v>
      </c>
      <c r="B120" s="13">
        <f t="shared" si="11"/>
        <v>306369.48314684076</v>
      </c>
      <c r="C120">
        <f t="shared" si="9"/>
        <v>1531.8474157342039</v>
      </c>
      <c r="D120" s="13">
        <f t="shared" si="10"/>
        <v>-2158.3818905499083</v>
      </c>
      <c r="E120" s="13">
        <f t="shared" si="12"/>
        <v>-626.53447481570447</v>
      </c>
      <c r="F120" s="13">
        <f t="shared" si="13"/>
        <v>305742.94867202506</v>
      </c>
    </row>
    <row r="121" spans="1:8" x14ac:dyDescent="0.2">
      <c r="A121">
        <v>114</v>
      </c>
      <c r="B121" s="13">
        <f t="shared" si="11"/>
        <v>305742.94867202506</v>
      </c>
      <c r="C121">
        <f t="shared" si="9"/>
        <v>1528.7147433601253</v>
      </c>
      <c r="D121" s="13">
        <f t="shared" si="10"/>
        <v>-2158.3818905499083</v>
      </c>
      <c r="E121" s="13">
        <f t="shared" si="12"/>
        <v>-629.66714718978301</v>
      </c>
      <c r="F121" s="13">
        <f t="shared" si="13"/>
        <v>305113.28152483527</v>
      </c>
    </row>
    <row r="122" spans="1:8" x14ac:dyDescent="0.2">
      <c r="A122">
        <v>115</v>
      </c>
      <c r="B122" s="13">
        <f t="shared" si="11"/>
        <v>305113.28152483527</v>
      </c>
      <c r="C122">
        <f t="shared" si="9"/>
        <v>1525.5664076241765</v>
      </c>
      <c r="D122" s="13">
        <f t="shared" si="10"/>
        <v>-2158.3818905499083</v>
      </c>
      <c r="E122" s="13">
        <f t="shared" si="12"/>
        <v>-632.81548292573189</v>
      </c>
      <c r="F122" s="13">
        <f t="shared" si="13"/>
        <v>304480.46604190953</v>
      </c>
    </row>
    <row r="123" spans="1:8" x14ac:dyDescent="0.2">
      <c r="A123">
        <v>116</v>
      </c>
      <c r="B123" s="13">
        <f t="shared" si="11"/>
        <v>304480.46604190953</v>
      </c>
      <c r="C123">
        <f t="shared" si="9"/>
        <v>1522.4023302095477</v>
      </c>
      <c r="D123" s="13">
        <f t="shared" si="10"/>
        <v>-2158.3818905499083</v>
      </c>
      <c r="E123" s="13">
        <f t="shared" si="12"/>
        <v>-635.97956034036065</v>
      </c>
      <c r="F123" s="13">
        <f t="shared" si="13"/>
        <v>303844.48648156918</v>
      </c>
    </row>
    <row r="124" spans="1:8" x14ac:dyDescent="0.2">
      <c r="A124">
        <v>117</v>
      </c>
      <c r="B124" s="13">
        <f t="shared" si="11"/>
        <v>303844.48648156918</v>
      </c>
      <c r="C124">
        <f t="shared" si="9"/>
        <v>1519.2224324078459</v>
      </c>
      <c r="D124" s="13">
        <f t="shared" si="10"/>
        <v>-2158.3818905499083</v>
      </c>
      <c r="E124" s="13">
        <f t="shared" si="12"/>
        <v>-639.15945814206248</v>
      </c>
      <c r="F124" s="13">
        <f t="shared" si="13"/>
        <v>303205.32702342712</v>
      </c>
    </row>
    <row r="125" spans="1:8" x14ac:dyDescent="0.2">
      <c r="A125">
        <v>118</v>
      </c>
    </row>
    <row r="126" spans="1:8" x14ac:dyDescent="0.2">
      <c r="A126">
        <v>119</v>
      </c>
    </row>
    <row r="127" spans="1:8" x14ac:dyDescent="0.2">
      <c r="A127">
        <v>120</v>
      </c>
    </row>
    <row r="128" spans="1:8" x14ac:dyDescent="0.2">
      <c r="A128">
        <v>121</v>
      </c>
    </row>
    <row r="129" spans="1:1" x14ac:dyDescent="0.2">
      <c r="A129">
        <v>122</v>
      </c>
    </row>
    <row r="130" spans="1:1" x14ac:dyDescent="0.2">
      <c r="A130">
        <v>123</v>
      </c>
    </row>
    <row r="131" spans="1:1" x14ac:dyDescent="0.2">
      <c r="A131">
        <v>124</v>
      </c>
    </row>
    <row r="132" spans="1:1" x14ac:dyDescent="0.2">
      <c r="A132">
        <v>125</v>
      </c>
    </row>
    <row r="133" spans="1:1" x14ac:dyDescent="0.2">
      <c r="A133">
        <v>126</v>
      </c>
    </row>
    <row r="134" spans="1:1" x14ac:dyDescent="0.2">
      <c r="A134">
        <v>127</v>
      </c>
    </row>
    <row r="135" spans="1:1" x14ac:dyDescent="0.2">
      <c r="A135">
        <v>128</v>
      </c>
    </row>
    <row r="136" spans="1:1" x14ac:dyDescent="0.2">
      <c r="A136">
        <v>129</v>
      </c>
    </row>
    <row r="137" spans="1:1" x14ac:dyDescent="0.2">
      <c r="A137">
        <v>130</v>
      </c>
    </row>
    <row r="138" spans="1:1" x14ac:dyDescent="0.2">
      <c r="A138">
        <v>131</v>
      </c>
    </row>
    <row r="139" spans="1:1" x14ac:dyDescent="0.2">
      <c r="A139">
        <v>132</v>
      </c>
    </row>
    <row r="140" spans="1:1" x14ac:dyDescent="0.2">
      <c r="A140">
        <v>133</v>
      </c>
    </row>
    <row r="141" spans="1:1" x14ac:dyDescent="0.2">
      <c r="A141">
        <v>134</v>
      </c>
    </row>
    <row r="142" spans="1:1" x14ac:dyDescent="0.2">
      <c r="A142">
        <v>135</v>
      </c>
    </row>
    <row r="143" spans="1:1" x14ac:dyDescent="0.2">
      <c r="A143">
        <v>136</v>
      </c>
    </row>
    <row r="144" spans="1:1" x14ac:dyDescent="0.2">
      <c r="A144">
        <v>137</v>
      </c>
    </row>
    <row r="145" spans="1:1" x14ac:dyDescent="0.2">
      <c r="A145">
        <v>138</v>
      </c>
    </row>
    <row r="146" spans="1:1" x14ac:dyDescent="0.2">
      <c r="A146">
        <v>139</v>
      </c>
    </row>
    <row r="147" spans="1:1" x14ac:dyDescent="0.2">
      <c r="A147">
        <v>140</v>
      </c>
    </row>
    <row r="148" spans="1:1" x14ac:dyDescent="0.2">
      <c r="A148">
        <v>141</v>
      </c>
    </row>
    <row r="149" spans="1:1" x14ac:dyDescent="0.2">
      <c r="A149">
        <v>142</v>
      </c>
    </row>
    <row r="150" spans="1:1" x14ac:dyDescent="0.2">
      <c r="A150">
        <v>143</v>
      </c>
    </row>
    <row r="151" spans="1:1" x14ac:dyDescent="0.2">
      <c r="A151">
        <v>144</v>
      </c>
    </row>
    <row r="152" spans="1:1" x14ac:dyDescent="0.2">
      <c r="A152">
        <v>145</v>
      </c>
    </row>
    <row r="153" spans="1:1" x14ac:dyDescent="0.2">
      <c r="A153">
        <v>146</v>
      </c>
    </row>
    <row r="154" spans="1:1" x14ac:dyDescent="0.2">
      <c r="A154">
        <v>147</v>
      </c>
    </row>
    <row r="155" spans="1:1" x14ac:dyDescent="0.2">
      <c r="A155">
        <v>148</v>
      </c>
    </row>
    <row r="156" spans="1:1" x14ac:dyDescent="0.2">
      <c r="A156">
        <v>149</v>
      </c>
    </row>
    <row r="157" spans="1:1" x14ac:dyDescent="0.2">
      <c r="A157">
        <v>150</v>
      </c>
    </row>
    <row r="158" spans="1:1" x14ac:dyDescent="0.2">
      <c r="A158">
        <v>151</v>
      </c>
    </row>
    <row r="159" spans="1:1" x14ac:dyDescent="0.2">
      <c r="A159">
        <v>152</v>
      </c>
    </row>
    <row r="160" spans="1:1" x14ac:dyDescent="0.2">
      <c r="A160">
        <v>153</v>
      </c>
    </row>
    <row r="161" spans="1:1" x14ac:dyDescent="0.2">
      <c r="A161">
        <v>154</v>
      </c>
    </row>
    <row r="162" spans="1:1" x14ac:dyDescent="0.2">
      <c r="A162">
        <v>155</v>
      </c>
    </row>
    <row r="163" spans="1:1" x14ac:dyDescent="0.2">
      <c r="A163">
        <v>156</v>
      </c>
    </row>
    <row r="164" spans="1:1" x14ac:dyDescent="0.2">
      <c r="A164">
        <v>157</v>
      </c>
    </row>
    <row r="165" spans="1:1" x14ac:dyDescent="0.2">
      <c r="A165">
        <v>158</v>
      </c>
    </row>
    <row r="166" spans="1:1" x14ac:dyDescent="0.2">
      <c r="A166">
        <v>159</v>
      </c>
    </row>
    <row r="167" spans="1:1" x14ac:dyDescent="0.2">
      <c r="A167">
        <v>160</v>
      </c>
    </row>
    <row r="168" spans="1:1" x14ac:dyDescent="0.2">
      <c r="A168">
        <v>161</v>
      </c>
    </row>
    <row r="169" spans="1:1" x14ac:dyDescent="0.2">
      <c r="A169">
        <v>162</v>
      </c>
    </row>
    <row r="170" spans="1:1" x14ac:dyDescent="0.2">
      <c r="A170">
        <v>163</v>
      </c>
    </row>
    <row r="171" spans="1:1" x14ac:dyDescent="0.2">
      <c r="A171">
        <v>164</v>
      </c>
    </row>
    <row r="172" spans="1:1" x14ac:dyDescent="0.2">
      <c r="A172">
        <v>165</v>
      </c>
    </row>
    <row r="173" spans="1:1" x14ac:dyDescent="0.2">
      <c r="A173">
        <v>166</v>
      </c>
    </row>
    <row r="174" spans="1:1" x14ac:dyDescent="0.2">
      <c r="A174">
        <v>167</v>
      </c>
    </row>
    <row r="175" spans="1:1" x14ac:dyDescent="0.2">
      <c r="A175">
        <v>168</v>
      </c>
    </row>
    <row r="176" spans="1:1" x14ac:dyDescent="0.2">
      <c r="A176">
        <v>169</v>
      </c>
    </row>
    <row r="177" spans="1:1" x14ac:dyDescent="0.2">
      <c r="A177">
        <v>170</v>
      </c>
    </row>
    <row r="178" spans="1:1" x14ac:dyDescent="0.2">
      <c r="A178">
        <v>171</v>
      </c>
    </row>
    <row r="179" spans="1:1" x14ac:dyDescent="0.2">
      <c r="A179">
        <v>172</v>
      </c>
    </row>
    <row r="180" spans="1:1" x14ac:dyDescent="0.2">
      <c r="A180">
        <v>173</v>
      </c>
    </row>
    <row r="181" spans="1:1" x14ac:dyDescent="0.2">
      <c r="A181">
        <v>174</v>
      </c>
    </row>
    <row r="182" spans="1:1" x14ac:dyDescent="0.2">
      <c r="A182">
        <v>175</v>
      </c>
    </row>
    <row r="183" spans="1:1" x14ac:dyDescent="0.2">
      <c r="A183">
        <v>176</v>
      </c>
    </row>
    <row r="184" spans="1:1" x14ac:dyDescent="0.2">
      <c r="A184">
        <v>177</v>
      </c>
    </row>
    <row r="185" spans="1:1" x14ac:dyDescent="0.2">
      <c r="A185">
        <v>178</v>
      </c>
    </row>
    <row r="186" spans="1:1" x14ac:dyDescent="0.2">
      <c r="A186">
        <v>179</v>
      </c>
    </row>
    <row r="187" spans="1:1" x14ac:dyDescent="0.2">
      <c r="A187">
        <v>180</v>
      </c>
    </row>
    <row r="188" spans="1:1" x14ac:dyDescent="0.2">
      <c r="A188">
        <v>181</v>
      </c>
    </row>
    <row r="189" spans="1:1" x14ac:dyDescent="0.2">
      <c r="A189">
        <v>182</v>
      </c>
    </row>
    <row r="190" spans="1:1" x14ac:dyDescent="0.2">
      <c r="A190">
        <v>183</v>
      </c>
    </row>
    <row r="191" spans="1:1" x14ac:dyDescent="0.2">
      <c r="A191">
        <v>184</v>
      </c>
    </row>
    <row r="192" spans="1:1" x14ac:dyDescent="0.2">
      <c r="A192">
        <v>185</v>
      </c>
    </row>
    <row r="193" spans="1:1" x14ac:dyDescent="0.2">
      <c r="A193">
        <v>186</v>
      </c>
    </row>
    <row r="194" spans="1:1" x14ac:dyDescent="0.2">
      <c r="A194">
        <v>187</v>
      </c>
    </row>
    <row r="195" spans="1:1" x14ac:dyDescent="0.2">
      <c r="A195">
        <v>188</v>
      </c>
    </row>
    <row r="196" spans="1:1" x14ac:dyDescent="0.2">
      <c r="A196">
        <v>189</v>
      </c>
    </row>
    <row r="197" spans="1:1" x14ac:dyDescent="0.2">
      <c r="A197">
        <v>190</v>
      </c>
    </row>
    <row r="198" spans="1:1" x14ac:dyDescent="0.2">
      <c r="A198">
        <v>191</v>
      </c>
    </row>
    <row r="199" spans="1:1" x14ac:dyDescent="0.2">
      <c r="A199">
        <v>192</v>
      </c>
    </row>
    <row r="200" spans="1:1" x14ac:dyDescent="0.2">
      <c r="A200">
        <v>193</v>
      </c>
    </row>
    <row r="201" spans="1:1" x14ac:dyDescent="0.2">
      <c r="A201">
        <v>194</v>
      </c>
    </row>
    <row r="202" spans="1:1" x14ac:dyDescent="0.2">
      <c r="A202">
        <v>195</v>
      </c>
    </row>
    <row r="203" spans="1:1" x14ac:dyDescent="0.2">
      <c r="A203">
        <v>196</v>
      </c>
    </row>
    <row r="204" spans="1:1" x14ac:dyDescent="0.2">
      <c r="A204">
        <v>197</v>
      </c>
    </row>
    <row r="205" spans="1:1" x14ac:dyDescent="0.2">
      <c r="A205">
        <v>198</v>
      </c>
    </row>
    <row r="206" spans="1:1" x14ac:dyDescent="0.2">
      <c r="A206">
        <v>199</v>
      </c>
    </row>
    <row r="207" spans="1:1" x14ac:dyDescent="0.2">
      <c r="A207">
        <v>200</v>
      </c>
    </row>
    <row r="208" spans="1:1" x14ac:dyDescent="0.2">
      <c r="A208">
        <v>201</v>
      </c>
    </row>
    <row r="209" spans="1:1" x14ac:dyDescent="0.2">
      <c r="A209">
        <v>202</v>
      </c>
    </row>
    <row r="210" spans="1:1" x14ac:dyDescent="0.2">
      <c r="A210">
        <v>203</v>
      </c>
    </row>
    <row r="211" spans="1:1" x14ac:dyDescent="0.2">
      <c r="A211">
        <v>204</v>
      </c>
    </row>
    <row r="212" spans="1:1" x14ac:dyDescent="0.2">
      <c r="A212">
        <v>205</v>
      </c>
    </row>
    <row r="213" spans="1:1" x14ac:dyDescent="0.2">
      <c r="A213">
        <v>206</v>
      </c>
    </row>
    <row r="214" spans="1:1" x14ac:dyDescent="0.2">
      <c r="A214">
        <v>207</v>
      </c>
    </row>
    <row r="215" spans="1:1" x14ac:dyDescent="0.2">
      <c r="A215">
        <v>208</v>
      </c>
    </row>
    <row r="216" spans="1:1" x14ac:dyDescent="0.2">
      <c r="A216">
        <v>209</v>
      </c>
    </row>
    <row r="217" spans="1:1" x14ac:dyDescent="0.2">
      <c r="A217">
        <v>210</v>
      </c>
    </row>
    <row r="218" spans="1:1" x14ac:dyDescent="0.2">
      <c r="A218">
        <v>211</v>
      </c>
    </row>
    <row r="219" spans="1:1" x14ac:dyDescent="0.2">
      <c r="A219">
        <v>212</v>
      </c>
    </row>
    <row r="220" spans="1:1" x14ac:dyDescent="0.2">
      <c r="A220">
        <v>213</v>
      </c>
    </row>
    <row r="221" spans="1:1" x14ac:dyDescent="0.2">
      <c r="A221">
        <v>214</v>
      </c>
    </row>
    <row r="222" spans="1:1" x14ac:dyDescent="0.2">
      <c r="A222">
        <v>215</v>
      </c>
    </row>
    <row r="223" spans="1:1" x14ac:dyDescent="0.2">
      <c r="A223">
        <v>216</v>
      </c>
    </row>
    <row r="224" spans="1:1" x14ac:dyDescent="0.2">
      <c r="A224">
        <v>217</v>
      </c>
    </row>
    <row r="225" spans="1:1" x14ac:dyDescent="0.2">
      <c r="A225">
        <v>218</v>
      </c>
    </row>
    <row r="226" spans="1:1" x14ac:dyDescent="0.2">
      <c r="A226">
        <v>219</v>
      </c>
    </row>
    <row r="227" spans="1:1" x14ac:dyDescent="0.2">
      <c r="A227">
        <v>220</v>
      </c>
    </row>
    <row r="228" spans="1:1" x14ac:dyDescent="0.2">
      <c r="A228">
        <v>221</v>
      </c>
    </row>
    <row r="229" spans="1:1" x14ac:dyDescent="0.2">
      <c r="A229">
        <v>222</v>
      </c>
    </row>
    <row r="230" spans="1:1" x14ac:dyDescent="0.2">
      <c r="A230">
        <v>223</v>
      </c>
    </row>
    <row r="231" spans="1:1" x14ac:dyDescent="0.2">
      <c r="A231">
        <v>224</v>
      </c>
    </row>
    <row r="232" spans="1:1" x14ac:dyDescent="0.2">
      <c r="A232">
        <v>225</v>
      </c>
    </row>
    <row r="233" spans="1:1" x14ac:dyDescent="0.2">
      <c r="A233">
        <v>226</v>
      </c>
    </row>
    <row r="234" spans="1:1" x14ac:dyDescent="0.2">
      <c r="A234">
        <v>227</v>
      </c>
    </row>
    <row r="235" spans="1:1" x14ac:dyDescent="0.2">
      <c r="A235">
        <v>228</v>
      </c>
    </row>
    <row r="236" spans="1:1" x14ac:dyDescent="0.2">
      <c r="A236">
        <v>229</v>
      </c>
    </row>
    <row r="237" spans="1:1" x14ac:dyDescent="0.2">
      <c r="A237">
        <v>230</v>
      </c>
    </row>
    <row r="238" spans="1:1" x14ac:dyDescent="0.2">
      <c r="A238">
        <v>231</v>
      </c>
    </row>
    <row r="239" spans="1:1" x14ac:dyDescent="0.2">
      <c r="A239">
        <v>232</v>
      </c>
    </row>
    <row r="240" spans="1:1" x14ac:dyDescent="0.2">
      <c r="A240">
        <v>233</v>
      </c>
    </row>
    <row r="241" spans="1:1" x14ac:dyDescent="0.2">
      <c r="A241">
        <v>234</v>
      </c>
    </row>
    <row r="242" spans="1:1" x14ac:dyDescent="0.2">
      <c r="A242">
        <v>235</v>
      </c>
    </row>
    <row r="243" spans="1:1" x14ac:dyDescent="0.2">
      <c r="A243">
        <v>236</v>
      </c>
    </row>
    <row r="244" spans="1:1" x14ac:dyDescent="0.2">
      <c r="A244">
        <v>237</v>
      </c>
    </row>
    <row r="245" spans="1:1" x14ac:dyDescent="0.2">
      <c r="A245">
        <v>238</v>
      </c>
    </row>
    <row r="246" spans="1:1" x14ac:dyDescent="0.2">
      <c r="A246">
        <v>239</v>
      </c>
    </row>
    <row r="247" spans="1:1" x14ac:dyDescent="0.2">
      <c r="A247">
        <v>240</v>
      </c>
    </row>
    <row r="248" spans="1:1" x14ac:dyDescent="0.2">
      <c r="A248">
        <v>241</v>
      </c>
    </row>
    <row r="249" spans="1:1" x14ac:dyDescent="0.2">
      <c r="A249">
        <v>242</v>
      </c>
    </row>
    <row r="250" spans="1:1" x14ac:dyDescent="0.2">
      <c r="A250">
        <v>243</v>
      </c>
    </row>
    <row r="251" spans="1:1" x14ac:dyDescent="0.2">
      <c r="A251">
        <v>244</v>
      </c>
    </row>
    <row r="252" spans="1:1" x14ac:dyDescent="0.2">
      <c r="A252">
        <v>245</v>
      </c>
    </row>
    <row r="253" spans="1:1" x14ac:dyDescent="0.2">
      <c r="A253">
        <v>246</v>
      </c>
    </row>
    <row r="254" spans="1:1" x14ac:dyDescent="0.2">
      <c r="A254">
        <v>247</v>
      </c>
    </row>
    <row r="255" spans="1:1" x14ac:dyDescent="0.2">
      <c r="A255">
        <v>248</v>
      </c>
    </row>
    <row r="256" spans="1:1" x14ac:dyDescent="0.2">
      <c r="A256">
        <v>249</v>
      </c>
    </row>
    <row r="257" spans="1:1" x14ac:dyDescent="0.2">
      <c r="A257">
        <v>250</v>
      </c>
    </row>
    <row r="258" spans="1:1" x14ac:dyDescent="0.2">
      <c r="A258">
        <v>251</v>
      </c>
    </row>
    <row r="259" spans="1:1" x14ac:dyDescent="0.2">
      <c r="A259">
        <v>252</v>
      </c>
    </row>
    <row r="260" spans="1:1" x14ac:dyDescent="0.2">
      <c r="A260">
        <v>253</v>
      </c>
    </row>
    <row r="261" spans="1:1" x14ac:dyDescent="0.2">
      <c r="A261">
        <v>254</v>
      </c>
    </row>
    <row r="262" spans="1:1" x14ac:dyDescent="0.2">
      <c r="A262">
        <v>255</v>
      </c>
    </row>
    <row r="263" spans="1:1" x14ac:dyDescent="0.2">
      <c r="A263">
        <v>256</v>
      </c>
    </row>
    <row r="264" spans="1:1" x14ac:dyDescent="0.2">
      <c r="A264">
        <v>257</v>
      </c>
    </row>
    <row r="265" spans="1:1" x14ac:dyDescent="0.2">
      <c r="A265">
        <v>258</v>
      </c>
    </row>
    <row r="266" spans="1:1" x14ac:dyDescent="0.2">
      <c r="A266">
        <v>259</v>
      </c>
    </row>
    <row r="267" spans="1:1" x14ac:dyDescent="0.2">
      <c r="A267">
        <v>260</v>
      </c>
    </row>
    <row r="268" spans="1:1" x14ac:dyDescent="0.2">
      <c r="A268">
        <v>261</v>
      </c>
    </row>
    <row r="269" spans="1:1" x14ac:dyDescent="0.2">
      <c r="A269">
        <v>262</v>
      </c>
    </row>
    <row r="270" spans="1:1" x14ac:dyDescent="0.2">
      <c r="A270">
        <v>263</v>
      </c>
    </row>
    <row r="271" spans="1:1" x14ac:dyDescent="0.2">
      <c r="A271">
        <v>264</v>
      </c>
    </row>
    <row r="272" spans="1:1" x14ac:dyDescent="0.2">
      <c r="A272">
        <v>265</v>
      </c>
    </row>
    <row r="273" spans="1:1" x14ac:dyDescent="0.2">
      <c r="A273">
        <v>266</v>
      </c>
    </row>
    <row r="274" spans="1:1" x14ac:dyDescent="0.2">
      <c r="A274">
        <v>267</v>
      </c>
    </row>
    <row r="275" spans="1:1" x14ac:dyDescent="0.2">
      <c r="A275">
        <v>268</v>
      </c>
    </row>
    <row r="276" spans="1:1" x14ac:dyDescent="0.2">
      <c r="A276">
        <v>269</v>
      </c>
    </row>
    <row r="277" spans="1:1" x14ac:dyDescent="0.2">
      <c r="A277">
        <v>270</v>
      </c>
    </row>
    <row r="278" spans="1:1" x14ac:dyDescent="0.2">
      <c r="A278">
        <v>271</v>
      </c>
    </row>
    <row r="279" spans="1:1" x14ac:dyDescent="0.2">
      <c r="A279">
        <v>272</v>
      </c>
    </row>
    <row r="280" spans="1:1" x14ac:dyDescent="0.2">
      <c r="A280">
        <v>273</v>
      </c>
    </row>
    <row r="281" spans="1:1" x14ac:dyDescent="0.2">
      <c r="A281">
        <v>274</v>
      </c>
    </row>
    <row r="282" spans="1:1" x14ac:dyDescent="0.2">
      <c r="A282">
        <v>275</v>
      </c>
    </row>
    <row r="283" spans="1:1" x14ac:dyDescent="0.2">
      <c r="A283">
        <v>276</v>
      </c>
    </row>
    <row r="284" spans="1:1" x14ac:dyDescent="0.2">
      <c r="A284">
        <v>277</v>
      </c>
    </row>
    <row r="285" spans="1:1" x14ac:dyDescent="0.2">
      <c r="A285">
        <v>278</v>
      </c>
    </row>
    <row r="286" spans="1:1" x14ac:dyDescent="0.2">
      <c r="A286">
        <v>279</v>
      </c>
    </row>
    <row r="287" spans="1:1" x14ac:dyDescent="0.2">
      <c r="A287">
        <v>280</v>
      </c>
    </row>
    <row r="288" spans="1:1" x14ac:dyDescent="0.2">
      <c r="A288">
        <v>281</v>
      </c>
    </row>
    <row r="289" spans="1:1" x14ac:dyDescent="0.2">
      <c r="A289">
        <v>282</v>
      </c>
    </row>
    <row r="290" spans="1:1" x14ac:dyDescent="0.2">
      <c r="A290">
        <v>283</v>
      </c>
    </row>
    <row r="291" spans="1:1" x14ac:dyDescent="0.2">
      <c r="A291">
        <v>284</v>
      </c>
    </row>
    <row r="292" spans="1:1" x14ac:dyDescent="0.2">
      <c r="A292">
        <v>285</v>
      </c>
    </row>
    <row r="293" spans="1:1" x14ac:dyDescent="0.2">
      <c r="A293">
        <v>286</v>
      </c>
    </row>
    <row r="294" spans="1:1" x14ac:dyDescent="0.2">
      <c r="A294">
        <v>287</v>
      </c>
    </row>
    <row r="295" spans="1:1" x14ac:dyDescent="0.2">
      <c r="A295">
        <v>288</v>
      </c>
    </row>
    <row r="296" spans="1:1" x14ac:dyDescent="0.2">
      <c r="A296">
        <v>289</v>
      </c>
    </row>
    <row r="297" spans="1:1" x14ac:dyDescent="0.2">
      <c r="A297">
        <v>290</v>
      </c>
    </row>
    <row r="298" spans="1:1" x14ac:dyDescent="0.2">
      <c r="A298">
        <v>291</v>
      </c>
    </row>
    <row r="299" spans="1:1" x14ac:dyDescent="0.2">
      <c r="A299">
        <v>292</v>
      </c>
    </row>
    <row r="300" spans="1:1" x14ac:dyDescent="0.2">
      <c r="A300">
        <v>293</v>
      </c>
    </row>
    <row r="301" spans="1:1" x14ac:dyDescent="0.2">
      <c r="A301">
        <v>294</v>
      </c>
    </row>
    <row r="302" spans="1:1" x14ac:dyDescent="0.2">
      <c r="A302">
        <v>295</v>
      </c>
    </row>
    <row r="303" spans="1:1" x14ac:dyDescent="0.2">
      <c r="A303">
        <v>296</v>
      </c>
    </row>
    <row r="304" spans="1:1" x14ac:dyDescent="0.2">
      <c r="A304">
        <v>297</v>
      </c>
    </row>
    <row r="305" spans="1:1" x14ac:dyDescent="0.2">
      <c r="A305">
        <v>298</v>
      </c>
    </row>
    <row r="306" spans="1:1" x14ac:dyDescent="0.2">
      <c r="A306">
        <v>299</v>
      </c>
    </row>
    <row r="307" spans="1:1" x14ac:dyDescent="0.2">
      <c r="A307">
        <v>300</v>
      </c>
    </row>
    <row r="308" spans="1:1" x14ac:dyDescent="0.2">
      <c r="A308">
        <v>301</v>
      </c>
    </row>
    <row r="309" spans="1:1" x14ac:dyDescent="0.2">
      <c r="A309">
        <v>302</v>
      </c>
    </row>
    <row r="310" spans="1:1" x14ac:dyDescent="0.2">
      <c r="A310">
        <v>303</v>
      </c>
    </row>
    <row r="311" spans="1:1" x14ac:dyDescent="0.2">
      <c r="A311">
        <v>304</v>
      </c>
    </row>
    <row r="312" spans="1:1" x14ac:dyDescent="0.2">
      <c r="A312">
        <v>305</v>
      </c>
    </row>
    <row r="313" spans="1:1" x14ac:dyDescent="0.2">
      <c r="A313">
        <v>306</v>
      </c>
    </row>
    <row r="314" spans="1:1" x14ac:dyDescent="0.2">
      <c r="A314">
        <v>307</v>
      </c>
    </row>
    <row r="315" spans="1:1" x14ac:dyDescent="0.2">
      <c r="A315">
        <v>308</v>
      </c>
    </row>
    <row r="316" spans="1:1" x14ac:dyDescent="0.2">
      <c r="A316">
        <v>309</v>
      </c>
    </row>
    <row r="317" spans="1:1" x14ac:dyDescent="0.2">
      <c r="A317">
        <v>310</v>
      </c>
    </row>
    <row r="318" spans="1:1" x14ac:dyDescent="0.2">
      <c r="A318">
        <v>311</v>
      </c>
    </row>
    <row r="319" spans="1:1" x14ac:dyDescent="0.2">
      <c r="A319">
        <v>312</v>
      </c>
    </row>
    <row r="320" spans="1:1" x14ac:dyDescent="0.2">
      <c r="A320">
        <v>313</v>
      </c>
    </row>
    <row r="321" spans="1:1" x14ac:dyDescent="0.2">
      <c r="A321">
        <v>314</v>
      </c>
    </row>
    <row r="322" spans="1:1" x14ac:dyDescent="0.2">
      <c r="A322">
        <v>315</v>
      </c>
    </row>
    <row r="323" spans="1:1" x14ac:dyDescent="0.2">
      <c r="A323">
        <v>316</v>
      </c>
    </row>
    <row r="324" spans="1:1" x14ac:dyDescent="0.2">
      <c r="A324">
        <v>317</v>
      </c>
    </row>
    <row r="325" spans="1:1" x14ac:dyDescent="0.2">
      <c r="A325">
        <v>318</v>
      </c>
    </row>
    <row r="326" spans="1:1" x14ac:dyDescent="0.2">
      <c r="A326">
        <v>319</v>
      </c>
    </row>
    <row r="327" spans="1:1" x14ac:dyDescent="0.2">
      <c r="A327">
        <v>320</v>
      </c>
    </row>
    <row r="328" spans="1:1" x14ac:dyDescent="0.2">
      <c r="A328">
        <v>321</v>
      </c>
    </row>
    <row r="329" spans="1:1" x14ac:dyDescent="0.2">
      <c r="A329">
        <v>322</v>
      </c>
    </row>
    <row r="330" spans="1:1" x14ac:dyDescent="0.2">
      <c r="A330">
        <v>323</v>
      </c>
    </row>
    <row r="331" spans="1:1" x14ac:dyDescent="0.2">
      <c r="A331">
        <v>324</v>
      </c>
    </row>
    <row r="332" spans="1:1" x14ac:dyDescent="0.2">
      <c r="A332">
        <v>325</v>
      </c>
    </row>
    <row r="333" spans="1:1" x14ac:dyDescent="0.2">
      <c r="A333">
        <v>326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"/>
  <sheetViews>
    <sheetView workbookViewId="0">
      <selection activeCell="B8" sqref="B8"/>
    </sheetView>
  </sheetViews>
  <sheetFormatPr defaultRowHeight="12.75" x14ac:dyDescent="0.2"/>
  <cols>
    <col min="1" max="1" width="18.5703125" bestFit="1" customWidth="1"/>
  </cols>
  <sheetData>
    <row r="1" spans="1:9" x14ac:dyDescent="0.2">
      <c r="A1" s="2" t="s">
        <v>73</v>
      </c>
      <c r="B1" t="s">
        <v>74</v>
      </c>
      <c r="C1" t="s">
        <v>75</v>
      </c>
      <c r="D1" t="s">
        <v>76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</row>
    <row r="2" spans="1:9" x14ac:dyDescent="0.2">
      <c r="B2" s="29">
        <f>'Income Statement'!B41/'Income Statement'!B54</f>
        <v>-6.5429523687628457E-2</v>
      </c>
      <c r="C2" s="29">
        <f>'Income Statement'!C41/'Income Statement'!C54</f>
        <v>-4.1797008433531679E-2</v>
      </c>
      <c r="D2" s="29">
        <f>'Income Statement'!D41/'Income Statement'!D54</f>
        <v>-1.9760902203633267E-2</v>
      </c>
      <c r="E2" s="29">
        <f>'Income Statement'!E41/'Income Statement'!E54</f>
        <v>1.34256654438433E-2</v>
      </c>
      <c r="F2" s="29">
        <f>'Income Statement'!F41/'Income Statement'!F54</f>
        <v>4.1955153573700915E-2</v>
      </c>
      <c r="G2" s="29">
        <f>'Income Statement'!G41/'Income Statement'!G54</f>
        <v>8.3481214558909347E-2</v>
      </c>
      <c r="H2" s="29">
        <f>'Income Statement'!H41/'Income Statement'!H54</f>
        <v>9.9712694084707357E-2</v>
      </c>
      <c r="I2" s="29">
        <f>'Income Statement'!I41/'Income Statement'!I54</f>
        <v>0.1165232879814303</v>
      </c>
    </row>
    <row r="4" spans="1:9" x14ac:dyDescent="0.2">
      <c r="A4" s="2" t="s">
        <v>82</v>
      </c>
    </row>
    <row r="5" spans="1:9" x14ac:dyDescent="0.2">
      <c r="B5" s="6">
        <f>'Income Statement'!B41/('Income Statement'!B63+'Income Statement'!B64)</f>
        <v>1.6072516229673222</v>
      </c>
      <c r="C5" s="6">
        <f>'Income Statement'!C41/('Income Statement'!C63+'Income Statement'!C64)</f>
        <v>0.49942687100012273</v>
      </c>
      <c r="D5" s="6">
        <f>'Income Statement'!D41/('Income Statement'!D63+'Income Statement'!D64)</f>
        <v>0.18650175683903772</v>
      </c>
      <c r="E5" s="6">
        <f>'Income Statement'!E41/('Income Statement'!E63+'Income Statement'!E64)</f>
        <v>-0.14014878945937626</v>
      </c>
      <c r="F5" s="6">
        <f>'Income Statement'!F41/('Income Statement'!F63+'Income Statement'!F64)</f>
        <v>-0.73755265772882272</v>
      </c>
      <c r="G5" s="6">
        <f>'Income Statement'!G41/('Income Statement'!G63+'Income Statement'!G64)</f>
        <v>3.3401600042710737</v>
      </c>
      <c r="H5" s="6">
        <f>'Income Statement'!H41/('Income Statement'!H63+'Income Statement'!H64)</f>
        <v>0.8145228284068996</v>
      </c>
      <c r="I5" s="6">
        <f>'Income Statement'!I41/('Income Statement'!I63+'Income Statement'!I64)</f>
        <v>0.51694430596006846</v>
      </c>
    </row>
    <row r="7" spans="1:9" x14ac:dyDescent="0.2">
      <c r="A7" s="2" t="s">
        <v>83</v>
      </c>
    </row>
    <row r="8" spans="1:9" x14ac:dyDescent="0.2">
      <c r="B8" s="6">
        <f>('Income Statement'!B58+'Income Statement'!B59)/('Income Statement'!B63+'Income Statement'!B64)</f>
        <v>-21.655999138352332</v>
      </c>
      <c r="C8" s="6">
        <f>('Income Statement'!C58+'Income Statement'!C59)/('Income Statement'!C63+'Income Statement'!C64)</f>
        <v>-10.700327212958541</v>
      </c>
      <c r="D8" s="6">
        <f>('Income Statement'!D58+'Income Statement'!D59)/('Income Statement'!D63+'Income Statement'!D64)</f>
        <v>-8.5837522897186354</v>
      </c>
      <c r="E8" s="6">
        <f>('Income Statement'!E58+'Income Statement'!E59)/('Income Statement'!E63+'Income Statement'!E64)</f>
        <v>-9.6404057134826271</v>
      </c>
      <c r="F8" s="6">
        <f>('Income Statement'!F58+'Income Statement'!F59)/('Income Statement'!F63+'Income Statement'!F64)</f>
        <v>-16.4808359931823</v>
      </c>
      <c r="G8" s="6">
        <f>('Income Statement'!G58+'Income Statement'!G59)/('Income Statement'!G63+'Income Statement'!G64)</f>
        <v>37.897530551228442</v>
      </c>
      <c r="H8" s="6">
        <f>('Income Statement'!H58+'Income Statement'!H59)/('Income Statement'!H63+'Income Statement'!H64)</f>
        <v>6.8971897248708052</v>
      </c>
      <c r="I8" s="6">
        <f>('Income Statement'!I58+'Income Statement'!I59)/('Income Statement'!I63+'Income Statement'!I64)</f>
        <v>3.2640885477746786</v>
      </c>
    </row>
    <row r="10" spans="1:9" x14ac:dyDescent="0.2">
      <c r="A10" s="2" t="s">
        <v>84</v>
      </c>
    </row>
    <row r="11" spans="1:9" x14ac:dyDescent="0.2">
      <c r="B11" s="6">
        <f>('Income Statement'!B20-'Income Statement'!B24)/'Income Statement'!B20</f>
        <v>0.52424242424242429</v>
      </c>
      <c r="C11" s="6">
        <f>('Income Statement'!C20-'Income Statement'!C24)/'Income Statement'!C20</f>
        <v>0.54896058869312958</v>
      </c>
      <c r="D11" s="6">
        <f>('Income Statement'!D20-'Income Statement'!D24)/'Income Statement'!D20</f>
        <v>0.56124200829019655</v>
      </c>
      <c r="E11" s="6">
        <f>('Income Statement'!E20-'Income Statement'!E24)/'Income Statement'!E20</f>
        <v>0.58307397423131668</v>
      </c>
      <c r="F11" s="6">
        <f>('Income Statement'!F20-'Income Statement'!F24)/'Income Statement'!F20</f>
        <v>0.59402446050085411</v>
      </c>
      <c r="G11" s="6">
        <f>('Income Statement'!G20-'Income Statement'!G24)/'Income Statement'!G20</f>
        <v>0.61330067091197127</v>
      </c>
      <c r="H11" s="6">
        <f>('Income Statement'!H20-'Income Statement'!H24)/'Income Statement'!H20</f>
        <v>0.6230415389472389</v>
      </c>
      <c r="I11" s="6">
        <f>('Income Statement'!I20-'Income Statement'!I24)/'Income Statement'!I20</f>
        <v>0.64004865961241486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7" workbookViewId="0">
      <selection activeCell="D59" sqref="D59"/>
    </sheetView>
  </sheetViews>
  <sheetFormatPr defaultRowHeight="12.75" x14ac:dyDescent="0.2"/>
  <cols>
    <col min="2" max="2" width="36.85546875" bestFit="1" customWidth="1"/>
    <col min="3" max="3" width="10" bestFit="1" customWidth="1"/>
    <col min="6" max="6" width="16.7109375" customWidth="1"/>
  </cols>
  <sheetData>
    <row r="1" spans="1:11" ht="15" x14ac:dyDescent="0.25">
      <c r="A1" s="32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x14ac:dyDescent="0.25">
      <c r="A3" s="33" t="s">
        <v>169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x14ac:dyDescent="0.25">
      <c r="A4" s="33"/>
      <c r="B4" s="33" t="s">
        <v>119</v>
      </c>
      <c r="C4" s="60">
        <v>1.25</v>
      </c>
      <c r="D4" s="33" t="s">
        <v>168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33"/>
      <c r="B5" s="33" t="s">
        <v>149</v>
      </c>
      <c r="C5" s="51">
        <v>1.7500000000000002E-2</v>
      </c>
      <c r="D5" s="33" t="s">
        <v>167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33"/>
      <c r="B6" s="33" t="s">
        <v>148</v>
      </c>
      <c r="C6" s="51">
        <v>9.1700000000000004E-2</v>
      </c>
      <c r="D6" s="33" t="s">
        <v>166</v>
      </c>
      <c r="E6" s="33"/>
      <c r="F6" s="33"/>
      <c r="G6" s="33"/>
      <c r="H6" s="33"/>
      <c r="I6" s="33"/>
      <c r="J6" s="33"/>
      <c r="K6" s="33"/>
    </row>
    <row r="7" spans="1:11" ht="1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5">
      <c r="A8" s="33"/>
      <c r="B8" s="33" t="s">
        <v>165</v>
      </c>
      <c r="C8" s="59">
        <f>C5+C4*(C6-C5)</f>
        <v>0.11025</v>
      </c>
      <c r="D8" s="33"/>
      <c r="E8" s="33"/>
      <c r="F8" s="33"/>
      <c r="G8" s="33"/>
      <c r="H8" s="33"/>
      <c r="I8" s="33"/>
      <c r="J8" s="33"/>
      <c r="K8" s="33"/>
    </row>
    <row r="9" spans="1:11" ht="1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15" x14ac:dyDescent="0.25">
      <c r="A10" s="33" t="s">
        <v>164</v>
      </c>
      <c r="B10" s="33"/>
      <c r="C10" s="33" t="s">
        <v>144</v>
      </c>
      <c r="D10" s="33"/>
      <c r="E10" s="33" t="s">
        <v>29</v>
      </c>
      <c r="F10" s="33"/>
      <c r="G10" s="33"/>
      <c r="H10" s="33"/>
      <c r="I10" s="58"/>
      <c r="J10" s="33"/>
      <c r="K10" s="33"/>
    </row>
    <row r="11" spans="1:11" ht="15" x14ac:dyDescent="0.25">
      <c r="A11" s="33"/>
      <c r="B11" s="33"/>
      <c r="C11" s="54"/>
      <c r="D11" s="33"/>
      <c r="E11" s="57"/>
      <c r="F11" s="33"/>
      <c r="G11" s="52"/>
      <c r="H11" s="33"/>
      <c r="I11" s="33"/>
      <c r="J11" s="33"/>
      <c r="K11" s="33"/>
    </row>
    <row r="12" spans="1:11" ht="15" x14ac:dyDescent="0.25">
      <c r="A12" s="33"/>
      <c r="B12" s="33" t="s">
        <v>163</v>
      </c>
      <c r="C12" s="53">
        <f>'[1]Income Statement'!I58</f>
        <v>315980.47501486825</v>
      </c>
      <c r="D12" s="33"/>
      <c r="E12" s="57">
        <v>0.06</v>
      </c>
      <c r="F12" s="33"/>
      <c r="G12" s="52"/>
      <c r="H12" s="33"/>
      <c r="I12" s="46"/>
      <c r="J12" s="33"/>
      <c r="K12" s="33"/>
    </row>
    <row r="13" spans="1:11" ht="15" x14ac:dyDescent="0.25">
      <c r="A13" s="33"/>
      <c r="B13" s="33"/>
      <c r="C13" s="36">
        <f>SUM(C11:C12)</f>
        <v>315980.47501486825</v>
      </c>
      <c r="D13" s="33"/>
      <c r="E13" s="33"/>
      <c r="F13" s="33"/>
      <c r="G13" s="33"/>
      <c r="H13" s="33"/>
      <c r="I13" s="33"/>
      <c r="J13" s="33"/>
      <c r="K13" s="33"/>
    </row>
    <row r="14" spans="1:11" ht="1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5" x14ac:dyDescent="0.25">
      <c r="A15" s="33" t="s">
        <v>40</v>
      </c>
      <c r="B15" s="33"/>
      <c r="C15" s="57">
        <f>'[1]Income Statement'!L40</f>
        <v>0.25</v>
      </c>
      <c r="D15" s="33"/>
      <c r="E15" s="33"/>
      <c r="F15" s="33"/>
      <c r="G15" s="33"/>
      <c r="H15" s="33"/>
      <c r="I15" s="33"/>
      <c r="J15" s="33"/>
      <c r="K15" s="33"/>
    </row>
    <row r="16" spans="1:11" ht="15" x14ac:dyDescent="0.25">
      <c r="A16" s="33"/>
      <c r="B16" s="33"/>
      <c r="C16" s="56"/>
      <c r="D16" s="33"/>
      <c r="E16" s="33"/>
      <c r="F16" s="33"/>
      <c r="G16" s="33"/>
      <c r="H16" s="33"/>
      <c r="I16" s="33"/>
      <c r="J16" s="33"/>
      <c r="K16" s="33"/>
    </row>
    <row r="17" spans="1:11" ht="15" x14ac:dyDescent="0.25">
      <c r="A17" s="33"/>
      <c r="B17" s="33"/>
      <c r="C17" s="33" t="s">
        <v>144</v>
      </c>
      <c r="D17" s="33"/>
      <c r="E17" s="33"/>
      <c r="F17" s="33"/>
      <c r="G17" s="33"/>
      <c r="H17" s="33"/>
      <c r="I17" s="33"/>
      <c r="J17" s="33"/>
      <c r="K17" s="33"/>
    </row>
    <row r="18" spans="1:11" ht="15" x14ac:dyDescent="0.25">
      <c r="A18" s="33" t="s">
        <v>162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" x14ac:dyDescent="0.25">
      <c r="A19" s="33"/>
      <c r="B19" s="33" t="s">
        <v>161</v>
      </c>
      <c r="C19" s="54">
        <f>'[1]Income Statement'!I63</f>
        <v>10000</v>
      </c>
      <c r="D19" s="33"/>
      <c r="E19" s="33"/>
      <c r="F19" s="33"/>
      <c r="G19" s="33"/>
      <c r="H19" s="33"/>
      <c r="I19" s="33"/>
      <c r="J19" s="33"/>
      <c r="K19" s="33"/>
    </row>
    <row r="20" spans="1:11" ht="15" x14ac:dyDescent="0.25">
      <c r="A20" s="33"/>
      <c r="B20" s="33" t="s">
        <v>48</v>
      </c>
      <c r="C20" s="53">
        <f>'[1]Income Statement'!I64</f>
        <v>87553.76481729059</v>
      </c>
      <c r="D20" s="33"/>
      <c r="E20" s="33"/>
      <c r="F20" s="33"/>
      <c r="G20" s="33"/>
      <c r="H20" s="33"/>
      <c r="I20" s="33"/>
      <c r="J20" s="33"/>
      <c r="K20" s="33"/>
    </row>
    <row r="21" spans="1:11" ht="15" x14ac:dyDescent="0.25">
      <c r="A21" s="33"/>
      <c r="B21" s="33"/>
      <c r="C21" s="36">
        <f>SUM(C19:C20)</f>
        <v>97553.76481729059</v>
      </c>
      <c r="D21" s="33"/>
      <c r="E21" s="33"/>
      <c r="F21" s="33"/>
      <c r="G21" s="33"/>
      <c r="H21" s="33"/>
      <c r="I21" s="33"/>
      <c r="J21" s="33"/>
      <c r="K21" s="33"/>
    </row>
    <row r="22" spans="1:11" ht="15" x14ac:dyDescent="0.25">
      <c r="A22" s="33"/>
      <c r="B22" s="33"/>
      <c r="C22" s="55"/>
      <c r="D22" s="33"/>
      <c r="E22" s="33"/>
      <c r="F22" s="33"/>
      <c r="G22" s="33"/>
      <c r="H22" s="33"/>
      <c r="I22" s="33"/>
      <c r="J22" s="33"/>
      <c r="K22" s="33"/>
    </row>
    <row r="23" spans="1:11" ht="15" x14ac:dyDescent="0.25">
      <c r="A23" s="33" t="s">
        <v>145</v>
      </c>
      <c r="B23" s="33"/>
      <c r="C23" s="36"/>
      <c r="D23" s="33"/>
      <c r="E23" s="33" t="s">
        <v>143</v>
      </c>
      <c r="F23" s="33"/>
      <c r="G23" s="33" t="s">
        <v>29</v>
      </c>
      <c r="H23" s="33"/>
      <c r="I23" s="33" t="s">
        <v>113</v>
      </c>
      <c r="J23" s="33"/>
      <c r="K23" s="33"/>
    </row>
    <row r="24" spans="1:11" ht="15" x14ac:dyDescent="0.25">
      <c r="A24" s="33"/>
      <c r="B24" s="33" t="s">
        <v>116</v>
      </c>
      <c r="C24" s="54">
        <f>C13</f>
        <v>315980.47501486825</v>
      </c>
      <c r="D24" s="33"/>
      <c r="E24" s="52">
        <f>C24/C26</f>
        <v>0.7640974907981386</v>
      </c>
      <c r="F24" s="33"/>
      <c r="G24" s="40">
        <f>E12</f>
        <v>0.06</v>
      </c>
      <c r="H24" s="33"/>
      <c r="I24" s="50">
        <f>E24*G24*(1-C15)</f>
        <v>3.4384387085916235E-2</v>
      </c>
      <c r="J24" s="33"/>
      <c r="K24" s="33"/>
    </row>
    <row r="25" spans="1:11" ht="15" x14ac:dyDescent="0.25">
      <c r="A25" s="33"/>
      <c r="B25" s="33" t="s">
        <v>117</v>
      </c>
      <c r="C25" s="53">
        <f>C21</f>
        <v>97553.76481729059</v>
      </c>
      <c r="D25" s="33"/>
      <c r="E25" s="52">
        <f>C25/C26</f>
        <v>0.23590250920186134</v>
      </c>
      <c r="F25" s="33"/>
      <c r="G25" s="45">
        <f>C8</f>
        <v>0.11025</v>
      </c>
      <c r="H25" s="33"/>
      <c r="I25" s="47">
        <f>G25*E25</f>
        <v>2.6008251639505212E-2</v>
      </c>
      <c r="J25" s="33"/>
      <c r="K25" s="33"/>
    </row>
    <row r="26" spans="1:11" ht="15" x14ac:dyDescent="0.25">
      <c r="A26" s="33"/>
      <c r="B26" s="33"/>
      <c r="C26" s="36">
        <f>SUM(C24:C25)</f>
        <v>413534.23983215884</v>
      </c>
      <c r="D26" s="33"/>
      <c r="E26" s="33"/>
      <c r="F26" s="33"/>
      <c r="G26" s="33"/>
      <c r="H26" s="33"/>
      <c r="I26" s="46">
        <f>SUM(I24:I25)</f>
        <v>6.0392638725421444E-2</v>
      </c>
      <c r="J26" s="33"/>
      <c r="K26" s="33"/>
    </row>
    <row r="27" spans="1:11" ht="1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5" x14ac:dyDescent="0.25">
      <c r="A28" s="32" t="s">
        <v>160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1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1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15" x14ac:dyDescent="0.25">
      <c r="A32" s="33" t="s">
        <v>159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15" x14ac:dyDescent="0.25">
      <c r="A33" s="33"/>
      <c r="B33" s="33" t="s">
        <v>158</v>
      </c>
      <c r="C33" s="33">
        <f>C4</f>
        <v>1.25</v>
      </c>
      <c r="D33" s="33" t="s">
        <v>147</v>
      </c>
      <c r="E33" s="33"/>
      <c r="F33" s="33"/>
      <c r="G33" s="33"/>
      <c r="H33" s="33"/>
      <c r="I33" s="33"/>
      <c r="J33" s="33"/>
      <c r="K33" s="33"/>
    </row>
    <row r="34" spans="1:11" ht="15" x14ac:dyDescent="0.25">
      <c r="A34" s="33"/>
      <c r="B34" s="33" t="s">
        <v>153</v>
      </c>
      <c r="C34" s="45">
        <f>C15</f>
        <v>0.25</v>
      </c>
      <c r="D34" s="33"/>
      <c r="E34" s="33"/>
      <c r="F34" s="33"/>
      <c r="G34" s="33"/>
      <c r="H34" s="33"/>
      <c r="I34" s="33"/>
      <c r="J34" s="33"/>
      <c r="K34" s="33"/>
    </row>
    <row r="35" spans="1:11" ht="15" x14ac:dyDescent="0.25">
      <c r="A35" s="33"/>
      <c r="B35" s="33" t="s">
        <v>157</v>
      </c>
      <c r="C35" s="52">
        <f>E24</f>
        <v>0.7640974907981386</v>
      </c>
      <c r="D35" s="33"/>
      <c r="E35" s="33"/>
      <c r="F35" s="33"/>
      <c r="G35" s="33"/>
      <c r="H35" s="33"/>
      <c r="I35" s="33"/>
      <c r="J35" s="33"/>
      <c r="K35" s="33"/>
    </row>
    <row r="36" spans="1:11" ht="15" x14ac:dyDescent="0.25">
      <c r="A36" s="33"/>
      <c r="B36" s="33" t="s">
        <v>156</v>
      </c>
      <c r="C36" s="52">
        <f>E25</f>
        <v>0.23590250920186134</v>
      </c>
      <c r="D36" s="33"/>
      <c r="E36" s="33"/>
      <c r="F36" s="33"/>
      <c r="G36" s="33"/>
      <c r="H36" s="33"/>
      <c r="I36" s="33"/>
      <c r="J36" s="33"/>
      <c r="K36" s="33"/>
    </row>
    <row r="37" spans="1:11" ht="15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15" x14ac:dyDescent="0.25">
      <c r="A38" s="33"/>
      <c r="B38" s="33" t="s">
        <v>155</v>
      </c>
      <c r="C38" s="50">
        <f>C33/(1+(1-C34)*(C35/C36))</f>
        <v>0.3645080600095813</v>
      </c>
      <c r="D38" s="33"/>
      <c r="E38" s="33"/>
      <c r="F38" s="33"/>
      <c r="G38" s="33"/>
      <c r="H38" s="33"/>
      <c r="I38" s="33"/>
      <c r="J38" s="33"/>
      <c r="K38" s="33"/>
    </row>
    <row r="39" spans="1:11" ht="1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15" x14ac:dyDescent="0.25">
      <c r="A40" s="33" t="s">
        <v>154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15" x14ac:dyDescent="0.25">
      <c r="A41" s="33"/>
      <c r="B41" s="33" t="s">
        <v>115</v>
      </c>
      <c r="C41" s="50">
        <f>C38</f>
        <v>0.3645080600095813</v>
      </c>
      <c r="D41" s="33"/>
      <c r="E41" s="33"/>
      <c r="F41" s="33"/>
      <c r="G41" s="33"/>
      <c r="H41" s="33"/>
      <c r="I41" s="33"/>
      <c r="J41" s="33"/>
      <c r="K41" s="33"/>
    </row>
    <row r="42" spans="1:11" ht="15" x14ac:dyDescent="0.25">
      <c r="A42" s="33"/>
      <c r="B42" s="33" t="s">
        <v>153</v>
      </c>
      <c r="C42" s="45">
        <f>C34</f>
        <v>0.25</v>
      </c>
      <c r="D42" s="33" t="s">
        <v>147</v>
      </c>
      <c r="E42" s="33"/>
      <c r="F42" s="33"/>
      <c r="G42" s="33"/>
      <c r="H42" s="33"/>
      <c r="I42" s="33"/>
      <c r="J42" s="33"/>
      <c r="K42" s="33"/>
    </row>
    <row r="43" spans="1:11" ht="15" x14ac:dyDescent="0.25">
      <c r="A43" s="33"/>
      <c r="B43" s="33" t="s">
        <v>152</v>
      </c>
      <c r="C43" s="48">
        <v>0.6</v>
      </c>
      <c r="D43" s="33" t="s">
        <v>147</v>
      </c>
      <c r="E43" s="33"/>
      <c r="F43" s="33"/>
      <c r="G43" s="33"/>
      <c r="H43" s="33"/>
      <c r="I43" s="33"/>
      <c r="J43" s="33"/>
      <c r="K43" s="33"/>
    </row>
    <row r="44" spans="1:11" ht="15" x14ac:dyDescent="0.25">
      <c r="A44" s="33"/>
      <c r="B44" s="33" t="s">
        <v>151</v>
      </c>
      <c r="C44" s="48">
        <v>0.4</v>
      </c>
      <c r="D44" s="33" t="s">
        <v>147</v>
      </c>
      <c r="E44" s="33"/>
      <c r="F44" s="33"/>
      <c r="G44" s="33"/>
      <c r="H44" s="33"/>
      <c r="I44" s="33"/>
      <c r="J44" s="33"/>
      <c r="K44" s="33"/>
    </row>
    <row r="45" spans="1:11" ht="1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ht="15" x14ac:dyDescent="0.25">
      <c r="A46" s="33"/>
      <c r="B46" s="33" t="s">
        <v>118</v>
      </c>
      <c r="C46" s="50">
        <f>C41*(1+(1-C42)*(C43/C44))</f>
        <v>0.77457962752036025</v>
      </c>
      <c r="D46" s="33"/>
      <c r="E46" s="33"/>
      <c r="F46" s="33"/>
      <c r="G46" s="33"/>
      <c r="H46" s="33"/>
      <c r="I46" s="33"/>
      <c r="J46" s="33"/>
      <c r="K46" s="33"/>
    </row>
    <row r="47" spans="1:11" ht="1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15" x14ac:dyDescent="0.25">
      <c r="A48" s="33" t="s">
        <v>150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15" x14ac:dyDescent="0.25">
      <c r="A49" s="33"/>
      <c r="B49" s="33" t="s">
        <v>119</v>
      </c>
      <c r="C49" s="50">
        <f>C46</f>
        <v>0.77457962752036025</v>
      </c>
      <c r="D49" s="33"/>
      <c r="E49" s="33"/>
      <c r="F49" s="33"/>
      <c r="G49" s="33"/>
      <c r="H49" s="33"/>
      <c r="I49" s="33"/>
      <c r="J49" s="33"/>
      <c r="K49" s="33"/>
    </row>
    <row r="50" spans="1:11" ht="15" x14ac:dyDescent="0.25">
      <c r="A50" s="33"/>
      <c r="B50" s="33" t="s">
        <v>149</v>
      </c>
      <c r="C50" s="51">
        <f>C5</f>
        <v>1.7500000000000002E-2</v>
      </c>
      <c r="D50" s="33" t="s">
        <v>147</v>
      </c>
      <c r="E50" s="33"/>
      <c r="F50" s="33"/>
      <c r="G50" s="33"/>
      <c r="H50" s="33"/>
      <c r="I50" s="33"/>
      <c r="J50" s="33"/>
      <c r="K50" s="33"/>
    </row>
    <row r="51" spans="1:11" ht="15" x14ac:dyDescent="0.25">
      <c r="A51" s="33"/>
      <c r="B51" s="33" t="s">
        <v>148</v>
      </c>
      <c r="C51" s="51">
        <f>C6</f>
        <v>9.1700000000000004E-2</v>
      </c>
      <c r="D51" s="33" t="s">
        <v>147</v>
      </c>
      <c r="E51" s="33"/>
      <c r="F51" s="33"/>
      <c r="G51" s="33"/>
      <c r="H51" s="33"/>
      <c r="I51" s="33"/>
      <c r="J51" s="33"/>
      <c r="K51" s="33"/>
    </row>
    <row r="52" spans="1:11" ht="15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15" x14ac:dyDescent="0.25">
      <c r="A53" s="33"/>
      <c r="B53" s="33" t="s">
        <v>146</v>
      </c>
      <c r="C53" s="46">
        <f>C50+C49*(C51-C50)</f>
        <v>7.497380836201073E-2</v>
      </c>
      <c r="D53" s="33"/>
      <c r="E53" s="33"/>
      <c r="F53" s="33"/>
      <c r="G53" s="33"/>
      <c r="H53" s="33"/>
      <c r="I53" s="33"/>
      <c r="J53" s="33"/>
      <c r="K53" s="33"/>
    </row>
    <row r="54" spans="1:11" ht="15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15" x14ac:dyDescent="0.25">
      <c r="A55" s="33" t="s">
        <v>145</v>
      </c>
      <c r="B55" s="33"/>
      <c r="C55" s="36" t="s">
        <v>144</v>
      </c>
      <c r="D55" s="33"/>
      <c r="E55" s="33" t="s">
        <v>143</v>
      </c>
      <c r="F55" s="33"/>
      <c r="G55" s="33" t="s">
        <v>29</v>
      </c>
      <c r="H55" s="33"/>
      <c r="I55" s="33" t="s">
        <v>113</v>
      </c>
      <c r="J55" s="33"/>
      <c r="K55" s="33"/>
    </row>
    <row r="56" spans="1:11" ht="15" x14ac:dyDescent="0.25">
      <c r="A56" s="33"/>
      <c r="B56" s="33" t="s">
        <v>116</v>
      </c>
      <c r="C56" s="36" t="s">
        <v>142</v>
      </c>
      <c r="D56" s="33"/>
      <c r="E56" s="48">
        <v>0.6</v>
      </c>
      <c r="F56" s="33"/>
      <c r="G56" s="40">
        <f>G24</f>
        <v>0.06</v>
      </c>
      <c r="H56" s="33"/>
      <c r="I56" s="50">
        <f>E56*G56*(1-C42)</f>
        <v>2.6999999999999996E-2</v>
      </c>
      <c r="J56" s="33"/>
      <c r="K56" s="33"/>
    </row>
    <row r="57" spans="1:11" ht="15" x14ac:dyDescent="0.25">
      <c r="A57" s="33"/>
      <c r="B57" s="33" t="s">
        <v>117</v>
      </c>
      <c r="C57" s="49" t="s">
        <v>141</v>
      </c>
      <c r="D57" s="33"/>
      <c r="E57" s="48">
        <v>0.4</v>
      </c>
      <c r="F57" s="33"/>
      <c r="G57" s="45">
        <f>C53</f>
        <v>7.497380836201073E-2</v>
      </c>
      <c r="H57" s="33"/>
      <c r="I57" s="47">
        <f>E57*G57</f>
        <v>2.9989523344804293E-2</v>
      </c>
      <c r="J57" s="33"/>
      <c r="K57" s="33"/>
    </row>
    <row r="58" spans="1:11" ht="15" x14ac:dyDescent="0.25">
      <c r="A58" s="33"/>
      <c r="B58" s="33"/>
      <c r="C58" s="36"/>
      <c r="D58" s="33"/>
      <c r="E58" s="33"/>
      <c r="F58" s="33"/>
      <c r="G58" s="33"/>
      <c r="H58" s="33"/>
      <c r="I58" s="46">
        <f>SUM(I56:I57)</f>
        <v>5.698952334480429E-2</v>
      </c>
      <c r="J58" s="33"/>
      <c r="K58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C40" sqref="C40"/>
    </sheetView>
  </sheetViews>
  <sheetFormatPr defaultRowHeight="12.75" x14ac:dyDescent="0.2"/>
  <cols>
    <col min="2" max="2" width="25.85546875" bestFit="1" customWidth="1"/>
    <col min="3" max="3" width="12.5703125" bestFit="1" customWidth="1"/>
    <col min="4" max="10" width="11.5703125" bestFit="1" customWidth="1"/>
    <col min="11" max="11" width="12.28515625" bestFit="1" customWidth="1"/>
    <col min="13" max="13" width="10.5703125" bestFit="1" customWidth="1"/>
    <col min="14" max="14" width="12.28515625" bestFit="1" customWidth="1"/>
  </cols>
  <sheetData>
    <row r="1" spans="1:14" ht="15" x14ac:dyDescent="0.25">
      <c r="A1" s="33"/>
      <c r="B1" s="33"/>
      <c r="C1" s="33"/>
      <c r="D1" s="33"/>
      <c r="E1" s="33"/>
      <c r="F1" s="33"/>
      <c r="G1" s="33"/>
    </row>
    <row r="2" spans="1:14" ht="15.75" x14ac:dyDescent="0.25">
      <c r="A2" s="34" t="s">
        <v>123</v>
      </c>
      <c r="B2" s="33"/>
      <c r="C2" s="33">
        <v>0</v>
      </c>
      <c r="D2" s="33">
        <v>1</v>
      </c>
      <c r="E2" s="33">
        <v>2</v>
      </c>
      <c r="F2" s="33">
        <v>3</v>
      </c>
      <c r="G2" s="33">
        <v>4</v>
      </c>
      <c r="H2" s="42">
        <v>5</v>
      </c>
      <c r="I2" s="42">
        <v>6</v>
      </c>
      <c r="J2" s="42">
        <v>7</v>
      </c>
      <c r="K2" s="42">
        <v>8</v>
      </c>
    </row>
    <row r="3" spans="1:14" ht="15" x14ac:dyDescent="0.25">
      <c r="A3" s="33"/>
      <c r="B3" s="33"/>
      <c r="C3" s="33"/>
      <c r="D3" s="33"/>
      <c r="E3" s="33"/>
      <c r="F3" s="33"/>
      <c r="G3" s="33"/>
    </row>
    <row r="4" spans="1:14" ht="15" x14ac:dyDescent="0.25">
      <c r="A4" s="33"/>
      <c r="B4" s="33" t="s">
        <v>120</v>
      </c>
      <c r="C4" s="33"/>
      <c r="D4" s="35">
        <f>'Income Statement'!B33</f>
        <v>2736</v>
      </c>
      <c r="E4" s="35">
        <f>'Income Statement'!C33</f>
        <v>13653.720000000001</v>
      </c>
      <c r="F4" s="35">
        <f>'Income Statement'!D33</f>
        <v>22373.333820000029</v>
      </c>
      <c r="G4" s="35">
        <f>'Income Statement'!E33</f>
        <v>34693.990410330036</v>
      </c>
      <c r="H4" s="35">
        <f>'Income Statement'!F33</f>
        <v>44896.909538471897</v>
      </c>
      <c r="I4" s="35">
        <f>'Income Statement'!G33</f>
        <v>58785.479730909399</v>
      </c>
      <c r="J4" s="35">
        <f>'Income Statement'!H33</f>
        <v>70645.359916489251</v>
      </c>
      <c r="K4" s="35">
        <f>'Income Statement'!I33</f>
        <v>86284.584822046891</v>
      </c>
    </row>
    <row r="5" spans="1:14" ht="15" x14ac:dyDescent="0.25">
      <c r="A5" s="33"/>
      <c r="B5" s="33" t="s">
        <v>124</v>
      </c>
      <c r="C5" s="33"/>
      <c r="D5" s="43">
        <f>'Income Statement'!B36</f>
        <v>11666.666666666666</v>
      </c>
      <c r="E5" s="43">
        <f>'Income Statement'!C36</f>
        <v>11666.666666666666</v>
      </c>
      <c r="F5" s="43">
        <f>'Income Statement'!D36</f>
        <v>11666.666666666666</v>
      </c>
      <c r="G5" s="43">
        <f>'Income Statement'!E36</f>
        <v>11666.666666666666</v>
      </c>
      <c r="H5" s="43">
        <f>'Income Statement'!F36</f>
        <v>11666.666666666666</v>
      </c>
      <c r="I5" s="43">
        <f>'Income Statement'!G36</f>
        <v>11666.666666666666</v>
      </c>
      <c r="J5" s="43">
        <f>'Income Statement'!H36</f>
        <v>11666.666666666666</v>
      </c>
      <c r="K5" s="43">
        <f>'Income Statement'!I36</f>
        <v>11666.666666666666</v>
      </c>
    </row>
    <row r="6" spans="1:14" ht="15" x14ac:dyDescent="0.25">
      <c r="A6" s="33"/>
      <c r="B6" s="33" t="s">
        <v>125</v>
      </c>
      <c r="C6" s="33"/>
      <c r="D6" s="36">
        <f>D4-D5</f>
        <v>-8930.6666666666661</v>
      </c>
      <c r="E6" s="36">
        <f t="shared" ref="E6:F6" si="0">E4-E5</f>
        <v>1987.0533333333351</v>
      </c>
      <c r="F6" s="36">
        <f t="shared" si="0"/>
        <v>10706.667153333363</v>
      </c>
      <c r="G6" s="36">
        <f>G4-G5</f>
        <v>23027.323743663372</v>
      </c>
      <c r="H6" s="36">
        <f t="shared" ref="H6:K6" si="1">H4-H5</f>
        <v>33230.242871805232</v>
      </c>
      <c r="I6" s="36">
        <f t="shared" si="1"/>
        <v>47118.813064242735</v>
      </c>
      <c r="J6" s="36">
        <f t="shared" si="1"/>
        <v>58978.693249822587</v>
      </c>
      <c r="K6" s="36">
        <f t="shared" si="1"/>
        <v>74617.918155380219</v>
      </c>
    </row>
    <row r="7" spans="1:14" ht="15" x14ac:dyDescent="0.25">
      <c r="A7" s="33"/>
      <c r="B7" s="33" t="s">
        <v>126</v>
      </c>
      <c r="C7" s="33"/>
      <c r="D7" s="37"/>
      <c r="E7" s="37">
        <f t="shared" ref="E7:K7" si="2">E6*0.25</f>
        <v>496.76333333333378</v>
      </c>
      <c r="F7" s="37">
        <f t="shared" si="2"/>
        <v>2676.6667883333407</v>
      </c>
      <c r="G7" s="37">
        <f t="shared" si="2"/>
        <v>5756.8309359158429</v>
      </c>
      <c r="H7" s="37">
        <f t="shared" si="2"/>
        <v>8307.5607179513081</v>
      </c>
      <c r="I7" s="37">
        <f t="shared" si="2"/>
        <v>11779.703266060684</v>
      </c>
      <c r="J7" s="37">
        <f t="shared" si="2"/>
        <v>14744.673312455647</v>
      </c>
      <c r="K7" s="37">
        <f t="shared" si="2"/>
        <v>18654.479538845055</v>
      </c>
    </row>
    <row r="8" spans="1:14" ht="15" x14ac:dyDescent="0.25">
      <c r="A8" s="33"/>
      <c r="B8" s="33" t="s">
        <v>127</v>
      </c>
      <c r="C8" s="33"/>
      <c r="D8" s="33">
        <f>D5</f>
        <v>11666.666666666666</v>
      </c>
      <c r="E8" s="33">
        <f t="shared" ref="E8:F8" si="3">E5</f>
        <v>11666.666666666666</v>
      </c>
      <c r="F8" s="33">
        <f t="shared" si="3"/>
        <v>11666.666666666666</v>
      </c>
      <c r="G8" s="33">
        <f>G5</f>
        <v>11666.666666666666</v>
      </c>
      <c r="H8" s="33">
        <f t="shared" ref="H8:K8" si="4">H5</f>
        <v>11666.666666666666</v>
      </c>
      <c r="I8" s="33">
        <f t="shared" si="4"/>
        <v>11666.666666666666</v>
      </c>
      <c r="J8" s="33">
        <f t="shared" si="4"/>
        <v>11666.666666666666</v>
      </c>
      <c r="K8" s="33">
        <f t="shared" si="4"/>
        <v>11666.666666666666</v>
      </c>
    </row>
    <row r="9" spans="1:14" ht="15" x14ac:dyDescent="0.25">
      <c r="A9" s="33"/>
      <c r="B9" s="33" t="s">
        <v>128</v>
      </c>
      <c r="C9" s="33"/>
      <c r="D9" s="37">
        <f>D6-D7+D8</f>
        <v>2736</v>
      </c>
      <c r="E9" s="37">
        <f t="shared" ref="E9:K9" si="5">E6-E7+E8</f>
        <v>13156.956666666667</v>
      </c>
      <c r="F9" s="37">
        <f t="shared" si="5"/>
        <v>19696.667031666686</v>
      </c>
      <c r="G9" s="37">
        <f t="shared" si="5"/>
        <v>28937.159474414191</v>
      </c>
      <c r="H9" s="37">
        <f t="shared" si="5"/>
        <v>36589.348820520587</v>
      </c>
      <c r="I9" s="37">
        <f t="shared" si="5"/>
        <v>47005.776464848714</v>
      </c>
      <c r="J9" s="37">
        <f t="shared" si="5"/>
        <v>55900.686604033603</v>
      </c>
      <c r="K9" s="37">
        <f t="shared" si="5"/>
        <v>67630.105283201832</v>
      </c>
    </row>
    <row r="10" spans="1:14" ht="15" x14ac:dyDescent="0.25">
      <c r="A10" s="33"/>
      <c r="B10" s="33"/>
      <c r="C10" s="33"/>
      <c r="D10" s="33"/>
      <c r="E10" s="33"/>
      <c r="F10" s="33"/>
      <c r="G10" s="33"/>
    </row>
    <row r="11" spans="1:14" ht="15" x14ac:dyDescent="0.25">
      <c r="A11" s="33"/>
      <c r="B11" s="33"/>
      <c r="C11" s="33"/>
      <c r="D11" s="33"/>
      <c r="E11" s="33"/>
      <c r="F11" s="33"/>
      <c r="G11" s="33"/>
    </row>
    <row r="12" spans="1:14" ht="15" x14ac:dyDescent="0.25">
      <c r="A12" s="32" t="s">
        <v>129</v>
      </c>
      <c r="B12" s="33"/>
      <c r="C12" s="33"/>
      <c r="D12" s="33"/>
      <c r="E12" s="33"/>
      <c r="F12" s="33"/>
      <c r="G12" s="33"/>
    </row>
    <row r="13" spans="1:14" ht="15" x14ac:dyDescent="0.25">
      <c r="A13" s="33"/>
      <c r="B13" s="33" t="s">
        <v>139</v>
      </c>
      <c r="C13" s="36">
        <f>-('Income Statement'!B50+'Income Statement'!B51)</f>
        <v>-400000</v>
      </c>
      <c r="D13" s="33"/>
      <c r="E13" s="33"/>
      <c r="F13" s="33"/>
      <c r="G13" s="33"/>
      <c r="M13" t="s">
        <v>138</v>
      </c>
      <c r="N13" s="8">
        <f>'Income Statement'!I50+'Income Statement'!I51-'Income Statement'!I52</f>
        <v>306666.66666666663</v>
      </c>
    </row>
    <row r="14" spans="1:14" ht="15" x14ac:dyDescent="0.25">
      <c r="A14" s="33"/>
      <c r="B14" s="33" t="s">
        <v>140</v>
      </c>
      <c r="C14" s="33"/>
      <c r="D14" s="33"/>
      <c r="E14" s="33"/>
      <c r="F14" s="33"/>
      <c r="G14" s="38"/>
      <c r="K14" s="44">
        <f>N13*1.025</f>
        <v>314333.33333333326</v>
      </c>
    </row>
    <row r="15" spans="1:14" ht="15" x14ac:dyDescent="0.25">
      <c r="A15" s="33"/>
      <c r="B15" s="33" t="s">
        <v>130</v>
      </c>
      <c r="C15" s="33"/>
      <c r="D15" s="33"/>
      <c r="E15" s="33"/>
      <c r="F15" s="33"/>
      <c r="G15" s="37"/>
      <c r="K15" s="44">
        <f>(K14-N13)*0.25</f>
        <v>1916.666666666657</v>
      </c>
    </row>
    <row r="16" spans="1:14" ht="15" x14ac:dyDescent="0.25">
      <c r="A16" s="33"/>
      <c r="B16" s="33"/>
      <c r="C16" s="33"/>
      <c r="D16" s="33"/>
      <c r="E16" s="33"/>
      <c r="F16" s="33"/>
      <c r="G16" s="33"/>
    </row>
    <row r="17" spans="1:11" ht="15" x14ac:dyDescent="0.25">
      <c r="A17" s="33"/>
      <c r="B17" s="33"/>
      <c r="C17" s="33"/>
      <c r="D17" s="33"/>
      <c r="E17" s="33"/>
      <c r="F17" s="33"/>
      <c r="G17" s="33"/>
    </row>
    <row r="18" spans="1:11" ht="15" x14ac:dyDescent="0.25">
      <c r="A18" s="32" t="s">
        <v>131</v>
      </c>
      <c r="B18" s="33"/>
      <c r="C18" s="33"/>
      <c r="D18" s="33"/>
      <c r="E18" s="33"/>
      <c r="F18" s="33"/>
      <c r="G18" s="33"/>
    </row>
    <row r="19" spans="1:11" ht="15" x14ac:dyDescent="0.25">
      <c r="A19" s="32" t="s">
        <v>132</v>
      </c>
      <c r="B19" s="33" t="s">
        <v>69</v>
      </c>
      <c r="C19" s="33"/>
      <c r="D19" s="43">
        <f>-('Income Statement'!B49-0)</f>
        <v>-1188</v>
      </c>
      <c r="E19" s="43">
        <f>-('Income Statement'!C49-'Income Statement'!B49)</f>
        <v>-83.970000000000255</v>
      </c>
      <c r="F19" s="43">
        <f>-('Income Statement'!D49-'Income Statement'!C49)</f>
        <v>-89.396999999999935</v>
      </c>
      <c r="G19" s="43">
        <f>-('Income Statement'!E49-'Income Statement'!D49)</f>
        <v>-95.15677500000038</v>
      </c>
      <c r="H19" s="43">
        <f>-('Income Statement'!F49-'Income Statement'!E49)</f>
        <v>-101.2690349999998</v>
      </c>
      <c r="I19" s="43">
        <f>-('Income Statement'!G49-'Income Statement'!F49)</f>
        <v>-107.75462906250004</v>
      </c>
      <c r="J19" s="43">
        <f>-('Income Statement'!H49-'Income Statement'!G49)</f>
        <v>-114.63560994375007</v>
      </c>
      <c r="K19" s="43">
        <f>-('Income Statement'!I49-'Income Statement'!H49)</f>
        <v>-121.93530234046921</v>
      </c>
    </row>
    <row r="20" spans="1:11" ht="15" x14ac:dyDescent="0.25">
      <c r="A20" s="33" t="s">
        <v>132</v>
      </c>
      <c r="B20" s="33" t="s">
        <v>105</v>
      </c>
      <c r="C20" s="33"/>
      <c r="D20" s="35">
        <f>-('Income Statement'!B48-0)</f>
        <v>-5000</v>
      </c>
      <c r="E20" s="35">
        <f>-('Income Statement'!C48-'Income Statement'!B48)</f>
        <v>-150</v>
      </c>
      <c r="F20" s="35">
        <f>-('Income Statement'!D48-'Income Statement'!C48)</f>
        <v>-154.5</v>
      </c>
      <c r="G20" s="35">
        <f>-('Income Statement'!E48-'Income Statement'!D48)</f>
        <v>-159.13500000000022</v>
      </c>
      <c r="H20" s="35">
        <f>-('Income Statement'!F48-'Income Statement'!E48)</f>
        <v>-163.90905000000021</v>
      </c>
      <c r="I20" s="35">
        <f>-('Income Statement'!G48-'Income Statement'!F48)</f>
        <v>-168.82632149999972</v>
      </c>
      <c r="J20" s="35">
        <f>-('Income Statement'!H48-'Income Statement'!G48)</f>
        <v>-173.89111114499974</v>
      </c>
      <c r="K20" s="35">
        <f>-('Income Statement'!I48-'Income Statement'!H48)</f>
        <v>-179.10784447935021</v>
      </c>
    </row>
    <row r="21" spans="1:11" ht="15" x14ac:dyDescent="0.25">
      <c r="A21" s="33" t="s">
        <v>133</v>
      </c>
      <c r="B21" s="33" t="s">
        <v>104</v>
      </c>
      <c r="C21" s="33"/>
      <c r="D21" s="36">
        <f>'Income Statement'!B60-0</f>
        <v>0</v>
      </c>
      <c r="E21" s="36">
        <f>'Income Statement'!C60-'Income Statement'!B60</f>
        <v>0</v>
      </c>
      <c r="F21" s="36">
        <f>'Income Statement'!D60-'Income Statement'!C60</f>
        <v>0</v>
      </c>
      <c r="G21" s="36">
        <f>'Income Statement'!E60-'Income Statement'!D60</f>
        <v>1656.9665048203863</v>
      </c>
      <c r="H21" s="36">
        <f>'Income Statement'!F60-'Income Statement'!E60</f>
        <v>3361.5971345768012</v>
      </c>
      <c r="I21" s="36">
        <f>'Income Statement'!G60-'Income Statement'!F60</f>
        <v>4693.4240285735559</v>
      </c>
      <c r="J21" s="36">
        <f>'Income Statement'!H60-'Income Statement'!G60</f>
        <v>3056.917071339798</v>
      </c>
      <c r="K21" s="36">
        <f>'Income Statement'!I60-'Income Statement'!H60</f>
        <v>4007.4243426402918</v>
      </c>
    </row>
    <row r="22" spans="1:11" ht="15" x14ac:dyDescent="0.25">
      <c r="A22" s="33" t="s">
        <v>133</v>
      </c>
      <c r="B22" s="33" t="s">
        <v>134</v>
      </c>
      <c r="C22" s="33"/>
      <c r="D22" s="36">
        <f>'Income Statement'!B59-0</f>
        <v>1044</v>
      </c>
      <c r="E22" s="36">
        <f>'Income Statement'!C59-'Income Statement'!B59</f>
        <v>85.086000000000013</v>
      </c>
      <c r="F22" s="36">
        <f>'Income Statement'!D59-'Income Statement'!C59</f>
        <v>92.020509000000175</v>
      </c>
      <c r="G22" s="36">
        <f>'Income Statement'!E59-'Income Statement'!D59</f>
        <v>99.520180483500326</v>
      </c>
      <c r="H22" s="36">
        <f>'Income Statement'!F59-'Income Statement'!E59</f>
        <v>107.6310751929052</v>
      </c>
      <c r="I22" s="36">
        <f>'Income Statement'!G59-'Income Statement'!F59</f>
        <v>116.40300782112718</v>
      </c>
      <c r="J22" s="36">
        <f>'Income Statement'!H59-'Income Statement'!G59</f>
        <v>125.88985295854877</v>
      </c>
      <c r="K22" s="36">
        <f>'Income Statement'!I59-'Income Statement'!H59</f>
        <v>136.1498759746712</v>
      </c>
    </row>
    <row r="23" spans="1:11" ht="15" x14ac:dyDescent="0.25">
      <c r="A23" s="33"/>
      <c r="B23" s="33"/>
      <c r="C23" s="33"/>
      <c r="D23" s="33"/>
      <c r="E23" s="33"/>
      <c r="F23" s="33"/>
      <c r="G23" s="33"/>
    </row>
    <row r="24" spans="1:11" ht="15" x14ac:dyDescent="0.25">
      <c r="A24" s="33"/>
      <c r="B24" s="33"/>
      <c r="C24" s="33"/>
      <c r="D24" s="33"/>
      <c r="E24" s="33"/>
      <c r="F24" s="33"/>
      <c r="G24" s="33"/>
    </row>
    <row r="25" spans="1:11" ht="15" x14ac:dyDescent="0.25">
      <c r="A25" s="32" t="s">
        <v>135</v>
      </c>
      <c r="B25" s="33"/>
      <c r="C25" s="33"/>
      <c r="D25" s="33"/>
      <c r="E25" s="33"/>
      <c r="F25" s="33"/>
      <c r="G25" s="33"/>
    </row>
    <row r="26" spans="1:11" ht="15" x14ac:dyDescent="0.25">
      <c r="A26" s="33" t="s">
        <v>133</v>
      </c>
      <c r="B26" s="33" t="s">
        <v>69</v>
      </c>
      <c r="C26" s="33"/>
      <c r="D26" s="33"/>
      <c r="E26" s="33"/>
      <c r="F26" s="33"/>
      <c r="G26" s="36"/>
      <c r="K26" s="8">
        <f>'Income Statement'!I49</f>
        <v>1902.1183513467197</v>
      </c>
    </row>
    <row r="27" spans="1:11" ht="15" x14ac:dyDescent="0.25">
      <c r="A27" s="33" t="s">
        <v>133</v>
      </c>
      <c r="B27" s="33" t="s">
        <v>105</v>
      </c>
      <c r="C27" s="33"/>
      <c r="D27" s="33"/>
      <c r="E27" s="33"/>
      <c r="F27" s="33"/>
      <c r="G27" s="36"/>
      <c r="K27" s="8">
        <f>'Income Statement'!I48</f>
        <v>6149.3693271243501</v>
      </c>
    </row>
    <row r="28" spans="1:11" ht="15" x14ac:dyDescent="0.25">
      <c r="A28" s="33" t="s">
        <v>132</v>
      </c>
      <c r="B28" s="33" t="s">
        <v>104</v>
      </c>
      <c r="C28" s="33"/>
      <c r="D28" s="33"/>
      <c r="E28" s="33"/>
      <c r="F28" s="33"/>
      <c r="G28" s="33"/>
      <c r="K28" s="8">
        <f>-'Income Statement'!I60</f>
        <v>-16776.329081950833</v>
      </c>
    </row>
    <row r="29" spans="1:11" ht="15" x14ac:dyDescent="0.25">
      <c r="A29" s="33" t="s">
        <v>132</v>
      </c>
      <c r="B29" s="33" t="s">
        <v>134</v>
      </c>
      <c r="C29" s="33"/>
      <c r="D29" s="33"/>
      <c r="E29" s="33"/>
      <c r="F29" s="33"/>
      <c r="G29" s="35"/>
      <c r="K29" s="8">
        <f>-'Income Statement'!I59</f>
        <v>-1806.7005014307529</v>
      </c>
    </row>
    <row r="30" spans="1:11" ht="15" x14ac:dyDescent="0.25">
      <c r="A30" s="33"/>
      <c r="B30" s="33"/>
      <c r="C30" s="33"/>
      <c r="D30" s="33"/>
      <c r="E30" s="33"/>
      <c r="F30" s="33"/>
      <c r="G30" s="33"/>
    </row>
    <row r="31" spans="1:11" ht="15" x14ac:dyDescent="0.25">
      <c r="A31" s="33" t="s">
        <v>136</v>
      </c>
      <c r="B31" s="33"/>
      <c r="C31" s="35">
        <f>SUM(C9:C29)</f>
        <v>-400000</v>
      </c>
      <c r="D31" s="35">
        <f t="shared" ref="D31:K31" si="6">SUM(D9:D29)</f>
        <v>-2408</v>
      </c>
      <c r="E31" s="35">
        <f t="shared" si="6"/>
        <v>13008.072666666667</v>
      </c>
      <c r="F31" s="35">
        <f t="shared" si="6"/>
        <v>19544.790540666687</v>
      </c>
      <c r="G31" s="35">
        <f t="shared" si="6"/>
        <v>30439.354384718081</v>
      </c>
      <c r="H31" s="35">
        <f t="shared" si="6"/>
        <v>39793.398945290297</v>
      </c>
      <c r="I31" s="35">
        <f t="shared" si="6"/>
        <v>51539.0225506809</v>
      </c>
      <c r="J31" s="35">
        <f t="shared" si="6"/>
        <v>58794.966807243203</v>
      </c>
      <c r="K31" s="35">
        <f t="shared" si="6"/>
        <v>377191.09445008636</v>
      </c>
    </row>
    <row r="32" spans="1:11" ht="15" x14ac:dyDescent="0.25">
      <c r="A32" s="33"/>
      <c r="B32" s="33"/>
      <c r="C32" s="33"/>
      <c r="D32" s="33"/>
      <c r="E32" s="33"/>
      <c r="F32" s="33"/>
      <c r="G32" s="33"/>
    </row>
    <row r="33" spans="1:11" ht="15" x14ac:dyDescent="0.25">
      <c r="A33" s="33"/>
      <c r="B33" s="33"/>
      <c r="C33" s="33"/>
      <c r="D33" s="33"/>
      <c r="E33" s="33"/>
      <c r="F33" s="33"/>
      <c r="G33" s="33"/>
    </row>
    <row r="34" spans="1:11" ht="15" x14ac:dyDescent="0.25">
      <c r="A34" s="33"/>
      <c r="B34" s="33" t="s">
        <v>121</v>
      </c>
      <c r="C34" s="45">
        <f>IRR(C31:K31)</f>
        <v>5.6764110517430133E-2</v>
      </c>
      <c r="D34" s="33"/>
      <c r="E34" s="33"/>
      <c r="F34" s="33"/>
      <c r="G34" s="33"/>
    </row>
    <row r="35" spans="1:11" ht="15" x14ac:dyDescent="0.25">
      <c r="A35" s="33"/>
      <c r="B35" s="33"/>
      <c r="C35" s="33">
        <v>0</v>
      </c>
      <c r="D35" s="33">
        <v>1</v>
      </c>
      <c r="E35" s="33">
        <v>2</v>
      </c>
      <c r="F35" s="33">
        <v>3</v>
      </c>
      <c r="G35" s="33">
        <v>4</v>
      </c>
      <c r="H35" s="33">
        <v>5</v>
      </c>
      <c r="I35" s="33">
        <v>6</v>
      </c>
      <c r="J35" s="33">
        <v>7</v>
      </c>
      <c r="K35" s="33">
        <v>8</v>
      </c>
    </row>
    <row r="36" spans="1:11" ht="15" x14ac:dyDescent="0.25">
      <c r="A36" s="33"/>
      <c r="B36" s="33" t="s">
        <v>137</v>
      </c>
      <c r="C36" s="39">
        <f>-PV($C$128,C35,,C31)</f>
        <v>-400000</v>
      </c>
      <c r="D36" s="39">
        <f>-PV($C$128,D35,,D31)</f>
        <v>-2408</v>
      </c>
      <c r="E36" s="39">
        <f>-PV($C$128,E35,,E31)</f>
        <v>13008.072666666667</v>
      </c>
      <c r="F36" s="39">
        <f>-PV($C$128,F35,,F31)</f>
        <v>19544.790540666687</v>
      </c>
      <c r="G36" s="39">
        <f>-PV($C$128,G35,,G31)</f>
        <v>30439.354384718081</v>
      </c>
      <c r="H36" s="39">
        <f t="shared" ref="H36:K36" si="7">-PV($C$128,H35,,H31)</f>
        <v>39793.398945290297</v>
      </c>
      <c r="I36" s="39">
        <f t="shared" si="7"/>
        <v>51539.0225506809</v>
      </c>
      <c r="J36" s="39">
        <f t="shared" si="7"/>
        <v>58794.966807243203</v>
      </c>
      <c r="K36" s="39">
        <f t="shared" si="7"/>
        <v>377191.09445008636</v>
      </c>
    </row>
    <row r="37" spans="1:11" ht="15" x14ac:dyDescent="0.25">
      <c r="A37" s="33"/>
      <c r="B37" s="33" t="s">
        <v>113</v>
      </c>
      <c r="C37" s="45">
        <f>WACC!I58</f>
        <v>5.698952334480429E-2</v>
      </c>
      <c r="D37" s="33"/>
      <c r="E37" s="33"/>
      <c r="F37" s="33"/>
      <c r="G37" s="33"/>
    </row>
    <row r="38" spans="1:11" ht="15" x14ac:dyDescent="0.25">
      <c r="A38" s="33"/>
      <c r="B38" s="33"/>
      <c r="C38" s="33"/>
      <c r="D38" s="33"/>
      <c r="E38" s="33"/>
      <c r="F38" s="33"/>
      <c r="G38" s="33"/>
    </row>
    <row r="39" spans="1:11" ht="15" x14ac:dyDescent="0.25">
      <c r="A39" s="33"/>
      <c r="B39" s="33" t="s">
        <v>122</v>
      </c>
      <c r="C39" s="41">
        <f>SUM(C36:K36)</f>
        <v>187902.70034535215</v>
      </c>
      <c r="D39" s="33"/>
      <c r="E39" s="33"/>
      <c r="F39" s="33"/>
      <c r="G39" s="33"/>
    </row>
    <row r="40" spans="1:11" ht="15" x14ac:dyDescent="0.25">
      <c r="A40" s="33"/>
      <c r="B40" s="33"/>
      <c r="C40" s="33"/>
      <c r="D40" s="33"/>
      <c r="E40" s="33"/>
      <c r="F40" s="33"/>
      <c r="G40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4"/>
  <sheetViews>
    <sheetView tabSelected="1" workbookViewId="0">
      <selection activeCell="E4" sqref="E4"/>
    </sheetView>
  </sheetViews>
  <sheetFormatPr defaultColWidth="11.42578125" defaultRowHeight="12.75" x14ac:dyDescent="0.2"/>
  <sheetData>
    <row r="3" spans="2:2" x14ac:dyDescent="0.2">
      <c r="B3" t="s">
        <v>190</v>
      </c>
    </row>
    <row r="5" spans="2:2" x14ac:dyDescent="0.2">
      <c r="B5" t="s">
        <v>189</v>
      </c>
    </row>
    <row r="6" spans="2:2" x14ac:dyDescent="0.2">
      <c r="B6" t="s">
        <v>188</v>
      </c>
    </row>
    <row r="7" spans="2:2" x14ac:dyDescent="0.2">
      <c r="B7" t="s">
        <v>187</v>
      </c>
    </row>
    <row r="8" spans="2:2" x14ac:dyDescent="0.2">
      <c r="B8" t="s">
        <v>186</v>
      </c>
    </row>
    <row r="9" spans="2:2" x14ac:dyDescent="0.2">
      <c r="B9" t="s">
        <v>185</v>
      </c>
    </row>
    <row r="10" spans="2:2" x14ac:dyDescent="0.2">
      <c r="B10" t="s">
        <v>184</v>
      </c>
    </row>
    <row r="11" spans="2:2" x14ac:dyDescent="0.2">
      <c r="B11" t="s">
        <v>183</v>
      </c>
    </row>
    <row r="12" spans="2:2" x14ac:dyDescent="0.2">
      <c r="B12" t="s">
        <v>182</v>
      </c>
    </row>
    <row r="13" spans="2:2" x14ac:dyDescent="0.2">
      <c r="B13" t="s">
        <v>181</v>
      </c>
    </row>
    <row r="14" spans="2:2" x14ac:dyDescent="0.2">
      <c r="B14" t="s">
        <v>180</v>
      </c>
    </row>
    <row r="15" spans="2:2" x14ac:dyDescent="0.2">
      <c r="B15" t="s">
        <v>179</v>
      </c>
    </row>
    <row r="16" spans="2:2" x14ac:dyDescent="0.2">
      <c r="B16" t="s">
        <v>178</v>
      </c>
    </row>
    <row r="17" spans="2:2" x14ac:dyDescent="0.2">
      <c r="B17" t="s">
        <v>177</v>
      </c>
    </row>
    <row r="18" spans="2:2" x14ac:dyDescent="0.2">
      <c r="B18" t="s">
        <v>176</v>
      </c>
    </row>
    <row r="19" spans="2:2" x14ac:dyDescent="0.2">
      <c r="B19" t="s">
        <v>175</v>
      </c>
    </row>
    <row r="20" spans="2:2" x14ac:dyDescent="0.2">
      <c r="B20" t="s">
        <v>174</v>
      </c>
    </row>
    <row r="21" spans="2:2" x14ac:dyDescent="0.2">
      <c r="B21" t="s">
        <v>173</v>
      </c>
    </row>
    <row r="22" spans="2:2" x14ac:dyDescent="0.2">
      <c r="B22" t="s">
        <v>172</v>
      </c>
    </row>
    <row r="23" spans="2:2" x14ac:dyDescent="0.2">
      <c r="B23" t="s">
        <v>171</v>
      </c>
    </row>
    <row r="24" spans="2:2" x14ac:dyDescent="0.2">
      <c r="B24" t="s">
        <v>170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Statement</vt:lpstr>
      <vt:lpstr>Mortgage</vt:lpstr>
      <vt:lpstr>Ratios</vt:lpstr>
      <vt:lpstr>WACC</vt:lpstr>
      <vt:lpstr>IRR</vt:lpstr>
      <vt:lpstr>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2013-12-02T21:16:40Z</dcterms:created>
  <dcterms:modified xsi:type="dcterms:W3CDTF">2019-07-16T22:03:07Z</dcterms:modified>
</cp:coreProperties>
</file>