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9750" yWindow="105" windowWidth="10125" windowHeight="8130"/>
  </bookViews>
  <sheets>
    <sheet name="Answer" sheetId="1" r:id="rId1"/>
    <sheet name="Mortgage" sheetId="2" r:id="rId2"/>
  </sheets>
  <calcPr calcId="145621"/>
</workbook>
</file>

<file path=xl/calcChain.xml><?xml version="1.0" encoding="utf-8"?>
<calcChain xmlns="http://schemas.openxmlformats.org/spreadsheetml/2006/main">
  <c r="C165" i="1" l="1"/>
  <c r="C162" i="1"/>
  <c r="C161" i="1"/>
  <c r="C160" i="1"/>
  <c r="C154" i="1"/>
  <c r="C153" i="1"/>
  <c r="E117" i="1"/>
  <c r="F117" i="1"/>
  <c r="G117" i="1"/>
  <c r="H117" i="1"/>
  <c r="I117" i="1"/>
  <c r="J117" i="1"/>
  <c r="K117" i="1"/>
  <c r="D117" i="1"/>
  <c r="E87" i="1"/>
  <c r="F87" i="1"/>
  <c r="G87" i="1"/>
  <c r="H87" i="1"/>
  <c r="I87" i="1"/>
  <c r="J87" i="1"/>
  <c r="K87" i="1"/>
  <c r="D87" i="1"/>
  <c r="K37" i="1"/>
  <c r="G37" i="1"/>
  <c r="E41" i="1"/>
  <c r="F41" i="1"/>
  <c r="G41" i="1"/>
  <c r="H41" i="1"/>
  <c r="I41" i="1"/>
  <c r="J41" i="1"/>
  <c r="K41" i="1"/>
  <c r="D41" i="1"/>
  <c r="E64" i="1"/>
  <c r="F62" i="1"/>
  <c r="G62" i="1"/>
  <c r="H62" i="1"/>
  <c r="I62" i="1"/>
  <c r="J62" i="1"/>
  <c r="K62" i="1"/>
  <c r="E62" i="1"/>
  <c r="D62" i="1"/>
  <c r="K45" i="1"/>
  <c r="J45" i="1"/>
  <c r="I45" i="1"/>
  <c r="H45" i="1"/>
  <c r="G45" i="1"/>
  <c r="F45" i="1"/>
  <c r="E45" i="1"/>
  <c r="D45" i="1"/>
  <c r="E47" i="1"/>
  <c r="F47" i="1"/>
  <c r="G47" i="1"/>
  <c r="H47" i="1"/>
  <c r="I47" i="1"/>
  <c r="J47" i="1"/>
  <c r="K47" i="1"/>
  <c r="D47" i="1"/>
  <c r="C152" i="1"/>
  <c r="K129" i="1"/>
  <c r="C125" i="1"/>
  <c r="K128" i="1"/>
  <c r="C109" i="1"/>
  <c r="C108" i="1"/>
  <c r="E84" i="1"/>
  <c r="F84" i="1"/>
  <c r="G84" i="1"/>
  <c r="H84" i="1"/>
  <c r="I84" i="1"/>
  <c r="J84" i="1"/>
  <c r="K84" i="1"/>
  <c r="D84" i="1"/>
  <c r="E71" i="1"/>
  <c r="E72" i="1"/>
  <c r="F71" i="1"/>
  <c r="F72" i="1"/>
  <c r="G71" i="1"/>
  <c r="G72" i="1"/>
  <c r="H71" i="1"/>
  <c r="H72" i="1"/>
  <c r="I71" i="1"/>
  <c r="I72" i="1"/>
  <c r="J71" i="1"/>
  <c r="J72" i="1"/>
  <c r="K71" i="1"/>
  <c r="K72" i="1"/>
  <c r="D71" i="1"/>
  <c r="D72" i="1"/>
  <c r="H60" i="1"/>
  <c r="I60" i="1"/>
  <c r="J60" i="1"/>
  <c r="K60" i="1"/>
  <c r="D17" i="1"/>
  <c r="D38" i="1"/>
  <c r="E121" i="1"/>
  <c r="F121" i="1"/>
  <c r="G121" i="1"/>
  <c r="H121" i="1"/>
  <c r="I121" i="1"/>
  <c r="J121" i="1"/>
  <c r="K121" i="1"/>
  <c r="D33" i="1"/>
  <c r="D89" i="1"/>
  <c r="D16" i="1"/>
  <c r="E10" i="1"/>
  <c r="E16" i="1"/>
  <c r="D11" i="1"/>
  <c r="E11" i="1"/>
  <c r="F11" i="1"/>
  <c r="E6" i="1"/>
  <c r="F6" i="1"/>
  <c r="G6" i="1"/>
  <c r="H6" i="1"/>
  <c r="I6" i="1"/>
  <c r="J6" i="1"/>
  <c r="K6" i="1"/>
  <c r="D6" i="1"/>
  <c r="D32" i="1"/>
  <c r="D88" i="1"/>
  <c r="E60" i="1"/>
  <c r="F60" i="1"/>
  <c r="G60" i="1"/>
  <c r="I1" i="2"/>
  <c r="I2" i="2"/>
  <c r="I8" i="2"/>
  <c r="E55" i="2"/>
  <c r="B2" i="2"/>
  <c r="I4" i="2"/>
  <c r="E33" i="1"/>
  <c r="E89" i="1"/>
  <c r="E17" i="1"/>
  <c r="E38" i="1"/>
  <c r="C107" i="1"/>
  <c r="E27" i="1"/>
  <c r="E28" i="1"/>
  <c r="E26" i="1"/>
  <c r="E14" i="1"/>
  <c r="E23" i="1"/>
  <c r="D14" i="1"/>
  <c r="D23" i="1"/>
  <c r="F10" i="1"/>
  <c r="F16" i="1"/>
  <c r="L129" i="1"/>
  <c r="K130" i="1"/>
  <c r="F14" i="1"/>
  <c r="G11" i="1"/>
  <c r="F32" i="1"/>
  <c r="E32" i="1"/>
  <c r="D121" i="1"/>
  <c r="D26" i="1"/>
  <c r="D27" i="1"/>
  <c r="D28" i="1"/>
  <c r="D34" i="1"/>
  <c r="D93" i="1"/>
  <c r="C141" i="1"/>
  <c r="E8" i="2"/>
  <c r="E51" i="2"/>
  <c r="E6" i="2"/>
  <c r="E12" i="2"/>
  <c r="E10" i="2"/>
  <c r="E5" i="2"/>
  <c r="E9" i="2"/>
  <c r="E3" i="2"/>
  <c r="E38" i="2"/>
  <c r="E46" i="2"/>
  <c r="E23" i="2"/>
  <c r="E36" i="2"/>
  <c r="E17" i="2"/>
  <c r="E41" i="2"/>
  <c r="E20" i="2"/>
  <c r="E21" i="2"/>
  <c r="E11" i="2"/>
  <c r="E54" i="2"/>
  <c r="E40" i="2"/>
  <c r="E44" i="2"/>
  <c r="D2" i="2"/>
  <c r="D14" i="2"/>
  <c r="E35" i="2"/>
  <c r="E48" i="2"/>
  <c r="E27" i="2"/>
  <c r="E50" i="2"/>
  <c r="E49" i="2"/>
  <c r="E4" i="2"/>
  <c r="E13" i="2"/>
  <c r="E19" i="2"/>
  <c r="E32" i="2"/>
  <c r="E53" i="2"/>
  <c r="E52" i="2"/>
  <c r="E45" i="2"/>
  <c r="E2" i="2"/>
  <c r="E47" i="2"/>
  <c r="E31" i="2"/>
  <c r="E18" i="2"/>
  <c r="E30" i="2"/>
  <c r="E26" i="2"/>
  <c r="E16" i="2"/>
  <c r="E25" i="2"/>
  <c r="E24" i="2"/>
  <c r="E37" i="2"/>
  <c r="E33" i="2"/>
  <c r="E34" i="2"/>
  <c r="E39" i="2"/>
  <c r="E7" i="2"/>
  <c r="E22" i="2"/>
  <c r="D22" i="1"/>
  <c r="F17" i="1"/>
  <c r="F38" i="1"/>
  <c r="E24" i="1"/>
  <c r="E37" i="1"/>
  <c r="E22" i="1"/>
  <c r="E39" i="1"/>
  <c r="G10" i="1"/>
  <c r="G16" i="1"/>
  <c r="E86" i="1"/>
  <c r="E91" i="1"/>
  <c r="D24" i="1"/>
  <c r="D37" i="1"/>
  <c r="F33" i="1"/>
  <c r="F89" i="1"/>
  <c r="E96" i="1"/>
  <c r="C2" i="2"/>
  <c r="C14" i="2"/>
  <c r="E85" i="1"/>
  <c r="E36" i="1"/>
  <c r="G17" i="1"/>
  <c r="G32" i="1"/>
  <c r="H11" i="1"/>
  <c r="G14" i="1"/>
  <c r="D39" i="1"/>
  <c r="D86" i="1"/>
  <c r="D91" i="1"/>
  <c r="D96" i="1"/>
  <c r="H10" i="1"/>
  <c r="E88" i="1"/>
  <c r="E34" i="1"/>
  <c r="D36" i="1"/>
  <c r="D85" i="1"/>
  <c r="D90" i="1"/>
  <c r="D56" i="1"/>
  <c r="D63" i="1"/>
  <c r="D64" i="1"/>
  <c r="D40" i="1"/>
  <c r="E63" i="1"/>
  <c r="D92" i="1"/>
  <c r="F22" i="1"/>
  <c r="F24" i="1"/>
  <c r="F23" i="1"/>
  <c r="F26" i="1"/>
  <c r="F28" i="1"/>
  <c r="F27" i="1"/>
  <c r="F88" i="1"/>
  <c r="G33" i="1"/>
  <c r="G89" i="1"/>
  <c r="E95" i="1"/>
  <c r="D95" i="1"/>
  <c r="F34" i="1"/>
  <c r="F93" i="1"/>
  <c r="D43" i="1"/>
  <c r="D116" i="1"/>
  <c r="D118" i="1"/>
  <c r="D122" i="1"/>
  <c r="F2" i="2"/>
  <c r="B3" i="2"/>
  <c r="D3" i="2"/>
  <c r="C3" i="2"/>
  <c r="F3" i="2"/>
  <c r="B4" i="2"/>
  <c r="F37" i="1"/>
  <c r="D94" i="1"/>
  <c r="D98" i="1"/>
  <c r="D57" i="1"/>
  <c r="D133" i="1"/>
  <c r="E56" i="1"/>
  <c r="E93" i="1"/>
  <c r="G28" i="1"/>
  <c r="G26" i="1"/>
  <c r="G27" i="1"/>
  <c r="H32" i="1"/>
  <c r="I11" i="1"/>
  <c r="H14" i="1"/>
  <c r="F86" i="1"/>
  <c r="F91" i="1"/>
  <c r="F96" i="1"/>
  <c r="F85" i="1"/>
  <c r="F90" i="1"/>
  <c r="F36" i="1"/>
  <c r="F95" i="1"/>
  <c r="E40" i="1"/>
  <c r="E43" i="1"/>
  <c r="E92" i="1"/>
  <c r="E90" i="1"/>
  <c r="I10" i="1"/>
  <c r="H33" i="1"/>
  <c r="H89" i="1"/>
  <c r="H16" i="1"/>
  <c r="G88" i="1"/>
  <c r="G34" i="1"/>
  <c r="G38" i="1"/>
  <c r="H17" i="1"/>
  <c r="F39" i="1"/>
  <c r="G23" i="1"/>
  <c r="G22" i="1"/>
  <c r="G24" i="1"/>
  <c r="D50" i="1"/>
  <c r="D70" i="1"/>
  <c r="F92" i="1"/>
  <c r="F94" i="1"/>
  <c r="F98" i="1"/>
  <c r="E94" i="1"/>
  <c r="E98" i="1"/>
  <c r="F56" i="1"/>
  <c r="F57" i="1"/>
  <c r="F58" i="1"/>
  <c r="D134" i="1"/>
  <c r="D141" i="1"/>
  <c r="D58" i="1"/>
  <c r="D67" i="1"/>
  <c r="G56" i="1"/>
  <c r="H24" i="1"/>
  <c r="H23" i="1"/>
  <c r="H22" i="1"/>
  <c r="G86" i="1"/>
  <c r="G91" i="1"/>
  <c r="G96" i="1"/>
  <c r="E50" i="1"/>
  <c r="E70" i="1"/>
  <c r="E116" i="1"/>
  <c r="E118" i="1"/>
  <c r="G93" i="1"/>
  <c r="G92" i="1"/>
  <c r="J10" i="1"/>
  <c r="I16" i="1"/>
  <c r="I33" i="1"/>
  <c r="I89" i="1"/>
  <c r="I14" i="1"/>
  <c r="J11" i="1"/>
  <c r="I32" i="1"/>
  <c r="E57" i="1"/>
  <c r="E133" i="1"/>
  <c r="G39" i="1"/>
  <c r="H38" i="1"/>
  <c r="I17" i="1"/>
  <c r="H27" i="1"/>
  <c r="H28" i="1"/>
  <c r="H26" i="1"/>
  <c r="F63" i="1"/>
  <c r="F64" i="1"/>
  <c r="G85" i="1"/>
  <c r="G90" i="1"/>
  <c r="G36" i="1"/>
  <c r="G95" i="1"/>
  <c r="H88" i="1"/>
  <c r="H34" i="1"/>
  <c r="H93" i="1"/>
  <c r="D4" i="2"/>
  <c r="C4" i="2"/>
  <c r="F4" i="2"/>
  <c r="B5" i="2"/>
  <c r="D51" i="1"/>
  <c r="D76" i="1"/>
  <c r="D79" i="1"/>
  <c r="D81" i="1"/>
  <c r="H37" i="1"/>
  <c r="E51" i="1"/>
  <c r="H39" i="1"/>
  <c r="F133" i="1"/>
  <c r="E134" i="1"/>
  <c r="G94" i="1"/>
  <c r="G98" i="1"/>
  <c r="H63" i="1"/>
  <c r="H64" i="1"/>
  <c r="H86" i="1"/>
  <c r="H91" i="1"/>
  <c r="H96" i="1"/>
  <c r="I88" i="1"/>
  <c r="I34" i="1"/>
  <c r="F67" i="1"/>
  <c r="F40" i="1"/>
  <c r="F43" i="1"/>
  <c r="G61" i="1"/>
  <c r="G127" i="1"/>
  <c r="J17" i="1"/>
  <c r="I38" i="1"/>
  <c r="E119" i="1"/>
  <c r="E122" i="1"/>
  <c r="G57" i="1"/>
  <c r="G58" i="1"/>
  <c r="H92" i="1"/>
  <c r="E58" i="1"/>
  <c r="E67" i="1"/>
  <c r="K11" i="1"/>
  <c r="J14" i="1"/>
  <c r="J32" i="1"/>
  <c r="I27" i="1"/>
  <c r="I26" i="1"/>
  <c r="I28" i="1"/>
  <c r="H85" i="1"/>
  <c r="H90" i="1"/>
  <c r="H36" i="1"/>
  <c r="H95" i="1"/>
  <c r="I22" i="1"/>
  <c r="I24" i="1"/>
  <c r="I23" i="1"/>
  <c r="J16" i="1"/>
  <c r="J33" i="1"/>
  <c r="J89" i="1"/>
  <c r="K10" i="1"/>
  <c r="H56" i="1"/>
  <c r="D5" i="2"/>
  <c r="C5" i="2"/>
  <c r="F5" i="2"/>
  <c r="B6" i="2"/>
  <c r="E141" i="1"/>
  <c r="E76" i="1"/>
  <c r="E79" i="1"/>
  <c r="E81" i="1"/>
  <c r="F116" i="1"/>
  <c r="F118" i="1"/>
  <c r="F119" i="1"/>
  <c r="F122" i="1"/>
  <c r="F50" i="1"/>
  <c r="G133" i="1"/>
  <c r="H57" i="1"/>
  <c r="H133" i="1"/>
  <c r="J27" i="1"/>
  <c r="J28" i="1"/>
  <c r="J26" i="1"/>
  <c r="J88" i="1"/>
  <c r="J34" i="1"/>
  <c r="J93" i="1"/>
  <c r="J38" i="1"/>
  <c r="K17" i="1"/>
  <c r="K38" i="1"/>
  <c r="I56" i="1"/>
  <c r="I63" i="1"/>
  <c r="I64" i="1"/>
  <c r="I85" i="1"/>
  <c r="I90" i="1"/>
  <c r="I36" i="1"/>
  <c r="I95" i="1"/>
  <c r="I37" i="1"/>
  <c r="J23" i="1"/>
  <c r="J22" i="1"/>
  <c r="J24" i="1"/>
  <c r="I93" i="1"/>
  <c r="I92" i="1"/>
  <c r="H40" i="1"/>
  <c r="H43" i="1"/>
  <c r="H116" i="1"/>
  <c r="H118" i="1"/>
  <c r="K33" i="1"/>
  <c r="K89" i="1"/>
  <c r="K16" i="1"/>
  <c r="I39" i="1"/>
  <c r="I86" i="1"/>
  <c r="I91" i="1"/>
  <c r="I96" i="1"/>
  <c r="K32" i="1"/>
  <c r="K14" i="1"/>
  <c r="H94" i="1"/>
  <c r="H98" i="1"/>
  <c r="D6" i="2"/>
  <c r="C6" i="2"/>
  <c r="F6" i="2"/>
  <c r="B7" i="2"/>
  <c r="H50" i="1"/>
  <c r="H70" i="1"/>
  <c r="F70" i="1"/>
  <c r="F134" i="1"/>
  <c r="F141" i="1"/>
  <c r="F51" i="1"/>
  <c r="F76" i="1"/>
  <c r="H58" i="1"/>
  <c r="H67" i="1"/>
  <c r="J37" i="1"/>
  <c r="K88" i="1"/>
  <c r="K34" i="1"/>
  <c r="K93" i="1"/>
  <c r="H119" i="1"/>
  <c r="H122" i="1"/>
  <c r="J85" i="1"/>
  <c r="J90" i="1"/>
  <c r="J36" i="1"/>
  <c r="J95" i="1"/>
  <c r="I40" i="1"/>
  <c r="I43" i="1"/>
  <c r="K24" i="1"/>
  <c r="K22" i="1"/>
  <c r="K23" i="1"/>
  <c r="K27" i="1"/>
  <c r="K26" i="1"/>
  <c r="K28" i="1"/>
  <c r="I94" i="1"/>
  <c r="I98" i="1"/>
  <c r="I57" i="1"/>
  <c r="I58" i="1"/>
  <c r="I67" i="1"/>
  <c r="J56" i="1"/>
  <c r="J86" i="1"/>
  <c r="J91" i="1"/>
  <c r="J96" i="1"/>
  <c r="H51" i="1"/>
  <c r="J39" i="1"/>
  <c r="J63" i="1"/>
  <c r="J64" i="1"/>
  <c r="J92" i="1"/>
  <c r="D7" i="2"/>
  <c r="C7" i="2"/>
  <c r="F7" i="2"/>
  <c r="B8" i="2"/>
  <c r="K39" i="1"/>
  <c r="F79" i="1"/>
  <c r="F81" i="1"/>
  <c r="K86" i="1"/>
  <c r="K91" i="1"/>
  <c r="K96" i="1"/>
  <c r="K92" i="1"/>
  <c r="J94" i="1"/>
  <c r="J98" i="1"/>
  <c r="J40" i="1"/>
  <c r="J43" i="1"/>
  <c r="K61" i="1"/>
  <c r="K127" i="1"/>
  <c r="J57" i="1"/>
  <c r="J133" i="1"/>
  <c r="I133" i="1"/>
  <c r="I116" i="1"/>
  <c r="I118" i="1"/>
  <c r="I50" i="1"/>
  <c r="I70" i="1"/>
  <c r="K56" i="1"/>
  <c r="K85" i="1"/>
  <c r="K90" i="1"/>
  <c r="K36" i="1"/>
  <c r="K95" i="1"/>
  <c r="D8" i="2"/>
  <c r="C8" i="2"/>
  <c r="F8" i="2"/>
  <c r="B9" i="2"/>
  <c r="I51" i="1"/>
  <c r="I134" i="1"/>
  <c r="K94" i="1"/>
  <c r="K98" i="1"/>
  <c r="J116" i="1"/>
  <c r="J118" i="1"/>
  <c r="J50" i="1"/>
  <c r="J70" i="1"/>
  <c r="K57" i="1"/>
  <c r="K58" i="1"/>
  <c r="J58" i="1"/>
  <c r="J67" i="1"/>
  <c r="K63" i="1"/>
  <c r="K64" i="1"/>
  <c r="I119" i="1"/>
  <c r="I122" i="1"/>
  <c r="D9" i="2"/>
  <c r="C9" i="2"/>
  <c r="F9" i="2"/>
  <c r="B10" i="2"/>
  <c r="I141" i="1"/>
  <c r="J134" i="1"/>
  <c r="K133" i="1"/>
  <c r="K138" i="1"/>
  <c r="J119" i="1"/>
  <c r="J122" i="1"/>
  <c r="K67" i="1"/>
  <c r="K40" i="1"/>
  <c r="K43" i="1"/>
  <c r="J51" i="1"/>
  <c r="D10" i="2"/>
  <c r="C10" i="2"/>
  <c r="F10" i="2"/>
  <c r="B11" i="2"/>
  <c r="J141" i="1"/>
  <c r="K50" i="1"/>
  <c r="K70" i="1"/>
  <c r="K116" i="1"/>
  <c r="K118" i="1"/>
  <c r="K119" i="1"/>
  <c r="K122" i="1"/>
  <c r="D11" i="2"/>
  <c r="C11" i="2"/>
  <c r="F11" i="2"/>
  <c r="B12" i="2"/>
  <c r="K51" i="1"/>
  <c r="K139" i="1"/>
  <c r="K134" i="1"/>
  <c r="D12" i="2"/>
  <c r="C12" i="2"/>
  <c r="F12" i="2"/>
  <c r="B13" i="2"/>
  <c r="D13" i="2"/>
  <c r="C13" i="2"/>
  <c r="F13" i="2"/>
  <c r="B16" i="2"/>
  <c r="D16" i="2"/>
  <c r="D28" i="2"/>
  <c r="C16" i="2"/>
  <c r="C28" i="2"/>
  <c r="F16" i="2"/>
  <c r="B17" i="2"/>
  <c r="D17" i="2"/>
  <c r="C17" i="2"/>
  <c r="F17" i="2"/>
  <c r="B18" i="2"/>
  <c r="D18" i="2"/>
  <c r="C18" i="2"/>
  <c r="F18" i="2"/>
  <c r="B19" i="2"/>
  <c r="D19" i="2"/>
  <c r="C19" i="2"/>
  <c r="F19" i="2"/>
  <c r="B20" i="2"/>
  <c r="D20" i="2"/>
  <c r="C20" i="2"/>
  <c r="F20" i="2"/>
  <c r="B21" i="2"/>
  <c r="D21" i="2"/>
  <c r="C21" i="2"/>
  <c r="F21" i="2"/>
  <c r="B22" i="2"/>
  <c r="D22" i="2"/>
  <c r="C22" i="2"/>
  <c r="F22" i="2"/>
  <c r="B23" i="2"/>
  <c r="D23" i="2"/>
  <c r="C23" i="2"/>
  <c r="F23" i="2"/>
  <c r="B24" i="2"/>
  <c r="D24" i="2"/>
  <c r="C24" i="2"/>
  <c r="F24" i="2"/>
  <c r="B25" i="2"/>
  <c r="D25" i="2"/>
  <c r="C25" i="2"/>
  <c r="F25" i="2"/>
  <c r="B26" i="2"/>
  <c r="D26" i="2"/>
  <c r="C26" i="2"/>
  <c r="F26" i="2"/>
  <c r="B27" i="2"/>
  <c r="D27" i="2"/>
  <c r="C27" i="2"/>
  <c r="F27" i="2"/>
  <c r="B30" i="2"/>
  <c r="D30" i="2"/>
  <c r="D42" i="2"/>
  <c r="C30" i="2"/>
  <c r="C42" i="2"/>
  <c r="F30" i="2"/>
  <c r="B31" i="2"/>
  <c r="D31" i="2"/>
  <c r="C31" i="2"/>
  <c r="F31" i="2"/>
  <c r="B32" i="2"/>
  <c r="D32" i="2"/>
  <c r="C32" i="2"/>
  <c r="F32" i="2"/>
  <c r="B33" i="2"/>
  <c r="D33" i="2"/>
  <c r="C33" i="2"/>
  <c r="F33" i="2"/>
  <c r="B34" i="2"/>
  <c r="D34" i="2"/>
  <c r="C34" i="2"/>
  <c r="F34" i="2"/>
  <c r="B35" i="2"/>
  <c r="D35" i="2"/>
  <c r="C35" i="2"/>
  <c r="F35" i="2"/>
  <c r="B36" i="2"/>
  <c r="D36" i="2"/>
  <c r="C36" i="2"/>
  <c r="F36" i="2"/>
  <c r="B37" i="2"/>
  <c r="D37" i="2"/>
  <c r="C37" i="2"/>
  <c r="F37" i="2"/>
  <c r="B38" i="2"/>
  <c r="D38" i="2"/>
  <c r="C38" i="2"/>
  <c r="F38" i="2"/>
  <c r="B39" i="2"/>
  <c r="D39" i="2"/>
  <c r="C39" i="2"/>
  <c r="F39" i="2"/>
  <c r="B40" i="2"/>
  <c r="D40" i="2"/>
  <c r="C40" i="2"/>
  <c r="F40" i="2"/>
  <c r="B41" i="2"/>
  <c r="D41" i="2"/>
  <c r="C41" i="2"/>
  <c r="F41" i="2"/>
  <c r="B44" i="2"/>
  <c r="D44" i="2"/>
  <c r="D56" i="2"/>
  <c r="C44" i="2"/>
  <c r="C56" i="2"/>
  <c r="F44" i="2"/>
  <c r="B45" i="2"/>
  <c r="D45" i="2"/>
  <c r="C45" i="2"/>
  <c r="F45" i="2"/>
  <c r="B46" i="2"/>
  <c r="D46" i="2"/>
  <c r="C46" i="2"/>
  <c r="F46" i="2"/>
  <c r="B47" i="2"/>
  <c r="D47" i="2"/>
  <c r="C47" i="2"/>
  <c r="F47" i="2"/>
  <c r="B48" i="2"/>
  <c r="D48" i="2"/>
  <c r="C48" i="2"/>
  <c r="F48" i="2"/>
  <c r="B49" i="2"/>
  <c r="D49" i="2"/>
  <c r="C49" i="2"/>
  <c r="F49" i="2"/>
  <c r="B50" i="2"/>
  <c r="D50" i="2"/>
  <c r="C50" i="2"/>
  <c r="F50" i="2"/>
  <c r="B51" i="2"/>
  <c r="D51" i="2"/>
  <c r="C51" i="2"/>
  <c r="F51" i="2"/>
  <c r="B52" i="2"/>
  <c r="D52" i="2"/>
  <c r="C52" i="2"/>
  <c r="F52" i="2"/>
  <c r="B53" i="2"/>
  <c r="D53" i="2"/>
  <c r="C53" i="2"/>
  <c r="F53" i="2"/>
  <c r="B54" i="2"/>
  <c r="D54" i="2"/>
  <c r="C54" i="2"/>
  <c r="F54" i="2"/>
  <c r="B55" i="2"/>
  <c r="D55" i="2"/>
  <c r="C55" i="2"/>
  <c r="F55" i="2"/>
  <c r="G63" i="1"/>
  <c r="G64" i="1"/>
  <c r="G67" i="1"/>
  <c r="G40" i="1"/>
  <c r="G43" i="1"/>
  <c r="G50" i="1"/>
  <c r="G70" i="1"/>
  <c r="G116" i="1"/>
  <c r="G118" i="1"/>
  <c r="G119" i="1"/>
  <c r="G122" i="1"/>
  <c r="G51" i="1"/>
  <c r="G76" i="1"/>
  <c r="H134" i="1"/>
  <c r="H141" i="1"/>
  <c r="G134" i="1"/>
  <c r="K137" i="1"/>
  <c r="K141" i="1"/>
  <c r="G141" i="1"/>
  <c r="G79" i="1"/>
  <c r="G81" i="1"/>
  <c r="H76" i="1"/>
  <c r="L143" i="1"/>
  <c r="H79" i="1"/>
  <c r="H81" i="1"/>
  <c r="I76" i="1"/>
  <c r="I79" i="1"/>
  <c r="I81" i="1"/>
  <c r="J76" i="1"/>
  <c r="J79" i="1"/>
  <c r="J81" i="1"/>
  <c r="K76" i="1"/>
  <c r="C105" i="1"/>
  <c r="C106" i="1"/>
  <c r="C111" i="1"/>
  <c r="E145" i="1"/>
  <c r="K79" i="1"/>
  <c r="K81" i="1"/>
  <c r="K145" i="1"/>
  <c r="H145" i="1"/>
  <c r="C145" i="1"/>
  <c r="F145" i="1"/>
  <c r="G145" i="1"/>
  <c r="D145" i="1"/>
  <c r="I145" i="1"/>
  <c r="J145" i="1"/>
  <c r="L147" i="1"/>
</calcChain>
</file>

<file path=xl/sharedStrings.xml><?xml version="1.0" encoding="utf-8"?>
<sst xmlns="http://schemas.openxmlformats.org/spreadsheetml/2006/main" count="194" uniqueCount="175">
  <si>
    <t>FORECAST</t>
  </si>
  <si>
    <t>INCOME STATEMENT</t>
  </si>
  <si>
    <t>Operating Expenses</t>
  </si>
  <si>
    <t>Total Operating Expenses</t>
  </si>
  <si>
    <t>Operating Profit</t>
  </si>
  <si>
    <t>Depreciation</t>
  </si>
  <si>
    <t>Mortgage Interest Expense</t>
  </si>
  <si>
    <t>Taxes</t>
  </si>
  <si>
    <t>Net Profit After Taxes</t>
  </si>
  <si>
    <t>BALANCE SHEET</t>
  </si>
  <si>
    <t>Assets</t>
  </si>
  <si>
    <t>Cash</t>
  </si>
  <si>
    <t>Accounts Receivable</t>
  </si>
  <si>
    <t>Total Current Assets</t>
  </si>
  <si>
    <t>Buildings</t>
  </si>
  <si>
    <t>Less:  Accumulated Depreciation</t>
  </si>
  <si>
    <t>Total Assets</t>
  </si>
  <si>
    <t>Liabilities and Equity</t>
  </si>
  <si>
    <t>Income Tax Payable</t>
  </si>
  <si>
    <t>Bank Loans</t>
  </si>
  <si>
    <t>Shareholder Contributions</t>
  </si>
  <si>
    <t>Retained Earnings</t>
  </si>
  <si>
    <t>Total Liabilities and Equity</t>
  </si>
  <si>
    <t>Beg Balance</t>
  </si>
  <si>
    <t>Principal</t>
  </si>
  <si>
    <t xml:space="preserve">Interest </t>
  </si>
  <si>
    <t>Payment</t>
  </si>
  <si>
    <t>End Balance</t>
  </si>
  <si>
    <t>Rate</t>
  </si>
  <si>
    <t>January 2012</t>
  </si>
  <si>
    <t>Per Rate</t>
  </si>
  <si>
    <t>February 2012</t>
  </si>
  <si>
    <t>FV</t>
  </si>
  <si>
    <t>March 2012</t>
  </si>
  <si>
    <t>Per</t>
  </si>
  <si>
    <t>April 2012</t>
  </si>
  <si>
    <t>Type</t>
  </si>
  <si>
    <t>May 2012</t>
  </si>
  <si>
    <t>PV</t>
  </si>
  <si>
    <t>June 2012</t>
  </si>
  <si>
    <t>July 2012</t>
  </si>
  <si>
    <t>August 2012</t>
  </si>
  <si>
    <t>September 2012</t>
  </si>
  <si>
    <t>October 2012</t>
  </si>
  <si>
    <t>November 2012</t>
  </si>
  <si>
    <t>December 2012</t>
  </si>
  <si>
    <t>TOTALS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</si>
  <si>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</si>
  <si>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</si>
  <si>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</si>
  <si>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</si>
  <si>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</si>
  <si>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</si>
  <si>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</si>
  <si>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</si>
  <si>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</si>
  <si>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</si>
  <si>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</si>
  <si>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</si>
  <si>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</si>
  <si>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</si>
  <si>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</si>
  <si>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</si>
  <si>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</si>
  <si>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</si>
  <si>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</si>
  <si>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</si>
  <si>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</si>
  <si>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</si>
  <si>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</si>
  <si>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</si>
  <si>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</si>
  <si>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</si>
  <si>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</si>
  <si>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</si>
  <si>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</si>
  <si>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</si>
  <si>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</si>
  <si>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</si>
  <si>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</si>
  <si>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</si>
  <si>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</si>
  <si>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</si>
  <si>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Utilities</t>
  </si>
  <si>
    <t>Building Maintenance</t>
  </si>
  <si>
    <t>Storage Unit</t>
  </si>
  <si>
    <t>485 units (10x12)</t>
  </si>
  <si>
    <t>1 Aparment (Managers)</t>
  </si>
  <si>
    <t>Assumptions:</t>
  </si>
  <si>
    <t>Costs:</t>
  </si>
  <si>
    <t>Increase in price each year</t>
  </si>
  <si>
    <t>Increase in utilities</t>
  </si>
  <si>
    <t>Operating Expenses as % of sale price</t>
  </si>
  <si>
    <t>Management salary</t>
  </si>
  <si>
    <t>Price per unit (RV)</t>
  </si>
  <si>
    <t>Price per unit (standard)</t>
  </si>
  <si>
    <t>8 RV Units (16x50)</t>
  </si>
  <si>
    <t>Operating Expenses (RV)</t>
  </si>
  <si>
    <t>Monthly</t>
  </si>
  <si>
    <t>Operating Expenses per unit</t>
  </si>
  <si>
    <t>Avg Monthly Occupancy</t>
  </si>
  <si>
    <t>Sales Revenue - RV</t>
  </si>
  <si>
    <t>Sales Revenue - Standard</t>
  </si>
  <si>
    <t>Total Revenue</t>
  </si>
  <si>
    <t>Insurance Expense</t>
  </si>
  <si>
    <t>Administrative Costs</t>
  </si>
  <si>
    <t>6.85% for 30 years</t>
  </si>
  <si>
    <t>Insurance</t>
  </si>
  <si>
    <t>Maintenance/Improvements</t>
  </si>
  <si>
    <t>Tax Rate</t>
  </si>
  <si>
    <t>selfstorage.org</t>
  </si>
  <si>
    <t>Net Buildings</t>
  </si>
  <si>
    <t>Mortgage Payment</t>
  </si>
  <si>
    <t>Bank Loan Interest</t>
  </si>
  <si>
    <t>Remaining Mortgage</t>
  </si>
  <si>
    <t>Extra bank loan: 8.5%</t>
  </si>
  <si>
    <t>Fixed Expenses:</t>
  </si>
  <si>
    <t>Variable Expenses (standard):</t>
  </si>
  <si>
    <t>Variable Expenses (RV):</t>
  </si>
  <si>
    <t>Sales (standard):</t>
  </si>
  <si>
    <t>Sales (RV):</t>
  </si>
  <si>
    <t>CM Ratio(standard) :</t>
  </si>
  <si>
    <t>CM Ratio (RV):</t>
  </si>
  <si>
    <t>% of sales (standard)</t>
  </si>
  <si>
    <t>% of sales (RV)</t>
  </si>
  <si>
    <t>Breakeven in Sales:</t>
  </si>
  <si>
    <t>WAUCM</t>
  </si>
  <si>
    <t>Unit CM (standard)</t>
  </si>
  <si>
    <t>Unit CM (RV)</t>
  </si>
  <si>
    <t>Cash From Operations</t>
  </si>
  <si>
    <t>Property Tax</t>
  </si>
  <si>
    <t>Land</t>
  </si>
  <si>
    <t>A/R Bad Debt Allowance</t>
  </si>
  <si>
    <t>Owner's Equity</t>
  </si>
  <si>
    <t>Mortgage - $1,000,000 &amp; $450,000 down</t>
  </si>
  <si>
    <t>WACC</t>
  </si>
  <si>
    <t>Proportion of Equity</t>
  </si>
  <si>
    <t>Proportion of Debt</t>
  </si>
  <si>
    <t>Blended Interest Rate</t>
  </si>
  <si>
    <t>CAPM</t>
  </si>
  <si>
    <t>Less Depreciation</t>
  </si>
  <si>
    <t>Total</t>
  </si>
  <si>
    <t>Taxes on operation only</t>
  </si>
  <si>
    <t xml:space="preserve">Add Deprectiation </t>
  </si>
  <si>
    <t>Total Cash From Operations</t>
  </si>
  <si>
    <t>Cash In/Out Capital Expenditures</t>
  </si>
  <si>
    <t>Buy buildings</t>
  </si>
  <si>
    <t>Buy Land</t>
  </si>
  <si>
    <t>Cash In/Out From Working Capital Changes</t>
  </si>
  <si>
    <t>Net Accounts Receivable</t>
  </si>
  <si>
    <t>Income Taxes Payable</t>
  </si>
  <si>
    <t>Total Free Cash Flows From Operations</t>
  </si>
  <si>
    <t>IRR</t>
  </si>
  <si>
    <t>PV of Free Cash Flows</t>
  </si>
  <si>
    <t>NPV</t>
  </si>
  <si>
    <t>taxes from sale</t>
  </si>
  <si>
    <t>sell buildings</t>
  </si>
  <si>
    <t>sell land</t>
  </si>
  <si>
    <t>refurbishing/fix up costs</t>
  </si>
  <si>
    <t>Building refurbishings</t>
  </si>
  <si>
    <t>Cash in/out from liquidating working capital</t>
  </si>
  <si>
    <t>All accounts</t>
  </si>
  <si>
    <t>loss on sale</t>
  </si>
  <si>
    <t>Net change in building</t>
  </si>
  <si>
    <t>Taxes Payable</t>
  </si>
  <si>
    <t>Getting IRR and WACC to Match</t>
  </si>
  <si>
    <t>Blended interest rate</t>
  </si>
  <si>
    <t>Debt proportion</t>
  </si>
  <si>
    <t>Equity proportion</t>
  </si>
  <si>
    <t>Beta</t>
  </si>
  <si>
    <t>Market rate</t>
  </si>
  <si>
    <t>T-Bill Rate</t>
  </si>
  <si>
    <t>Unlevered Beta</t>
  </si>
  <si>
    <t>Relevered Beta</t>
  </si>
  <si>
    <t>This is weird, but it is the only proportions that goal seek will give 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</si>
</sst>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.00_);_(* \(#,##0.00\);_(* \-??_);_(@_)"/>
    <numFmt numFmtId="165" formatCode="_(* #,##0_);_(* \(#,##0\);_(* \-??_);_(@_)"/>
    <numFmt numFmtId="166" formatCode="_(\$* #,##0.00_);_(\$* \(#,##0.00\);_(\$* \-??_);_(@_)"/>
    <numFmt numFmtId="167" formatCode="_(* #,##0.000000_);_(* \(#,##0.000000\);_(* \-??_);_(@_)"/>
    <numFmt numFmtId="168" formatCode="_(\$* #,##0_);_(\$* \(#,##0\);_(\$* \-??_);_(@_)"/>
    <numFmt numFmtId="169" formatCode="0.0"/>
    <numFmt numFmtId="170" formatCode="[$$-409]#,##0.00;[Red]\-[$$-409]#,##0.00"/>
    <numFmt numFmtId="171" formatCode="0.0000"/>
    <numFmt numFmtId="172" formatCode="_(* #,##0.000_);_(* \(#,##0.000\);_(* &quot;-&quot;??_);_(@_)"/>
  </numFmts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 val="singleAccounting"/>
      <sz val="11"/>
      <color indexed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166" fontId="1" fillId="0" borderId="0"/>
    <xf numFmtId="0" fontId="1" fillId="0" borderId="0"/>
    <xf numFmtId="9" fontId="1" fillId="0" borderId="0"/>
  </cellStyleXfs>
  <cellXfs count="48">
    <xf numFmtId="0" fontId="0" fillId="0" borderId="0" xfId="0"/>
    <xf numFmtId="0" fontId="1" fillId="0" borderId="0" xfId="3"/>
    <xf numFmtId="0" fontId="2" fillId="0" borderId="1" xfId="3" applyFont="1" applyBorder="1"/>
    <xf numFmtId="0" fontId="1" fillId="0" borderId="1" xfId="3" applyBorder="1"/>
    <xf numFmtId="0" fontId="2" fillId="0" borderId="0" xfId="3" applyFont="1"/>
    <xf numFmtId="165" fontId="1" fillId="0" borderId="0" xfId="1" applyNumberFormat="1"/>
    <xf numFmtId="9" fontId="1" fillId="0" borderId="0" xfId="4"/>
    <xf numFmtId="166" fontId="1" fillId="0" borderId="0" xfId="2"/>
    <xf numFmtId="164" fontId="1" fillId="0" borderId="0" xfId="1"/>
    <xf numFmtId="9" fontId="1" fillId="0" borderId="0" xfId="3" applyNumberFormat="1"/>
    <xf numFmtId="167" fontId="1" fillId="0" borderId="0" xfId="3" applyNumberFormat="1"/>
    <xf numFmtId="0" fontId="1" fillId="0" borderId="0" xfId="3" applyFont="1"/>
    <xf numFmtId="168" fontId="1" fillId="0" borderId="0" xfId="2" applyNumberFormat="1"/>
    <xf numFmtId="169" fontId="1" fillId="0" borderId="0" xfId="3" applyNumberFormat="1"/>
    <xf numFmtId="168" fontId="1" fillId="0" borderId="0" xfId="2" applyNumberFormat="1" applyFont="1" applyFill="1" applyBorder="1" applyAlignment="1" applyProtection="1"/>
    <xf numFmtId="10" fontId="1" fillId="0" borderId="0" xfId="4" applyNumberFormat="1"/>
    <xf numFmtId="168" fontId="1" fillId="0" borderId="0" xfId="3" applyNumberFormat="1"/>
    <xf numFmtId="10" fontId="0" fillId="0" borderId="0" xfId="0" applyNumberFormat="1"/>
    <xf numFmtId="0" fontId="0" fillId="0" borderId="0" xfId="0" applyFont="1" applyAlignment="1">
      <alignment wrapText="1"/>
    </xf>
    <xf numFmtId="170" fontId="0" fillId="0" borderId="0" xfId="0" applyNumberFormat="1" applyFont="1" applyAlignment="1">
      <alignment wrapText="1"/>
    </xf>
    <xf numFmtId="170" fontId="0" fillId="0" borderId="0" xfId="0" applyNumberFormat="1"/>
    <xf numFmtId="0" fontId="0" fillId="0" borderId="0" xfId="0" applyNumberFormat="1"/>
    <xf numFmtId="170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170" fontId="0" fillId="2" borderId="0" xfId="0" applyNumberFormat="1" applyFill="1"/>
    <xf numFmtId="0" fontId="5" fillId="0" borderId="0" xfId="3" applyFont="1"/>
    <xf numFmtId="0" fontId="4" fillId="0" borderId="0" xfId="3" applyFont="1"/>
    <xf numFmtId="1" fontId="1" fillId="0" borderId="0" xfId="3" applyNumberFormat="1"/>
    <xf numFmtId="168" fontId="1" fillId="0" borderId="2" xfId="2" applyNumberFormat="1" applyFont="1" applyFill="1" applyBorder="1" applyAlignment="1" applyProtection="1"/>
    <xf numFmtId="6" fontId="1" fillId="0" borderId="0" xfId="3" applyNumberFormat="1"/>
    <xf numFmtId="166" fontId="1" fillId="0" borderId="3" xfId="2" applyBorder="1"/>
    <xf numFmtId="168" fontId="1" fillId="0" borderId="2" xfId="3" applyNumberFormat="1" applyBorder="1"/>
    <xf numFmtId="168" fontId="6" fillId="0" borderId="0" xfId="2" applyNumberFormat="1" applyFont="1" applyFill="1" applyBorder="1" applyAlignment="1" applyProtection="1"/>
    <xf numFmtId="43" fontId="1" fillId="0" borderId="0" xfId="3" applyNumberFormat="1"/>
    <xf numFmtId="172" fontId="1" fillId="0" borderId="0" xfId="3" applyNumberFormat="1"/>
    <xf numFmtId="0" fontId="5" fillId="0" borderId="2" xfId="3" applyNumberFormat="1" applyFont="1" applyBorder="1" applyAlignment="1">
      <alignment horizontal="center"/>
    </xf>
    <xf numFmtId="0" fontId="1" fillId="0" borderId="0" xfId="3" applyAlignment="1">
      <alignment horizontal="left" indent="1"/>
    </xf>
    <xf numFmtId="168" fontId="1" fillId="0" borderId="0" xfId="3" applyNumberFormat="1" applyBorder="1"/>
    <xf numFmtId="0" fontId="1" fillId="0" borderId="0" xfId="3" applyAlignment="1">
      <alignment horizontal="left"/>
    </xf>
    <xf numFmtId="10" fontId="1" fillId="0" borderId="4" xfId="3" applyNumberFormat="1" applyBorder="1"/>
    <xf numFmtId="8" fontId="1" fillId="0" borderId="0" xfId="3" applyNumberFormat="1"/>
    <xf numFmtId="0" fontId="1" fillId="0" borderId="0" xfId="3" applyFill="1"/>
    <xf numFmtId="168" fontId="1" fillId="0" borderId="0" xfId="3" applyNumberFormat="1" applyFill="1"/>
    <xf numFmtId="43" fontId="1" fillId="0" borderId="0" xfId="2" applyNumberFormat="1" applyFont="1" applyFill="1" applyBorder="1" applyAlignment="1" applyProtection="1"/>
    <xf numFmtId="10" fontId="1" fillId="0" borderId="0" xfId="3" applyNumberFormat="1"/>
    <xf numFmtId="171" fontId="1" fillId="0" borderId="0" xfId="3" applyNumberFormat="1"/>
    <xf numFmtId="2" fontId="1" fillId="0" borderId="0" xfId="3" applyNumberFormat="1"/>
  </cellXfs>
  <cellStyles count="5">
    <cellStyle name="Comma" xfId="1" builtinId="3"/>
    <cellStyle name="Currency" xfId="2" builtinId="4"/>
    <cellStyle name="Excel Built-in Normal" xfId="3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5"/>
  <sheetViews>
    <sheetView tabSelected="1" zoomScale="85" zoomScaleNormal="85" workbookViewId="0">
      <selection activeCell="E165" sqref="E165"/>
    </sheetView>
  </sheetViews>
  <sheetFormatPr defaultColWidth="9.42578125" defaultRowHeight="15" x14ac:dyDescent="0.25"/>
  <cols>
    <col min="1" max="1" width="4.85546875" style="1" customWidth="1"/>
    <col min="2" max="2" width="33.28515625" style="1" customWidth="1"/>
    <col min="3" max="3" width="17.140625" style="1" customWidth="1"/>
    <col min="4" max="4" width="14.140625" style="1" customWidth="1"/>
    <col min="5" max="5" width="12.5703125" style="1" bestFit="1" customWidth="1"/>
    <col min="6" max="6" width="12.42578125" style="1" customWidth="1"/>
    <col min="7" max="11" width="14.140625" style="1" customWidth="1"/>
    <col min="12" max="12" width="14.28515625" style="1" bestFit="1" customWidth="1"/>
    <col min="13" max="13" width="11.5703125" style="1" bestFit="1" customWidth="1"/>
    <col min="14" max="14" width="10" style="1" bestFit="1" customWidth="1"/>
    <col min="15" max="16384" width="9.42578125" style="1"/>
  </cols>
  <sheetData>
    <row r="1" spans="1:13" s="3" customFormat="1" x14ac:dyDescent="0.25">
      <c r="A1" s="2" t="s">
        <v>85</v>
      </c>
    </row>
    <row r="2" spans="1:13" x14ac:dyDescent="0.25">
      <c r="A2" s="4" t="s">
        <v>0</v>
      </c>
    </row>
    <row r="3" spans="1:13" x14ac:dyDescent="0.25">
      <c r="D3" s="1">
        <v>2012</v>
      </c>
      <c r="E3" s="1">
        <v>2013</v>
      </c>
      <c r="F3" s="1">
        <v>2014</v>
      </c>
      <c r="G3" s="1">
        <v>2015</v>
      </c>
      <c r="H3" s="1">
        <v>2016</v>
      </c>
      <c r="I3" s="1">
        <v>2017</v>
      </c>
      <c r="J3" s="1">
        <v>2018</v>
      </c>
      <c r="K3" s="1">
        <v>2019</v>
      </c>
    </row>
    <row r="4" spans="1:13" x14ac:dyDescent="0.25">
      <c r="A4" s="4" t="s">
        <v>88</v>
      </c>
    </row>
    <row r="5" spans="1:13" x14ac:dyDescent="0.25">
      <c r="A5" s="1" t="s">
        <v>100</v>
      </c>
      <c r="D5" s="6">
        <v>0.9</v>
      </c>
      <c r="E5" s="6">
        <v>0.95</v>
      </c>
      <c r="F5" s="6">
        <v>0.95</v>
      </c>
      <c r="G5" s="6">
        <v>0.9</v>
      </c>
      <c r="H5" s="6">
        <v>0.9</v>
      </c>
      <c r="I5" s="6">
        <v>0.95</v>
      </c>
      <c r="J5" s="6">
        <v>0.95</v>
      </c>
      <c r="K5" s="6">
        <v>1</v>
      </c>
      <c r="L5" s="6"/>
    </row>
    <row r="6" spans="1:13" x14ac:dyDescent="0.25">
      <c r="A6" s="1" t="s">
        <v>86</v>
      </c>
      <c r="D6" s="5">
        <f>D5*485</f>
        <v>436.5</v>
      </c>
      <c r="E6" s="5">
        <f t="shared" ref="E6:K6" si="0">E5*485</f>
        <v>460.75</v>
      </c>
      <c r="F6" s="5">
        <f t="shared" si="0"/>
        <v>460.75</v>
      </c>
      <c r="G6" s="5">
        <f t="shared" si="0"/>
        <v>436.5</v>
      </c>
      <c r="H6" s="5">
        <f t="shared" si="0"/>
        <v>436.5</v>
      </c>
      <c r="I6" s="5">
        <f t="shared" si="0"/>
        <v>460.75</v>
      </c>
      <c r="J6" s="5">
        <f t="shared" si="0"/>
        <v>460.75</v>
      </c>
      <c r="K6" s="5">
        <f t="shared" si="0"/>
        <v>485</v>
      </c>
      <c r="L6" s="6"/>
    </row>
    <row r="7" spans="1:13" x14ac:dyDescent="0.25">
      <c r="A7" s="1" t="s">
        <v>96</v>
      </c>
      <c r="D7" s="5">
        <v>7</v>
      </c>
      <c r="E7" s="5">
        <v>7</v>
      </c>
      <c r="F7" s="5">
        <v>7</v>
      </c>
      <c r="G7" s="5">
        <v>7</v>
      </c>
      <c r="H7" s="5">
        <v>7</v>
      </c>
      <c r="I7" s="5">
        <v>7</v>
      </c>
      <c r="J7" s="5">
        <v>7</v>
      </c>
      <c r="K7" s="5">
        <v>7</v>
      </c>
      <c r="L7" s="6"/>
    </row>
    <row r="8" spans="1:13" x14ac:dyDescent="0.25">
      <c r="A8" s="1" t="s">
        <v>87</v>
      </c>
      <c r="D8" s="7"/>
      <c r="E8" s="7"/>
      <c r="F8" s="7"/>
      <c r="G8" s="7"/>
      <c r="H8" s="7"/>
      <c r="I8" s="7"/>
      <c r="J8" s="7"/>
      <c r="K8" s="7"/>
      <c r="L8" s="6"/>
    </row>
    <row r="9" spans="1:13" x14ac:dyDescent="0.25">
      <c r="A9" s="26" t="s">
        <v>89</v>
      </c>
    </row>
    <row r="10" spans="1:13" x14ac:dyDescent="0.25">
      <c r="A10" s="27" t="s">
        <v>94</v>
      </c>
      <c r="C10" s="1" t="s">
        <v>98</v>
      </c>
      <c r="D10" s="1">
        <v>175</v>
      </c>
      <c r="E10" s="28">
        <f>D10*(1+D12)</f>
        <v>182</v>
      </c>
      <c r="F10" s="28">
        <f t="shared" ref="F10:K10" si="1">E10*(1+E12)</f>
        <v>189.28</v>
      </c>
      <c r="G10" s="28">
        <f t="shared" si="1"/>
        <v>196.85120000000001</v>
      </c>
      <c r="H10" s="28">
        <f t="shared" si="1"/>
        <v>204.72524800000002</v>
      </c>
      <c r="I10" s="28">
        <f t="shared" si="1"/>
        <v>212.91425792000004</v>
      </c>
      <c r="J10" s="28">
        <f t="shared" si="1"/>
        <v>221.43082823680004</v>
      </c>
      <c r="K10" s="28">
        <f t="shared" si="1"/>
        <v>230.28806136627205</v>
      </c>
    </row>
    <row r="11" spans="1:13" x14ac:dyDescent="0.25">
      <c r="A11" s="1" t="s">
        <v>95</v>
      </c>
      <c r="C11" s="1" t="s">
        <v>98</v>
      </c>
      <c r="D11" s="5">
        <f>60</f>
        <v>60</v>
      </c>
      <c r="E11" s="5">
        <f t="shared" ref="E11:K11" si="2">D11*(1+D12)</f>
        <v>62.400000000000006</v>
      </c>
      <c r="F11" s="5">
        <f t="shared" si="2"/>
        <v>64.896000000000015</v>
      </c>
      <c r="G11" s="5">
        <f t="shared" si="2"/>
        <v>67.491840000000025</v>
      </c>
      <c r="H11" s="5">
        <f t="shared" si="2"/>
        <v>70.191513600000022</v>
      </c>
      <c r="I11" s="5">
        <f t="shared" si="2"/>
        <v>72.999174144000023</v>
      </c>
      <c r="J11" s="5">
        <f t="shared" si="2"/>
        <v>75.91914110976002</v>
      </c>
      <c r="K11" s="5">
        <f t="shared" si="2"/>
        <v>78.955906754150419</v>
      </c>
      <c r="L11" s="6"/>
    </row>
    <row r="12" spans="1:13" x14ac:dyDescent="0.25">
      <c r="A12" s="1" t="s">
        <v>90</v>
      </c>
      <c r="D12" s="6">
        <v>0.04</v>
      </c>
      <c r="E12" s="6">
        <v>0.04</v>
      </c>
      <c r="F12" s="6">
        <v>0.04</v>
      </c>
      <c r="G12" s="6">
        <v>0.04</v>
      </c>
      <c r="H12" s="6">
        <v>0.04</v>
      </c>
      <c r="I12" s="6">
        <v>0.04</v>
      </c>
      <c r="J12" s="6">
        <v>0.04</v>
      </c>
      <c r="K12" s="6">
        <v>0.04</v>
      </c>
      <c r="L12" s="9"/>
    </row>
    <row r="13" spans="1:13" x14ac:dyDescent="0.25">
      <c r="A13" s="1" t="s">
        <v>91</v>
      </c>
      <c r="D13" s="6">
        <v>0.03</v>
      </c>
      <c r="E13" s="6">
        <v>0.03</v>
      </c>
      <c r="F13" s="6">
        <v>0.03</v>
      </c>
      <c r="G13" s="6">
        <v>0.03</v>
      </c>
      <c r="H13" s="6">
        <v>0.03</v>
      </c>
      <c r="I13" s="6">
        <v>0.03</v>
      </c>
      <c r="J13" s="6">
        <v>0.03</v>
      </c>
      <c r="K13" s="6">
        <v>0.03</v>
      </c>
      <c r="L13" s="9"/>
    </row>
    <row r="14" spans="1:13" x14ac:dyDescent="0.25">
      <c r="A14" s="1" t="s">
        <v>99</v>
      </c>
      <c r="C14" s="1" t="s">
        <v>98</v>
      </c>
      <c r="D14" s="5">
        <f>D15*D11</f>
        <v>18</v>
      </c>
      <c r="E14" s="5">
        <f t="shared" ref="E14:K14" si="3">E15*E11</f>
        <v>18.720000000000002</v>
      </c>
      <c r="F14" s="5">
        <f t="shared" si="3"/>
        <v>19.468800000000005</v>
      </c>
      <c r="G14" s="5">
        <f t="shared" si="3"/>
        <v>20.247552000000006</v>
      </c>
      <c r="H14" s="5">
        <f t="shared" si="3"/>
        <v>21.057454080000007</v>
      </c>
      <c r="I14" s="5">
        <f t="shared" si="3"/>
        <v>21.899752243200005</v>
      </c>
      <c r="J14" s="5">
        <f t="shared" si="3"/>
        <v>22.775742332928004</v>
      </c>
      <c r="K14" s="5">
        <f t="shared" si="3"/>
        <v>23.686772026245126</v>
      </c>
    </row>
    <row r="15" spans="1:13" x14ac:dyDescent="0.25">
      <c r="A15" s="1" t="s">
        <v>92</v>
      </c>
      <c r="D15" s="6">
        <v>0.3</v>
      </c>
      <c r="E15" s="6">
        <v>0.3</v>
      </c>
      <c r="F15" s="6">
        <v>0.3</v>
      </c>
      <c r="G15" s="6">
        <v>0.3</v>
      </c>
      <c r="H15" s="6">
        <v>0.3</v>
      </c>
      <c r="I15" s="6">
        <v>0.3</v>
      </c>
      <c r="J15" s="6">
        <v>0.3</v>
      </c>
      <c r="K15" s="6">
        <v>0.3</v>
      </c>
      <c r="M15" s="1" t="s">
        <v>110</v>
      </c>
    </row>
    <row r="16" spans="1:13" x14ac:dyDescent="0.25">
      <c r="A16" s="1" t="s">
        <v>97</v>
      </c>
      <c r="D16" s="5">
        <f>D15*D10</f>
        <v>52.5</v>
      </c>
      <c r="E16" s="5">
        <f t="shared" ref="E16:K16" si="4">E15*E10</f>
        <v>54.6</v>
      </c>
      <c r="F16" s="5">
        <f t="shared" si="4"/>
        <v>56.783999999999999</v>
      </c>
      <c r="G16" s="5">
        <f t="shared" si="4"/>
        <v>59.05536</v>
      </c>
      <c r="H16" s="5">
        <f t="shared" si="4"/>
        <v>61.417574400000007</v>
      </c>
      <c r="I16" s="5">
        <f t="shared" si="4"/>
        <v>63.874277376000009</v>
      </c>
      <c r="J16" s="5">
        <f t="shared" si="4"/>
        <v>66.429248471040012</v>
      </c>
      <c r="K16" s="5">
        <f t="shared" si="4"/>
        <v>69.086418409881617</v>
      </c>
    </row>
    <row r="17" spans="1:12" x14ac:dyDescent="0.25">
      <c r="A17" s="1" t="s">
        <v>93</v>
      </c>
      <c r="D17" s="5">
        <f>IF(D5&gt;=95%,25000+1000,25000)</f>
        <v>25000</v>
      </c>
      <c r="E17" s="5">
        <f>IF(E5&gt;=95%,D17*(1.03)+1000,D17*(1.03))</f>
        <v>26750</v>
      </c>
      <c r="F17" s="5">
        <f t="shared" ref="F17:K17" si="5">IF(F5&gt;=95%,E17*(1.03)+1000,E17*(1.03))</f>
        <v>28552.5</v>
      </c>
      <c r="G17" s="5">
        <f t="shared" si="5"/>
        <v>29409.075000000001</v>
      </c>
      <c r="H17" s="5">
        <f t="shared" si="5"/>
        <v>30291.347250000003</v>
      </c>
      <c r="I17" s="5">
        <f t="shared" si="5"/>
        <v>32200.087667500004</v>
      </c>
      <c r="J17" s="5">
        <f t="shared" si="5"/>
        <v>34166.090297525006</v>
      </c>
      <c r="K17" s="5">
        <f t="shared" si="5"/>
        <v>36191.073006450759</v>
      </c>
    </row>
    <row r="18" spans="1:12" x14ac:dyDescent="0.25">
      <c r="A18" s="1" t="s">
        <v>134</v>
      </c>
      <c r="D18" s="8"/>
      <c r="E18" s="6"/>
      <c r="F18" s="6"/>
      <c r="G18" s="6"/>
      <c r="H18" s="6"/>
      <c r="I18" s="6"/>
      <c r="J18" s="6"/>
      <c r="K18" s="6"/>
    </row>
    <row r="19" spans="1:12" x14ac:dyDescent="0.25">
      <c r="B19" s="1" t="s">
        <v>106</v>
      </c>
      <c r="D19" s="8"/>
      <c r="E19" s="8"/>
      <c r="F19" s="6"/>
      <c r="G19" s="6"/>
      <c r="H19" s="6"/>
      <c r="I19" s="6"/>
      <c r="J19" s="6"/>
      <c r="K19" s="6"/>
    </row>
    <row r="20" spans="1:12" x14ac:dyDescent="0.25">
      <c r="A20" s="1" t="s">
        <v>115</v>
      </c>
      <c r="D20" s="8"/>
      <c r="E20" s="8"/>
      <c r="F20" s="6"/>
      <c r="G20" s="6"/>
      <c r="H20" s="6"/>
      <c r="I20" s="6"/>
      <c r="J20" s="6"/>
      <c r="K20" s="6"/>
    </row>
    <row r="21" spans="1:12" x14ac:dyDescent="0.25">
      <c r="A21" s="30">
        <v>18</v>
      </c>
      <c r="D21" s="8"/>
      <c r="E21" s="8"/>
      <c r="F21" s="6"/>
      <c r="G21" s="6"/>
      <c r="H21" s="6"/>
      <c r="I21" s="6"/>
      <c r="J21" s="6"/>
      <c r="K21" s="6"/>
    </row>
    <row r="22" spans="1:12" x14ac:dyDescent="0.25">
      <c r="B22" s="1" t="s">
        <v>107</v>
      </c>
      <c r="D22" s="8">
        <f>0.55*D14</f>
        <v>9.9</v>
      </c>
      <c r="E22" s="8">
        <f t="shared" ref="E22:K22" si="6">0.55*E14</f>
        <v>10.296000000000003</v>
      </c>
      <c r="F22" s="8">
        <f t="shared" si="6"/>
        <v>10.707840000000004</v>
      </c>
      <c r="G22" s="8">
        <f t="shared" si="6"/>
        <v>11.136153600000004</v>
      </c>
      <c r="H22" s="8">
        <f t="shared" si="6"/>
        <v>11.581599744000005</v>
      </c>
      <c r="I22" s="8">
        <f t="shared" si="6"/>
        <v>12.044863733760003</v>
      </c>
      <c r="J22" s="8">
        <f t="shared" si="6"/>
        <v>12.526658283110404</v>
      </c>
      <c r="K22" s="8">
        <f t="shared" si="6"/>
        <v>13.02772461443482</v>
      </c>
    </row>
    <row r="23" spans="1:12" x14ac:dyDescent="0.25">
      <c r="B23" s="1" t="s">
        <v>83</v>
      </c>
      <c r="D23" s="8">
        <f>0.1*D14</f>
        <v>1.8</v>
      </c>
      <c r="E23" s="8">
        <f t="shared" ref="E23:K23" si="7">0.1*E14</f>
        <v>1.8720000000000003</v>
      </c>
      <c r="F23" s="8">
        <f t="shared" si="7"/>
        <v>1.9468800000000006</v>
      </c>
      <c r="G23" s="8">
        <f t="shared" si="7"/>
        <v>2.0247552000000009</v>
      </c>
      <c r="H23" s="8">
        <f t="shared" si="7"/>
        <v>2.1057454080000007</v>
      </c>
      <c r="I23" s="8">
        <f t="shared" si="7"/>
        <v>2.1899752243200008</v>
      </c>
      <c r="J23" s="8">
        <f t="shared" si="7"/>
        <v>2.2775742332928006</v>
      </c>
      <c r="K23" s="8">
        <f t="shared" si="7"/>
        <v>2.3686772026245126</v>
      </c>
    </row>
    <row r="24" spans="1:12" x14ac:dyDescent="0.25">
      <c r="B24" s="1" t="s">
        <v>108</v>
      </c>
      <c r="D24" s="8">
        <f>0.35*D14</f>
        <v>6.3</v>
      </c>
      <c r="E24" s="8">
        <f t="shared" ref="E24:K24" si="8">0.35*E14</f>
        <v>6.5520000000000005</v>
      </c>
      <c r="F24" s="8">
        <f t="shared" si="8"/>
        <v>6.8140800000000015</v>
      </c>
      <c r="G24" s="8">
        <f t="shared" si="8"/>
        <v>7.0866432000000019</v>
      </c>
      <c r="H24" s="8">
        <f t="shared" si="8"/>
        <v>7.3701089280000014</v>
      </c>
      <c r="I24" s="8">
        <f t="shared" si="8"/>
        <v>7.6649132851200017</v>
      </c>
      <c r="J24" s="8">
        <f t="shared" si="8"/>
        <v>7.9715098165248008</v>
      </c>
      <c r="K24" s="8">
        <f t="shared" si="8"/>
        <v>8.2903702091857934</v>
      </c>
    </row>
    <row r="25" spans="1:12" x14ac:dyDescent="0.25">
      <c r="A25" s="30">
        <v>30</v>
      </c>
      <c r="D25" s="8"/>
      <c r="E25" s="8"/>
      <c r="F25" s="8"/>
      <c r="G25" s="8"/>
      <c r="H25" s="8"/>
      <c r="I25" s="8"/>
      <c r="J25" s="8"/>
      <c r="K25" s="8"/>
    </row>
    <row r="26" spans="1:12" x14ac:dyDescent="0.25">
      <c r="B26" s="1" t="s">
        <v>107</v>
      </c>
      <c r="D26" s="8">
        <f>0.55*D16</f>
        <v>28.875000000000004</v>
      </c>
      <c r="E26" s="8">
        <f t="shared" ref="E26:K26" si="9">0.55*E16</f>
        <v>30.030000000000005</v>
      </c>
      <c r="F26" s="8">
        <f t="shared" si="9"/>
        <v>31.231200000000001</v>
      </c>
      <c r="G26" s="8">
        <f t="shared" si="9"/>
        <v>32.480448000000003</v>
      </c>
      <c r="H26" s="8">
        <f t="shared" si="9"/>
        <v>33.779665920000006</v>
      </c>
      <c r="I26" s="8">
        <f t="shared" si="9"/>
        <v>35.130852556800008</v>
      </c>
      <c r="J26" s="8">
        <f t="shared" si="9"/>
        <v>36.536086659072012</v>
      </c>
      <c r="K26" s="8">
        <f t="shared" si="9"/>
        <v>37.997530125434892</v>
      </c>
    </row>
    <row r="27" spans="1:12" x14ac:dyDescent="0.25">
      <c r="B27" s="1" t="s">
        <v>83</v>
      </c>
      <c r="D27" s="8">
        <f>0.1*D16</f>
        <v>5.25</v>
      </c>
      <c r="E27" s="8">
        <f t="shared" ref="E27:K27" si="10">0.1*E16</f>
        <v>5.4600000000000009</v>
      </c>
      <c r="F27" s="8">
        <f t="shared" si="10"/>
        <v>5.6783999999999999</v>
      </c>
      <c r="G27" s="8">
        <f t="shared" si="10"/>
        <v>5.9055360000000006</v>
      </c>
      <c r="H27" s="8">
        <f t="shared" si="10"/>
        <v>6.141757440000001</v>
      </c>
      <c r="I27" s="8">
        <f t="shared" si="10"/>
        <v>6.3874277376000013</v>
      </c>
      <c r="J27" s="8">
        <f t="shared" si="10"/>
        <v>6.6429248471040019</v>
      </c>
      <c r="K27" s="8">
        <f t="shared" si="10"/>
        <v>6.908641840988162</v>
      </c>
    </row>
    <row r="28" spans="1:12" x14ac:dyDescent="0.25">
      <c r="B28" s="1" t="s">
        <v>108</v>
      </c>
      <c r="D28" s="8">
        <f>0.35*D16</f>
        <v>18.375</v>
      </c>
      <c r="E28" s="8">
        <f t="shared" ref="E28:K28" si="11">0.35*E16</f>
        <v>19.11</v>
      </c>
      <c r="F28" s="8">
        <f t="shared" si="11"/>
        <v>19.874399999999998</v>
      </c>
      <c r="G28" s="8">
        <f t="shared" si="11"/>
        <v>20.669376</v>
      </c>
      <c r="H28" s="8">
        <f t="shared" si="11"/>
        <v>21.496151040000001</v>
      </c>
      <c r="I28" s="8">
        <f t="shared" si="11"/>
        <v>22.355997081600002</v>
      </c>
      <c r="J28" s="8">
        <f t="shared" si="11"/>
        <v>23.250236964864001</v>
      </c>
      <c r="K28" s="8">
        <f t="shared" si="11"/>
        <v>24.180246443458564</v>
      </c>
    </row>
    <row r="29" spans="1:12" x14ac:dyDescent="0.25">
      <c r="D29" s="8"/>
      <c r="E29" s="8"/>
      <c r="F29" s="6"/>
      <c r="G29" s="6"/>
      <c r="H29" s="6"/>
      <c r="I29" s="6"/>
      <c r="J29" s="6"/>
      <c r="K29" s="6"/>
    </row>
    <row r="30" spans="1:12" x14ac:dyDescent="0.25">
      <c r="D30" s="10"/>
    </row>
    <row r="31" spans="1:12" x14ac:dyDescent="0.25">
      <c r="A31" s="4" t="s">
        <v>1</v>
      </c>
    </row>
    <row r="32" spans="1:12" x14ac:dyDescent="0.25">
      <c r="A32" s="11" t="s">
        <v>102</v>
      </c>
      <c r="D32" s="12">
        <f t="shared" ref="D32:K32" si="12">D6*D11*12</f>
        <v>314280</v>
      </c>
      <c r="E32" s="12">
        <f t="shared" si="12"/>
        <v>345009.60000000003</v>
      </c>
      <c r="F32" s="12">
        <f t="shared" si="12"/>
        <v>358809.98400000005</v>
      </c>
      <c r="G32" s="12">
        <f t="shared" si="12"/>
        <v>353522.25792000012</v>
      </c>
      <c r="H32" s="12">
        <f t="shared" si="12"/>
        <v>367663.1482368001</v>
      </c>
      <c r="I32" s="12">
        <f t="shared" si="12"/>
        <v>403612.43384217611</v>
      </c>
      <c r="J32" s="12">
        <f t="shared" si="12"/>
        <v>419756.93119586312</v>
      </c>
      <c r="K32" s="12">
        <f t="shared" si="12"/>
        <v>459523.37730915542</v>
      </c>
      <c r="L32" s="13"/>
    </row>
    <row r="33" spans="1:16" x14ac:dyDescent="0.25">
      <c r="A33" s="11" t="s">
        <v>101</v>
      </c>
      <c r="D33" s="29">
        <f t="shared" ref="D33:K33" si="13">D7*D10*12</f>
        <v>14700</v>
      </c>
      <c r="E33" s="29">
        <f t="shared" si="13"/>
        <v>15288</v>
      </c>
      <c r="F33" s="29">
        <f t="shared" si="13"/>
        <v>15899.52</v>
      </c>
      <c r="G33" s="29">
        <f t="shared" si="13"/>
        <v>16535.500800000002</v>
      </c>
      <c r="H33" s="29">
        <f t="shared" si="13"/>
        <v>17196.920832000003</v>
      </c>
      <c r="I33" s="29">
        <f t="shared" si="13"/>
        <v>17884.797665280006</v>
      </c>
      <c r="J33" s="29">
        <f t="shared" si="13"/>
        <v>18600.189571891202</v>
      </c>
      <c r="K33" s="29">
        <f t="shared" si="13"/>
        <v>19344.197154766851</v>
      </c>
      <c r="L33" s="13"/>
    </row>
    <row r="34" spans="1:16" x14ac:dyDescent="0.25">
      <c r="A34" s="11"/>
      <c r="B34" s="1" t="s">
        <v>103</v>
      </c>
      <c r="D34" s="14">
        <f>D32+D33</f>
        <v>328980</v>
      </c>
      <c r="E34" s="14">
        <f t="shared" ref="E34:K34" si="14">E32+E33</f>
        <v>360297.60000000003</v>
      </c>
      <c r="F34" s="14">
        <f t="shared" si="14"/>
        <v>374709.50400000007</v>
      </c>
      <c r="G34" s="14">
        <f t="shared" si="14"/>
        <v>370057.7587200001</v>
      </c>
      <c r="H34" s="14">
        <f t="shared" si="14"/>
        <v>384860.06906880008</v>
      </c>
      <c r="I34" s="14">
        <f t="shared" si="14"/>
        <v>421497.2315074561</v>
      </c>
      <c r="J34" s="14">
        <f t="shared" si="14"/>
        <v>438357.12076775433</v>
      </c>
      <c r="K34" s="14">
        <f t="shared" si="14"/>
        <v>478867.5744639223</v>
      </c>
      <c r="L34" s="13"/>
    </row>
    <row r="35" spans="1:16" x14ac:dyDescent="0.25">
      <c r="A35" s="1" t="s">
        <v>2</v>
      </c>
      <c r="D35" s="14"/>
      <c r="E35" s="14"/>
      <c r="F35" s="14"/>
      <c r="G35" s="14"/>
      <c r="H35" s="14"/>
      <c r="I35" s="14"/>
      <c r="J35" s="14"/>
      <c r="K35" s="14"/>
    </row>
    <row r="36" spans="1:16" x14ac:dyDescent="0.25">
      <c r="A36" s="11"/>
      <c r="B36" s="1" t="s">
        <v>83</v>
      </c>
      <c r="D36" s="14">
        <f>D23*D6*12+D27*12*D7</f>
        <v>9869.4000000000015</v>
      </c>
      <c r="E36" s="14">
        <f t="shared" ref="E36:K36" si="15">E23*E6*12+E27*12*E7</f>
        <v>10808.928</v>
      </c>
      <c r="F36" s="14">
        <f t="shared" si="15"/>
        <v>11241.285120000004</v>
      </c>
      <c r="G36" s="14">
        <f t="shared" si="15"/>
        <v>11101.732761600004</v>
      </c>
      <c r="H36" s="14">
        <f t="shared" si="15"/>
        <v>11545.802072064005</v>
      </c>
      <c r="I36" s="14">
        <f t="shared" si="15"/>
        <v>12644.916945223684</v>
      </c>
      <c r="J36" s="14">
        <f t="shared" si="15"/>
        <v>13150.713623032629</v>
      </c>
      <c r="K36" s="14">
        <f t="shared" si="15"/>
        <v>14366.02723391767</v>
      </c>
    </row>
    <row r="37" spans="1:16" x14ac:dyDescent="0.25">
      <c r="A37" s="11"/>
      <c r="B37" s="1" t="s">
        <v>84</v>
      </c>
      <c r="D37" s="14">
        <f>D28*D7*12+D6*D24*12</f>
        <v>34542.899999999994</v>
      </c>
      <c r="E37" s="14">
        <f t="shared" ref="E37:J37" si="16">E28*E7*12+E6*E24*12</f>
        <v>37831.248</v>
      </c>
      <c r="F37" s="14">
        <f t="shared" si="16"/>
        <v>39344.497920000009</v>
      </c>
      <c r="G37" s="44">
        <f>G28*G7*12+G6*G24*12+G61</f>
        <v>61356.06466560001</v>
      </c>
      <c r="H37" s="14">
        <f t="shared" si="16"/>
        <v>40410.307252224011</v>
      </c>
      <c r="I37" s="14">
        <f t="shared" si="16"/>
        <v>44257.209308282887</v>
      </c>
      <c r="J37" s="14">
        <f t="shared" si="16"/>
        <v>46027.4976806142</v>
      </c>
      <c r="K37" s="44">
        <f>K28*K7*12+K6*K24*12+K61</f>
        <v>79031.095318711828</v>
      </c>
    </row>
    <row r="38" spans="1:16" x14ac:dyDescent="0.25">
      <c r="A38" s="11"/>
      <c r="B38" s="1" t="s">
        <v>105</v>
      </c>
      <c r="D38" s="14">
        <f>D17</f>
        <v>25000</v>
      </c>
      <c r="E38" s="14">
        <f t="shared" ref="E38:K38" si="17">E17</f>
        <v>26750</v>
      </c>
      <c r="F38" s="14">
        <f t="shared" si="17"/>
        <v>28552.5</v>
      </c>
      <c r="G38" s="14">
        <f t="shared" si="17"/>
        <v>29409.075000000001</v>
      </c>
      <c r="H38" s="14">
        <f t="shared" si="17"/>
        <v>30291.347250000003</v>
      </c>
      <c r="I38" s="14">
        <f t="shared" si="17"/>
        <v>32200.087667500004</v>
      </c>
      <c r="J38" s="14">
        <f t="shared" si="17"/>
        <v>34166.090297525006</v>
      </c>
      <c r="K38" s="14">
        <f t="shared" si="17"/>
        <v>36191.073006450759</v>
      </c>
    </row>
    <row r="39" spans="1:16" x14ac:dyDescent="0.25">
      <c r="A39" s="11"/>
      <c r="B39" s="1" t="s">
        <v>104</v>
      </c>
      <c r="D39" s="14">
        <f>D22*12*485+D26*12*8</f>
        <v>60390.000000000007</v>
      </c>
      <c r="E39" s="14">
        <f t="shared" ref="E39:K39" si="18">E22*12*485+E26*12*8</f>
        <v>62805.600000000013</v>
      </c>
      <c r="F39" s="14">
        <f t="shared" si="18"/>
        <v>65317.82400000003</v>
      </c>
      <c r="G39" s="14">
        <f t="shared" si="18"/>
        <v>67930.536960000027</v>
      </c>
      <c r="H39" s="14">
        <f t="shared" si="18"/>
        <v>70647.758438400037</v>
      </c>
      <c r="I39" s="14">
        <f t="shared" si="18"/>
        <v>73473.668775936021</v>
      </c>
      <c r="J39" s="14">
        <f t="shared" si="18"/>
        <v>76412.615526973459</v>
      </c>
      <c r="K39" s="14">
        <f t="shared" si="18"/>
        <v>79469.120148052403</v>
      </c>
    </row>
    <row r="40" spans="1:16" ht="17.25" x14ac:dyDescent="0.4">
      <c r="B40" s="1" t="s">
        <v>130</v>
      </c>
      <c r="D40" s="33">
        <f t="shared" ref="D40:K40" si="19">0.01*D64+0.01*D65</f>
        <v>14083.333333333332</v>
      </c>
      <c r="E40" s="33">
        <f t="shared" si="19"/>
        <v>13666.666666666668</v>
      </c>
      <c r="F40" s="33">
        <f t="shared" si="19"/>
        <v>13250</v>
      </c>
      <c r="G40" s="33">
        <f t="shared" si="19"/>
        <v>15941.666666666668</v>
      </c>
      <c r="H40" s="33">
        <f t="shared" si="19"/>
        <v>12416.666666666668</v>
      </c>
      <c r="I40" s="33">
        <f t="shared" si="19"/>
        <v>12000</v>
      </c>
      <c r="J40" s="33">
        <f t="shared" si="19"/>
        <v>11583.333333333334</v>
      </c>
      <c r="K40" s="33">
        <f t="shared" si="19"/>
        <v>17833.333333333332</v>
      </c>
      <c r="L40" s="15"/>
      <c r="P40" s="6"/>
    </row>
    <row r="41" spans="1:16" x14ac:dyDescent="0.25">
      <c r="A41" s="1" t="s">
        <v>3</v>
      </c>
      <c r="D41" s="14">
        <f>SUM(D36:D40)</f>
        <v>143885.63333333333</v>
      </c>
      <c r="E41" s="14">
        <f t="shared" ref="E41:K41" si="20">SUM(E36:E40)</f>
        <v>151862.44266666667</v>
      </c>
      <c r="F41" s="14">
        <f t="shared" si="20"/>
        <v>157706.10704000003</v>
      </c>
      <c r="G41" s="14">
        <f t="shared" si="20"/>
        <v>185739.07605386668</v>
      </c>
      <c r="H41" s="14">
        <f t="shared" si="20"/>
        <v>165311.88167935473</v>
      </c>
      <c r="I41" s="14">
        <f t="shared" si="20"/>
        <v>174575.8826969426</v>
      </c>
      <c r="J41" s="14">
        <f t="shared" si="20"/>
        <v>181340.25046147863</v>
      </c>
      <c r="K41" s="14">
        <f t="shared" si="20"/>
        <v>226890.649040466</v>
      </c>
      <c r="L41" s="6"/>
    </row>
    <row r="42" spans="1:16" x14ac:dyDescent="0.25">
      <c r="D42" s="14"/>
      <c r="E42" s="14"/>
      <c r="F42" s="14"/>
      <c r="G42" s="14"/>
      <c r="H42" s="14"/>
      <c r="I42" s="14"/>
      <c r="J42" s="14"/>
      <c r="K42" s="14"/>
    </row>
    <row r="43" spans="1:16" x14ac:dyDescent="0.25">
      <c r="A43" s="1" t="s">
        <v>4</v>
      </c>
      <c r="D43" s="14">
        <f t="shared" ref="D43:K43" si="21">D34-D41</f>
        <v>185094.36666666667</v>
      </c>
      <c r="E43" s="14">
        <f t="shared" si="21"/>
        <v>208435.15733333337</v>
      </c>
      <c r="F43" s="14">
        <f t="shared" si="21"/>
        <v>217003.39696000004</v>
      </c>
      <c r="G43" s="14">
        <f t="shared" si="21"/>
        <v>184318.68266613342</v>
      </c>
      <c r="H43" s="14">
        <f t="shared" si="21"/>
        <v>219548.18738944535</v>
      </c>
      <c r="I43" s="14">
        <f t="shared" si="21"/>
        <v>246921.3488105135</v>
      </c>
      <c r="J43" s="14">
        <f t="shared" si="21"/>
        <v>257016.8703062757</v>
      </c>
      <c r="K43" s="14">
        <f t="shared" si="21"/>
        <v>251976.9254234563</v>
      </c>
    </row>
    <row r="44" spans="1:16" x14ac:dyDescent="0.25">
      <c r="D44" s="14"/>
      <c r="E44" s="14"/>
      <c r="F44" s="14"/>
      <c r="G44" s="14"/>
      <c r="H44" s="14"/>
      <c r="I44" s="14"/>
      <c r="J44" s="14"/>
      <c r="K44" s="14"/>
    </row>
    <row r="45" spans="1:16" x14ac:dyDescent="0.25">
      <c r="B45" s="1" t="s">
        <v>5</v>
      </c>
      <c r="D45" s="14">
        <f>1250000/30</f>
        <v>41666.666666666664</v>
      </c>
      <c r="E45" s="14">
        <f t="shared" ref="E45:K45" si="22">1250000/30</f>
        <v>41666.666666666664</v>
      </c>
      <c r="F45" s="14">
        <f t="shared" si="22"/>
        <v>41666.666666666664</v>
      </c>
      <c r="G45" s="14">
        <f t="shared" si="22"/>
        <v>41666.666666666664</v>
      </c>
      <c r="H45" s="14">
        <f t="shared" si="22"/>
        <v>41666.666666666664</v>
      </c>
      <c r="I45" s="14">
        <f t="shared" si="22"/>
        <v>41666.666666666664</v>
      </c>
      <c r="J45" s="14">
        <f t="shared" si="22"/>
        <v>41666.666666666664</v>
      </c>
      <c r="K45" s="14">
        <f t="shared" si="22"/>
        <v>41666.666666666664</v>
      </c>
      <c r="L45" s="15"/>
      <c r="P45" s="6"/>
    </row>
    <row r="46" spans="1:16" x14ac:dyDescent="0.25">
      <c r="A46" s="1" t="s">
        <v>6</v>
      </c>
      <c r="D46" s="14">
        <v>68175.789999999994</v>
      </c>
      <c r="E46" s="14">
        <v>67436.69</v>
      </c>
      <c r="F46" s="14">
        <v>66645.33</v>
      </c>
      <c r="G46" s="14">
        <v>65798.03</v>
      </c>
      <c r="H46" s="14">
        <v>64890.83</v>
      </c>
      <c r="I46" s="14">
        <v>63919.51</v>
      </c>
      <c r="J46" s="14">
        <v>62879.51</v>
      </c>
      <c r="K46" s="14">
        <v>61766</v>
      </c>
    </row>
    <row r="47" spans="1:16" ht="17.25" x14ac:dyDescent="0.4">
      <c r="A47" s="1" t="s">
        <v>113</v>
      </c>
      <c r="D47" s="33">
        <f>D73*0.085</f>
        <v>50657.124863387988</v>
      </c>
      <c r="E47" s="33">
        <f t="shared" ref="E47:K47" si="23">E73*0.085</f>
        <v>45826.164478545208</v>
      </c>
      <c r="F47" s="33">
        <f t="shared" si="23"/>
        <v>39348.005126639488</v>
      </c>
      <c r="G47" s="33">
        <f t="shared" si="23"/>
        <v>31923.32751637225</v>
      </c>
      <c r="H47" s="33">
        <f t="shared" si="23"/>
        <v>24552.964745448029</v>
      </c>
      <c r="I47" s="33">
        <f t="shared" si="23"/>
        <v>16328.550133761026</v>
      </c>
      <c r="J47" s="33">
        <f t="shared" si="23"/>
        <v>6016.5078493434421</v>
      </c>
      <c r="K47" s="33">
        <f t="shared" si="23"/>
        <v>0</v>
      </c>
    </row>
    <row r="48" spans="1:16" x14ac:dyDescent="0.25">
      <c r="D48" s="14"/>
      <c r="E48" s="14"/>
      <c r="F48" s="14"/>
      <c r="G48" s="14"/>
      <c r="H48" s="14"/>
      <c r="I48" s="14"/>
      <c r="J48" s="14"/>
      <c r="K48" s="14"/>
    </row>
    <row r="49" spans="1:14" x14ac:dyDescent="0.25">
      <c r="A49" s="1" t="s">
        <v>109</v>
      </c>
      <c r="D49" s="6">
        <v>0.35</v>
      </c>
      <c r="E49" s="6">
        <v>0.35</v>
      </c>
      <c r="F49" s="6">
        <v>0.35</v>
      </c>
      <c r="G49" s="6">
        <v>0.35</v>
      </c>
      <c r="H49" s="6">
        <v>0.35</v>
      </c>
      <c r="I49" s="6">
        <v>0.35</v>
      </c>
      <c r="J49" s="6">
        <v>0.35</v>
      </c>
      <c r="K49" s="6">
        <v>0.35</v>
      </c>
    </row>
    <row r="50" spans="1:14" x14ac:dyDescent="0.25">
      <c r="A50" s="1" t="s">
        <v>7</v>
      </c>
      <c r="D50" s="7">
        <f>D49*D43:D43</f>
        <v>64783.028333333328</v>
      </c>
      <c r="E50" s="7">
        <f t="shared" ref="E50:K50" si="24">E49*E43:E43</f>
        <v>72952.305066666668</v>
      </c>
      <c r="F50" s="7">
        <f t="shared" si="24"/>
        <v>75951.188936000006</v>
      </c>
      <c r="G50" s="7">
        <f t="shared" si="24"/>
        <v>64511.538933146694</v>
      </c>
      <c r="H50" s="7">
        <f t="shared" si="24"/>
        <v>76841.865586305867</v>
      </c>
      <c r="I50" s="7">
        <f t="shared" si="24"/>
        <v>86422.472083679721</v>
      </c>
      <c r="J50" s="7">
        <f t="shared" si="24"/>
        <v>89955.904607196484</v>
      </c>
      <c r="K50" s="7">
        <f t="shared" si="24"/>
        <v>88191.923898209701</v>
      </c>
      <c r="L50" s="6"/>
    </row>
    <row r="51" spans="1:14" ht="15.75" thickBot="1" x14ac:dyDescent="0.3">
      <c r="A51" s="4" t="s">
        <v>8</v>
      </c>
      <c r="D51" s="31">
        <f>D43-D50</f>
        <v>120311.33833333335</v>
      </c>
      <c r="E51" s="31">
        <f t="shared" ref="E51:K51" si="25">E43-E50</f>
        <v>135482.85226666671</v>
      </c>
      <c r="F51" s="31">
        <f t="shared" si="25"/>
        <v>141052.20802400005</v>
      </c>
      <c r="G51" s="31">
        <f t="shared" si="25"/>
        <v>119807.14373298673</v>
      </c>
      <c r="H51" s="31">
        <f t="shared" si="25"/>
        <v>142706.32180313946</v>
      </c>
      <c r="I51" s="31">
        <f t="shared" si="25"/>
        <v>160498.87672683378</v>
      </c>
      <c r="J51" s="31">
        <f t="shared" si="25"/>
        <v>167060.96569907921</v>
      </c>
      <c r="K51" s="31">
        <f t="shared" si="25"/>
        <v>163785.0015252466</v>
      </c>
    </row>
    <row r="52" spans="1:14" ht="15.75" thickTop="1" x14ac:dyDescent="0.25"/>
    <row r="53" spans="1:14" x14ac:dyDescent="0.25">
      <c r="A53" s="4" t="s">
        <v>9</v>
      </c>
    </row>
    <row r="54" spans="1:14" x14ac:dyDescent="0.25">
      <c r="A54" s="4" t="s">
        <v>10</v>
      </c>
    </row>
    <row r="55" spans="1:14" x14ac:dyDescent="0.25">
      <c r="A55" s="1" t="s">
        <v>11</v>
      </c>
      <c r="D55" s="14">
        <v>576832.91486338829</v>
      </c>
      <c r="E55" s="14">
        <v>658959.53913974762</v>
      </c>
      <c r="F55" s="14">
        <v>736505.26519889641</v>
      </c>
      <c r="G55" s="14">
        <v>498281.37208761089</v>
      </c>
      <c r="H55" s="14">
        <v>877189.07503566192</v>
      </c>
      <c r="I55" s="14">
        <v>939872.05700851709</v>
      </c>
      <c r="J55" s="14">
        <v>995392.82381104305</v>
      </c>
      <c r="K55" s="14">
        <v>440685.86924716237</v>
      </c>
      <c r="L55" s="12"/>
    </row>
    <row r="56" spans="1:14" x14ac:dyDescent="0.25">
      <c r="A56" s="1" t="s">
        <v>12</v>
      </c>
      <c r="D56" s="38">
        <f t="shared" ref="D56:K56" si="26">(11/12)*D34</f>
        <v>301565</v>
      </c>
      <c r="E56" s="38">
        <f t="shared" si="26"/>
        <v>330272.80000000005</v>
      </c>
      <c r="F56" s="38">
        <f t="shared" si="26"/>
        <v>343483.71200000006</v>
      </c>
      <c r="G56" s="38">
        <f t="shared" si="26"/>
        <v>339219.61216000008</v>
      </c>
      <c r="H56" s="38">
        <f t="shared" si="26"/>
        <v>352788.39664640004</v>
      </c>
      <c r="I56" s="38">
        <f t="shared" si="26"/>
        <v>386372.46221516805</v>
      </c>
      <c r="J56" s="38">
        <f t="shared" si="26"/>
        <v>401827.36070377479</v>
      </c>
      <c r="K56" s="38">
        <f t="shared" si="26"/>
        <v>438961.94325859542</v>
      </c>
    </row>
    <row r="57" spans="1:14" x14ac:dyDescent="0.25">
      <c r="A57" s="1" t="s">
        <v>132</v>
      </c>
      <c r="D57" s="32">
        <f>0.05*D56</f>
        <v>15078.25</v>
      </c>
      <c r="E57" s="32">
        <f t="shared" ref="E57:K57" si="27">0.05*E56</f>
        <v>16513.640000000003</v>
      </c>
      <c r="F57" s="32">
        <f t="shared" si="27"/>
        <v>17174.185600000004</v>
      </c>
      <c r="G57" s="32">
        <f t="shared" si="27"/>
        <v>16960.980608000005</v>
      </c>
      <c r="H57" s="32">
        <f t="shared" si="27"/>
        <v>17639.419832320003</v>
      </c>
      <c r="I57" s="32">
        <f t="shared" si="27"/>
        <v>19318.623110758403</v>
      </c>
      <c r="J57" s="32">
        <f t="shared" si="27"/>
        <v>20091.368035188741</v>
      </c>
      <c r="K57" s="32">
        <f t="shared" si="27"/>
        <v>21948.097162929771</v>
      </c>
    </row>
    <row r="58" spans="1:14" x14ac:dyDescent="0.25">
      <c r="A58" s="1" t="s">
        <v>13</v>
      </c>
      <c r="D58" s="16">
        <f>D55+D56-D57</f>
        <v>863319.66486338829</v>
      </c>
      <c r="E58" s="16">
        <f t="shared" ref="E58:K58" si="28">E55+E56-E57</f>
        <v>972718.69913974765</v>
      </c>
      <c r="F58" s="16">
        <f t="shared" si="28"/>
        <v>1062814.7915988965</v>
      </c>
      <c r="G58" s="16">
        <f t="shared" si="28"/>
        <v>820540.00363961095</v>
      </c>
      <c r="H58" s="16">
        <f t="shared" si="28"/>
        <v>1212338.051849742</v>
      </c>
      <c r="I58" s="16">
        <f t="shared" si="28"/>
        <v>1306925.8961129268</v>
      </c>
      <c r="J58" s="16">
        <f t="shared" si="28"/>
        <v>1377128.8164796291</v>
      </c>
      <c r="K58" s="16">
        <f t="shared" si="28"/>
        <v>857699.71534282807</v>
      </c>
    </row>
    <row r="60" spans="1:14" x14ac:dyDescent="0.25">
      <c r="A60" s="1" t="s">
        <v>14</v>
      </c>
      <c r="D60" s="14">
        <v>1250000</v>
      </c>
      <c r="E60" s="14">
        <f t="shared" ref="E60:K60" si="29">+$D$60</f>
        <v>1250000</v>
      </c>
      <c r="F60" s="14">
        <f t="shared" si="29"/>
        <v>1250000</v>
      </c>
      <c r="G60" s="14">
        <f t="shared" si="29"/>
        <v>1250000</v>
      </c>
      <c r="H60" s="14">
        <f t="shared" si="29"/>
        <v>1250000</v>
      </c>
      <c r="I60" s="14">
        <f t="shared" si="29"/>
        <v>1250000</v>
      </c>
      <c r="J60" s="14">
        <f t="shared" si="29"/>
        <v>1250000</v>
      </c>
      <c r="K60" s="14">
        <f t="shared" si="29"/>
        <v>1250000</v>
      </c>
    </row>
    <row r="61" spans="1:14" x14ac:dyDescent="0.25">
      <c r="A61" s="42" t="s">
        <v>159</v>
      </c>
      <c r="B61" s="42"/>
      <c r="D61" s="14"/>
      <c r="E61" s="14"/>
      <c r="F61" s="14"/>
      <c r="G61" s="14">
        <f>0.02*F64</f>
        <v>22500</v>
      </c>
      <c r="H61" s="14"/>
      <c r="I61" s="14"/>
      <c r="J61" s="14"/>
      <c r="K61" s="14">
        <f>0.03*J64</f>
        <v>28750</v>
      </c>
      <c r="M61" s="16"/>
      <c r="N61" s="16"/>
    </row>
    <row r="62" spans="1:14" x14ac:dyDescent="0.25">
      <c r="A62" s="1" t="s">
        <v>15</v>
      </c>
      <c r="D62" s="29">
        <f>D45</f>
        <v>41666.666666666664</v>
      </c>
      <c r="E62" s="29">
        <f>D62+E45</f>
        <v>83333.333333333328</v>
      </c>
      <c r="F62" s="29">
        <f t="shared" ref="F62:K62" si="30">E62+F45</f>
        <v>125000</v>
      </c>
      <c r="G62" s="29">
        <f t="shared" si="30"/>
        <v>166666.66666666666</v>
      </c>
      <c r="H62" s="29">
        <f t="shared" si="30"/>
        <v>208333.33333333331</v>
      </c>
      <c r="I62" s="29">
        <f t="shared" si="30"/>
        <v>249999.99999999997</v>
      </c>
      <c r="J62" s="29">
        <f t="shared" si="30"/>
        <v>291666.66666666663</v>
      </c>
      <c r="K62" s="29">
        <f t="shared" si="30"/>
        <v>333333.33333333331</v>
      </c>
    </row>
    <row r="63" spans="1:14" x14ac:dyDescent="0.25">
      <c r="A63" s="1" t="s">
        <v>163</v>
      </c>
      <c r="D63" s="14">
        <f>-D62</f>
        <v>-41666.666666666664</v>
      </c>
      <c r="E63" s="14">
        <f t="shared" ref="E63:J63" si="31">-E62</f>
        <v>-83333.333333333328</v>
      </c>
      <c r="F63" s="14">
        <f t="shared" si="31"/>
        <v>-125000</v>
      </c>
      <c r="G63" s="14">
        <f>-G62+G61</f>
        <v>-144166.66666666666</v>
      </c>
      <c r="H63" s="14">
        <f t="shared" si="31"/>
        <v>-208333.33333333331</v>
      </c>
      <c r="I63" s="14">
        <f t="shared" si="31"/>
        <v>-249999.99999999997</v>
      </c>
      <c r="J63" s="14">
        <f t="shared" si="31"/>
        <v>-291666.66666666663</v>
      </c>
      <c r="K63" s="14">
        <f>-K62+K61</f>
        <v>-304583.33333333331</v>
      </c>
    </row>
    <row r="64" spans="1:14" x14ac:dyDescent="0.25">
      <c r="A64" s="1" t="s">
        <v>111</v>
      </c>
      <c r="D64" s="14">
        <f>D60+D63</f>
        <v>1208333.3333333333</v>
      </c>
      <c r="E64" s="14">
        <f>E60+E63</f>
        <v>1166666.6666666667</v>
      </c>
      <c r="F64" s="14">
        <f>F60+F63</f>
        <v>1125000</v>
      </c>
      <c r="G64" s="14">
        <f>G60-G63</f>
        <v>1394166.6666666667</v>
      </c>
      <c r="H64" s="14">
        <f>H60-H62</f>
        <v>1041666.6666666667</v>
      </c>
      <c r="I64" s="14">
        <f>I60-I62</f>
        <v>1000000</v>
      </c>
      <c r="J64" s="14">
        <f>J60-J62</f>
        <v>958333.33333333337</v>
      </c>
      <c r="K64" s="14">
        <f>K60-K63+K61</f>
        <v>1583333.3333333333</v>
      </c>
    </row>
    <row r="65" spans="1:11" x14ac:dyDescent="0.25">
      <c r="A65" s="1" t="s">
        <v>131</v>
      </c>
      <c r="D65" s="14">
        <v>200000</v>
      </c>
      <c r="E65" s="14">
        <v>200000</v>
      </c>
      <c r="F65" s="14">
        <v>200000</v>
      </c>
      <c r="G65" s="14">
        <v>200000</v>
      </c>
      <c r="H65" s="14">
        <v>200000</v>
      </c>
      <c r="I65" s="14">
        <v>200000</v>
      </c>
      <c r="J65" s="14">
        <v>200000</v>
      </c>
      <c r="K65" s="14">
        <v>200000</v>
      </c>
    </row>
    <row r="67" spans="1:11" x14ac:dyDescent="0.25">
      <c r="A67" s="4" t="s">
        <v>16</v>
      </c>
      <c r="D67" s="16">
        <f>D64+D58+D65</f>
        <v>2271652.9981967215</v>
      </c>
      <c r="E67" s="16">
        <f t="shared" ref="E67:K67" si="32">E64+E58+E65</f>
        <v>2339385.3658064143</v>
      </c>
      <c r="F67" s="16">
        <f t="shared" si="32"/>
        <v>2387814.7915988965</v>
      </c>
      <c r="G67" s="16">
        <f t="shared" si="32"/>
        <v>2414706.6703062775</v>
      </c>
      <c r="H67" s="16">
        <f t="shared" si="32"/>
        <v>2454004.7185164085</v>
      </c>
      <c r="I67" s="16">
        <f t="shared" si="32"/>
        <v>2506925.8961129268</v>
      </c>
      <c r="J67" s="16">
        <f t="shared" si="32"/>
        <v>2535462.1498129624</v>
      </c>
      <c r="K67" s="16">
        <f t="shared" si="32"/>
        <v>2641033.0486761611</v>
      </c>
    </row>
    <row r="69" spans="1:11" x14ac:dyDescent="0.25">
      <c r="A69" s="4" t="s">
        <v>17</v>
      </c>
    </row>
    <row r="70" spans="1:11" x14ac:dyDescent="0.25">
      <c r="A70" s="1" t="s">
        <v>18</v>
      </c>
      <c r="D70" s="14">
        <f t="shared" ref="D70:K70" si="33">D50</f>
        <v>64783.028333333328</v>
      </c>
      <c r="E70" s="14">
        <f t="shared" si="33"/>
        <v>72952.305066666668</v>
      </c>
      <c r="F70" s="14">
        <f t="shared" si="33"/>
        <v>75951.188936000006</v>
      </c>
      <c r="G70" s="14">
        <f t="shared" si="33"/>
        <v>64511.538933146694</v>
      </c>
      <c r="H70" s="14">
        <f t="shared" si="33"/>
        <v>76841.865586305867</v>
      </c>
      <c r="I70" s="14">
        <f t="shared" si="33"/>
        <v>86422.472083679721</v>
      </c>
      <c r="J70" s="14">
        <f t="shared" si="33"/>
        <v>89955.904607196484</v>
      </c>
      <c r="K70" s="14">
        <f t="shared" si="33"/>
        <v>88191.923898209701</v>
      </c>
    </row>
    <row r="71" spans="1:11" x14ac:dyDescent="0.25">
      <c r="A71" s="1" t="s">
        <v>112</v>
      </c>
      <c r="D71" s="12">
        <f>6552.59*12</f>
        <v>78631.08</v>
      </c>
      <c r="E71" s="12">
        <f t="shared" ref="E71:K71" si="34">6552.59*12</f>
        <v>78631.08</v>
      </c>
      <c r="F71" s="12">
        <f t="shared" si="34"/>
        <v>78631.08</v>
      </c>
      <c r="G71" s="12">
        <f t="shared" si="34"/>
        <v>78631.08</v>
      </c>
      <c r="H71" s="12">
        <f t="shared" si="34"/>
        <v>78631.08</v>
      </c>
      <c r="I71" s="12">
        <f t="shared" si="34"/>
        <v>78631.08</v>
      </c>
      <c r="J71" s="12">
        <f t="shared" si="34"/>
        <v>78631.08</v>
      </c>
      <c r="K71" s="12">
        <f t="shared" si="34"/>
        <v>78631.08</v>
      </c>
    </row>
    <row r="72" spans="1:11" x14ac:dyDescent="0.25">
      <c r="A72" s="1" t="s">
        <v>114</v>
      </c>
      <c r="D72" s="12">
        <f>1000000-(D71-D46)</f>
        <v>989544.71</v>
      </c>
      <c r="E72" s="12">
        <f t="shared" ref="E72:K72" si="35">1000000-(E71-E46)</f>
        <v>988805.61</v>
      </c>
      <c r="F72" s="12">
        <f t="shared" si="35"/>
        <v>988014.25</v>
      </c>
      <c r="G72" s="12">
        <f t="shared" si="35"/>
        <v>987166.95</v>
      </c>
      <c r="H72" s="12">
        <f t="shared" si="35"/>
        <v>986259.75</v>
      </c>
      <c r="I72" s="12">
        <f t="shared" si="35"/>
        <v>985288.43</v>
      </c>
      <c r="J72" s="12">
        <f t="shared" si="35"/>
        <v>984248.43</v>
      </c>
      <c r="K72" s="12">
        <f t="shared" si="35"/>
        <v>983134.92</v>
      </c>
    </row>
    <row r="73" spans="1:11" x14ac:dyDescent="0.25">
      <c r="A73" s="1" t="s">
        <v>19</v>
      </c>
      <c r="D73" s="14">
        <v>595966.17486338806</v>
      </c>
      <c r="E73" s="14">
        <v>539131.34680641419</v>
      </c>
      <c r="F73" s="14">
        <v>462917.70737222926</v>
      </c>
      <c r="G73" s="14">
        <v>375568.55901614408</v>
      </c>
      <c r="H73" s="14">
        <v>288858.40876997681</v>
      </c>
      <c r="I73" s="14">
        <v>192100.58980895323</v>
      </c>
      <c r="J73" s="14">
        <v>70782.445286393428</v>
      </c>
      <c r="K73" s="14">
        <v>0</v>
      </c>
    </row>
    <row r="74" spans="1:11" x14ac:dyDescent="0.25">
      <c r="D74" s="14"/>
      <c r="E74" s="14"/>
      <c r="F74" s="14"/>
      <c r="G74" s="14"/>
      <c r="H74" s="14"/>
      <c r="I74" s="14"/>
      <c r="J74" s="14"/>
      <c r="K74" s="14"/>
    </row>
    <row r="75" spans="1:11" x14ac:dyDescent="0.25">
      <c r="A75" s="26" t="s">
        <v>20</v>
      </c>
      <c r="D75" s="14"/>
      <c r="E75" s="14"/>
      <c r="F75" s="14"/>
      <c r="G75" s="14"/>
      <c r="H75" s="14"/>
      <c r="I75" s="14"/>
      <c r="J75" s="14"/>
      <c r="K75" s="14"/>
    </row>
    <row r="76" spans="1:11" x14ac:dyDescent="0.25">
      <c r="A76" s="1" t="s">
        <v>21</v>
      </c>
      <c r="B76" s="14"/>
      <c r="C76" s="14"/>
      <c r="D76" s="14">
        <f>D51</f>
        <v>120311.33833333335</v>
      </c>
      <c r="E76" s="14">
        <f t="shared" ref="E76:K76" si="36">D76+E51</f>
        <v>255794.19060000006</v>
      </c>
      <c r="F76" s="14">
        <f t="shared" si="36"/>
        <v>396846.39862400014</v>
      </c>
      <c r="G76" s="14">
        <f t="shared" si="36"/>
        <v>516653.5423569869</v>
      </c>
      <c r="H76" s="14">
        <f t="shared" si="36"/>
        <v>659359.86416012631</v>
      </c>
      <c r="I76" s="14">
        <f t="shared" si="36"/>
        <v>819858.74088696006</v>
      </c>
      <c r="J76" s="14">
        <f t="shared" si="36"/>
        <v>986919.70658603928</v>
      </c>
      <c r="K76" s="14">
        <f t="shared" si="36"/>
        <v>1150704.7081112859</v>
      </c>
    </row>
    <row r="77" spans="1:11" x14ac:dyDescent="0.25">
      <c r="A77" s="1" t="s">
        <v>133</v>
      </c>
      <c r="B77" s="14"/>
      <c r="C77" s="14"/>
      <c r="D77" s="14">
        <v>450000</v>
      </c>
      <c r="E77" s="14">
        <v>450000</v>
      </c>
      <c r="F77" s="14">
        <v>450000</v>
      </c>
      <c r="G77" s="14">
        <v>450000</v>
      </c>
      <c r="H77" s="14">
        <v>450000</v>
      </c>
      <c r="I77" s="14">
        <v>450000</v>
      </c>
      <c r="J77" s="14">
        <v>450000</v>
      </c>
      <c r="K77" s="14">
        <v>450000</v>
      </c>
    </row>
    <row r="78" spans="1:11" x14ac:dyDescent="0.25">
      <c r="D78" s="14"/>
      <c r="E78" s="14"/>
      <c r="F78" s="14"/>
      <c r="G78" s="14"/>
      <c r="H78" s="14"/>
      <c r="I78" s="14"/>
      <c r="J78" s="14"/>
      <c r="K78" s="14"/>
    </row>
    <row r="79" spans="1:11" x14ac:dyDescent="0.25">
      <c r="A79" s="4" t="s">
        <v>22</v>
      </c>
      <c r="D79" s="14">
        <f>SUM(D70:D77)</f>
        <v>2299236.331530055</v>
      </c>
      <c r="E79" s="14">
        <f t="shared" ref="E79:K79" si="37">SUM(E70:E77)</f>
        <v>2385314.5324730808</v>
      </c>
      <c r="F79" s="14">
        <f t="shared" si="37"/>
        <v>2452360.6249322295</v>
      </c>
      <c r="G79" s="14">
        <f t="shared" si="37"/>
        <v>2472531.6703062775</v>
      </c>
      <c r="H79" s="14">
        <f t="shared" si="37"/>
        <v>2539950.9685164089</v>
      </c>
      <c r="I79" s="14">
        <f t="shared" si="37"/>
        <v>2612301.3127795928</v>
      </c>
      <c r="J79" s="14">
        <f t="shared" si="37"/>
        <v>2660537.5664796294</v>
      </c>
      <c r="K79" s="14">
        <f t="shared" si="37"/>
        <v>2750662.632009496</v>
      </c>
    </row>
    <row r="81" spans="1:12" x14ac:dyDescent="0.25">
      <c r="D81" s="16">
        <f t="shared" ref="D81:K81" si="38">+D67-D79</f>
        <v>-27583.333333333489</v>
      </c>
      <c r="E81" s="16">
        <f t="shared" si="38"/>
        <v>-45929.166666666511</v>
      </c>
      <c r="F81" s="16">
        <f t="shared" si="38"/>
        <v>-64545.833333333023</v>
      </c>
      <c r="G81" s="16">
        <f t="shared" si="38"/>
        <v>-57825</v>
      </c>
      <c r="H81" s="16">
        <f t="shared" si="38"/>
        <v>-85946.250000000466</v>
      </c>
      <c r="I81" s="16">
        <f t="shared" si="38"/>
        <v>-105375.41666666605</v>
      </c>
      <c r="J81" s="16">
        <f t="shared" si="38"/>
        <v>-125075.41666666698</v>
      </c>
      <c r="K81" s="16">
        <f t="shared" si="38"/>
        <v>-109629.58333333489</v>
      </c>
    </row>
    <row r="84" spans="1:12" x14ac:dyDescent="0.25">
      <c r="D84" s="36">
        <f t="shared" ref="D84:K84" si="39">D3</f>
        <v>2012</v>
      </c>
      <c r="E84" s="36">
        <f t="shared" si="39"/>
        <v>2013</v>
      </c>
      <c r="F84" s="36">
        <f t="shared" si="39"/>
        <v>2014</v>
      </c>
      <c r="G84" s="36">
        <f t="shared" si="39"/>
        <v>2015</v>
      </c>
      <c r="H84" s="36">
        <f t="shared" si="39"/>
        <v>2016</v>
      </c>
      <c r="I84" s="36">
        <f t="shared" si="39"/>
        <v>2017</v>
      </c>
      <c r="J84" s="36">
        <f t="shared" si="39"/>
        <v>2018</v>
      </c>
      <c r="K84" s="36">
        <f t="shared" si="39"/>
        <v>2019</v>
      </c>
    </row>
    <row r="85" spans="1:12" x14ac:dyDescent="0.25">
      <c r="A85" s="1" t="s">
        <v>117</v>
      </c>
      <c r="D85" s="16">
        <f t="shared" ref="D85:K85" si="40">12+D23*D6*12+D24*D6*12</f>
        <v>42439.799999999996</v>
      </c>
      <c r="E85" s="16">
        <f t="shared" si="40"/>
        <v>46588.296000000002</v>
      </c>
      <c r="F85" s="16">
        <f t="shared" si="40"/>
        <v>48451.347840000017</v>
      </c>
      <c r="G85" s="16">
        <f t="shared" si="40"/>
        <v>47737.50481920001</v>
      </c>
      <c r="H85" s="16">
        <f t="shared" si="40"/>
        <v>49646.525011968013</v>
      </c>
      <c r="I85" s="16">
        <f t="shared" si="40"/>
        <v>54499.678568693773</v>
      </c>
      <c r="J85" s="16">
        <f t="shared" si="40"/>
        <v>56679.185711441518</v>
      </c>
      <c r="K85" s="16">
        <f t="shared" si="40"/>
        <v>62047.655936735973</v>
      </c>
    </row>
    <row r="86" spans="1:12" x14ac:dyDescent="0.25">
      <c r="A86" s="1" t="s">
        <v>118</v>
      </c>
      <c r="D86" s="16">
        <f t="shared" ref="D86:K86" si="41">D27*D7*12+D28*D7*12</f>
        <v>1984.5</v>
      </c>
      <c r="E86" s="16">
        <f t="shared" si="41"/>
        <v>2063.88</v>
      </c>
      <c r="F86" s="16">
        <f t="shared" si="41"/>
        <v>2146.4351999999999</v>
      </c>
      <c r="G86" s="16">
        <f t="shared" si="41"/>
        <v>2232.2926080000002</v>
      </c>
      <c r="H86" s="16">
        <f t="shared" si="41"/>
        <v>2321.5843123200002</v>
      </c>
      <c r="I86" s="16">
        <f t="shared" si="41"/>
        <v>2414.4476848128002</v>
      </c>
      <c r="J86" s="16">
        <f t="shared" si="41"/>
        <v>2511.0255922053125</v>
      </c>
      <c r="K86" s="16">
        <f t="shared" si="41"/>
        <v>2611.4666158935247</v>
      </c>
    </row>
    <row r="87" spans="1:12" x14ac:dyDescent="0.25">
      <c r="A87" s="1" t="s">
        <v>116</v>
      </c>
      <c r="D87" s="16">
        <f>D38+D39+D45+D46+D47</f>
        <v>245889.58153005465</v>
      </c>
      <c r="E87" s="16">
        <f t="shared" ref="E87:K87" si="42">E38+E39+E45+E46+E47</f>
        <v>244485.12114521186</v>
      </c>
      <c r="F87" s="16">
        <f t="shared" si="42"/>
        <v>241530.32579330617</v>
      </c>
      <c r="G87" s="16">
        <f t="shared" si="42"/>
        <v>236727.63614303895</v>
      </c>
      <c r="H87" s="16">
        <f t="shared" si="42"/>
        <v>232049.56710051472</v>
      </c>
      <c r="I87" s="16">
        <f t="shared" si="42"/>
        <v>227588.48324386371</v>
      </c>
      <c r="J87" s="16">
        <f t="shared" si="42"/>
        <v>221141.39034050857</v>
      </c>
      <c r="K87" s="16">
        <f t="shared" si="42"/>
        <v>219092.85982116981</v>
      </c>
    </row>
    <row r="88" spans="1:12" x14ac:dyDescent="0.25">
      <c r="A88" s="1" t="s">
        <v>119</v>
      </c>
      <c r="D88" s="16">
        <f t="shared" ref="D88:K89" si="43">D32</f>
        <v>314280</v>
      </c>
      <c r="E88" s="16">
        <f t="shared" si="43"/>
        <v>345009.60000000003</v>
      </c>
      <c r="F88" s="16">
        <f t="shared" si="43"/>
        <v>358809.98400000005</v>
      </c>
      <c r="G88" s="16">
        <f t="shared" si="43"/>
        <v>353522.25792000012</v>
      </c>
      <c r="H88" s="16">
        <f t="shared" si="43"/>
        <v>367663.1482368001</v>
      </c>
      <c r="I88" s="16">
        <f t="shared" si="43"/>
        <v>403612.43384217611</v>
      </c>
      <c r="J88" s="16">
        <f t="shared" si="43"/>
        <v>419756.93119586312</v>
      </c>
      <c r="K88" s="16">
        <f t="shared" si="43"/>
        <v>459523.37730915542</v>
      </c>
    </row>
    <row r="89" spans="1:12" x14ac:dyDescent="0.25">
      <c r="A89" s="1" t="s">
        <v>120</v>
      </c>
      <c r="D89" s="16">
        <f t="shared" si="43"/>
        <v>14700</v>
      </c>
      <c r="E89" s="16">
        <f t="shared" si="43"/>
        <v>15288</v>
      </c>
      <c r="F89" s="16">
        <f t="shared" si="43"/>
        <v>15899.52</v>
      </c>
      <c r="G89" s="16">
        <f t="shared" si="43"/>
        <v>16535.500800000002</v>
      </c>
      <c r="H89" s="16">
        <f t="shared" si="43"/>
        <v>17196.920832000003</v>
      </c>
      <c r="I89" s="16">
        <f t="shared" si="43"/>
        <v>17884.797665280006</v>
      </c>
      <c r="J89" s="16">
        <f t="shared" si="43"/>
        <v>18600.189571891202</v>
      </c>
      <c r="K89" s="16">
        <f t="shared" si="43"/>
        <v>19344.197154766851</v>
      </c>
    </row>
    <row r="90" spans="1:12" x14ac:dyDescent="0.25">
      <c r="A90" s="1" t="s">
        <v>121</v>
      </c>
      <c r="D90" s="34">
        <f>(D88-D85)/D88</f>
        <v>0.86496181748759071</v>
      </c>
      <c r="E90" s="34">
        <f t="shared" ref="E90:K90" si="44">(E88-E85)/E88</f>
        <v>0.8649652183591412</v>
      </c>
      <c r="F90" s="34">
        <f t="shared" si="44"/>
        <v>0.86496655611455897</v>
      </c>
      <c r="G90" s="34">
        <f t="shared" si="44"/>
        <v>0.86496605588550324</v>
      </c>
      <c r="H90" s="34">
        <f t="shared" si="44"/>
        <v>0.8649673614283685</v>
      </c>
      <c r="I90" s="34">
        <f t="shared" si="44"/>
        <v>0.86497026850762315</v>
      </c>
      <c r="J90" s="34">
        <f t="shared" si="44"/>
        <v>0.86497141202656069</v>
      </c>
      <c r="K90" s="34">
        <f t="shared" si="44"/>
        <v>0.86497388598580061</v>
      </c>
    </row>
    <row r="91" spans="1:12" x14ac:dyDescent="0.25">
      <c r="A91" s="1" t="s">
        <v>122</v>
      </c>
      <c r="D91" s="8">
        <f>(D89-D86)/D89</f>
        <v>0.86499999999999999</v>
      </c>
      <c r="E91" s="8">
        <f t="shared" ref="E91:K91" si="45">(E89-E86)/E89</f>
        <v>0.86499999999999988</v>
      </c>
      <c r="F91" s="8">
        <f t="shared" si="45"/>
        <v>0.86499999999999999</v>
      </c>
      <c r="G91" s="8">
        <f t="shared" si="45"/>
        <v>0.86499999999999999</v>
      </c>
      <c r="H91" s="8">
        <f t="shared" si="45"/>
        <v>0.8650000000000001</v>
      </c>
      <c r="I91" s="8">
        <f t="shared" si="45"/>
        <v>0.8650000000000001</v>
      </c>
      <c r="J91" s="8">
        <f t="shared" si="45"/>
        <v>0.86499999999999999</v>
      </c>
      <c r="K91" s="8">
        <f t="shared" si="45"/>
        <v>0.86499999999999999</v>
      </c>
      <c r="L91" s="15"/>
    </row>
    <row r="92" spans="1:12" x14ac:dyDescent="0.25">
      <c r="A92" s="1" t="s">
        <v>123</v>
      </c>
      <c r="D92" s="15">
        <f t="shared" ref="D92:K92" si="46">D88/D34</f>
        <v>0.95531643260988508</v>
      </c>
      <c r="E92" s="15">
        <f t="shared" si="46"/>
        <v>0.95756841011430549</v>
      </c>
      <c r="F92" s="15">
        <f t="shared" si="46"/>
        <v>0.95756841011430549</v>
      </c>
      <c r="G92" s="15">
        <f t="shared" si="46"/>
        <v>0.95531643260988519</v>
      </c>
      <c r="H92" s="15">
        <f t="shared" si="46"/>
        <v>0.95531643260988519</v>
      </c>
      <c r="I92" s="15">
        <f t="shared" si="46"/>
        <v>0.95756841011430549</v>
      </c>
      <c r="J92" s="15">
        <f t="shared" si="46"/>
        <v>0.95756841011430549</v>
      </c>
      <c r="K92" s="15">
        <f t="shared" si="46"/>
        <v>0.95960428689200328</v>
      </c>
      <c r="L92" s="15"/>
    </row>
    <row r="93" spans="1:12" x14ac:dyDescent="0.25">
      <c r="A93" s="1" t="s">
        <v>124</v>
      </c>
      <c r="D93" s="15">
        <f t="shared" ref="D93:K93" si="47">D89/D34</f>
        <v>4.4683567390114899E-2</v>
      </c>
      <c r="E93" s="15">
        <f t="shared" si="47"/>
        <v>4.2431589885694489E-2</v>
      </c>
      <c r="F93" s="15">
        <f t="shared" si="47"/>
        <v>4.2431589885694489E-2</v>
      </c>
      <c r="G93" s="15">
        <f t="shared" si="47"/>
        <v>4.4683567390114892E-2</v>
      </c>
      <c r="H93" s="15">
        <f t="shared" si="47"/>
        <v>4.4683567390114899E-2</v>
      </c>
      <c r="I93" s="15">
        <f t="shared" si="47"/>
        <v>4.2431589885694496E-2</v>
      </c>
      <c r="J93" s="15">
        <f t="shared" si="47"/>
        <v>4.2431589885694489E-2</v>
      </c>
      <c r="K93" s="15">
        <f t="shared" si="47"/>
        <v>4.0395713107996695E-2</v>
      </c>
      <c r="L93" s="15"/>
    </row>
    <row r="94" spans="1:12" x14ac:dyDescent="0.25">
      <c r="A94" s="1" t="s">
        <v>126</v>
      </c>
      <c r="D94" s="35">
        <f>D92*D90+D93*D91</f>
        <v>0.86496352361845708</v>
      </c>
      <c r="E94" s="35">
        <f t="shared" ref="E94:K94" si="48">E92*E90+E93*E91</f>
        <v>0.86496669419946171</v>
      </c>
      <c r="F94" s="35">
        <f t="shared" si="48"/>
        <v>0.86496797519179014</v>
      </c>
      <c r="G94" s="35">
        <f t="shared" si="48"/>
        <v>0.86496757262963087</v>
      </c>
      <c r="H94" s="35">
        <f t="shared" si="48"/>
        <v>0.86496881983618357</v>
      </c>
      <c r="I94" s="35">
        <f t="shared" si="48"/>
        <v>0.86497153006211436</v>
      </c>
      <c r="J94" s="35">
        <f t="shared" si="48"/>
        <v>0.86497262505972528</v>
      </c>
      <c r="K94" s="35">
        <f t="shared" si="48"/>
        <v>0.86497494088002624</v>
      </c>
    </row>
    <row r="95" spans="1:12" x14ac:dyDescent="0.25">
      <c r="A95" s="1" t="s">
        <v>127</v>
      </c>
      <c r="D95" s="34">
        <f t="shared" ref="D95:K95" si="49">D11-D23-D24</f>
        <v>51.900000000000006</v>
      </c>
      <c r="E95" s="34">
        <f t="shared" si="49"/>
        <v>53.976000000000006</v>
      </c>
      <c r="F95" s="34">
        <f t="shared" si="49"/>
        <v>56.135040000000011</v>
      </c>
      <c r="G95" s="34">
        <f t="shared" si="49"/>
        <v>58.380441600000019</v>
      </c>
      <c r="H95" s="34">
        <f t="shared" si="49"/>
        <v>60.715659264000017</v>
      </c>
      <c r="I95" s="34">
        <f t="shared" si="49"/>
        <v>63.144285634560028</v>
      </c>
      <c r="J95" s="34">
        <f t="shared" si="49"/>
        <v>65.670057059942422</v>
      </c>
      <c r="K95" s="34">
        <f t="shared" si="49"/>
        <v>68.296859342340113</v>
      </c>
    </row>
    <row r="96" spans="1:12" x14ac:dyDescent="0.25">
      <c r="A96" s="1" t="s">
        <v>128</v>
      </c>
      <c r="D96" s="34">
        <f t="shared" ref="D96:K96" si="50">D10-D27-D28</f>
        <v>151.375</v>
      </c>
      <c r="E96" s="34">
        <f t="shared" si="50"/>
        <v>157.43</v>
      </c>
      <c r="F96" s="34">
        <f t="shared" si="50"/>
        <v>163.72719999999998</v>
      </c>
      <c r="G96" s="34">
        <f t="shared" si="50"/>
        <v>170.27628799999999</v>
      </c>
      <c r="H96" s="34">
        <f t="shared" si="50"/>
        <v>177.08733952000003</v>
      </c>
      <c r="I96" s="34">
        <f t="shared" si="50"/>
        <v>184.17083310080002</v>
      </c>
      <c r="J96" s="34">
        <f t="shared" si="50"/>
        <v>191.53766642483203</v>
      </c>
      <c r="K96" s="34">
        <f t="shared" si="50"/>
        <v>199.19917308182531</v>
      </c>
    </row>
    <row r="98" spans="1:11" x14ac:dyDescent="0.25">
      <c r="A98" s="26" t="s">
        <v>125</v>
      </c>
      <c r="D98" s="12">
        <f>D87/D94</f>
        <v>284277.39993174403</v>
      </c>
      <c r="E98" s="12">
        <f t="shared" ref="E98:K98" si="51">E87/E94</f>
        <v>282652.64175458933</v>
      </c>
      <c r="F98" s="12">
        <f t="shared" si="51"/>
        <v>279236.14829757303</v>
      </c>
      <c r="G98" s="12">
        <f t="shared" si="51"/>
        <v>273683.827733971</v>
      </c>
      <c r="H98" s="12">
        <f t="shared" si="51"/>
        <v>268275.06585088535</v>
      </c>
      <c r="I98" s="12">
        <f t="shared" si="51"/>
        <v>263116.73313400312</v>
      </c>
      <c r="J98" s="12">
        <f t="shared" si="51"/>
        <v>255662.8775682225</v>
      </c>
      <c r="K98" s="12">
        <f t="shared" si="51"/>
        <v>253293.88109008633</v>
      </c>
    </row>
    <row r="99" spans="1:11" x14ac:dyDescent="0.25">
      <c r="A99" s="26"/>
      <c r="D99" s="12"/>
      <c r="E99" s="12"/>
      <c r="F99" s="12"/>
      <c r="G99" s="12"/>
      <c r="H99" s="12"/>
      <c r="I99" s="12"/>
      <c r="J99" s="12"/>
      <c r="K99" s="12"/>
    </row>
    <row r="100" spans="1:11" x14ac:dyDescent="0.25">
      <c r="A100" s="26"/>
      <c r="D100" s="34"/>
    </row>
    <row r="104" spans="1:11" x14ac:dyDescent="0.25">
      <c r="A104" s="26" t="s">
        <v>135</v>
      </c>
      <c r="B104" s="37"/>
    </row>
    <row r="105" spans="1:11" x14ac:dyDescent="0.25">
      <c r="B105" s="39" t="s">
        <v>136</v>
      </c>
      <c r="C105" s="6">
        <f>(K77+K76)/(K77+K76+K73+K72)</f>
        <v>0.61950621497409109</v>
      </c>
    </row>
    <row r="106" spans="1:11" x14ac:dyDescent="0.25">
      <c r="B106" s="1" t="s">
        <v>137</v>
      </c>
      <c r="C106" s="9">
        <f>1-C105</f>
        <v>0.38049378502590891</v>
      </c>
    </row>
    <row r="107" spans="1:11" x14ac:dyDescent="0.25">
      <c r="B107" s="1" t="s">
        <v>138</v>
      </c>
      <c r="C107" s="15">
        <f>(K46+K47)/(K72+K73)</f>
        <v>6.2825558062773318E-2</v>
      </c>
    </row>
    <row r="108" spans="1:11" x14ac:dyDescent="0.25">
      <c r="B108" s="1" t="s">
        <v>109</v>
      </c>
      <c r="C108" s="9">
        <f>K49</f>
        <v>0.35</v>
      </c>
    </row>
    <row r="109" spans="1:11" x14ac:dyDescent="0.25">
      <c r="B109" s="1" t="s">
        <v>139</v>
      </c>
      <c r="C109" s="15">
        <f>0.0065+0.84*(0.0635)</f>
        <v>5.9839999999999997E-2</v>
      </c>
    </row>
    <row r="111" spans="1:11" x14ac:dyDescent="0.25">
      <c r="B111" s="26" t="s">
        <v>135</v>
      </c>
      <c r="C111" s="15">
        <f>(C106*(1-C108)*C107+C105*C109)</f>
        <v>5.2609329253434867E-2</v>
      </c>
    </row>
    <row r="113" spans="1:11" x14ac:dyDescent="0.25">
      <c r="D113" s="1">
        <v>2012</v>
      </c>
      <c r="E113" s="1">
        <v>2013</v>
      </c>
      <c r="F113" s="1">
        <v>2014</v>
      </c>
      <c r="G113" s="1">
        <v>2015</v>
      </c>
      <c r="H113" s="1">
        <v>2016</v>
      </c>
      <c r="I113" s="1">
        <v>2017</v>
      </c>
      <c r="J113" s="1">
        <v>2018</v>
      </c>
      <c r="K113" s="1">
        <v>2019</v>
      </c>
    </row>
    <row r="114" spans="1:11" x14ac:dyDescent="0.25">
      <c r="C114" s="1">
        <v>0</v>
      </c>
      <c r="D114" s="1">
        <v>1</v>
      </c>
      <c r="E114" s="1">
        <v>2</v>
      </c>
      <c r="F114" s="1">
        <v>3</v>
      </c>
      <c r="G114" s="1">
        <v>4</v>
      </c>
      <c r="H114" s="1">
        <v>5</v>
      </c>
      <c r="I114" s="1">
        <v>6</v>
      </c>
      <c r="J114" s="1">
        <v>7</v>
      </c>
      <c r="K114" s="1">
        <v>8</v>
      </c>
    </row>
    <row r="115" spans="1:11" x14ac:dyDescent="0.25">
      <c r="A115" s="27" t="s">
        <v>129</v>
      </c>
    </row>
    <row r="116" spans="1:11" x14ac:dyDescent="0.25">
      <c r="B116" s="1" t="s">
        <v>4</v>
      </c>
      <c r="D116" s="16">
        <f t="shared" ref="D116:K116" si="52">D43</f>
        <v>185094.36666666667</v>
      </c>
      <c r="E116" s="16">
        <f t="shared" si="52"/>
        <v>208435.15733333337</v>
      </c>
      <c r="F116" s="16">
        <f t="shared" si="52"/>
        <v>217003.39696000004</v>
      </c>
      <c r="G116" s="16">
        <f t="shared" si="52"/>
        <v>184318.68266613342</v>
      </c>
      <c r="H116" s="16">
        <f t="shared" si="52"/>
        <v>219548.18738944535</v>
      </c>
      <c r="I116" s="16">
        <f t="shared" si="52"/>
        <v>246921.3488105135</v>
      </c>
      <c r="J116" s="16">
        <f t="shared" si="52"/>
        <v>257016.8703062757</v>
      </c>
      <c r="K116" s="16">
        <f t="shared" si="52"/>
        <v>251976.9254234563</v>
      </c>
    </row>
    <row r="117" spans="1:11" x14ac:dyDescent="0.25">
      <c r="B117" s="1" t="s">
        <v>140</v>
      </c>
      <c r="D117" s="32">
        <f>D45</f>
        <v>41666.666666666664</v>
      </c>
      <c r="E117" s="32">
        <f t="shared" ref="E117:K117" si="53">E45</f>
        <v>41666.666666666664</v>
      </c>
      <c r="F117" s="32">
        <f t="shared" si="53"/>
        <v>41666.666666666664</v>
      </c>
      <c r="G117" s="32">
        <f t="shared" si="53"/>
        <v>41666.666666666664</v>
      </c>
      <c r="H117" s="32">
        <f t="shared" si="53"/>
        <v>41666.666666666664</v>
      </c>
      <c r="I117" s="32">
        <f t="shared" si="53"/>
        <v>41666.666666666664</v>
      </c>
      <c r="J117" s="32">
        <f t="shared" si="53"/>
        <v>41666.666666666664</v>
      </c>
      <c r="K117" s="32">
        <f t="shared" si="53"/>
        <v>41666.666666666664</v>
      </c>
    </row>
    <row r="118" spans="1:11" x14ac:dyDescent="0.25">
      <c r="B118" s="1" t="s">
        <v>141</v>
      </c>
      <c r="D118" s="16">
        <f>D116-D117</f>
        <v>143427.70000000001</v>
      </c>
      <c r="E118" s="16">
        <f t="shared" ref="E118:K118" si="54">E116-E117</f>
        <v>166768.49066666671</v>
      </c>
      <c r="F118" s="16">
        <f t="shared" si="54"/>
        <v>175336.73029333338</v>
      </c>
      <c r="G118" s="16">
        <f t="shared" si="54"/>
        <v>142652.01599946676</v>
      </c>
      <c r="H118" s="16">
        <f t="shared" si="54"/>
        <v>177881.52072277869</v>
      </c>
      <c r="I118" s="16">
        <f t="shared" si="54"/>
        <v>205254.68214384685</v>
      </c>
      <c r="J118" s="16">
        <f t="shared" si="54"/>
        <v>215350.20363960904</v>
      </c>
      <c r="K118" s="16">
        <f t="shared" si="54"/>
        <v>210310.25875678964</v>
      </c>
    </row>
    <row r="119" spans="1:11" x14ac:dyDescent="0.25">
      <c r="B119" s="1" t="s">
        <v>142</v>
      </c>
      <c r="D119" s="34">
        <v>0</v>
      </c>
      <c r="E119" s="34">
        <f t="shared" ref="E119:J119" si="55">0.35*E118</f>
        <v>58368.971733333346</v>
      </c>
      <c r="F119" s="34">
        <f t="shared" si="55"/>
        <v>61367.855602666677</v>
      </c>
      <c r="G119" s="34">
        <f t="shared" si="55"/>
        <v>49928.205599813366</v>
      </c>
      <c r="H119" s="34">
        <f t="shared" si="55"/>
        <v>62258.532252972538</v>
      </c>
      <c r="I119" s="34">
        <f t="shared" si="55"/>
        <v>71839.138750346392</v>
      </c>
      <c r="J119" s="34">
        <f t="shared" si="55"/>
        <v>75372.571273863156</v>
      </c>
      <c r="K119" s="34">
        <f>0.35*K118</f>
        <v>73608.590564876373</v>
      </c>
    </row>
    <row r="121" spans="1:11" x14ac:dyDescent="0.25">
      <c r="B121" s="1" t="s">
        <v>143</v>
      </c>
      <c r="D121" s="16">
        <f>D117</f>
        <v>41666.666666666664</v>
      </c>
      <c r="E121" s="16">
        <f t="shared" ref="E121:K121" si="56">E117</f>
        <v>41666.666666666664</v>
      </c>
      <c r="F121" s="16">
        <f t="shared" si="56"/>
        <v>41666.666666666664</v>
      </c>
      <c r="G121" s="16">
        <f t="shared" si="56"/>
        <v>41666.666666666664</v>
      </c>
      <c r="H121" s="16">
        <f t="shared" si="56"/>
        <v>41666.666666666664</v>
      </c>
      <c r="I121" s="16">
        <f t="shared" si="56"/>
        <v>41666.666666666664</v>
      </c>
      <c r="J121" s="16">
        <f t="shared" si="56"/>
        <v>41666.666666666664</v>
      </c>
      <c r="K121" s="16">
        <f t="shared" si="56"/>
        <v>41666.666666666664</v>
      </c>
    </row>
    <row r="122" spans="1:11" x14ac:dyDescent="0.25">
      <c r="B122" s="1" t="s">
        <v>144</v>
      </c>
      <c r="D122" s="34">
        <f>D118-D119+D121</f>
        <v>185094.36666666667</v>
      </c>
      <c r="E122" s="34">
        <f t="shared" ref="E122:J122" si="57">E118-E119+E121</f>
        <v>150066.18560000003</v>
      </c>
      <c r="F122" s="34">
        <f t="shared" si="57"/>
        <v>155635.54135733336</v>
      </c>
      <c r="G122" s="34">
        <f t="shared" si="57"/>
        <v>134390.47706632005</v>
      </c>
      <c r="H122" s="34">
        <f t="shared" si="57"/>
        <v>157289.65513647281</v>
      </c>
      <c r="I122" s="34">
        <f t="shared" si="57"/>
        <v>175082.2100601671</v>
      </c>
      <c r="J122" s="34">
        <f t="shared" si="57"/>
        <v>181644.29903241256</v>
      </c>
      <c r="K122" s="34">
        <f>K118-K119+K121</f>
        <v>178368.33485857994</v>
      </c>
    </row>
    <row r="124" spans="1:11" x14ac:dyDescent="0.25">
      <c r="A124" s="1" t="s">
        <v>145</v>
      </c>
    </row>
    <row r="125" spans="1:11" x14ac:dyDescent="0.25">
      <c r="B125" s="1" t="s">
        <v>146</v>
      </c>
      <c r="C125" s="1">
        <f>-1250000</f>
        <v>-1250000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</row>
    <row r="126" spans="1:11" x14ac:dyDescent="0.25">
      <c r="B126" s="1" t="s">
        <v>147</v>
      </c>
      <c r="C126" s="1">
        <v>-200000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</row>
    <row r="127" spans="1:11" x14ac:dyDescent="0.25">
      <c r="B127" s="42" t="s">
        <v>158</v>
      </c>
      <c r="G127" s="16">
        <f>-G61</f>
        <v>-22500</v>
      </c>
      <c r="K127" s="16">
        <f>-K61</f>
        <v>-28750</v>
      </c>
    </row>
    <row r="128" spans="1:11" x14ac:dyDescent="0.25">
      <c r="B128" s="42" t="s">
        <v>156</v>
      </c>
      <c r="K128" s="1">
        <f>0.9*-C125</f>
        <v>1125000</v>
      </c>
    </row>
    <row r="129" spans="1:13" x14ac:dyDescent="0.25">
      <c r="B129" s="42" t="s">
        <v>157</v>
      </c>
      <c r="K129" s="1">
        <f>1.1*-C126</f>
        <v>220000.00000000003</v>
      </c>
      <c r="L129" s="1">
        <f>-(C125+C126)-(K128+K129)</f>
        <v>105000</v>
      </c>
      <c r="M129" s="1" t="s">
        <v>162</v>
      </c>
    </row>
    <row r="130" spans="1:13" x14ac:dyDescent="0.25">
      <c r="B130" s="42" t="s">
        <v>155</v>
      </c>
      <c r="K130" s="1">
        <f>-L129*K49</f>
        <v>-36750</v>
      </c>
    </row>
    <row r="132" spans="1:13" x14ac:dyDescent="0.25">
      <c r="A132" s="1" t="s">
        <v>148</v>
      </c>
      <c r="D132" s="16"/>
      <c r="E132" s="16"/>
    </row>
    <row r="133" spans="1:13" x14ac:dyDescent="0.25">
      <c r="B133" s="1" t="s">
        <v>149</v>
      </c>
      <c r="D133" s="16">
        <f>-(D56-D57)</f>
        <v>-286486.75</v>
      </c>
      <c r="E133" s="16">
        <f t="shared" ref="E133:K133" si="58">-((E56-E57)-(D56-D57))</f>
        <v>-27272.410000000033</v>
      </c>
      <c r="F133" s="16">
        <f t="shared" si="58"/>
        <v>-12550.366399999999</v>
      </c>
      <c r="G133" s="16">
        <f t="shared" si="58"/>
        <v>4050.8948479999672</v>
      </c>
      <c r="H133" s="16">
        <f t="shared" si="58"/>
        <v>-12890.345262079965</v>
      </c>
      <c r="I133" s="16">
        <f t="shared" si="58"/>
        <v>-31904.862290329649</v>
      </c>
      <c r="J133" s="16">
        <f t="shared" si="58"/>
        <v>-14682.153564176348</v>
      </c>
      <c r="K133" s="16">
        <f t="shared" si="58"/>
        <v>-35277.853427079623</v>
      </c>
    </row>
    <row r="134" spans="1:13" x14ac:dyDescent="0.25">
      <c r="B134" s="1" t="s">
        <v>150</v>
      </c>
      <c r="D134" s="16">
        <f>D70</f>
        <v>64783.028333333328</v>
      </c>
      <c r="E134" s="16">
        <f t="shared" ref="E134:K134" si="59">E70-D70</f>
        <v>8169.2767333333395</v>
      </c>
      <c r="F134" s="16">
        <f t="shared" si="59"/>
        <v>2998.8838693333382</v>
      </c>
      <c r="G134" s="16">
        <f t="shared" si="59"/>
        <v>-11439.650002853312</v>
      </c>
      <c r="H134" s="16">
        <f t="shared" si="59"/>
        <v>12330.326653159173</v>
      </c>
      <c r="I134" s="16">
        <f t="shared" si="59"/>
        <v>9580.6064973738539</v>
      </c>
      <c r="J134" s="16">
        <f t="shared" si="59"/>
        <v>3533.4325235167635</v>
      </c>
      <c r="K134" s="16">
        <f t="shared" si="59"/>
        <v>-1763.9807089867827</v>
      </c>
    </row>
    <row r="135" spans="1:13" x14ac:dyDescent="0.25">
      <c r="D135" s="16"/>
      <c r="E135" s="16"/>
      <c r="F135" s="16"/>
      <c r="G135" s="16"/>
      <c r="H135" s="16"/>
      <c r="I135" s="16"/>
      <c r="J135" s="16"/>
      <c r="K135" s="16"/>
    </row>
    <row r="136" spans="1:13" x14ac:dyDescent="0.25">
      <c r="A136" s="42" t="s">
        <v>160</v>
      </c>
      <c r="B136" s="42"/>
      <c r="C136" s="42"/>
      <c r="D136" s="43"/>
      <c r="E136" s="43"/>
      <c r="F136" s="43"/>
      <c r="G136" s="43"/>
      <c r="H136" s="43"/>
      <c r="I136" s="43"/>
      <c r="J136" s="43"/>
      <c r="K136" s="42"/>
    </row>
    <row r="137" spans="1:13" x14ac:dyDescent="0.25">
      <c r="A137" s="42"/>
      <c r="B137" s="42" t="s">
        <v>161</v>
      </c>
      <c r="C137" s="42"/>
      <c r="D137" s="43"/>
      <c r="E137" s="43"/>
      <c r="F137" s="43"/>
      <c r="G137" s="43"/>
      <c r="H137" s="43"/>
      <c r="I137" s="43"/>
      <c r="J137" s="43"/>
      <c r="K137" s="43">
        <f>-SUM(D133:K134)</f>
        <v>328821.92219745589</v>
      </c>
    </row>
    <row r="138" spans="1:13" x14ac:dyDescent="0.25">
      <c r="A138" s="42"/>
      <c r="B138" s="42" t="s">
        <v>12</v>
      </c>
      <c r="C138" s="42"/>
      <c r="D138" s="43"/>
      <c r="E138" s="43"/>
      <c r="F138" s="43"/>
      <c r="G138" s="43"/>
      <c r="H138" s="43"/>
      <c r="I138" s="43"/>
      <c r="J138" s="43"/>
      <c r="K138" s="43">
        <f>K56-K57</f>
        <v>417013.84609566565</v>
      </c>
    </row>
    <row r="139" spans="1:13" x14ac:dyDescent="0.25">
      <c r="A139" s="42"/>
      <c r="B139" s="42" t="s">
        <v>164</v>
      </c>
      <c r="C139" s="42"/>
      <c r="D139" s="43"/>
      <c r="E139" s="43"/>
      <c r="F139" s="43"/>
      <c r="G139" s="43"/>
      <c r="H139" s="43"/>
      <c r="I139" s="43"/>
      <c r="J139" s="43"/>
      <c r="K139" s="43">
        <f>-K70</f>
        <v>-88191.923898209701</v>
      </c>
    </row>
    <row r="140" spans="1:13" x14ac:dyDescent="0.2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</row>
    <row r="141" spans="1:13" x14ac:dyDescent="0.25">
      <c r="A141" s="1" t="s">
        <v>151</v>
      </c>
      <c r="C141" s="34">
        <f t="shared" ref="C141:J141" si="60">SUM(C122:C139)</f>
        <v>-1450000</v>
      </c>
      <c r="D141" s="34">
        <f t="shared" si="60"/>
        <v>-36609.355000000003</v>
      </c>
      <c r="E141" s="34">
        <f t="shared" si="60"/>
        <v>130963.05233333333</v>
      </c>
      <c r="F141" s="34">
        <f t="shared" si="60"/>
        <v>146084.0588266667</v>
      </c>
      <c r="G141" s="34">
        <f t="shared" si="60"/>
        <v>104501.72191146671</v>
      </c>
      <c r="H141" s="34">
        <f t="shared" si="60"/>
        <v>156729.63652755201</v>
      </c>
      <c r="I141" s="34">
        <f t="shared" si="60"/>
        <v>152757.95426721132</v>
      </c>
      <c r="J141" s="34">
        <f t="shared" si="60"/>
        <v>170495.57799175297</v>
      </c>
      <c r="K141" s="34">
        <f>SUM(K122:K139)</f>
        <v>2078470.3451174255</v>
      </c>
    </row>
    <row r="142" spans="1:13" ht="15.75" thickBot="1" x14ac:dyDescent="0.3"/>
    <row r="143" spans="1:13" ht="15.75" thickBot="1" x14ac:dyDescent="0.3">
      <c r="K143" s="1" t="s">
        <v>152</v>
      </c>
      <c r="L143" s="40">
        <f>IRR(C141:K141)</f>
        <v>0.10515388298366579</v>
      </c>
    </row>
    <row r="145" spans="1:12" x14ac:dyDescent="0.25">
      <c r="A145" s="1" t="s">
        <v>153</v>
      </c>
      <c r="C145" s="41">
        <f>-PV($C$111,C114,,C141)</f>
        <v>-1450000</v>
      </c>
      <c r="D145" s="41">
        <f>-PV($C$111,D114,,D141)</f>
        <v>-34779.622394155725</v>
      </c>
      <c r="E145" s="41">
        <f t="shared" ref="E145:K145" si="61">-PV($C$111,E114,,E141)</f>
        <v>118199.15147841697</v>
      </c>
      <c r="F145" s="41">
        <f t="shared" si="61"/>
        <v>125256.76250381944</v>
      </c>
      <c r="G145" s="41">
        <f t="shared" si="61"/>
        <v>85124.502582151501</v>
      </c>
      <c r="H145" s="41">
        <f t="shared" si="61"/>
        <v>121287.22291148812</v>
      </c>
      <c r="I145" s="41">
        <f t="shared" si="61"/>
        <v>112305.375591007</v>
      </c>
      <c r="J145" s="41">
        <f t="shared" si="61"/>
        <v>119081.03909935076</v>
      </c>
      <c r="K145" s="41">
        <f t="shared" si="61"/>
        <v>1379132.883689889</v>
      </c>
    </row>
    <row r="147" spans="1:12" x14ac:dyDescent="0.25">
      <c r="K147" s="1" t="s">
        <v>154</v>
      </c>
      <c r="L147" s="41">
        <f>SUM(C145:K145)</f>
        <v>575607.31546196714</v>
      </c>
    </row>
    <row r="149" spans="1:12" x14ac:dyDescent="0.25">
      <c r="A149" s="26" t="s">
        <v>165</v>
      </c>
    </row>
    <row r="151" spans="1:12" x14ac:dyDescent="0.25">
      <c r="B151" s="1" t="s">
        <v>167</v>
      </c>
      <c r="C151" s="1">
        <v>0.75</v>
      </c>
    </row>
    <row r="152" spans="1:12" x14ac:dyDescent="0.25">
      <c r="B152" s="1" t="s">
        <v>168</v>
      </c>
      <c r="C152" s="1">
        <f>1-C151</f>
        <v>0.25</v>
      </c>
    </row>
    <row r="153" spans="1:12" x14ac:dyDescent="0.25">
      <c r="B153" s="1" t="s">
        <v>166</v>
      </c>
      <c r="C153" s="45">
        <f>C107</f>
        <v>6.2825558062773318E-2</v>
      </c>
    </row>
    <row r="154" spans="1:12" x14ac:dyDescent="0.25">
      <c r="B154" s="1" t="s">
        <v>109</v>
      </c>
      <c r="C154" s="9">
        <f>C108</f>
        <v>0.35</v>
      </c>
    </row>
    <row r="155" spans="1:12" x14ac:dyDescent="0.25">
      <c r="B155" s="1" t="s">
        <v>169</v>
      </c>
      <c r="C155" s="1">
        <v>0.84</v>
      </c>
    </row>
    <row r="157" spans="1:12" x14ac:dyDescent="0.25">
      <c r="A157" s="1" t="s">
        <v>139</v>
      </c>
    </row>
    <row r="158" spans="1:12" x14ac:dyDescent="0.25">
      <c r="B158" s="1" t="s">
        <v>170</v>
      </c>
      <c r="C158" s="15">
        <v>7.0000000000000007E-2</v>
      </c>
    </row>
    <row r="159" spans="1:12" x14ac:dyDescent="0.25">
      <c r="B159" s="1" t="s">
        <v>171</v>
      </c>
      <c r="C159" s="15">
        <v>6.4999999999999997E-3</v>
      </c>
    </row>
    <row r="160" spans="1:12" x14ac:dyDescent="0.25">
      <c r="B160" s="1" t="s">
        <v>169</v>
      </c>
      <c r="C160" s="1">
        <f>C155</f>
        <v>0.84</v>
      </c>
    </row>
    <row r="161" spans="2:5" x14ac:dyDescent="0.25">
      <c r="B161" s="1" t="s">
        <v>172</v>
      </c>
      <c r="C161" s="47">
        <f>C160/(1+(1-C154)*(C151/C152))</f>
        <v>0.28474576271186436</v>
      </c>
    </row>
    <row r="162" spans="2:5" x14ac:dyDescent="0.25">
      <c r="B162" s="1" t="s">
        <v>173</v>
      </c>
      <c r="C162" s="46">
        <f>(1+(1-C154)*(C164/C165))*C161</f>
        <v>0.10550208684577742</v>
      </c>
    </row>
    <row r="164" spans="2:5" x14ac:dyDescent="0.25">
      <c r="B164" s="1" t="s">
        <v>167</v>
      </c>
      <c r="C164" s="1">
        <v>-30.68678838608961</v>
      </c>
      <c r="E164" s="1" t="s">
        <v>174</v>
      </c>
    </row>
    <row r="165" spans="2:5" x14ac:dyDescent="0.25">
      <c r="B165" s="1" t="s">
        <v>168</v>
      </c>
      <c r="C165" s="1">
        <f>1-C164</f>
        <v>31.68678838608961</v>
      </c>
    </row>
  </sheetData>
  <sheetProtection selectLockedCells="1" selectUnlockedCells="1"/>
  <pageMargins left="0.7" right="0.7" top="0.75" bottom="0.75" header="0.51180555555555551" footer="0.51180555555555551"/>
  <pageSetup firstPageNumber="0" fitToHeight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workbookViewId="0">
      <selection activeCell="I1" sqref="I1"/>
    </sheetView>
  </sheetViews>
  <sheetFormatPr defaultColWidth="11.5703125" defaultRowHeight="12.75" x14ac:dyDescent="0.2"/>
  <cols>
    <col min="1" max="1" width="30.140625" customWidth="1"/>
    <col min="2" max="3" width="12.7109375" customWidth="1"/>
    <col min="4" max="4" width="12.85546875" customWidth="1"/>
    <col min="5" max="5" width="13.5703125" customWidth="1"/>
    <col min="6" max="6" width="12.42578125" customWidth="1"/>
    <col min="9" max="9" width="12.7109375" bestFit="1" customWidth="1"/>
  </cols>
  <sheetData>
    <row r="1" spans="1:9" x14ac:dyDescent="0.2">
      <c r="B1" t="s">
        <v>23</v>
      </c>
      <c r="C1" t="s">
        <v>24</v>
      </c>
      <c r="D1" t="s">
        <v>25</v>
      </c>
      <c r="E1" t="s">
        <v>26</v>
      </c>
      <c r="F1" t="s">
        <v>27</v>
      </c>
      <c r="H1" t="s">
        <v>28</v>
      </c>
      <c r="I1" s="17" t="e">
        <f>Answer!#REF!</f>
        <v>#REF!</v>
      </c>
    </row>
    <row r="2" spans="1:9" x14ac:dyDescent="0.2">
      <c r="A2" s="18" t="s">
        <v>29</v>
      </c>
      <c r="B2" s="19">
        <f>I6</f>
        <v>1000000</v>
      </c>
      <c r="C2" s="19" t="e">
        <f t="shared" ref="C2:C13" si="0">+E2-D2</f>
        <v>#REF!</v>
      </c>
      <c r="D2" s="19" t="e">
        <f t="shared" ref="D2:D13" si="1">B2*$I$2</f>
        <v>#REF!</v>
      </c>
      <c r="E2" s="19" t="e">
        <f t="shared" ref="E2:E13" si="2">-$I$8</f>
        <v>#REF!</v>
      </c>
      <c r="F2" s="19" t="e">
        <f t="shared" ref="F2:F13" si="3">+B2-C2</f>
        <v>#REF!</v>
      </c>
      <c r="H2" t="s">
        <v>30</v>
      </c>
      <c r="I2" s="17" t="e">
        <f>+I1/12</f>
        <v>#REF!</v>
      </c>
    </row>
    <row r="3" spans="1:9" x14ac:dyDescent="0.2">
      <c r="A3" s="18" t="s">
        <v>31</v>
      </c>
      <c r="B3" s="19" t="e">
        <f t="shared" ref="B3:B13" si="4">+F2</f>
        <v>#REF!</v>
      </c>
      <c r="C3" s="19" t="e">
        <f t="shared" si="0"/>
        <v>#REF!</v>
      </c>
      <c r="D3" s="19" t="e">
        <f t="shared" si="1"/>
        <v>#REF!</v>
      </c>
      <c r="E3" s="19" t="e">
        <f t="shared" si="2"/>
        <v>#REF!</v>
      </c>
      <c r="F3" s="19" t="e">
        <f t="shared" si="3"/>
        <v>#REF!</v>
      </c>
      <c r="H3" t="s">
        <v>32</v>
      </c>
      <c r="I3" s="20">
        <v>0</v>
      </c>
    </row>
    <row r="4" spans="1:9" x14ac:dyDescent="0.2">
      <c r="A4" s="18" t="s">
        <v>33</v>
      </c>
      <c r="B4" s="19" t="e">
        <f t="shared" si="4"/>
        <v>#REF!</v>
      </c>
      <c r="C4" s="19" t="e">
        <f t="shared" si="0"/>
        <v>#REF!</v>
      </c>
      <c r="D4" s="19" t="e">
        <f t="shared" si="1"/>
        <v>#REF!</v>
      </c>
      <c r="E4" s="19" t="e">
        <f t="shared" si="2"/>
        <v>#REF!</v>
      </c>
      <c r="F4" s="19" t="e">
        <f t="shared" si="3"/>
        <v>#REF!</v>
      </c>
      <c r="H4" t="s">
        <v>34</v>
      </c>
      <c r="I4" s="21">
        <f>12*30</f>
        <v>360</v>
      </c>
    </row>
    <row r="5" spans="1:9" x14ac:dyDescent="0.2">
      <c r="A5" s="18" t="s">
        <v>35</v>
      </c>
      <c r="B5" s="19" t="e">
        <f t="shared" si="4"/>
        <v>#REF!</v>
      </c>
      <c r="C5" s="19" t="e">
        <f t="shared" si="0"/>
        <v>#REF!</v>
      </c>
      <c r="D5" s="19" t="e">
        <f t="shared" si="1"/>
        <v>#REF!</v>
      </c>
      <c r="E5" s="19" t="e">
        <f t="shared" si="2"/>
        <v>#REF!</v>
      </c>
      <c r="F5" s="19" t="e">
        <f t="shared" si="3"/>
        <v>#REF!</v>
      </c>
      <c r="H5" t="s">
        <v>36</v>
      </c>
      <c r="I5">
        <v>0</v>
      </c>
    </row>
    <row r="6" spans="1:9" x14ac:dyDescent="0.2">
      <c r="A6" s="18" t="s">
        <v>37</v>
      </c>
      <c r="B6" s="19" t="e">
        <f t="shared" si="4"/>
        <v>#REF!</v>
      </c>
      <c r="C6" s="19" t="e">
        <f t="shared" si="0"/>
        <v>#REF!</v>
      </c>
      <c r="D6" s="19" t="e">
        <f t="shared" si="1"/>
        <v>#REF!</v>
      </c>
      <c r="E6" s="19" t="e">
        <f t="shared" si="2"/>
        <v>#REF!</v>
      </c>
      <c r="F6" s="19" t="e">
        <f t="shared" si="3"/>
        <v>#REF!</v>
      </c>
      <c r="H6" t="s">
        <v>38</v>
      </c>
      <c r="I6" s="25">
        <v>1000000</v>
      </c>
    </row>
    <row r="7" spans="1:9" x14ac:dyDescent="0.2">
      <c r="A7" s="18" t="s">
        <v>39</v>
      </c>
      <c r="B7" s="19" t="e">
        <f t="shared" si="4"/>
        <v>#REF!</v>
      </c>
      <c r="C7" s="19" t="e">
        <f t="shared" si="0"/>
        <v>#REF!</v>
      </c>
      <c r="D7" s="19" t="e">
        <f t="shared" si="1"/>
        <v>#REF!</v>
      </c>
      <c r="E7" s="19" t="e">
        <f t="shared" si="2"/>
        <v>#REF!</v>
      </c>
      <c r="F7" s="19" t="e">
        <f t="shared" si="3"/>
        <v>#REF!</v>
      </c>
    </row>
    <row r="8" spans="1:9" x14ac:dyDescent="0.2">
      <c r="A8" s="18" t="s">
        <v>40</v>
      </c>
      <c r="B8" s="19" t="e">
        <f t="shared" si="4"/>
        <v>#REF!</v>
      </c>
      <c r="C8" s="19" t="e">
        <f t="shared" si="0"/>
        <v>#REF!</v>
      </c>
      <c r="D8" s="19" t="e">
        <f t="shared" si="1"/>
        <v>#REF!</v>
      </c>
      <c r="E8" s="19" t="e">
        <f t="shared" si="2"/>
        <v>#REF!</v>
      </c>
      <c r="F8" s="19" t="e">
        <f t="shared" si="3"/>
        <v>#REF!</v>
      </c>
      <c r="H8" t="s">
        <v>26</v>
      </c>
      <c r="I8" s="20" t="e">
        <f>PMT(I2,I4,I6,I3,I5)</f>
        <v>#REF!</v>
      </c>
    </row>
    <row r="9" spans="1:9" x14ac:dyDescent="0.2">
      <c r="A9" s="18" t="s">
        <v>41</v>
      </c>
      <c r="B9" s="19" t="e">
        <f t="shared" si="4"/>
        <v>#REF!</v>
      </c>
      <c r="C9" s="19" t="e">
        <f t="shared" si="0"/>
        <v>#REF!</v>
      </c>
      <c r="D9" s="19" t="e">
        <f t="shared" si="1"/>
        <v>#REF!</v>
      </c>
      <c r="E9" s="19" t="e">
        <f t="shared" si="2"/>
        <v>#REF!</v>
      </c>
      <c r="F9" s="19" t="e">
        <f t="shared" si="3"/>
        <v>#REF!</v>
      </c>
    </row>
    <row r="10" spans="1:9" x14ac:dyDescent="0.2">
      <c r="A10" s="18" t="s">
        <v>42</v>
      </c>
      <c r="B10" s="19" t="e">
        <f t="shared" si="4"/>
        <v>#REF!</v>
      </c>
      <c r="C10" s="19" t="e">
        <f t="shared" si="0"/>
        <v>#REF!</v>
      </c>
      <c r="D10" s="19" t="e">
        <f t="shared" si="1"/>
        <v>#REF!</v>
      </c>
      <c r="E10" s="19" t="e">
        <f t="shared" si="2"/>
        <v>#REF!</v>
      </c>
      <c r="F10" s="19" t="e">
        <f t="shared" si="3"/>
        <v>#REF!</v>
      </c>
    </row>
    <row r="11" spans="1:9" x14ac:dyDescent="0.2">
      <c r="A11" s="18" t="s">
        <v>43</v>
      </c>
      <c r="B11" s="19" t="e">
        <f t="shared" si="4"/>
        <v>#REF!</v>
      </c>
      <c r="C11" s="19" t="e">
        <f t="shared" si="0"/>
        <v>#REF!</v>
      </c>
      <c r="D11" s="19" t="e">
        <f t="shared" si="1"/>
        <v>#REF!</v>
      </c>
      <c r="E11" s="19" t="e">
        <f t="shared" si="2"/>
        <v>#REF!</v>
      </c>
      <c r="F11" s="19" t="e">
        <f t="shared" si="3"/>
        <v>#REF!</v>
      </c>
    </row>
    <row r="12" spans="1:9" x14ac:dyDescent="0.2">
      <c r="A12" s="18" t="s">
        <v>44</v>
      </c>
      <c r="B12" s="19" t="e">
        <f t="shared" si="4"/>
        <v>#REF!</v>
      </c>
      <c r="C12" s="19" t="e">
        <f t="shared" si="0"/>
        <v>#REF!</v>
      </c>
      <c r="D12" s="19" t="e">
        <f t="shared" si="1"/>
        <v>#REF!</v>
      </c>
      <c r="E12" s="19" t="e">
        <f t="shared" si="2"/>
        <v>#REF!</v>
      </c>
      <c r="F12" s="19" t="e">
        <f t="shared" si="3"/>
        <v>#REF!</v>
      </c>
    </row>
    <row r="13" spans="1:9" x14ac:dyDescent="0.2">
      <c r="A13" s="18" t="s">
        <v>45</v>
      </c>
      <c r="B13" s="19" t="e">
        <f t="shared" si="4"/>
        <v>#REF!</v>
      </c>
      <c r="C13" s="19" t="e">
        <f t="shared" si="0"/>
        <v>#REF!</v>
      </c>
      <c r="D13" s="19" t="e">
        <f t="shared" si="1"/>
        <v>#REF!</v>
      </c>
      <c r="E13" s="19" t="e">
        <f t="shared" si="2"/>
        <v>#REF!</v>
      </c>
      <c r="F13" s="22" t="e">
        <f t="shared" si="3"/>
        <v>#REF!</v>
      </c>
    </row>
    <row r="14" spans="1:9" x14ac:dyDescent="0.2">
      <c r="A14" s="23" t="s">
        <v>46</v>
      </c>
      <c r="B14" s="23"/>
      <c r="C14" s="22" t="e">
        <f>SUM(C2:C13)</f>
        <v>#REF!</v>
      </c>
      <c r="D14" s="22" t="e">
        <f>SUM(D2:D13)</f>
        <v>#REF!</v>
      </c>
      <c r="E14" s="19"/>
      <c r="F14" s="19"/>
    </row>
    <row r="15" spans="1:9" x14ac:dyDescent="0.2">
      <c r="A15" s="18"/>
      <c r="B15" s="18"/>
      <c r="C15" s="19"/>
      <c r="D15" s="19"/>
      <c r="E15" s="19"/>
      <c r="F15" s="19"/>
    </row>
    <row r="16" spans="1:9" x14ac:dyDescent="0.2">
      <c r="A16" s="18" t="s">
        <v>47</v>
      </c>
      <c r="B16" s="19" t="e">
        <f>+F13</f>
        <v>#REF!</v>
      </c>
      <c r="C16" s="19" t="e">
        <f t="shared" ref="C16:C27" si="5">+E16-D16</f>
        <v>#REF!</v>
      </c>
      <c r="D16" s="19" t="e">
        <f t="shared" ref="D16:D27" si="6">B16*$I$2</f>
        <v>#REF!</v>
      </c>
      <c r="E16" s="19" t="e">
        <f t="shared" ref="E16:E27" si="7">-$I$8</f>
        <v>#REF!</v>
      </c>
      <c r="F16" s="19" t="e">
        <f t="shared" ref="F16:F27" si="8">+B16-C16</f>
        <v>#REF!</v>
      </c>
    </row>
    <row r="17" spans="1:6" x14ac:dyDescent="0.2">
      <c r="A17" s="18" t="s">
        <v>48</v>
      </c>
      <c r="B17" s="19" t="e">
        <f t="shared" ref="B17:B27" si="9">+F16</f>
        <v>#REF!</v>
      </c>
      <c r="C17" s="19" t="e">
        <f t="shared" si="5"/>
        <v>#REF!</v>
      </c>
      <c r="D17" s="19" t="e">
        <f t="shared" si="6"/>
        <v>#REF!</v>
      </c>
      <c r="E17" s="19" t="e">
        <f t="shared" si="7"/>
        <v>#REF!</v>
      </c>
      <c r="F17" s="19" t="e">
        <f t="shared" si="8"/>
        <v>#REF!</v>
      </c>
    </row>
    <row r="18" spans="1:6" x14ac:dyDescent="0.2">
      <c r="A18" s="18" t="s">
        <v>49</v>
      </c>
      <c r="B18" s="19" t="e">
        <f t="shared" si="9"/>
        <v>#REF!</v>
      </c>
      <c r="C18" s="19" t="e">
        <f t="shared" si="5"/>
        <v>#REF!</v>
      </c>
      <c r="D18" s="19" t="e">
        <f t="shared" si="6"/>
        <v>#REF!</v>
      </c>
      <c r="E18" s="19" t="e">
        <f t="shared" si="7"/>
        <v>#REF!</v>
      </c>
      <c r="F18" s="19" t="e">
        <f t="shared" si="8"/>
        <v>#REF!</v>
      </c>
    </row>
    <row r="19" spans="1:6" x14ac:dyDescent="0.2">
      <c r="A19" s="18" t="s">
        <v>50</v>
      </c>
      <c r="B19" s="19" t="e">
        <f t="shared" si="9"/>
        <v>#REF!</v>
      </c>
      <c r="C19" s="19" t="e">
        <f t="shared" si="5"/>
        <v>#REF!</v>
      </c>
      <c r="D19" s="19" t="e">
        <f t="shared" si="6"/>
        <v>#REF!</v>
      </c>
      <c r="E19" s="19" t="e">
        <f t="shared" si="7"/>
        <v>#REF!</v>
      </c>
      <c r="F19" s="19" t="e">
        <f t="shared" si="8"/>
        <v>#REF!</v>
      </c>
    </row>
    <row r="20" spans="1:6" x14ac:dyDescent="0.2">
      <c r="A20" s="18" t="s">
        <v>51</v>
      </c>
      <c r="B20" s="19" t="e">
        <f t="shared" si="9"/>
        <v>#REF!</v>
      </c>
      <c r="C20" s="19" t="e">
        <f t="shared" si="5"/>
        <v>#REF!</v>
      </c>
      <c r="D20" s="19" t="e">
        <f t="shared" si="6"/>
        <v>#REF!</v>
      </c>
      <c r="E20" s="19" t="e">
        <f t="shared" si="7"/>
        <v>#REF!</v>
      </c>
      <c r="F20" s="19" t="e">
        <f t="shared" si="8"/>
        <v>#REF!</v>
      </c>
    </row>
    <row r="21" spans="1:6" x14ac:dyDescent="0.2">
      <c r="A21" s="18" t="s">
        <v>52</v>
      </c>
      <c r="B21" s="19" t="e">
        <f t="shared" si="9"/>
        <v>#REF!</v>
      </c>
      <c r="C21" s="19" t="e">
        <f t="shared" si="5"/>
        <v>#REF!</v>
      </c>
      <c r="D21" s="19" t="e">
        <f t="shared" si="6"/>
        <v>#REF!</v>
      </c>
      <c r="E21" s="19" t="e">
        <f t="shared" si="7"/>
        <v>#REF!</v>
      </c>
      <c r="F21" s="19" t="e">
        <f t="shared" si="8"/>
        <v>#REF!</v>
      </c>
    </row>
    <row r="22" spans="1:6" x14ac:dyDescent="0.2">
      <c r="A22" s="18" t="s">
        <v>53</v>
      </c>
      <c r="B22" s="19" t="e">
        <f t="shared" si="9"/>
        <v>#REF!</v>
      </c>
      <c r="C22" s="19" t="e">
        <f t="shared" si="5"/>
        <v>#REF!</v>
      </c>
      <c r="D22" s="19" t="e">
        <f t="shared" si="6"/>
        <v>#REF!</v>
      </c>
      <c r="E22" s="19" t="e">
        <f t="shared" si="7"/>
        <v>#REF!</v>
      </c>
      <c r="F22" s="19" t="e">
        <f t="shared" si="8"/>
        <v>#REF!</v>
      </c>
    </row>
    <row r="23" spans="1:6" x14ac:dyDescent="0.2">
      <c r="A23" s="18" t="s">
        <v>54</v>
      </c>
      <c r="B23" s="19" t="e">
        <f t="shared" si="9"/>
        <v>#REF!</v>
      </c>
      <c r="C23" s="19" t="e">
        <f t="shared" si="5"/>
        <v>#REF!</v>
      </c>
      <c r="D23" s="19" t="e">
        <f t="shared" si="6"/>
        <v>#REF!</v>
      </c>
      <c r="E23" s="19" t="e">
        <f t="shared" si="7"/>
        <v>#REF!</v>
      </c>
      <c r="F23" s="19" t="e">
        <f t="shared" si="8"/>
        <v>#REF!</v>
      </c>
    </row>
    <row r="24" spans="1:6" x14ac:dyDescent="0.2">
      <c r="A24" s="18" t="s">
        <v>55</v>
      </c>
      <c r="B24" s="19" t="e">
        <f t="shared" si="9"/>
        <v>#REF!</v>
      </c>
      <c r="C24" s="19" t="e">
        <f t="shared" si="5"/>
        <v>#REF!</v>
      </c>
      <c r="D24" s="19" t="e">
        <f t="shared" si="6"/>
        <v>#REF!</v>
      </c>
      <c r="E24" s="19" t="e">
        <f t="shared" si="7"/>
        <v>#REF!</v>
      </c>
      <c r="F24" s="19" t="e">
        <f t="shared" si="8"/>
        <v>#REF!</v>
      </c>
    </row>
    <row r="25" spans="1:6" x14ac:dyDescent="0.2">
      <c r="A25" s="18" t="s">
        <v>56</v>
      </c>
      <c r="B25" s="19" t="e">
        <f t="shared" si="9"/>
        <v>#REF!</v>
      </c>
      <c r="C25" s="19" t="e">
        <f t="shared" si="5"/>
        <v>#REF!</v>
      </c>
      <c r="D25" s="19" t="e">
        <f t="shared" si="6"/>
        <v>#REF!</v>
      </c>
      <c r="E25" s="19" t="e">
        <f t="shared" si="7"/>
        <v>#REF!</v>
      </c>
      <c r="F25" s="19" t="e">
        <f t="shared" si="8"/>
        <v>#REF!</v>
      </c>
    </row>
    <row r="26" spans="1:6" x14ac:dyDescent="0.2">
      <c r="A26" s="18" t="s">
        <v>57</v>
      </c>
      <c r="B26" s="19" t="e">
        <f t="shared" si="9"/>
        <v>#REF!</v>
      </c>
      <c r="C26" s="19" t="e">
        <f t="shared" si="5"/>
        <v>#REF!</v>
      </c>
      <c r="D26" s="19" t="e">
        <f t="shared" si="6"/>
        <v>#REF!</v>
      </c>
      <c r="E26" s="19" t="e">
        <f t="shared" si="7"/>
        <v>#REF!</v>
      </c>
      <c r="F26" s="19" t="e">
        <f t="shared" si="8"/>
        <v>#REF!</v>
      </c>
    </row>
    <row r="27" spans="1:6" x14ac:dyDescent="0.2">
      <c r="A27" s="18" t="s">
        <v>58</v>
      </c>
      <c r="B27" s="19" t="e">
        <f t="shared" si="9"/>
        <v>#REF!</v>
      </c>
      <c r="C27" s="19" t="e">
        <f t="shared" si="5"/>
        <v>#REF!</v>
      </c>
      <c r="D27" s="19" t="e">
        <f t="shared" si="6"/>
        <v>#REF!</v>
      </c>
      <c r="E27" s="19" t="e">
        <f t="shared" si="7"/>
        <v>#REF!</v>
      </c>
      <c r="F27" s="22" t="e">
        <f t="shared" si="8"/>
        <v>#REF!</v>
      </c>
    </row>
    <row r="28" spans="1:6" x14ac:dyDescent="0.2">
      <c r="A28" s="23" t="s">
        <v>46</v>
      </c>
      <c r="B28" s="23"/>
      <c r="C28" s="22" t="e">
        <f>SUM(C16:C27)</f>
        <v>#REF!</v>
      </c>
      <c r="D28" s="22" t="e">
        <f>SUM(D16:D27)</f>
        <v>#REF!</v>
      </c>
      <c r="E28" s="19"/>
      <c r="F28" s="19"/>
    </row>
    <row r="29" spans="1:6" x14ac:dyDescent="0.2">
      <c r="A29" s="18"/>
      <c r="B29" s="18"/>
      <c r="C29" s="19"/>
      <c r="D29" s="19"/>
      <c r="E29" s="19"/>
      <c r="F29" s="19"/>
    </row>
    <row r="30" spans="1:6" x14ac:dyDescent="0.2">
      <c r="A30" s="18" t="s">
        <v>59</v>
      </c>
      <c r="B30" s="19" t="e">
        <f>+F27</f>
        <v>#REF!</v>
      </c>
      <c r="C30" s="19" t="e">
        <f t="shared" ref="C30:C41" si="10">+E30-D30</f>
        <v>#REF!</v>
      </c>
      <c r="D30" s="19" t="e">
        <f t="shared" ref="D30:D41" si="11">B30*$I$2</f>
        <v>#REF!</v>
      </c>
      <c r="E30" s="19" t="e">
        <f t="shared" ref="E30:E41" si="12">-$I$8</f>
        <v>#REF!</v>
      </c>
      <c r="F30" s="19" t="e">
        <f t="shared" ref="F30:F41" si="13">+B30-C30</f>
        <v>#REF!</v>
      </c>
    </row>
    <row r="31" spans="1:6" x14ac:dyDescent="0.2">
      <c r="A31" s="18" t="s">
        <v>60</v>
      </c>
      <c r="B31" s="19" t="e">
        <f t="shared" ref="B31:B41" si="14">+F30</f>
        <v>#REF!</v>
      </c>
      <c r="C31" s="19" t="e">
        <f t="shared" si="10"/>
        <v>#REF!</v>
      </c>
      <c r="D31" s="19" t="e">
        <f t="shared" si="11"/>
        <v>#REF!</v>
      </c>
      <c r="E31" s="19" t="e">
        <f t="shared" si="12"/>
        <v>#REF!</v>
      </c>
      <c r="F31" s="19" t="e">
        <f t="shared" si="13"/>
        <v>#REF!</v>
      </c>
    </row>
    <row r="32" spans="1:6" x14ac:dyDescent="0.2">
      <c r="A32" s="18" t="s">
        <v>61</v>
      </c>
      <c r="B32" s="19" t="e">
        <f t="shared" si="14"/>
        <v>#REF!</v>
      </c>
      <c r="C32" s="19" t="e">
        <f t="shared" si="10"/>
        <v>#REF!</v>
      </c>
      <c r="D32" s="19" t="e">
        <f t="shared" si="11"/>
        <v>#REF!</v>
      </c>
      <c r="E32" s="19" t="e">
        <f t="shared" si="12"/>
        <v>#REF!</v>
      </c>
      <c r="F32" s="19" t="e">
        <f t="shared" si="13"/>
        <v>#REF!</v>
      </c>
    </row>
    <row r="33" spans="1:6" x14ac:dyDescent="0.2">
      <c r="A33" s="18" t="s">
        <v>62</v>
      </c>
      <c r="B33" s="19" t="e">
        <f t="shared" si="14"/>
        <v>#REF!</v>
      </c>
      <c r="C33" s="19" t="e">
        <f t="shared" si="10"/>
        <v>#REF!</v>
      </c>
      <c r="D33" s="19" t="e">
        <f t="shared" si="11"/>
        <v>#REF!</v>
      </c>
      <c r="E33" s="19" t="e">
        <f t="shared" si="12"/>
        <v>#REF!</v>
      </c>
      <c r="F33" s="19" t="e">
        <f t="shared" si="13"/>
        <v>#REF!</v>
      </c>
    </row>
    <row r="34" spans="1:6" x14ac:dyDescent="0.2">
      <c r="A34" s="18" t="s">
        <v>63</v>
      </c>
      <c r="B34" s="19" t="e">
        <f t="shared" si="14"/>
        <v>#REF!</v>
      </c>
      <c r="C34" s="19" t="e">
        <f t="shared" si="10"/>
        <v>#REF!</v>
      </c>
      <c r="D34" s="19" t="e">
        <f t="shared" si="11"/>
        <v>#REF!</v>
      </c>
      <c r="E34" s="19" t="e">
        <f t="shared" si="12"/>
        <v>#REF!</v>
      </c>
      <c r="F34" s="19" t="e">
        <f t="shared" si="13"/>
        <v>#REF!</v>
      </c>
    </row>
    <row r="35" spans="1:6" x14ac:dyDescent="0.2">
      <c r="A35" s="18" t="s">
        <v>64</v>
      </c>
      <c r="B35" s="19" t="e">
        <f t="shared" si="14"/>
        <v>#REF!</v>
      </c>
      <c r="C35" s="19" t="e">
        <f t="shared" si="10"/>
        <v>#REF!</v>
      </c>
      <c r="D35" s="19" t="e">
        <f t="shared" si="11"/>
        <v>#REF!</v>
      </c>
      <c r="E35" s="19" t="e">
        <f t="shared" si="12"/>
        <v>#REF!</v>
      </c>
      <c r="F35" s="19" t="e">
        <f t="shared" si="13"/>
        <v>#REF!</v>
      </c>
    </row>
    <row r="36" spans="1:6" x14ac:dyDescent="0.2">
      <c r="A36" s="18" t="s">
        <v>65</v>
      </c>
      <c r="B36" s="19" t="e">
        <f t="shared" si="14"/>
        <v>#REF!</v>
      </c>
      <c r="C36" s="19" t="e">
        <f t="shared" si="10"/>
        <v>#REF!</v>
      </c>
      <c r="D36" s="19" t="e">
        <f t="shared" si="11"/>
        <v>#REF!</v>
      </c>
      <c r="E36" s="19" t="e">
        <f t="shared" si="12"/>
        <v>#REF!</v>
      </c>
      <c r="F36" s="19" t="e">
        <f t="shared" si="13"/>
        <v>#REF!</v>
      </c>
    </row>
    <row r="37" spans="1:6" x14ac:dyDescent="0.2">
      <c r="A37" s="18" t="s">
        <v>66</v>
      </c>
      <c r="B37" s="19" t="e">
        <f t="shared" si="14"/>
        <v>#REF!</v>
      </c>
      <c r="C37" s="19" t="e">
        <f t="shared" si="10"/>
        <v>#REF!</v>
      </c>
      <c r="D37" s="19" t="e">
        <f t="shared" si="11"/>
        <v>#REF!</v>
      </c>
      <c r="E37" s="19" t="e">
        <f t="shared" si="12"/>
        <v>#REF!</v>
      </c>
      <c r="F37" s="19" t="e">
        <f t="shared" si="13"/>
        <v>#REF!</v>
      </c>
    </row>
    <row r="38" spans="1:6" x14ac:dyDescent="0.2">
      <c r="A38" s="18" t="s">
        <v>67</v>
      </c>
      <c r="B38" s="19" t="e">
        <f t="shared" si="14"/>
        <v>#REF!</v>
      </c>
      <c r="C38" s="19" t="e">
        <f t="shared" si="10"/>
        <v>#REF!</v>
      </c>
      <c r="D38" s="19" t="e">
        <f t="shared" si="11"/>
        <v>#REF!</v>
      </c>
      <c r="E38" s="19" t="e">
        <f t="shared" si="12"/>
        <v>#REF!</v>
      </c>
      <c r="F38" s="19" t="e">
        <f t="shared" si="13"/>
        <v>#REF!</v>
      </c>
    </row>
    <row r="39" spans="1:6" x14ac:dyDescent="0.2">
      <c r="A39" s="18" t="s">
        <v>68</v>
      </c>
      <c r="B39" s="19" t="e">
        <f t="shared" si="14"/>
        <v>#REF!</v>
      </c>
      <c r="C39" s="19" t="e">
        <f t="shared" si="10"/>
        <v>#REF!</v>
      </c>
      <c r="D39" s="19" t="e">
        <f t="shared" si="11"/>
        <v>#REF!</v>
      </c>
      <c r="E39" s="19" t="e">
        <f t="shared" si="12"/>
        <v>#REF!</v>
      </c>
      <c r="F39" s="19" t="e">
        <f t="shared" si="13"/>
        <v>#REF!</v>
      </c>
    </row>
    <row r="40" spans="1:6" x14ac:dyDescent="0.2">
      <c r="A40" s="18" t="s">
        <v>69</v>
      </c>
      <c r="B40" s="19" t="e">
        <f t="shared" si="14"/>
        <v>#REF!</v>
      </c>
      <c r="C40" s="19" t="e">
        <f t="shared" si="10"/>
        <v>#REF!</v>
      </c>
      <c r="D40" s="19" t="e">
        <f t="shared" si="11"/>
        <v>#REF!</v>
      </c>
      <c r="E40" s="19" t="e">
        <f t="shared" si="12"/>
        <v>#REF!</v>
      </c>
      <c r="F40" s="19" t="e">
        <f t="shared" si="13"/>
        <v>#REF!</v>
      </c>
    </row>
    <row r="41" spans="1:6" x14ac:dyDescent="0.2">
      <c r="A41" s="18" t="s">
        <v>70</v>
      </c>
      <c r="B41" s="19" t="e">
        <f t="shared" si="14"/>
        <v>#REF!</v>
      </c>
      <c r="C41" s="19" t="e">
        <f t="shared" si="10"/>
        <v>#REF!</v>
      </c>
      <c r="D41" s="19" t="e">
        <f t="shared" si="11"/>
        <v>#REF!</v>
      </c>
      <c r="E41" s="19" t="e">
        <f t="shared" si="12"/>
        <v>#REF!</v>
      </c>
      <c r="F41" s="22" t="e">
        <f t="shared" si="13"/>
        <v>#REF!</v>
      </c>
    </row>
    <row r="42" spans="1:6" x14ac:dyDescent="0.2">
      <c r="A42" s="23" t="s">
        <v>46</v>
      </c>
      <c r="B42" s="23"/>
      <c r="C42" s="22" t="e">
        <f>SUM(C30:C41)</f>
        <v>#REF!</v>
      </c>
      <c r="D42" s="22" t="e">
        <f>SUM(D30:D41)</f>
        <v>#REF!</v>
      </c>
      <c r="E42" s="19"/>
      <c r="F42" s="19"/>
    </row>
    <row r="43" spans="1:6" x14ac:dyDescent="0.2">
      <c r="A43" s="18"/>
      <c r="B43" s="18"/>
      <c r="C43" s="19"/>
      <c r="D43" s="19"/>
      <c r="E43" s="19"/>
      <c r="F43" s="19"/>
    </row>
    <row r="44" spans="1:6" x14ac:dyDescent="0.2">
      <c r="A44" s="18" t="s">
        <v>71</v>
      </c>
      <c r="B44" s="19" t="e">
        <f>+F41</f>
        <v>#REF!</v>
      </c>
      <c r="C44" s="19" t="e">
        <f t="shared" ref="C44:C55" si="15">+E44-D44</f>
        <v>#REF!</v>
      </c>
      <c r="D44" s="19" t="e">
        <f t="shared" ref="D44:D55" si="16">B44*$I$2</f>
        <v>#REF!</v>
      </c>
      <c r="E44" s="19" t="e">
        <f t="shared" ref="E44:E55" si="17">-$I$8</f>
        <v>#REF!</v>
      </c>
      <c r="F44" s="19" t="e">
        <f t="shared" ref="F44:F55" si="18">+B44-C44</f>
        <v>#REF!</v>
      </c>
    </row>
    <row r="45" spans="1:6" x14ac:dyDescent="0.2">
      <c r="A45" s="18" t="s">
        <v>72</v>
      </c>
      <c r="B45" s="19" t="e">
        <f t="shared" ref="B45:B55" si="19">+F44</f>
        <v>#REF!</v>
      </c>
      <c r="C45" s="19" t="e">
        <f t="shared" si="15"/>
        <v>#REF!</v>
      </c>
      <c r="D45" s="19" t="e">
        <f t="shared" si="16"/>
        <v>#REF!</v>
      </c>
      <c r="E45" s="19" t="e">
        <f t="shared" si="17"/>
        <v>#REF!</v>
      </c>
      <c r="F45" s="19" t="e">
        <f t="shared" si="18"/>
        <v>#REF!</v>
      </c>
    </row>
    <row r="46" spans="1:6" x14ac:dyDescent="0.2">
      <c r="A46" s="18" t="s">
        <v>73</v>
      </c>
      <c r="B46" s="19" t="e">
        <f t="shared" si="19"/>
        <v>#REF!</v>
      </c>
      <c r="C46" s="19" t="e">
        <f t="shared" si="15"/>
        <v>#REF!</v>
      </c>
      <c r="D46" s="19" t="e">
        <f t="shared" si="16"/>
        <v>#REF!</v>
      </c>
      <c r="E46" s="19" t="e">
        <f t="shared" si="17"/>
        <v>#REF!</v>
      </c>
      <c r="F46" s="19" t="e">
        <f t="shared" si="18"/>
        <v>#REF!</v>
      </c>
    </row>
    <row r="47" spans="1:6" x14ac:dyDescent="0.2">
      <c r="A47" s="18" t="s">
        <v>74</v>
      </c>
      <c r="B47" s="19" t="e">
        <f t="shared" si="19"/>
        <v>#REF!</v>
      </c>
      <c r="C47" s="19" t="e">
        <f t="shared" si="15"/>
        <v>#REF!</v>
      </c>
      <c r="D47" s="19" t="e">
        <f t="shared" si="16"/>
        <v>#REF!</v>
      </c>
      <c r="E47" s="19" t="e">
        <f t="shared" si="17"/>
        <v>#REF!</v>
      </c>
      <c r="F47" s="19" t="e">
        <f t="shared" si="18"/>
        <v>#REF!</v>
      </c>
    </row>
    <row r="48" spans="1:6" x14ac:dyDescent="0.2">
      <c r="A48" s="18" t="s">
        <v>75</v>
      </c>
      <c r="B48" s="19" t="e">
        <f t="shared" si="19"/>
        <v>#REF!</v>
      </c>
      <c r="C48" s="19" t="e">
        <f t="shared" si="15"/>
        <v>#REF!</v>
      </c>
      <c r="D48" s="19" t="e">
        <f t="shared" si="16"/>
        <v>#REF!</v>
      </c>
      <c r="E48" s="19" t="e">
        <f t="shared" si="17"/>
        <v>#REF!</v>
      </c>
      <c r="F48" s="19" t="e">
        <f t="shared" si="18"/>
        <v>#REF!</v>
      </c>
    </row>
    <row r="49" spans="1:7" x14ac:dyDescent="0.2">
      <c r="A49" s="18" t="s">
        <v>76</v>
      </c>
      <c r="B49" s="19" t="e">
        <f t="shared" si="19"/>
        <v>#REF!</v>
      </c>
      <c r="C49" s="19" t="e">
        <f t="shared" si="15"/>
        <v>#REF!</v>
      </c>
      <c r="D49" s="19" t="e">
        <f t="shared" si="16"/>
        <v>#REF!</v>
      </c>
      <c r="E49" s="19" t="e">
        <f t="shared" si="17"/>
        <v>#REF!</v>
      </c>
      <c r="F49" s="19" t="e">
        <f t="shared" si="18"/>
        <v>#REF!</v>
      </c>
    </row>
    <row r="50" spans="1:7" x14ac:dyDescent="0.2">
      <c r="A50" s="18" t="s">
        <v>77</v>
      </c>
      <c r="B50" s="19" t="e">
        <f t="shared" si="19"/>
        <v>#REF!</v>
      </c>
      <c r="C50" s="19" t="e">
        <f t="shared" si="15"/>
        <v>#REF!</v>
      </c>
      <c r="D50" s="19" t="e">
        <f t="shared" si="16"/>
        <v>#REF!</v>
      </c>
      <c r="E50" s="19" t="e">
        <f t="shared" si="17"/>
        <v>#REF!</v>
      </c>
      <c r="F50" s="19" t="e">
        <f t="shared" si="18"/>
        <v>#REF!</v>
      </c>
    </row>
    <row r="51" spans="1:7" x14ac:dyDescent="0.2">
      <c r="A51" s="18" t="s">
        <v>78</v>
      </c>
      <c r="B51" s="19" t="e">
        <f t="shared" si="19"/>
        <v>#REF!</v>
      </c>
      <c r="C51" s="19" t="e">
        <f t="shared" si="15"/>
        <v>#REF!</v>
      </c>
      <c r="D51" s="19" t="e">
        <f t="shared" si="16"/>
        <v>#REF!</v>
      </c>
      <c r="E51" s="19" t="e">
        <f t="shared" si="17"/>
        <v>#REF!</v>
      </c>
      <c r="F51" s="19" t="e">
        <f t="shared" si="18"/>
        <v>#REF!</v>
      </c>
    </row>
    <row r="52" spans="1:7" x14ac:dyDescent="0.2">
      <c r="A52" s="18" t="s">
        <v>79</v>
      </c>
      <c r="B52" s="19" t="e">
        <f t="shared" si="19"/>
        <v>#REF!</v>
      </c>
      <c r="C52" s="19" t="e">
        <f t="shared" si="15"/>
        <v>#REF!</v>
      </c>
      <c r="D52" s="19" t="e">
        <f t="shared" si="16"/>
        <v>#REF!</v>
      </c>
      <c r="E52" s="19" t="e">
        <f t="shared" si="17"/>
        <v>#REF!</v>
      </c>
      <c r="F52" s="19" t="e">
        <f t="shared" si="18"/>
        <v>#REF!</v>
      </c>
    </row>
    <row r="53" spans="1:7" x14ac:dyDescent="0.2">
      <c r="A53" s="18" t="s">
        <v>80</v>
      </c>
      <c r="B53" s="19" t="e">
        <f t="shared" si="19"/>
        <v>#REF!</v>
      </c>
      <c r="C53" s="19" t="e">
        <f t="shared" si="15"/>
        <v>#REF!</v>
      </c>
      <c r="D53" s="19" t="e">
        <f t="shared" si="16"/>
        <v>#REF!</v>
      </c>
      <c r="E53" s="19" t="e">
        <f t="shared" si="17"/>
        <v>#REF!</v>
      </c>
      <c r="F53" s="19" t="e">
        <f t="shared" si="18"/>
        <v>#REF!</v>
      </c>
    </row>
    <row r="54" spans="1:7" x14ac:dyDescent="0.2">
      <c r="A54" s="18" t="s">
        <v>81</v>
      </c>
      <c r="B54" s="19" t="e">
        <f t="shared" si="19"/>
        <v>#REF!</v>
      </c>
      <c r="C54" s="19" t="e">
        <f t="shared" si="15"/>
        <v>#REF!</v>
      </c>
      <c r="D54" s="19" t="e">
        <f t="shared" si="16"/>
        <v>#REF!</v>
      </c>
      <c r="E54" s="19" t="e">
        <f t="shared" si="17"/>
        <v>#REF!</v>
      </c>
      <c r="F54" s="19" t="e">
        <f t="shared" si="18"/>
        <v>#REF!</v>
      </c>
    </row>
    <row r="55" spans="1:7" x14ac:dyDescent="0.2">
      <c r="A55" s="18" t="s">
        <v>82</v>
      </c>
      <c r="B55" s="19" t="e">
        <f t="shared" si="19"/>
        <v>#REF!</v>
      </c>
      <c r="C55" s="19" t="e">
        <f t="shared" si="15"/>
        <v>#REF!</v>
      </c>
      <c r="D55" s="19" t="e">
        <f t="shared" si="16"/>
        <v>#REF!</v>
      </c>
      <c r="E55" s="19" t="e">
        <f t="shared" si="17"/>
        <v>#REF!</v>
      </c>
      <c r="F55" s="22" t="e">
        <f t="shared" si="18"/>
        <v>#REF!</v>
      </c>
      <c r="G55" s="19"/>
    </row>
    <row r="56" spans="1:7" x14ac:dyDescent="0.2">
      <c r="A56" s="23" t="s">
        <v>46</v>
      </c>
      <c r="B56" s="24"/>
      <c r="C56" s="22" t="e">
        <f>SUM(C44:C55)</f>
        <v>#REF!</v>
      </c>
      <c r="D56" s="22" t="e">
        <f>SUM(D44:D55)</f>
        <v>#REF!</v>
      </c>
    </row>
    <row r="76" spans="2:6" x14ac:dyDescent="0.2">
      <c r="B76" s="19"/>
      <c r="C76" s="19"/>
      <c r="D76" s="19"/>
      <c r="E76" s="19"/>
      <c r="F76" s="19"/>
    </row>
    <row r="77" spans="2:6" x14ac:dyDescent="0.2">
      <c r="B77" s="19"/>
      <c r="C77" s="19"/>
      <c r="D77" s="19"/>
      <c r="E77" s="19"/>
      <c r="F77" s="19"/>
    </row>
    <row r="78" spans="2:6" x14ac:dyDescent="0.2">
      <c r="B78" s="19"/>
      <c r="C78" s="19"/>
      <c r="D78" s="19"/>
      <c r="E78" s="19"/>
      <c r="F78" s="19"/>
    </row>
    <row r="79" spans="2:6" x14ac:dyDescent="0.2">
      <c r="B79" s="19"/>
      <c r="C79" s="19"/>
      <c r="D79" s="19"/>
      <c r="E79" s="19"/>
      <c r="F79" s="19"/>
    </row>
    <row r="80" spans="2:6" x14ac:dyDescent="0.2">
      <c r="B80" s="19"/>
      <c r="C80" s="19"/>
      <c r="D80" s="19"/>
      <c r="E80" s="19"/>
      <c r="F80" s="19"/>
    </row>
    <row r="81" spans="2:6" x14ac:dyDescent="0.2">
      <c r="B81" s="19"/>
      <c r="C81" s="19"/>
      <c r="D81" s="19"/>
      <c r="E81" s="19"/>
      <c r="F81" s="19"/>
    </row>
    <row r="82" spans="2:6" x14ac:dyDescent="0.2">
      <c r="B82" s="19"/>
      <c r="C82" s="19"/>
      <c r="D82" s="19"/>
      <c r="E82" s="19"/>
      <c r="F82" s="19"/>
    </row>
    <row r="83" spans="2:6" x14ac:dyDescent="0.2">
      <c r="B83" s="19"/>
      <c r="C83" s="19"/>
      <c r="D83" s="19"/>
      <c r="E83" s="19"/>
      <c r="F83" s="22"/>
    </row>
    <row r="84" spans="2:6" x14ac:dyDescent="0.2">
      <c r="B84" s="23"/>
      <c r="C84" s="22"/>
      <c r="D84" s="22"/>
      <c r="E84" s="19"/>
      <c r="F84" s="19"/>
    </row>
    <row r="85" spans="2:6" x14ac:dyDescent="0.2">
      <c r="B85" s="18"/>
      <c r="C85" s="19"/>
      <c r="D85" s="19"/>
      <c r="E85" s="19"/>
      <c r="F85" s="19"/>
    </row>
    <row r="86" spans="2:6" x14ac:dyDescent="0.2">
      <c r="B86" s="19"/>
      <c r="C86" s="19"/>
      <c r="D86" s="19"/>
      <c r="E86" s="19"/>
      <c r="F86" s="19"/>
    </row>
    <row r="87" spans="2:6" x14ac:dyDescent="0.2">
      <c r="B87" s="19"/>
      <c r="C87" s="19"/>
      <c r="D87" s="19"/>
      <c r="E87" s="19"/>
      <c r="F87" s="19"/>
    </row>
    <row r="88" spans="2:6" x14ac:dyDescent="0.2">
      <c r="B88" s="19"/>
      <c r="C88" s="19"/>
      <c r="D88" s="19"/>
      <c r="E88" s="19"/>
      <c r="F88" s="19"/>
    </row>
    <row r="89" spans="2:6" x14ac:dyDescent="0.2">
      <c r="B89" s="19"/>
      <c r="C89" s="19"/>
      <c r="D89" s="19"/>
      <c r="E89" s="19"/>
      <c r="F89" s="19"/>
    </row>
    <row r="90" spans="2:6" x14ac:dyDescent="0.2">
      <c r="B90" s="19"/>
      <c r="C90" s="19"/>
      <c r="D90" s="19"/>
      <c r="E90" s="19"/>
      <c r="F90" s="19"/>
    </row>
    <row r="91" spans="2:6" x14ac:dyDescent="0.2">
      <c r="B91" s="19"/>
      <c r="C91" s="19"/>
      <c r="D91" s="19"/>
      <c r="E91" s="19"/>
      <c r="F91" s="19"/>
    </row>
    <row r="92" spans="2:6" x14ac:dyDescent="0.2">
      <c r="B92" s="19"/>
      <c r="C92" s="19"/>
      <c r="D92" s="19"/>
      <c r="E92" s="19"/>
      <c r="F92" s="19"/>
    </row>
    <row r="93" spans="2:6" x14ac:dyDescent="0.2">
      <c r="B93" s="19"/>
      <c r="C93" s="19"/>
      <c r="D93" s="19"/>
      <c r="E93" s="19"/>
      <c r="F93" s="19"/>
    </row>
    <row r="94" spans="2:6" x14ac:dyDescent="0.2">
      <c r="B94" s="19"/>
      <c r="C94" s="19"/>
      <c r="D94" s="19"/>
      <c r="E94" s="19"/>
      <c r="F94" s="19"/>
    </row>
    <row r="95" spans="2:6" x14ac:dyDescent="0.2">
      <c r="B95" s="19"/>
      <c r="C95" s="19"/>
      <c r="D95" s="19"/>
      <c r="E95" s="19"/>
      <c r="F95" s="19"/>
    </row>
    <row r="96" spans="2:6" x14ac:dyDescent="0.2">
      <c r="B96" s="19"/>
      <c r="C96" s="19"/>
      <c r="D96" s="19"/>
      <c r="E96" s="19"/>
      <c r="F96" s="19"/>
    </row>
    <row r="97" spans="2:6" x14ac:dyDescent="0.2">
      <c r="B97" s="19"/>
      <c r="C97" s="19"/>
      <c r="D97" s="19"/>
      <c r="E97" s="19"/>
      <c r="F97" s="22"/>
    </row>
    <row r="98" spans="2:6" x14ac:dyDescent="0.2">
      <c r="B98" s="23"/>
      <c r="C98" s="22"/>
      <c r="D98" s="22"/>
      <c r="E98" s="19"/>
      <c r="F98" s="19"/>
    </row>
    <row r="99" spans="2:6" x14ac:dyDescent="0.2">
      <c r="B99" s="18"/>
      <c r="C99" s="19"/>
      <c r="D99" s="19"/>
      <c r="E99" s="19"/>
      <c r="F99" s="19"/>
    </row>
    <row r="100" spans="2:6" x14ac:dyDescent="0.2">
      <c r="B100" s="19"/>
      <c r="C100" s="19"/>
      <c r="D100" s="19"/>
      <c r="E100" s="19"/>
      <c r="F100" s="19"/>
    </row>
    <row r="101" spans="2:6" x14ac:dyDescent="0.2">
      <c r="B101" s="19"/>
      <c r="C101" s="19"/>
      <c r="D101" s="19"/>
      <c r="E101" s="19"/>
      <c r="F101" s="19"/>
    </row>
    <row r="102" spans="2:6" x14ac:dyDescent="0.2">
      <c r="B102" s="19"/>
      <c r="C102" s="19"/>
      <c r="D102" s="19"/>
      <c r="E102" s="19"/>
      <c r="F102" s="19"/>
    </row>
    <row r="103" spans="2:6" x14ac:dyDescent="0.2">
      <c r="B103" s="19"/>
      <c r="C103" s="19"/>
      <c r="D103" s="19"/>
      <c r="E103" s="19"/>
      <c r="F103" s="19"/>
    </row>
    <row r="104" spans="2:6" x14ac:dyDescent="0.2">
      <c r="B104" s="19"/>
      <c r="C104" s="19"/>
      <c r="D104" s="19"/>
      <c r="E104" s="19"/>
      <c r="F104" s="19"/>
    </row>
    <row r="105" spans="2:6" x14ac:dyDescent="0.2">
      <c r="B105" s="19"/>
      <c r="C105" s="19"/>
      <c r="D105" s="19"/>
      <c r="E105" s="19"/>
      <c r="F105" s="19"/>
    </row>
    <row r="106" spans="2:6" x14ac:dyDescent="0.2">
      <c r="B106" s="19"/>
      <c r="C106" s="19"/>
      <c r="D106" s="19"/>
      <c r="E106" s="19"/>
      <c r="F106" s="19"/>
    </row>
    <row r="107" spans="2:6" x14ac:dyDescent="0.2">
      <c r="B107" s="19"/>
      <c r="C107" s="19"/>
      <c r="D107" s="19"/>
      <c r="E107" s="19"/>
      <c r="F107" s="19"/>
    </row>
    <row r="108" spans="2:6" x14ac:dyDescent="0.2">
      <c r="B108" s="19"/>
      <c r="C108" s="19"/>
      <c r="D108" s="19"/>
      <c r="E108" s="19"/>
      <c r="F108" s="19"/>
    </row>
    <row r="109" spans="2:6" x14ac:dyDescent="0.2">
      <c r="B109" s="19"/>
      <c r="C109" s="19"/>
      <c r="D109" s="19"/>
      <c r="E109" s="19"/>
      <c r="F109" s="19"/>
    </row>
    <row r="110" spans="2:6" x14ac:dyDescent="0.2">
      <c r="B110" s="19"/>
      <c r="C110" s="19"/>
      <c r="D110" s="19"/>
      <c r="E110" s="19"/>
      <c r="F110" s="19"/>
    </row>
    <row r="111" spans="2:6" x14ac:dyDescent="0.2">
      <c r="B111" s="19"/>
      <c r="C111" s="19"/>
      <c r="D111" s="19"/>
      <c r="E111" s="19"/>
      <c r="F111" s="22"/>
    </row>
    <row r="112" spans="2:6" x14ac:dyDescent="0.2">
      <c r="B112" s="24"/>
      <c r="C112" s="22"/>
      <c r="D112" s="22"/>
    </row>
    <row r="114" spans="2:6" x14ac:dyDescent="0.2">
      <c r="B114" s="19"/>
      <c r="C114" s="19"/>
      <c r="D114" s="19"/>
      <c r="E114" s="19"/>
      <c r="F114" s="19"/>
    </row>
    <row r="115" spans="2:6" x14ac:dyDescent="0.2">
      <c r="B115" s="19"/>
      <c r="C115" s="19"/>
      <c r="D115" s="19"/>
      <c r="E115" s="19"/>
      <c r="F115" s="19"/>
    </row>
    <row r="116" spans="2:6" x14ac:dyDescent="0.2">
      <c r="B116" s="19"/>
      <c r="C116" s="19"/>
      <c r="D116" s="19"/>
      <c r="E116" s="19"/>
      <c r="F116" s="19"/>
    </row>
    <row r="117" spans="2:6" x14ac:dyDescent="0.2">
      <c r="B117" s="19"/>
      <c r="C117" s="19"/>
      <c r="D117" s="19"/>
      <c r="E117" s="19"/>
      <c r="F117" s="19"/>
    </row>
    <row r="118" spans="2:6" x14ac:dyDescent="0.2">
      <c r="B118" s="19"/>
      <c r="C118" s="19"/>
      <c r="D118" s="19"/>
      <c r="E118" s="19"/>
      <c r="F118" s="19"/>
    </row>
    <row r="119" spans="2:6" x14ac:dyDescent="0.2">
      <c r="B119" s="19"/>
      <c r="C119" s="19"/>
      <c r="D119" s="19"/>
      <c r="E119" s="19"/>
      <c r="F119" s="19"/>
    </row>
    <row r="120" spans="2:6" x14ac:dyDescent="0.2">
      <c r="B120" s="19"/>
      <c r="C120" s="19"/>
      <c r="D120" s="19"/>
      <c r="E120" s="19"/>
      <c r="F120" s="19"/>
    </row>
    <row r="121" spans="2:6" x14ac:dyDescent="0.2">
      <c r="B121" s="19"/>
      <c r="C121" s="19"/>
      <c r="D121" s="19"/>
      <c r="E121" s="19"/>
      <c r="F121" s="19"/>
    </row>
    <row r="122" spans="2:6" x14ac:dyDescent="0.2">
      <c r="B122" s="19"/>
      <c r="C122" s="19"/>
      <c r="D122" s="19"/>
      <c r="E122" s="19"/>
      <c r="F122" s="19"/>
    </row>
    <row r="123" spans="2:6" x14ac:dyDescent="0.2">
      <c r="B123" s="19"/>
      <c r="C123" s="19"/>
      <c r="D123" s="19"/>
      <c r="E123" s="19"/>
      <c r="F123" s="19"/>
    </row>
    <row r="124" spans="2:6" x14ac:dyDescent="0.2">
      <c r="B124" s="19"/>
      <c r="C124" s="19"/>
      <c r="D124" s="19"/>
      <c r="E124" s="19"/>
      <c r="F124" s="19"/>
    </row>
    <row r="125" spans="2:6" x14ac:dyDescent="0.2">
      <c r="B125" s="19"/>
      <c r="C125" s="19"/>
      <c r="D125" s="19"/>
      <c r="E125" s="19"/>
      <c r="F125" s="22"/>
    </row>
    <row r="126" spans="2:6" x14ac:dyDescent="0.2">
      <c r="B126" s="24"/>
      <c r="C126" s="22"/>
      <c r="D126" s="22"/>
    </row>
    <row r="128" spans="2:6" x14ac:dyDescent="0.2">
      <c r="B128" s="19"/>
      <c r="C128" s="19"/>
      <c r="D128" s="19"/>
      <c r="E128" s="19"/>
      <c r="F128" s="19"/>
    </row>
    <row r="129" spans="2:6" x14ac:dyDescent="0.2">
      <c r="B129" s="19"/>
      <c r="C129" s="19"/>
      <c r="D129" s="19"/>
      <c r="E129" s="19"/>
      <c r="F129" s="19"/>
    </row>
    <row r="130" spans="2:6" x14ac:dyDescent="0.2">
      <c r="B130" s="19"/>
      <c r="C130" s="19"/>
      <c r="D130" s="19"/>
      <c r="E130" s="19"/>
      <c r="F130" s="19"/>
    </row>
    <row r="131" spans="2:6" x14ac:dyDescent="0.2">
      <c r="B131" s="19"/>
      <c r="C131" s="19"/>
      <c r="D131" s="19"/>
      <c r="E131" s="19"/>
      <c r="F131" s="19"/>
    </row>
    <row r="132" spans="2:6" x14ac:dyDescent="0.2">
      <c r="B132" s="19"/>
      <c r="C132" s="19"/>
      <c r="D132" s="19"/>
      <c r="E132" s="19"/>
      <c r="F132" s="19"/>
    </row>
    <row r="133" spans="2:6" x14ac:dyDescent="0.2">
      <c r="B133" s="19"/>
      <c r="C133" s="19"/>
      <c r="D133" s="19"/>
      <c r="E133" s="19"/>
      <c r="F133" s="19"/>
    </row>
    <row r="134" spans="2:6" x14ac:dyDescent="0.2">
      <c r="B134" s="19"/>
      <c r="C134" s="19"/>
      <c r="D134" s="19"/>
      <c r="E134" s="19"/>
      <c r="F134" s="19"/>
    </row>
    <row r="135" spans="2:6" x14ac:dyDescent="0.2">
      <c r="B135" s="19"/>
      <c r="C135" s="19"/>
      <c r="D135" s="19"/>
      <c r="E135" s="19"/>
      <c r="F135" s="19"/>
    </row>
    <row r="136" spans="2:6" x14ac:dyDescent="0.2">
      <c r="B136" s="19"/>
      <c r="C136" s="19"/>
      <c r="D136" s="19"/>
      <c r="E136" s="19"/>
      <c r="F136" s="19"/>
    </row>
    <row r="137" spans="2:6" x14ac:dyDescent="0.2">
      <c r="B137" s="19"/>
      <c r="C137" s="19"/>
      <c r="D137" s="19"/>
      <c r="E137" s="19"/>
      <c r="F137" s="19"/>
    </row>
    <row r="138" spans="2:6" x14ac:dyDescent="0.2">
      <c r="B138" s="19"/>
      <c r="C138" s="19"/>
      <c r="D138" s="19"/>
      <c r="E138" s="19"/>
      <c r="F138" s="19"/>
    </row>
    <row r="139" spans="2:6" x14ac:dyDescent="0.2">
      <c r="B139" s="19"/>
      <c r="C139" s="19"/>
      <c r="D139" s="19"/>
      <c r="E139" s="19"/>
      <c r="F139" s="22"/>
    </row>
    <row r="140" spans="2:6" x14ac:dyDescent="0.2">
      <c r="B140" s="23"/>
      <c r="C140" s="22"/>
      <c r="D140" s="22"/>
      <c r="E140" s="19"/>
      <c r="F140" s="19"/>
    </row>
    <row r="141" spans="2:6" x14ac:dyDescent="0.2">
      <c r="B141" s="18"/>
      <c r="C141" s="19"/>
      <c r="D141" s="19"/>
      <c r="E141" s="19"/>
      <c r="F141" s="19"/>
    </row>
    <row r="142" spans="2:6" x14ac:dyDescent="0.2">
      <c r="B142" s="19"/>
      <c r="C142" s="19"/>
      <c r="D142" s="19"/>
      <c r="E142" s="19"/>
      <c r="F142" s="19"/>
    </row>
    <row r="143" spans="2:6" x14ac:dyDescent="0.2">
      <c r="B143" s="19"/>
      <c r="C143" s="19"/>
      <c r="D143" s="19"/>
      <c r="E143" s="19"/>
      <c r="F143" s="19"/>
    </row>
    <row r="144" spans="2:6" x14ac:dyDescent="0.2">
      <c r="B144" s="19"/>
      <c r="C144" s="19"/>
      <c r="D144" s="19"/>
      <c r="E144" s="19"/>
      <c r="F144" s="19"/>
    </row>
    <row r="145" spans="2:6" x14ac:dyDescent="0.2">
      <c r="B145" s="19"/>
      <c r="C145" s="19"/>
      <c r="D145" s="19"/>
      <c r="E145" s="19"/>
      <c r="F145" s="19"/>
    </row>
    <row r="146" spans="2:6" x14ac:dyDescent="0.2">
      <c r="B146" s="19"/>
      <c r="C146" s="19"/>
      <c r="D146" s="19"/>
      <c r="E146" s="19"/>
      <c r="F146" s="19"/>
    </row>
    <row r="147" spans="2:6" x14ac:dyDescent="0.2">
      <c r="B147" s="19"/>
      <c r="C147" s="19"/>
      <c r="D147" s="19"/>
      <c r="E147" s="19"/>
      <c r="F147" s="19"/>
    </row>
    <row r="148" spans="2:6" x14ac:dyDescent="0.2">
      <c r="B148" s="19"/>
      <c r="C148" s="19"/>
      <c r="D148" s="19"/>
      <c r="E148" s="19"/>
      <c r="F148" s="19"/>
    </row>
    <row r="149" spans="2:6" x14ac:dyDescent="0.2">
      <c r="B149" s="19"/>
      <c r="C149" s="19"/>
      <c r="D149" s="19"/>
      <c r="E149" s="19"/>
      <c r="F149" s="19"/>
    </row>
    <row r="150" spans="2:6" x14ac:dyDescent="0.2">
      <c r="B150" s="19"/>
      <c r="C150" s="19"/>
      <c r="D150" s="19"/>
      <c r="E150" s="19"/>
      <c r="F150" s="19"/>
    </row>
    <row r="151" spans="2:6" x14ac:dyDescent="0.2">
      <c r="B151" s="19"/>
      <c r="C151" s="19"/>
      <c r="D151" s="19"/>
      <c r="E151" s="19"/>
      <c r="F151" s="19"/>
    </row>
    <row r="152" spans="2:6" x14ac:dyDescent="0.2">
      <c r="B152" s="19"/>
      <c r="C152" s="19"/>
      <c r="D152" s="19"/>
      <c r="E152" s="19"/>
      <c r="F152" s="19"/>
    </row>
    <row r="153" spans="2:6" x14ac:dyDescent="0.2">
      <c r="B153" s="19"/>
      <c r="C153" s="19"/>
      <c r="D153" s="19"/>
      <c r="E153" s="19"/>
      <c r="F153" s="22"/>
    </row>
    <row r="154" spans="2:6" x14ac:dyDescent="0.2">
      <c r="B154" s="23"/>
      <c r="C154" s="22"/>
      <c r="D154" s="22"/>
      <c r="E154" s="19"/>
      <c r="F154" s="19"/>
    </row>
    <row r="155" spans="2:6" x14ac:dyDescent="0.2">
      <c r="B155" s="18"/>
      <c r="C155" s="19"/>
      <c r="D155" s="19"/>
      <c r="E155" s="19"/>
      <c r="F155" s="19"/>
    </row>
    <row r="156" spans="2:6" x14ac:dyDescent="0.2">
      <c r="B156" s="19"/>
      <c r="C156" s="19"/>
      <c r="D156" s="19"/>
      <c r="E156" s="19"/>
      <c r="F156" s="19"/>
    </row>
    <row r="157" spans="2:6" x14ac:dyDescent="0.2">
      <c r="B157" s="19"/>
      <c r="C157" s="19"/>
      <c r="D157" s="19"/>
      <c r="E157" s="19"/>
      <c r="F157" s="19"/>
    </row>
    <row r="158" spans="2:6" x14ac:dyDescent="0.2">
      <c r="B158" s="19"/>
      <c r="C158" s="19"/>
      <c r="D158" s="19"/>
      <c r="E158" s="19"/>
      <c r="F158" s="19"/>
    </row>
    <row r="159" spans="2:6" x14ac:dyDescent="0.2">
      <c r="B159" s="19"/>
      <c r="C159" s="19"/>
      <c r="D159" s="19"/>
      <c r="E159" s="19"/>
      <c r="F159" s="19"/>
    </row>
    <row r="160" spans="2:6" x14ac:dyDescent="0.2">
      <c r="B160" s="19"/>
      <c r="C160" s="19"/>
      <c r="D160" s="19"/>
      <c r="E160" s="19"/>
      <c r="F160" s="19"/>
    </row>
    <row r="161" spans="2:6" x14ac:dyDescent="0.2">
      <c r="B161" s="19"/>
      <c r="C161" s="19"/>
      <c r="D161" s="19"/>
      <c r="E161" s="19"/>
      <c r="F161" s="19"/>
    </row>
    <row r="162" spans="2:6" x14ac:dyDescent="0.2">
      <c r="B162" s="19"/>
      <c r="C162" s="19"/>
      <c r="D162" s="19"/>
      <c r="E162" s="19"/>
      <c r="F162" s="19"/>
    </row>
    <row r="163" spans="2:6" x14ac:dyDescent="0.2">
      <c r="B163" s="19"/>
      <c r="C163" s="19"/>
      <c r="D163" s="19"/>
      <c r="E163" s="19"/>
      <c r="F163" s="19"/>
    </row>
    <row r="164" spans="2:6" x14ac:dyDescent="0.2">
      <c r="B164" s="19"/>
      <c r="C164" s="19"/>
      <c r="D164" s="19"/>
      <c r="E164" s="19"/>
      <c r="F164" s="19"/>
    </row>
    <row r="165" spans="2:6" x14ac:dyDescent="0.2">
      <c r="B165" s="19"/>
      <c r="C165" s="19"/>
      <c r="D165" s="19"/>
      <c r="E165" s="19"/>
      <c r="F165" s="19"/>
    </row>
    <row r="166" spans="2:6" x14ac:dyDescent="0.2">
      <c r="B166" s="19"/>
      <c r="C166" s="19"/>
      <c r="D166" s="19"/>
      <c r="E166" s="19"/>
      <c r="F166" s="19"/>
    </row>
    <row r="167" spans="2:6" x14ac:dyDescent="0.2">
      <c r="B167" s="19"/>
      <c r="C167" s="19"/>
      <c r="D167" s="19"/>
      <c r="E167" s="19"/>
      <c r="F167" s="22"/>
    </row>
    <row r="168" spans="2:6" x14ac:dyDescent="0.2">
      <c r="B168" s="24"/>
      <c r="C168" s="22"/>
      <c r="D168" s="22"/>
    </row>
    <row r="170" spans="2:6" x14ac:dyDescent="0.2">
      <c r="B170" s="19"/>
      <c r="C170" s="19"/>
      <c r="D170" s="19"/>
      <c r="E170" s="19"/>
      <c r="F170" s="19"/>
    </row>
    <row r="171" spans="2:6" x14ac:dyDescent="0.2">
      <c r="B171" s="19"/>
      <c r="C171" s="19"/>
      <c r="D171" s="19"/>
      <c r="E171" s="19"/>
      <c r="F171" s="19"/>
    </row>
    <row r="172" spans="2:6" x14ac:dyDescent="0.2">
      <c r="B172" s="19"/>
      <c r="C172" s="19"/>
      <c r="D172" s="19"/>
      <c r="E172" s="19"/>
      <c r="F172" s="19"/>
    </row>
    <row r="173" spans="2:6" x14ac:dyDescent="0.2">
      <c r="B173" s="19"/>
      <c r="C173" s="19"/>
      <c r="D173" s="19"/>
      <c r="E173" s="19"/>
      <c r="F173" s="19"/>
    </row>
    <row r="174" spans="2:6" x14ac:dyDescent="0.2">
      <c r="B174" s="19"/>
      <c r="C174" s="19"/>
      <c r="D174" s="19"/>
      <c r="E174" s="19"/>
      <c r="F174" s="19"/>
    </row>
    <row r="175" spans="2:6" x14ac:dyDescent="0.2">
      <c r="B175" s="19"/>
      <c r="C175" s="19"/>
      <c r="D175" s="19"/>
      <c r="E175" s="19"/>
      <c r="F175" s="19"/>
    </row>
    <row r="176" spans="2:6" x14ac:dyDescent="0.2">
      <c r="B176" s="19"/>
      <c r="C176" s="19"/>
      <c r="D176" s="19"/>
      <c r="E176" s="19"/>
      <c r="F176" s="19"/>
    </row>
    <row r="177" spans="2:6" x14ac:dyDescent="0.2">
      <c r="B177" s="19"/>
      <c r="C177" s="19"/>
      <c r="D177" s="19"/>
      <c r="E177" s="19"/>
      <c r="F177" s="19"/>
    </row>
    <row r="178" spans="2:6" x14ac:dyDescent="0.2">
      <c r="B178" s="19"/>
      <c r="C178" s="19"/>
      <c r="D178" s="19"/>
      <c r="E178" s="19"/>
      <c r="F178" s="19"/>
    </row>
    <row r="179" spans="2:6" x14ac:dyDescent="0.2">
      <c r="B179" s="19"/>
      <c r="C179" s="19"/>
      <c r="D179" s="19"/>
      <c r="E179" s="19"/>
      <c r="F179" s="19"/>
    </row>
    <row r="180" spans="2:6" x14ac:dyDescent="0.2">
      <c r="B180" s="19"/>
      <c r="C180" s="19"/>
      <c r="D180" s="19"/>
      <c r="E180" s="19"/>
      <c r="F180" s="19"/>
    </row>
    <row r="181" spans="2:6" x14ac:dyDescent="0.2">
      <c r="B181" s="19"/>
      <c r="C181" s="19"/>
      <c r="D181" s="19"/>
      <c r="E181" s="19"/>
      <c r="F181" s="22"/>
    </row>
    <row r="182" spans="2:6" x14ac:dyDescent="0.2">
      <c r="B182" s="24"/>
      <c r="C182" s="22"/>
      <c r="D182" s="22"/>
    </row>
    <row r="184" spans="2:6" x14ac:dyDescent="0.2">
      <c r="B184" s="19"/>
      <c r="C184" s="19"/>
      <c r="D184" s="19"/>
      <c r="E184" s="19"/>
      <c r="F184" s="19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Answer</vt:lpstr>
      <vt:lpstr>Mortgage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2013-12-02T21:06:54Z</dcterms:created>
  <dcterms:modified xsi:type="dcterms:W3CDTF">2019-07-16T21:50:52Z</dcterms:modified>
</cp:coreProperties>
</file>