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-15" yWindow="45" windowWidth="9720" windowHeight="7395" activeTab="2"/>
  </bookViews>
  <sheets>
    <sheet name="Forecast" sheetId="1" r:id="rId1"/>
    <sheet name="Mortgage" sheetId="4" r:id="rId2"/>
    <sheet name="Beta" sheetId="5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D33" i="1"/>
  <c r="C102" i="1" l="1"/>
  <c r="H123" i="1"/>
  <c r="C129" i="1"/>
  <c r="D83" i="1" l="1"/>
  <c r="E80" i="1"/>
  <c r="E88" i="1" s="1"/>
  <c r="D128" i="1" s="1"/>
  <c r="E128" i="1" s="1"/>
  <c r="D73" i="1"/>
  <c r="C124" i="1" s="1"/>
  <c r="H2" i="5"/>
  <c r="G3" i="5" s="1"/>
  <c r="C3" i="5"/>
  <c r="D3" i="5" s="1"/>
  <c r="F3" i="5"/>
  <c r="C4" i="5"/>
  <c r="D4" i="5"/>
  <c r="F4" i="5"/>
  <c r="C5" i="5"/>
  <c r="D5" i="5" s="1"/>
  <c r="F5" i="5"/>
  <c r="G5" i="5"/>
  <c r="C6" i="5"/>
  <c r="F6" i="5"/>
  <c r="G6" i="5" s="1"/>
  <c r="C7" i="5"/>
  <c r="D7" i="5" s="1"/>
  <c r="F7" i="5"/>
  <c r="G7" i="5" s="1"/>
  <c r="C8" i="5"/>
  <c r="D8" i="5" s="1"/>
  <c r="F8" i="5"/>
  <c r="G8" i="5" s="1"/>
  <c r="C9" i="5"/>
  <c r="D9" i="5" s="1"/>
  <c r="F9" i="5"/>
  <c r="G9" i="5"/>
  <c r="C10" i="5"/>
  <c r="D10" i="5"/>
  <c r="F10" i="5"/>
  <c r="C11" i="5"/>
  <c r="D11" i="5" s="1"/>
  <c r="F11" i="5"/>
  <c r="G11" i="5"/>
  <c r="C12" i="5"/>
  <c r="D12" i="5"/>
  <c r="F12" i="5"/>
  <c r="G12" i="5" s="1"/>
  <c r="C13" i="5"/>
  <c r="D13" i="5" s="1"/>
  <c r="F13" i="5"/>
  <c r="G13" i="5"/>
  <c r="C14" i="5"/>
  <c r="D14" i="5" s="1"/>
  <c r="F14" i="5"/>
  <c r="G14" i="5" s="1"/>
  <c r="C15" i="5"/>
  <c r="F15" i="5"/>
  <c r="G15" i="5"/>
  <c r="C16" i="5"/>
  <c r="D16" i="5" s="1"/>
  <c r="F16" i="5"/>
  <c r="C17" i="5"/>
  <c r="D17" i="5" s="1"/>
  <c r="F17" i="5"/>
  <c r="G17" i="5"/>
  <c r="C18" i="5"/>
  <c r="D18" i="5"/>
  <c r="F18" i="5"/>
  <c r="G18" i="5" s="1"/>
  <c r="C19" i="5"/>
  <c r="D19" i="5" s="1"/>
  <c r="F19" i="5"/>
  <c r="G19" i="5"/>
  <c r="C20" i="5"/>
  <c r="D20" i="5"/>
  <c r="F20" i="5"/>
  <c r="C21" i="5"/>
  <c r="D21" i="5" s="1"/>
  <c r="F21" i="5"/>
  <c r="G21" i="5"/>
  <c r="C22" i="5"/>
  <c r="F22" i="5"/>
  <c r="G22" i="5" s="1"/>
  <c r="C23" i="5"/>
  <c r="D23" i="5" s="1"/>
  <c r="F23" i="5"/>
  <c r="G23" i="5" s="1"/>
  <c r="C24" i="5"/>
  <c r="D24" i="5" s="1"/>
  <c r="F24" i="5"/>
  <c r="G24" i="5" s="1"/>
  <c r="C25" i="5"/>
  <c r="D25" i="5" s="1"/>
  <c r="F25" i="5"/>
  <c r="G25" i="5"/>
  <c r="C26" i="5"/>
  <c r="D26" i="5"/>
  <c r="F26" i="5"/>
  <c r="C27" i="5"/>
  <c r="D27" i="5" s="1"/>
  <c r="F27" i="5"/>
  <c r="G27" i="5"/>
  <c r="C28" i="5"/>
  <c r="D28" i="5"/>
  <c r="F28" i="5"/>
  <c r="G28" i="5" s="1"/>
  <c r="C29" i="5"/>
  <c r="D29" i="5" s="1"/>
  <c r="F29" i="5"/>
  <c r="G29" i="5"/>
  <c r="C30" i="5"/>
  <c r="D30" i="5" s="1"/>
  <c r="F30" i="5"/>
  <c r="G30" i="5" s="1"/>
  <c r="C31" i="5"/>
  <c r="F31" i="5"/>
  <c r="G31" i="5"/>
  <c r="C32" i="5"/>
  <c r="D32" i="5" s="1"/>
  <c r="F32" i="5"/>
  <c r="C33" i="5"/>
  <c r="D33" i="5" s="1"/>
  <c r="F33" i="5"/>
  <c r="G33" i="5"/>
  <c r="C34" i="5"/>
  <c r="D34" i="5"/>
  <c r="F34" i="5"/>
  <c r="G34" i="5" s="1"/>
  <c r="C35" i="5"/>
  <c r="D35" i="5" s="1"/>
  <c r="F35" i="5"/>
  <c r="G35" i="5"/>
  <c r="C36" i="5"/>
  <c r="D36" i="5"/>
  <c r="F36" i="5"/>
  <c r="C37" i="5"/>
  <c r="D37" i="5" s="1"/>
  <c r="F37" i="5"/>
  <c r="G37" i="5"/>
  <c r="C38" i="5"/>
  <c r="F38" i="5"/>
  <c r="G38" i="5" s="1"/>
  <c r="C39" i="5"/>
  <c r="D39" i="5" s="1"/>
  <c r="F39" i="5"/>
  <c r="G39" i="5" s="1"/>
  <c r="C40" i="5"/>
  <c r="D40" i="5" s="1"/>
  <c r="F40" i="5"/>
  <c r="G40" i="5" s="1"/>
  <c r="C41" i="5"/>
  <c r="D41" i="5" s="1"/>
  <c r="F41" i="5"/>
  <c r="G41" i="5"/>
  <c r="C42" i="5"/>
  <c r="D42" i="5"/>
  <c r="F42" i="5"/>
  <c r="C43" i="5"/>
  <c r="D43" i="5" s="1"/>
  <c r="F43" i="5"/>
  <c r="G43" i="5"/>
  <c r="C44" i="5"/>
  <c r="D44" i="5"/>
  <c r="F44" i="5"/>
  <c r="G44" i="5" s="1"/>
  <c r="C45" i="5"/>
  <c r="D45" i="5" s="1"/>
  <c r="F45" i="5"/>
  <c r="G45" i="5"/>
  <c r="C46" i="5"/>
  <c r="D46" i="5" s="1"/>
  <c r="F46" i="5"/>
  <c r="G46" i="5" s="1"/>
  <c r="C47" i="5"/>
  <c r="F47" i="5"/>
  <c r="G47" i="5"/>
  <c r="C48" i="5"/>
  <c r="D48" i="5" s="1"/>
  <c r="F48" i="5"/>
  <c r="C49" i="5"/>
  <c r="D49" i="5" s="1"/>
  <c r="F49" i="5"/>
  <c r="G49" i="5"/>
  <c r="C50" i="5"/>
  <c r="D50" i="5"/>
  <c r="F50" i="5"/>
  <c r="G50" i="5" s="1"/>
  <c r="C51" i="5"/>
  <c r="D51" i="5" s="1"/>
  <c r="F51" i="5"/>
  <c r="G51" i="5"/>
  <c r="C52" i="5"/>
  <c r="D52" i="5"/>
  <c r="F52" i="5"/>
  <c r="C53" i="5"/>
  <c r="D53" i="5" s="1"/>
  <c r="F53" i="5"/>
  <c r="G53" i="5"/>
  <c r="C54" i="5"/>
  <c r="F54" i="5"/>
  <c r="G54" i="5" s="1"/>
  <c r="C55" i="5"/>
  <c r="D55" i="5" s="1"/>
  <c r="F55" i="5"/>
  <c r="G55" i="5" s="1"/>
  <c r="C56" i="5"/>
  <c r="D56" i="5" s="1"/>
  <c r="F56" i="5"/>
  <c r="G56" i="5" s="1"/>
  <c r="C57" i="5"/>
  <c r="D57" i="5" s="1"/>
  <c r="F57" i="5"/>
  <c r="G57" i="5"/>
  <c r="C58" i="5"/>
  <c r="D58" i="5"/>
  <c r="F58" i="5"/>
  <c r="C59" i="5"/>
  <c r="D59" i="5" s="1"/>
  <c r="F59" i="5"/>
  <c r="G59" i="5"/>
  <c r="C60" i="5"/>
  <c r="D60" i="5"/>
  <c r="F60" i="5"/>
  <c r="G60" i="5" s="1"/>
  <c r="C61" i="5"/>
  <c r="D61" i="5" s="1"/>
  <c r="F61" i="5"/>
  <c r="G61" i="5"/>
  <c r="C62" i="5"/>
  <c r="D62" i="5" s="1"/>
  <c r="F62" i="5"/>
  <c r="G62" i="5" s="1"/>
  <c r="C63" i="5"/>
  <c r="F63" i="5"/>
  <c r="G63" i="5"/>
  <c r="C64" i="5"/>
  <c r="D64" i="5" s="1"/>
  <c r="F64" i="5"/>
  <c r="C65" i="5"/>
  <c r="D65" i="5" s="1"/>
  <c r="F65" i="5"/>
  <c r="G65" i="5"/>
  <c r="C66" i="5"/>
  <c r="D66" i="5"/>
  <c r="F66" i="5"/>
  <c r="G66" i="5" s="1"/>
  <c r="C67" i="5"/>
  <c r="D67" i="5" s="1"/>
  <c r="F67" i="5"/>
  <c r="G67" i="5"/>
  <c r="C68" i="5"/>
  <c r="D68" i="5"/>
  <c r="F68" i="5"/>
  <c r="C69" i="5"/>
  <c r="D69" i="5" s="1"/>
  <c r="F69" i="5"/>
  <c r="G69" i="5"/>
  <c r="C70" i="5"/>
  <c r="F70" i="5"/>
  <c r="G70" i="5" s="1"/>
  <c r="C71" i="5"/>
  <c r="D71" i="5" s="1"/>
  <c r="F71" i="5"/>
  <c r="G71" i="5" s="1"/>
  <c r="C72" i="5"/>
  <c r="D72" i="5" s="1"/>
  <c r="F72" i="5"/>
  <c r="G72" i="5" s="1"/>
  <c r="C73" i="5"/>
  <c r="D73" i="5" s="1"/>
  <c r="F73" i="5"/>
  <c r="G73" i="5"/>
  <c r="C74" i="5"/>
  <c r="D74" i="5"/>
  <c r="F74" i="5"/>
  <c r="C75" i="5"/>
  <c r="D75" i="5" s="1"/>
  <c r="F75" i="5"/>
  <c r="G75" i="5"/>
  <c r="C76" i="5"/>
  <c r="D76" i="5"/>
  <c r="F76" i="5"/>
  <c r="G76" i="5" s="1"/>
  <c r="C77" i="5"/>
  <c r="D77" i="5" s="1"/>
  <c r="F77" i="5"/>
  <c r="G77" i="5"/>
  <c r="C78" i="5"/>
  <c r="D78" i="5" s="1"/>
  <c r="F78" i="5"/>
  <c r="G78" i="5" s="1"/>
  <c r="C79" i="5"/>
  <c r="F79" i="5"/>
  <c r="G79" i="5"/>
  <c r="C80" i="5"/>
  <c r="D80" i="5" s="1"/>
  <c r="F80" i="5"/>
  <c r="C81" i="5"/>
  <c r="D81" i="5" s="1"/>
  <c r="F81" i="5"/>
  <c r="G81" i="5"/>
  <c r="C82" i="5"/>
  <c r="D82" i="5"/>
  <c r="F82" i="5"/>
  <c r="G82" i="5" s="1"/>
  <c r="C83" i="5"/>
  <c r="D83" i="5" s="1"/>
  <c r="F83" i="5"/>
  <c r="G83" i="5"/>
  <c r="C84" i="5"/>
  <c r="D84" i="5"/>
  <c r="F84" i="5"/>
  <c r="C85" i="5"/>
  <c r="D85" i="5" s="1"/>
  <c r="F85" i="5"/>
  <c r="G85" i="5"/>
  <c r="C86" i="5"/>
  <c r="F86" i="5"/>
  <c r="G86" i="5" s="1"/>
  <c r="C87" i="5"/>
  <c r="D87" i="5" s="1"/>
  <c r="F87" i="5"/>
  <c r="G87" i="5" s="1"/>
  <c r="C88" i="5"/>
  <c r="D88" i="5" s="1"/>
  <c r="F88" i="5"/>
  <c r="G88" i="5" s="1"/>
  <c r="C89" i="5"/>
  <c r="D89" i="5" s="1"/>
  <c r="F89" i="5"/>
  <c r="G89" i="5"/>
  <c r="C90" i="5"/>
  <c r="D90" i="5"/>
  <c r="F90" i="5"/>
  <c r="C91" i="5"/>
  <c r="D91" i="5" s="1"/>
  <c r="F91" i="5"/>
  <c r="G91" i="5"/>
  <c r="C92" i="5"/>
  <c r="D92" i="5"/>
  <c r="F92" i="5"/>
  <c r="G92" i="5" s="1"/>
  <c r="C93" i="5"/>
  <c r="D93" i="5" s="1"/>
  <c r="F93" i="5"/>
  <c r="G93" i="5"/>
  <c r="C94" i="5"/>
  <c r="D94" i="5" s="1"/>
  <c r="F94" i="5"/>
  <c r="G94" i="5" s="1"/>
  <c r="C95" i="5"/>
  <c r="F95" i="5"/>
  <c r="G95" i="5"/>
  <c r="C96" i="5"/>
  <c r="D96" i="5" s="1"/>
  <c r="F96" i="5"/>
  <c r="C97" i="5"/>
  <c r="D97" i="5" s="1"/>
  <c r="F97" i="5"/>
  <c r="G97" i="5"/>
  <c r="C98" i="5"/>
  <c r="D98" i="5"/>
  <c r="F98" i="5"/>
  <c r="G98" i="5" s="1"/>
  <c r="C99" i="5"/>
  <c r="D99" i="5" s="1"/>
  <c r="F99" i="5"/>
  <c r="G99" i="5"/>
  <c r="C100" i="5"/>
  <c r="D100" i="5"/>
  <c r="F100" i="5"/>
  <c r="C101" i="5"/>
  <c r="D101" i="5" s="1"/>
  <c r="F101" i="5"/>
  <c r="G101" i="5"/>
  <c r="C102" i="5"/>
  <c r="F102" i="5"/>
  <c r="G102" i="5" s="1"/>
  <c r="C103" i="5"/>
  <c r="D103" i="5" s="1"/>
  <c r="F103" i="5"/>
  <c r="G103" i="5" s="1"/>
  <c r="C104" i="5"/>
  <c r="D104" i="5" s="1"/>
  <c r="F104" i="5"/>
  <c r="G104" i="5" s="1"/>
  <c r="C105" i="5"/>
  <c r="D105" i="5" s="1"/>
  <c r="F105" i="5"/>
  <c r="G105" i="5"/>
  <c r="C106" i="5"/>
  <c r="D106" i="5"/>
  <c r="F106" i="5"/>
  <c r="C107" i="5"/>
  <c r="D107" i="5" s="1"/>
  <c r="F107" i="5"/>
  <c r="G107" i="5"/>
  <c r="C108" i="5"/>
  <c r="D108" i="5"/>
  <c r="F108" i="5"/>
  <c r="G108" i="5" s="1"/>
  <c r="C109" i="5"/>
  <c r="D109" i="5" s="1"/>
  <c r="F109" i="5"/>
  <c r="G109" i="5"/>
  <c r="C110" i="5"/>
  <c r="D110" i="5" s="1"/>
  <c r="F110" i="5"/>
  <c r="G110" i="5" s="1"/>
  <c r="C111" i="5"/>
  <c r="F111" i="5"/>
  <c r="G111" i="5"/>
  <c r="C112" i="5"/>
  <c r="D112" i="5" s="1"/>
  <c r="F112" i="5"/>
  <c r="C113" i="5"/>
  <c r="D113" i="5" s="1"/>
  <c r="F113" i="5"/>
  <c r="G113" i="5"/>
  <c r="C114" i="5"/>
  <c r="D114" i="5"/>
  <c r="F114" i="5"/>
  <c r="G114" i="5" s="1"/>
  <c r="C115" i="5"/>
  <c r="D115" i="5" s="1"/>
  <c r="F115" i="5"/>
  <c r="G115" i="5"/>
  <c r="C116" i="5"/>
  <c r="D116" i="5"/>
  <c r="F116" i="5"/>
  <c r="C117" i="5"/>
  <c r="D117" i="5" s="1"/>
  <c r="F117" i="5"/>
  <c r="G117" i="5"/>
  <c r="C118" i="5"/>
  <c r="F118" i="5"/>
  <c r="G118" i="5" s="1"/>
  <c r="C119" i="5"/>
  <c r="D119" i="5" s="1"/>
  <c r="F119" i="5"/>
  <c r="G119" i="5" s="1"/>
  <c r="C120" i="5"/>
  <c r="D120" i="5" s="1"/>
  <c r="F120" i="5"/>
  <c r="G120" i="5" s="1"/>
  <c r="C121" i="5"/>
  <c r="D121" i="5" s="1"/>
  <c r="F121" i="5"/>
  <c r="G121" i="5"/>
  <c r="C122" i="5"/>
  <c r="D122" i="5"/>
  <c r="F122" i="5"/>
  <c r="C123" i="5"/>
  <c r="D123" i="5" s="1"/>
  <c r="F123" i="5"/>
  <c r="G123" i="5"/>
  <c r="C124" i="5"/>
  <c r="D124" i="5"/>
  <c r="F124" i="5"/>
  <c r="G124" i="5" s="1"/>
  <c r="C125" i="5"/>
  <c r="D125" i="5" s="1"/>
  <c r="F125" i="5"/>
  <c r="G125" i="5"/>
  <c r="C126" i="5"/>
  <c r="D126" i="5" s="1"/>
  <c r="F126" i="5"/>
  <c r="G126" i="5" s="1"/>
  <c r="C127" i="5"/>
  <c r="F127" i="5"/>
  <c r="G127" i="5"/>
  <c r="C128" i="5"/>
  <c r="D128" i="5" s="1"/>
  <c r="F128" i="5"/>
  <c r="G128" i="5" s="1"/>
  <c r="C129" i="5"/>
  <c r="D129" i="5" s="1"/>
  <c r="F129" i="5"/>
  <c r="G129" i="5"/>
  <c r="C130" i="5"/>
  <c r="D130" i="5"/>
  <c r="F130" i="5"/>
  <c r="G130" i="5" s="1"/>
  <c r="C131" i="5"/>
  <c r="D131" i="5" s="1"/>
  <c r="F131" i="5"/>
  <c r="G131" i="5"/>
  <c r="C132" i="5"/>
  <c r="D132" i="5"/>
  <c r="F132" i="5"/>
  <c r="G132" i="5" s="1"/>
  <c r="C133" i="5"/>
  <c r="D133" i="5" s="1"/>
  <c r="F133" i="5"/>
  <c r="G133" i="5"/>
  <c r="C134" i="5"/>
  <c r="D134" i="5" s="1"/>
  <c r="F134" i="5"/>
  <c r="G134" i="5" s="1"/>
  <c r="C135" i="5"/>
  <c r="D135" i="5" s="1"/>
  <c r="F135" i="5"/>
  <c r="G135" i="5" s="1"/>
  <c r="C136" i="5"/>
  <c r="D136" i="5" s="1"/>
  <c r="F136" i="5"/>
  <c r="G136" i="5" s="1"/>
  <c r="C137" i="5"/>
  <c r="D137" i="5" s="1"/>
  <c r="F137" i="5"/>
  <c r="G137" i="5"/>
  <c r="C138" i="5"/>
  <c r="D138" i="5"/>
  <c r="F138" i="5"/>
  <c r="G138" i="5" s="1"/>
  <c r="C139" i="5"/>
  <c r="D139" i="5" s="1"/>
  <c r="F139" i="5"/>
  <c r="G139" i="5"/>
  <c r="C140" i="5"/>
  <c r="D140" i="5"/>
  <c r="F140" i="5"/>
  <c r="G140" i="5" s="1"/>
  <c r="C141" i="5"/>
  <c r="D141" i="5" s="1"/>
  <c r="F141" i="5"/>
  <c r="G141" i="5"/>
  <c r="C142" i="5"/>
  <c r="D142" i="5" s="1"/>
  <c r="F142" i="5"/>
  <c r="G142" i="5" s="1"/>
  <c r="C143" i="5"/>
  <c r="D143" i="5" s="1"/>
  <c r="F143" i="5"/>
  <c r="G143" i="5"/>
  <c r="C144" i="5"/>
  <c r="D144" i="5" s="1"/>
  <c r="F144" i="5"/>
  <c r="G144" i="5" s="1"/>
  <c r="C145" i="5"/>
  <c r="D145" i="5" s="1"/>
  <c r="F145" i="5"/>
  <c r="G145" i="5"/>
  <c r="C146" i="5"/>
  <c r="D146" i="5"/>
  <c r="F146" i="5"/>
  <c r="G146" i="5" s="1"/>
  <c r="C147" i="5"/>
  <c r="D147" i="5" s="1"/>
  <c r="F147" i="5"/>
  <c r="G147" i="5"/>
  <c r="C148" i="5"/>
  <c r="D148" i="5"/>
  <c r="F148" i="5"/>
  <c r="G148" i="5" s="1"/>
  <c r="C149" i="5"/>
  <c r="D149" i="5" s="1"/>
  <c r="F149" i="5"/>
  <c r="G149" i="5"/>
  <c r="C150" i="5"/>
  <c r="D150" i="5" s="1"/>
  <c r="F150" i="5"/>
  <c r="G150" i="5" s="1"/>
  <c r="C151" i="5"/>
  <c r="D151" i="5" s="1"/>
  <c r="F151" i="5"/>
  <c r="G151" i="5" s="1"/>
  <c r="C152" i="5"/>
  <c r="D152" i="5" s="1"/>
  <c r="F152" i="5"/>
  <c r="G152" i="5" s="1"/>
  <c r="C153" i="5"/>
  <c r="D153" i="5" s="1"/>
  <c r="F153" i="5"/>
  <c r="G153" i="5"/>
  <c r="C154" i="5"/>
  <c r="D154" i="5"/>
  <c r="F154" i="5"/>
  <c r="G154" i="5" s="1"/>
  <c r="C155" i="5"/>
  <c r="D155" i="5" s="1"/>
  <c r="F155" i="5"/>
  <c r="G155" i="5"/>
  <c r="C156" i="5"/>
  <c r="D156" i="5"/>
  <c r="F156" i="5"/>
  <c r="G156" i="5" s="1"/>
  <c r="C157" i="5"/>
  <c r="D157" i="5" s="1"/>
  <c r="F157" i="5"/>
  <c r="G157" i="5"/>
  <c r="C158" i="5"/>
  <c r="D158" i="5" s="1"/>
  <c r="F158" i="5"/>
  <c r="G158" i="5" s="1"/>
  <c r="C159" i="5"/>
  <c r="D159" i="5" s="1"/>
  <c r="F159" i="5"/>
  <c r="G159" i="5"/>
  <c r="C160" i="5"/>
  <c r="D160" i="5" s="1"/>
  <c r="F160" i="5"/>
  <c r="G160" i="5" s="1"/>
  <c r="C161" i="5"/>
  <c r="D161" i="5" s="1"/>
  <c r="F161" i="5"/>
  <c r="G161" i="5"/>
  <c r="C162" i="5"/>
  <c r="D162" i="5"/>
  <c r="F162" i="5"/>
  <c r="G162" i="5" s="1"/>
  <c r="C163" i="5"/>
  <c r="D163" i="5" s="1"/>
  <c r="F163" i="5"/>
  <c r="G163" i="5"/>
  <c r="C164" i="5"/>
  <c r="D164" i="5"/>
  <c r="F164" i="5"/>
  <c r="G164" i="5" s="1"/>
  <c r="C165" i="5"/>
  <c r="D165" i="5" s="1"/>
  <c r="F165" i="5"/>
  <c r="G165" i="5"/>
  <c r="C166" i="5"/>
  <c r="D166" i="5" s="1"/>
  <c r="F166" i="5"/>
  <c r="G166" i="5" s="1"/>
  <c r="C167" i="5"/>
  <c r="D167" i="5" s="1"/>
  <c r="F167" i="5"/>
  <c r="G167" i="5" s="1"/>
  <c r="C168" i="5"/>
  <c r="D168" i="5" s="1"/>
  <c r="F168" i="5"/>
  <c r="G168" i="5" s="1"/>
  <c r="C169" i="5"/>
  <c r="D169" i="5" s="1"/>
  <c r="F169" i="5"/>
  <c r="G169" i="5"/>
  <c r="C170" i="5"/>
  <c r="D170" i="5"/>
  <c r="F170" i="5"/>
  <c r="G170" i="5" s="1"/>
  <c r="C171" i="5"/>
  <c r="D171" i="5" s="1"/>
  <c r="F171" i="5"/>
  <c r="G171" i="5"/>
  <c r="C172" i="5"/>
  <c r="D172" i="5"/>
  <c r="F172" i="5"/>
  <c r="G172" i="5" s="1"/>
  <c r="C173" i="5"/>
  <c r="D173" i="5" s="1"/>
  <c r="F173" i="5"/>
  <c r="G173" i="5"/>
  <c r="C174" i="5"/>
  <c r="D174" i="5"/>
  <c r="F174" i="5"/>
  <c r="G174" i="5"/>
  <c r="C175" i="5"/>
  <c r="D175" i="5" s="1"/>
  <c r="F175" i="5"/>
  <c r="G175" i="5" s="1"/>
  <c r="C176" i="5"/>
  <c r="D176" i="5"/>
  <c r="F176" i="5"/>
  <c r="G176" i="5" s="1"/>
  <c r="C177" i="5"/>
  <c r="D177" i="5" s="1"/>
  <c r="F177" i="5"/>
  <c r="G177" i="5"/>
  <c r="C178" i="5"/>
  <c r="D178" i="5"/>
  <c r="F178" i="5"/>
  <c r="G178" i="5"/>
  <c r="C179" i="5"/>
  <c r="D179" i="5" s="1"/>
  <c r="F179" i="5"/>
  <c r="G179" i="5"/>
  <c r="C180" i="5"/>
  <c r="D180" i="5" s="1"/>
  <c r="F180" i="5"/>
  <c r="G180" i="5"/>
  <c r="C181" i="5"/>
  <c r="D181" i="5" s="1"/>
  <c r="F181" i="5"/>
  <c r="G181" i="5"/>
  <c r="C182" i="5"/>
  <c r="D182" i="5"/>
  <c r="F182" i="5"/>
  <c r="G182" i="5"/>
  <c r="C183" i="5"/>
  <c r="D183" i="5" s="1"/>
  <c r="F183" i="5"/>
  <c r="G183" i="5" s="1"/>
  <c r="C184" i="5"/>
  <c r="D184" i="5"/>
  <c r="F184" i="5"/>
  <c r="G184" i="5" s="1"/>
  <c r="C185" i="5"/>
  <c r="D185" i="5" s="1"/>
  <c r="F185" i="5"/>
  <c r="G185" i="5"/>
  <c r="C186" i="5"/>
  <c r="D186" i="5"/>
  <c r="F186" i="5"/>
  <c r="G186" i="5"/>
  <c r="C187" i="5"/>
  <c r="D187" i="5" s="1"/>
  <c r="F187" i="5"/>
  <c r="G187" i="5"/>
  <c r="C188" i="5"/>
  <c r="D188" i="5" s="1"/>
  <c r="F188" i="5"/>
  <c r="G188" i="5"/>
  <c r="C189" i="5"/>
  <c r="D189" i="5" s="1"/>
  <c r="F189" i="5"/>
  <c r="G189" i="5"/>
  <c r="C190" i="5"/>
  <c r="D190" i="5"/>
  <c r="F190" i="5"/>
  <c r="G190" i="5"/>
  <c r="C191" i="5"/>
  <c r="D191" i="5" s="1"/>
  <c r="F191" i="5"/>
  <c r="G191" i="5" s="1"/>
  <c r="C192" i="5"/>
  <c r="D192" i="5"/>
  <c r="F192" i="5"/>
  <c r="G192" i="5" s="1"/>
  <c r="C193" i="5"/>
  <c r="D193" i="5" s="1"/>
  <c r="F193" i="5"/>
  <c r="G193" i="5"/>
  <c r="C194" i="5"/>
  <c r="D194" i="5"/>
  <c r="F194" i="5"/>
  <c r="G194" i="5"/>
  <c r="C195" i="5"/>
  <c r="D195" i="5" s="1"/>
  <c r="F195" i="5"/>
  <c r="G195" i="5"/>
  <c r="C196" i="5"/>
  <c r="D196" i="5" s="1"/>
  <c r="F196" i="5"/>
  <c r="G196" i="5"/>
  <c r="C197" i="5"/>
  <c r="D197" i="5" s="1"/>
  <c r="F197" i="5"/>
  <c r="G197" i="5"/>
  <c r="C198" i="5"/>
  <c r="D198" i="5"/>
  <c r="F198" i="5"/>
  <c r="G198" i="5"/>
  <c r="C199" i="5"/>
  <c r="D199" i="5" s="1"/>
  <c r="F199" i="5"/>
  <c r="G199" i="5" s="1"/>
  <c r="C200" i="5"/>
  <c r="D200" i="5"/>
  <c r="F200" i="5"/>
  <c r="G200" i="5" s="1"/>
  <c r="C201" i="5"/>
  <c r="D201" i="5" s="1"/>
  <c r="F201" i="5"/>
  <c r="G201" i="5"/>
  <c r="C202" i="5"/>
  <c r="D202" i="5"/>
  <c r="F202" i="5"/>
  <c r="G202" i="5"/>
  <c r="C203" i="5"/>
  <c r="D203" i="5" s="1"/>
  <c r="F203" i="5"/>
  <c r="G203" i="5"/>
  <c r="C204" i="5"/>
  <c r="D204" i="5" s="1"/>
  <c r="F204" i="5"/>
  <c r="G204" i="5"/>
  <c r="C205" i="5"/>
  <c r="D205" i="5" s="1"/>
  <c r="F205" i="5"/>
  <c r="G205" i="5"/>
  <c r="C206" i="5"/>
  <c r="D206" i="5"/>
  <c r="F206" i="5"/>
  <c r="G206" i="5"/>
  <c r="C207" i="5"/>
  <c r="D207" i="5" s="1"/>
  <c r="F207" i="5"/>
  <c r="G207" i="5" s="1"/>
  <c r="E36" i="1"/>
  <c r="F36" i="1"/>
  <c r="G36" i="1"/>
  <c r="H36" i="1"/>
  <c r="I36" i="1"/>
  <c r="J36" i="1"/>
  <c r="K36" i="1"/>
  <c r="E33" i="1"/>
  <c r="F33" i="1"/>
  <c r="G33" i="1"/>
  <c r="H33" i="1"/>
  <c r="I33" i="1"/>
  <c r="J33" i="1"/>
  <c r="K33" i="1"/>
  <c r="D5" i="1"/>
  <c r="D127" i="5" l="1"/>
  <c r="G122" i="5"/>
  <c r="D118" i="5"/>
  <c r="G116" i="5"/>
  <c r="G112" i="5"/>
  <c r="D111" i="5"/>
  <c r="G106" i="5"/>
  <c r="D102" i="5"/>
  <c r="G100" i="5"/>
  <c r="G96" i="5"/>
  <c r="D95" i="5"/>
  <c r="G90" i="5"/>
  <c r="D86" i="5"/>
  <c r="G84" i="5"/>
  <c r="G80" i="5"/>
  <c r="D79" i="5"/>
  <c r="G74" i="5"/>
  <c r="D70" i="5"/>
  <c r="G68" i="5"/>
  <c r="G64" i="5"/>
  <c r="D63" i="5"/>
  <c r="G58" i="5"/>
  <c r="D54" i="5"/>
  <c r="G52" i="5"/>
  <c r="G48" i="5"/>
  <c r="D47" i="5"/>
  <c r="G42" i="5"/>
  <c r="D38" i="5"/>
  <c r="G36" i="5"/>
  <c r="G32" i="5"/>
  <c r="D31" i="5"/>
  <c r="G26" i="5"/>
  <c r="D22" i="5"/>
  <c r="G20" i="5"/>
  <c r="G16" i="5"/>
  <c r="D15" i="5"/>
  <c r="G10" i="5"/>
  <c r="D6" i="5"/>
  <c r="G4" i="5"/>
  <c r="D74" i="1"/>
  <c r="H122" i="1" s="1"/>
  <c r="C114" i="1"/>
  <c r="D77" i="1"/>
  <c r="E89" i="1" s="1"/>
  <c r="L21" i="1"/>
  <c r="K21" i="1" s="1"/>
  <c r="K95" i="1" s="1"/>
  <c r="D6" i="1"/>
  <c r="D10" i="1" s="1"/>
  <c r="D62" i="1"/>
  <c r="D23" i="1"/>
  <c r="D66" i="1" s="1"/>
  <c r="D67" i="1"/>
  <c r="L17" i="1"/>
  <c r="J17" i="1" s="1"/>
  <c r="E17" i="1"/>
  <c r="F17" i="1"/>
  <c r="E5" i="1"/>
  <c r="E6" i="1"/>
  <c r="L14" i="1"/>
  <c r="E13" i="1"/>
  <c r="E16" i="1"/>
  <c r="F16" i="1" s="1"/>
  <c r="G16" i="1" s="1"/>
  <c r="H16" i="1" s="1"/>
  <c r="I16" i="1" s="1"/>
  <c r="J16" i="1" s="1"/>
  <c r="K16" i="1" s="1"/>
  <c r="E23" i="1"/>
  <c r="F6" i="1"/>
  <c r="F23" i="1"/>
  <c r="G6" i="1"/>
  <c r="G23" i="1"/>
  <c r="H6" i="1"/>
  <c r="H23" i="1"/>
  <c r="I6" i="1"/>
  <c r="I23" i="1"/>
  <c r="J6" i="1"/>
  <c r="J23" i="1"/>
  <c r="K6" i="1"/>
  <c r="K23" i="1"/>
  <c r="E54" i="1"/>
  <c r="I2" i="4"/>
  <c r="I8" i="4" s="1"/>
  <c r="I4" i="4"/>
  <c r="B2" i="4"/>
  <c r="D2" i="4" s="1"/>
  <c r="E35" i="4" l="1"/>
  <c r="E103" i="4"/>
  <c r="E12" i="4"/>
  <c r="E79" i="4"/>
  <c r="E7" i="4"/>
  <c r="E13" i="4"/>
  <c r="E22" i="4"/>
  <c r="E31" i="4"/>
  <c r="E36" i="4"/>
  <c r="E44" i="4"/>
  <c r="E50" i="4"/>
  <c r="E54" i="4"/>
  <c r="E63" i="4"/>
  <c r="E67" i="4"/>
  <c r="E76" i="4"/>
  <c r="E80" i="4"/>
  <c r="E90" i="4"/>
  <c r="E96" i="4"/>
  <c r="E104" i="4"/>
  <c r="E110" i="4"/>
  <c r="E5" i="4"/>
  <c r="E21" i="4"/>
  <c r="E41" i="4"/>
  <c r="E53" i="4"/>
  <c r="E66" i="4"/>
  <c r="E89" i="4"/>
  <c r="E109" i="4"/>
  <c r="E3" i="4"/>
  <c r="E8" i="4"/>
  <c r="E17" i="4"/>
  <c r="E23" i="4"/>
  <c r="E32" i="4"/>
  <c r="E39" i="4"/>
  <c r="E45" i="4"/>
  <c r="E51" i="4"/>
  <c r="E58" i="4"/>
  <c r="E64" i="4"/>
  <c r="E69" i="4"/>
  <c r="E77" i="4"/>
  <c r="E83" i="4"/>
  <c r="E91" i="4"/>
  <c r="E101" i="4"/>
  <c r="E105" i="4"/>
  <c r="E2" i="4"/>
  <c r="E4" i="4"/>
  <c r="E11" i="4"/>
  <c r="E18" i="4"/>
  <c r="E25" i="4"/>
  <c r="E33" i="4"/>
  <c r="E40" i="4"/>
  <c r="E46" i="4"/>
  <c r="E52" i="4"/>
  <c r="E59" i="4"/>
  <c r="E65" i="4"/>
  <c r="E72" i="4"/>
  <c r="E78" i="4"/>
  <c r="E88" i="4"/>
  <c r="E92" i="4"/>
  <c r="E102" i="4"/>
  <c r="E106" i="4"/>
  <c r="E26" i="4"/>
  <c r="E49" i="4"/>
  <c r="E62" i="4"/>
  <c r="E75" i="4"/>
  <c r="E93" i="4"/>
  <c r="C2" i="4"/>
  <c r="F2" i="4" s="1"/>
  <c r="B3" i="4" s="1"/>
  <c r="D15" i="1"/>
  <c r="D63" i="1" s="1"/>
  <c r="E10" i="4"/>
  <c r="E20" i="4"/>
  <c r="E30" i="4"/>
  <c r="E38" i="4"/>
  <c r="E48" i="4"/>
  <c r="E61" i="4"/>
  <c r="E74" i="4"/>
  <c r="E82" i="4"/>
  <c r="E87" i="4"/>
  <c r="E95" i="4"/>
  <c r="E100" i="4"/>
  <c r="E108" i="4"/>
  <c r="E111" i="4"/>
  <c r="E9" i="4"/>
  <c r="E19" i="4"/>
  <c r="E27" i="4"/>
  <c r="E37" i="4"/>
  <c r="E47" i="4"/>
  <c r="E55" i="4"/>
  <c r="E60" i="4"/>
  <c r="E68" i="4"/>
  <c r="E73" i="4"/>
  <c r="E81" i="4"/>
  <c r="E86" i="4"/>
  <c r="E94" i="4"/>
  <c r="E97" i="4"/>
  <c r="E107" i="4"/>
  <c r="E6" i="4"/>
  <c r="E16" i="4"/>
  <c r="E24" i="4"/>
  <c r="E34" i="4"/>
  <c r="F13" i="1"/>
  <c r="G21" i="1"/>
  <c r="G95" i="1" s="1"/>
  <c r="D14" i="1"/>
  <c r="I21" i="1"/>
  <c r="I95" i="1" s="1"/>
  <c r="E7" i="1"/>
  <c r="E32" i="1" s="1"/>
  <c r="F5" i="1"/>
  <c r="F7" i="1" s="1"/>
  <c r="F32" i="1" s="1"/>
  <c r="E21" i="1"/>
  <c r="E95" i="1" s="1"/>
  <c r="H21" i="1"/>
  <c r="H95" i="1" s="1"/>
  <c r="F21" i="1"/>
  <c r="F95" i="1" s="1"/>
  <c r="D21" i="1"/>
  <c r="D17" i="1"/>
  <c r="K17" i="1"/>
  <c r="I17" i="1"/>
  <c r="J21" i="1"/>
  <c r="J95" i="1" s="1"/>
  <c r="H17" i="1"/>
  <c r="D7" i="1"/>
  <c r="D32" i="1" s="1"/>
  <c r="E10" i="1"/>
  <c r="G17" i="1"/>
  <c r="D34" i="1" l="1"/>
  <c r="E107" i="1"/>
  <c r="D107" i="1"/>
  <c r="F34" i="1"/>
  <c r="E34" i="1"/>
  <c r="F107" i="1"/>
  <c r="D95" i="1"/>
  <c r="L103" i="1"/>
  <c r="K103" i="1" s="1"/>
  <c r="L104" i="1" s="1"/>
  <c r="K104" i="1" s="1"/>
  <c r="D3" i="4"/>
  <c r="D57" i="1"/>
  <c r="E57" i="1" s="1"/>
  <c r="E59" i="1" s="1"/>
  <c r="D18" i="1"/>
  <c r="D19" i="1" s="1"/>
  <c r="D94" i="1" s="1"/>
  <c r="G13" i="1"/>
  <c r="G5" i="1"/>
  <c r="G10" i="1" s="1"/>
  <c r="F10" i="1"/>
  <c r="D37" i="1"/>
  <c r="E37" i="1" s="1"/>
  <c r="F37" i="1" s="1"/>
  <c r="G37" i="1" s="1"/>
  <c r="H37" i="1" s="1"/>
  <c r="I37" i="1" s="1"/>
  <c r="J37" i="1" s="1"/>
  <c r="K37" i="1" s="1"/>
  <c r="D64" i="1"/>
  <c r="E14" i="1"/>
  <c r="E15" i="1"/>
  <c r="D96" i="1" l="1"/>
  <c r="H5" i="1"/>
  <c r="H7" i="1" s="1"/>
  <c r="H32" i="1" s="1"/>
  <c r="G7" i="1"/>
  <c r="G32" i="1" s="1"/>
  <c r="C3" i="4"/>
  <c r="D39" i="1"/>
  <c r="H13" i="1"/>
  <c r="E18" i="1"/>
  <c r="E19" i="1" s="1"/>
  <c r="E94" i="1" s="1"/>
  <c r="E96" i="1" s="1"/>
  <c r="F15" i="1"/>
  <c r="E39" i="1"/>
  <c r="F14" i="1"/>
  <c r="F39" i="1"/>
  <c r="G14" i="1"/>
  <c r="G15" i="1"/>
  <c r="G34" i="1" l="1"/>
  <c r="G39" i="1" s="1"/>
  <c r="H107" i="1"/>
  <c r="G107" i="1"/>
  <c r="D97" i="1"/>
  <c r="D108" i="1" s="1"/>
  <c r="E97" i="1"/>
  <c r="G18" i="1"/>
  <c r="G19" i="1" s="1"/>
  <c r="G94" i="1" s="1"/>
  <c r="G96" i="1" s="1"/>
  <c r="H10" i="1"/>
  <c r="H34" i="1"/>
  <c r="H39" i="1" s="1"/>
  <c r="I5" i="1"/>
  <c r="I7" i="1" s="1"/>
  <c r="I32" i="1" s="1"/>
  <c r="I107" i="1" s="1"/>
  <c r="F3" i="4"/>
  <c r="B4" i="4" s="1"/>
  <c r="I13" i="1"/>
  <c r="F18" i="1"/>
  <c r="F19" i="1" s="1"/>
  <c r="F94" i="1" s="1"/>
  <c r="F96" i="1" s="1"/>
  <c r="D99" i="1" l="1"/>
  <c r="D114" i="1" s="1"/>
  <c r="E99" i="1"/>
  <c r="E108" i="1"/>
  <c r="F97" i="1"/>
  <c r="F108" i="1" s="1"/>
  <c r="G97" i="1"/>
  <c r="I10" i="1"/>
  <c r="I15" i="1" s="1"/>
  <c r="J5" i="1"/>
  <c r="J10" i="1" s="1"/>
  <c r="H14" i="1"/>
  <c r="H15" i="1"/>
  <c r="I34" i="1"/>
  <c r="I39" i="1" s="1"/>
  <c r="D4" i="4"/>
  <c r="J13" i="1"/>
  <c r="K5" i="1"/>
  <c r="J7" i="1" l="1"/>
  <c r="J32" i="1" s="1"/>
  <c r="I14" i="1"/>
  <c r="F99" i="1"/>
  <c r="F114" i="1" s="1"/>
  <c r="H18" i="1"/>
  <c r="H19" i="1" s="1"/>
  <c r="H94" i="1" s="1"/>
  <c r="H96" i="1" s="1"/>
  <c r="H97" i="1" s="1"/>
  <c r="J107" i="1"/>
  <c r="E114" i="1"/>
  <c r="G99" i="1"/>
  <c r="G108" i="1"/>
  <c r="I18" i="1"/>
  <c r="I19" i="1" s="1"/>
  <c r="I94" i="1" s="1"/>
  <c r="I96" i="1" s="1"/>
  <c r="J34" i="1"/>
  <c r="J39" i="1" s="1"/>
  <c r="C4" i="4"/>
  <c r="K13" i="1"/>
  <c r="J14" i="1"/>
  <c r="J15" i="1"/>
  <c r="K7" i="1"/>
  <c r="K32" i="1" s="1"/>
  <c r="K107" i="1" s="1"/>
  <c r="K10" i="1"/>
  <c r="J18" i="1" l="1"/>
  <c r="J19" i="1" s="1"/>
  <c r="J94" i="1" s="1"/>
  <c r="J96" i="1" s="1"/>
  <c r="J97" i="1" s="1"/>
  <c r="K111" i="1"/>
  <c r="H99" i="1"/>
  <c r="H108" i="1"/>
  <c r="G114" i="1"/>
  <c r="I97" i="1"/>
  <c r="I108" i="1" s="1"/>
  <c r="I99" i="1"/>
  <c r="I114" i="1" s="1"/>
  <c r="K34" i="1"/>
  <c r="K39" i="1" s="1"/>
  <c r="F4" i="4"/>
  <c r="B5" i="4" s="1"/>
  <c r="K15" i="1"/>
  <c r="K14" i="1"/>
  <c r="K18" i="1" s="1"/>
  <c r="K19" i="1" s="1"/>
  <c r="K94" i="1" s="1"/>
  <c r="K96" i="1" s="1"/>
  <c r="J108" i="1" l="1"/>
  <c r="J99" i="1"/>
  <c r="J114" i="1" s="1"/>
  <c r="H114" i="1"/>
  <c r="K97" i="1"/>
  <c r="K108" i="1" s="1"/>
  <c r="K112" i="1" s="1"/>
  <c r="D5" i="4"/>
  <c r="K99" i="1" l="1"/>
  <c r="K114" i="1" s="1"/>
  <c r="B116" i="1" s="1"/>
  <c r="C123" i="1" s="1"/>
  <c r="C5" i="4"/>
  <c r="F5" i="4" l="1"/>
  <c r="B6" i="4" s="1"/>
  <c r="D6" i="4" l="1"/>
  <c r="C6" i="4" l="1"/>
  <c r="F6" i="4" s="1"/>
  <c r="B7" i="4" s="1"/>
  <c r="D7" i="4" l="1"/>
  <c r="C7" i="4" l="1"/>
  <c r="F7" i="4" s="1"/>
  <c r="B8" i="4" s="1"/>
  <c r="D8" i="4" l="1"/>
  <c r="C8" i="4" s="1"/>
  <c r="F8" i="4" s="1"/>
  <c r="B9" i="4" s="1"/>
  <c r="D9" i="4" l="1"/>
  <c r="C9" i="4" s="1"/>
  <c r="F9" i="4"/>
  <c r="B10" i="4" s="1"/>
  <c r="D10" i="4" l="1"/>
  <c r="C10" i="4" s="1"/>
  <c r="F10" i="4" s="1"/>
  <c r="B11" i="4" s="1"/>
  <c r="D11" i="4" l="1"/>
  <c r="C11" i="4" s="1"/>
  <c r="F11" i="4" s="1"/>
  <c r="B12" i="4" s="1"/>
  <c r="D12" i="4" l="1"/>
  <c r="C12" i="4" s="1"/>
  <c r="F12" i="4" s="1"/>
  <c r="B13" i="4" s="1"/>
  <c r="D13" i="4" l="1"/>
  <c r="C13" i="4" l="1"/>
  <c r="D14" i="4"/>
  <c r="D22" i="1" s="1"/>
  <c r="D65" i="1" l="1"/>
  <c r="D68" i="1" s="1"/>
  <c r="E70" i="1" s="1"/>
  <c r="G70" i="1" s="1"/>
  <c r="D25" i="1"/>
  <c r="C14" i="4"/>
  <c r="F13" i="4"/>
  <c r="D44" i="1" s="1"/>
  <c r="D80" i="1" s="1"/>
  <c r="D88" i="1" s="1"/>
  <c r="F70" i="1" l="1"/>
  <c r="B16" i="4"/>
  <c r="D26" i="1"/>
  <c r="D42" i="1" s="1"/>
  <c r="D27" i="1" l="1"/>
  <c r="D48" i="1" s="1"/>
  <c r="D84" i="1" s="1"/>
  <c r="D85" i="1" s="1"/>
  <c r="D89" i="1" s="1"/>
  <c r="D16" i="4"/>
  <c r="D50" i="1" l="1"/>
  <c r="D90" i="1"/>
  <c r="F88" i="1" s="1"/>
  <c r="C16" i="4"/>
  <c r="G88" i="1" l="1"/>
  <c r="F89" i="1"/>
  <c r="G89" i="1" s="1"/>
  <c r="F16" i="4"/>
  <c r="B17" i="4" s="1"/>
  <c r="G90" i="1" l="1"/>
  <c r="C118" i="1" s="1"/>
  <c r="C125" i="1"/>
  <c r="H124" i="1" s="1"/>
  <c r="H125" i="1" s="1"/>
  <c r="D129" i="1" s="1"/>
  <c r="E129" i="1" s="1"/>
  <c r="E130" i="1" s="1"/>
  <c r="D17" i="4"/>
  <c r="H118" i="1" l="1"/>
  <c r="C122" i="1"/>
  <c r="J118" i="1"/>
  <c r="D118" i="1"/>
  <c r="I118" i="1"/>
  <c r="F118" i="1"/>
  <c r="E118" i="1"/>
  <c r="K118" i="1"/>
  <c r="G118" i="1"/>
  <c r="C17" i="4"/>
  <c r="B119" i="1" l="1"/>
  <c r="F17" i="4"/>
  <c r="B18" i="4" s="1"/>
  <c r="D18" i="4" l="1"/>
  <c r="C18" i="4" l="1"/>
  <c r="F18" i="4" l="1"/>
  <c r="B19" i="4" s="1"/>
  <c r="D19" i="4" l="1"/>
  <c r="C19" i="4" l="1"/>
  <c r="F19" i="4" l="1"/>
  <c r="B20" i="4" s="1"/>
  <c r="D20" i="4" l="1"/>
  <c r="C20" i="4" l="1"/>
  <c r="F20" i="4" l="1"/>
  <c r="B21" i="4" s="1"/>
  <c r="D21" i="4" l="1"/>
  <c r="C21" i="4" s="1"/>
  <c r="F21" i="4" s="1"/>
  <c r="B22" i="4" s="1"/>
  <c r="D22" i="4" l="1"/>
  <c r="C22" i="4" s="1"/>
  <c r="F22" i="4" s="1"/>
  <c r="B23" i="4" s="1"/>
  <c r="D23" i="4" l="1"/>
  <c r="C23" i="4" s="1"/>
  <c r="F23" i="4"/>
  <c r="B24" i="4" s="1"/>
  <c r="D24" i="4" l="1"/>
  <c r="C24" i="4" s="1"/>
  <c r="F24" i="4" s="1"/>
  <c r="B25" i="4" s="1"/>
  <c r="D25" i="4" l="1"/>
  <c r="C25" i="4" s="1"/>
  <c r="F25" i="4" s="1"/>
  <c r="B26" i="4" s="1"/>
  <c r="D26" i="4" l="1"/>
  <c r="C26" i="4" s="1"/>
  <c r="F26" i="4"/>
  <c r="B27" i="4" s="1"/>
  <c r="D27" i="4" l="1"/>
  <c r="C27" i="4" l="1"/>
  <c r="D28" i="4"/>
  <c r="E22" i="1" s="1"/>
  <c r="E25" i="1" s="1"/>
  <c r="E26" i="1" l="1"/>
  <c r="E42" i="1" s="1"/>
  <c r="C28" i="4"/>
  <c r="F27" i="4"/>
  <c r="E27" i="1" l="1"/>
  <c r="E48" i="1" s="1"/>
  <c r="B30" i="4"/>
  <c r="E44" i="1"/>
  <c r="E50" i="1" s="1"/>
  <c r="D30" i="4" l="1"/>
  <c r="C30" i="4" l="1"/>
  <c r="F30" i="4" l="1"/>
  <c r="B31" i="4" s="1"/>
  <c r="D31" i="4" l="1"/>
  <c r="C31" i="4" l="1"/>
  <c r="F31" i="4" l="1"/>
  <c r="B32" i="4" s="1"/>
  <c r="D32" i="4" l="1"/>
  <c r="C32" i="4" l="1"/>
  <c r="F32" i="4" l="1"/>
  <c r="B33" i="4" s="1"/>
  <c r="D33" i="4" l="1"/>
  <c r="C33" i="4" l="1"/>
  <c r="F33" i="4" l="1"/>
  <c r="B34" i="4" s="1"/>
  <c r="D34" i="4" l="1"/>
  <c r="C34" i="4" l="1"/>
  <c r="F34" i="4" l="1"/>
  <c r="B35" i="4" s="1"/>
  <c r="D35" i="4" l="1"/>
  <c r="C35" i="4" s="1"/>
  <c r="F35" i="4" s="1"/>
  <c r="B36" i="4" s="1"/>
  <c r="D36" i="4" l="1"/>
  <c r="C36" i="4" s="1"/>
  <c r="F36" i="4" s="1"/>
  <c r="B37" i="4" s="1"/>
  <c r="D37" i="4" l="1"/>
  <c r="C37" i="4" s="1"/>
  <c r="F37" i="4"/>
  <c r="B38" i="4" s="1"/>
  <c r="D38" i="4" l="1"/>
  <c r="C38" i="4" s="1"/>
  <c r="F38" i="4" s="1"/>
  <c r="B39" i="4" s="1"/>
  <c r="D39" i="4" l="1"/>
  <c r="C39" i="4" s="1"/>
  <c r="F39" i="4" s="1"/>
  <c r="B40" i="4" s="1"/>
  <c r="D40" i="4" l="1"/>
  <c r="C40" i="4" s="1"/>
  <c r="F40" i="4" s="1"/>
  <c r="B41" i="4" s="1"/>
  <c r="D41" i="4" l="1"/>
  <c r="C41" i="4" l="1"/>
  <c r="D42" i="4"/>
  <c r="F22" i="1" s="1"/>
  <c r="F25" i="1" s="1"/>
  <c r="F26" i="1" l="1"/>
  <c r="F42" i="1" s="1"/>
  <c r="C42" i="4"/>
  <c r="F41" i="4"/>
  <c r="F27" i="1" l="1"/>
  <c r="F48" i="1" s="1"/>
  <c r="F44" i="1"/>
  <c r="F50" i="1" s="1"/>
  <c r="B44" i="4"/>
  <c r="D44" i="4" l="1"/>
  <c r="C44" i="4" l="1"/>
  <c r="F44" i="4" l="1"/>
  <c r="B45" i="4" s="1"/>
  <c r="D45" i="4" l="1"/>
  <c r="C45" i="4" l="1"/>
  <c r="F45" i="4" l="1"/>
  <c r="B46" i="4" s="1"/>
  <c r="D46" i="4" l="1"/>
  <c r="C46" i="4" l="1"/>
  <c r="F46" i="4" l="1"/>
  <c r="B47" i="4" s="1"/>
  <c r="D47" i="4" l="1"/>
  <c r="C47" i="4" l="1"/>
  <c r="F47" i="4" l="1"/>
  <c r="B48" i="4" s="1"/>
  <c r="D48" i="4" l="1"/>
  <c r="C48" i="4" l="1"/>
  <c r="F48" i="4" l="1"/>
  <c r="B49" i="4" s="1"/>
  <c r="D49" i="4" l="1"/>
  <c r="C49" i="4" s="1"/>
  <c r="F49" i="4" s="1"/>
  <c r="B50" i="4" s="1"/>
  <c r="D50" i="4" l="1"/>
  <c r="C50" i="4" s="1"/>
  <c r="F50" i="4" s="1"/>
  <c r="B51" i="4" s="1"/>
  <c r="D51" i="4" l="1"/>
  <c r="C51" i="4" s="1"/>
  <c r="F51" i="4"/>
  <c r="B52" i="4" s="1"/>
  <c r="D52" i="4" l="1"/>
  <c r="C52" i="4" s="1"/>
  <c r="F52" i="4"/>
  <c r="B53" i="4" s="1"/>
  <c r="D53" i="4" l="1"/>
  <c r="C53" i="4" s="1"/>
  <c r="F53" i="4" s="1"/>
  <c r="B54" i="4" s="1"/>
  <c r="D54" i="4" l="1"/>
  <c r="C54" i="4" s="1"/>
  <c r="F54" i="4"/>
  <c r="B55" i="4" s="1"/>
  <c r="D55" i="4" l="1"/>
  <c r="C55" i="4" l="1"/>
  <c r="D56" i="4"/>
  <c r="G22" i="1" s="1"/>
  <c r="G25" i="1" s="1"/>
  <c r="G26" i="1" l="1"/>
  <c r="G42" i="1" s="1"/>
  <c r="C56" i="4"/>
  <c r="F55" i="4"/>
  <c r="G27" i="1" l="1"/>
  <c r="G48" i="1" s="1"/>
  <c r="G50" i="1" s="1"/>
  <c r="B58" i="4"/>
  <c r="G44" i="1"/>
  <c r="D58" i="4" l="1"/>
  <c r="C58" i="4" l="1"/>
  <c r="F58" i="4" l="1"/>
  <c r="B59" i="4" s="1"/>
  <c r="D59" i="4" l="1"/>
  <c r="C59" i="4" l="1"/>
  <c r="F59" i="4" l="1"/>
  <c r="B60" i="4" s="1"/>
  <c r="D60" i="4" l="1"/>
  <c r="C60" i="4" l="1"/>
  <c r="F60" i="4" l="1"/>
  <c r="B61" i="4" s="1"/>
  <c r="D61" i="4" l="1"/>
  <c r="C61" i="4" l="1"/>
  <c r="F61" i="4" l="1"/>
  <c r="B62" i="4" s="1"/>
  <c r="D62" i="4" l="1"/>
  <c r="C62" i="4" l="1"/>
  <c r="F62" i="4" l="1"/>
  <c r="B63" i="4" s="1"/>
  <c r="D63" i="4" l="1"/>
  <c r="C63" i="4" s="1"/>
  <c r="F63" i="4" s="1"/>
  <c r="B64" i="4" s="1"/>
  <c r="D64" i="4" l="1"/>
  <c r="C64" i="4" s="1"/>
  <c r="F64" i="4" s="1"/>
  <c r="B65" i="4" s="1"/>
  <c r="D65" i="4" l="1"/>
  <c r="C65" i="4" s="1"/>
  <c r="F65" i="4" s="1"/>
  <c r="B66" i="4" s="1"/>
  <c r="D66" i="4" l="1"/>
  <c r="C66" i="4" s="1"/>
  <c r="F66" i="4" s="1"/>
  <c r="B67" i="4" s="1"/>
  <c r="D67" i="4" l="1"/>
  <c r="C67" i="4" s="1"/>
  <c r="F67" i="4" s="1"/>
  <c r="B68" i="4" s="1"/>
  <c r="D68" i="4" l="1"/>
  <c r="C68" i="4" s="1"/>
  <c r="F68" i="4" s="1"/>
  <c r="B69" i="4" s="1"/>
  <c r="D69" i="4" l="1"/>
  <c r="C69" i="4" l="1"/>
  <c r="D70" i="4"/>
  <c r="H22" i="1" s="1"/>
  <c r="H25" i="1" s="1"/>
  <c r="H26" i="1" l="1"/>
  <c r="H42" i="1" s="1"/>
  <c r="C70" i="4"/>
  <c r="F69" i="4"/>
  <c r="H27" i="1" l="1"/>
  <c r="H48" i="1" s="1"/>
  <c r="B72" i="4"/>
  <c r="H44" i="1"/>
  <c r="H50" i="1" l="1"/>
  <c r="D72" i="4"/>
  <c r="C72" i="4" l="1"/>
  <c r="F72" i="4" l="1"/>
  <c r="B73" i="4" s="1"/>
  <c r="D73" i="4" l="1"/>
  <c r="C73" i="4" l="1"/>
  <c r="F73" i="4" l="1"/>
  <c r="B74" i="4" s="1"/>
  <c r="D74" i="4" l="1"/>
  <c r="C74" i="4" l="1"/>
  <c r="F74" i="4" l="1"/>
  <c r="B75" i="4" s="1"/>
  <c r="D75" i="4" l="1"/>
  <c r="C75" i="4" l="1"/>
  <c r="F75" i="4" l="1"/>
  <c r="B76" i="4" s="1"/>
  <c r="D76" i="4" l="1"/>
  <c r="C76" i="4" l="1"/>
  <c r="F76" i="4" l="1"/>
  <c r="B77" i="4" s="1"/>
  <c r="D77" i="4" l="1"/>
  <c r="C77" i="4" s="1"/>
  <c r="F77" i="4" s="1"/>
  <c r="B78" i="4" s="1"/>
  <c r="D78" i="4" l="1"/>
  <c r="C78" i="4" s="1"/>
  <c r="F78" i="4" s="1"/>
  <c r="B79" i="4" s="1"/>
  <c r="D79" i="4" l="1"/>
  <c r="C79" i="4" s="1"/>
  <c r="F79" i="4" s="1"/>
  <c r="B80" i="4" s="1"/>
  <c r="D80" i="4" l="1"/>
  <c r="C80" i="4" s="1"/>
  <c r="F80" i="4" s="1"/>
  <c r="B81" i="4" s="1"/>
  <c r="D81" i="4" l="1"/>
  <c r="C81" i="4" s="1"/>
  <c r="F81" i="4" s="1"/>
  <c r="B82" i="4" s="1"/>
  <c r="D82" i="4" l="1"/>
  <c r="C82" i="4" s="1"/>
  <c r="F82" i="4"/>
  <c r="B83" i="4" s="1"/>
  <c r="D83" i="4" l="1"/>
  <c r="C83" i="4" l="1"/>
  <c r="D84" i="4"/>
  <c r="I22" i="1" s="1"/>
  <c r="I25" i="1" s="1"/>
  <c r="I26" i="1" l="1"/>
  <c r="I42" i="1" s="1"/>
  <c r="C84" i="4"/>
  <c r="F83" i="4"/>
  <c r="I27" i="1" l="1"/>
  <c r="I48" i="1" s="1"/>
  <c r="B86" i="4"/>
  <c r="I44" i="1"/>
  <c r="I50" i="1" s="1"/>
  <c r="D86" i="4" l="1"/>
  <c r="C86" i="4" l="1"/>
  <c r="F86" i="4" l="1"/>
  <c r="B87" i="4" s="1"/>
  <c r="D87" i="4" l="1"/>
  <c r="C87" i="4" l="1"/>
  <c r="F87" i="4" l="1"/>
  <c r="B88" i="4" s="1"/>
  <c r="D88" i="4" l="1"/>
  <c r="C88" i="4" l="1"/>
  <c r="F88" i="4" l="1"/>
  <c r="B89" i="4" s="1"/>
  <c r="D89" i="4" l="1"/>
  <c r="C89" i="4" l="1"/>
  <c r="F89" i="4" l="1"/>
  <c r="B90" i="4" s="1"/>
  <c r="D90" i="4" l="1"/>
  <c r="C90" i="4" l="1"/>
  <c r="F90" i="4" l="1"/>
  <c r="B91" i="4" s="1"/>
  <c r="D91" i="4" l="1"/>
  <c r="C91" i="4" s="1"/>
  <c r="F91" i="4" s="1"/>
  <c r="B92" i="4" s="1"/>
  <c r="D92" i="4" l="1"/>
  <c r="C92" i="4" s="1"/>
  <c r="F92" i="4" s="1"/>
  <c r="B93" i="4" s="1"/>
  <c r="D93" i="4" l="1"/>
  <c r="C93" i="4" s="1"/>
  <c r="F93" i="4" s="1"/>
  <c r="B94" i="4" s="1"/>
  <c r="D94" i="4" l="1"/>
  <c r="C94" i="4" s="1"/>
  <c r="F94" i="4" s="1"/>
  <c r="B95" i="4" s="1"/>
  <c r="D95" i="4" l="1"/>
  <c r="C95" i="4" s="1"/>
  <c r="F95" i="4" s="1"/>
  <c r="B96" i="4" s="1"/>
  <c r="D96" i="4" l="1"/>
  <c r="C96" i="4" s="1"/>
  <c r="F96" i="4" s="1"/>
  <c r="B97" i="4" s="1"/>
  <c r="D97" i="4" l="1"/>
  <c r="C97" i="4" l="1"/>
  <c r="D98" i="4"/>
  <c r="J22" i="1" s="1"/>
  <c r="J25" i="1" s="1"/>
  <c r="J26" i="1" l="1"/>
  <c r="J42" i="1" s="1"/>
  <c r="C98" i="4"/>
  <c r="F97" i="4"/>
  <c r="J27" i="1" l="1"/>
  <c r="J48" i="1" s="1"/>
  <c r="J44" i="1"/>
  <c r="J50" i="1" s="1"/>
  <c r="B100" i="4"/>
  <c r="D100" i="4" l="1"/>
  <c r="C100" i="4" l="1"/>
  <c r="F100" i="4" l="1"/>
  <c r="B101" i="4" s="1"/>
  <c r="D101" i="4" l="1"/>
  <c r="C101" i="4" l="1"/>
  <c r="F101" i="4" l="1"/>
  <c r="B102" i="4" s="1"/>
  <c r="D102" i="4" l="1"/>
  <c r="C102" i="4" l="1"/>
  <c r="F102" i="4" l="1"/>
  <c r="B103" i="4" s="1"/>
  <c r="D103" i="4" l="1"/>
  <c r="C103" i="4" l="1"/>
  <c r="F103" i="4" l="1"/>
  <c r="B104" i="4" s="1"/>
  <c r="D104" i="4" l="1"/>
  <c r="C104" i="4" l="1"/>
  <c r="F104" i="4" l="1"/>
  <c r="B105" i="4" s="1"/>
  <c r="D105" i="4" l="1"/>
  <c r="C105" i="4" s="1"/>
  <c r="F105" i="4"/>
  <c r="B106" i="4" s="1"/>
  <c r="D106" i="4" l="1"/>
  <c r="C106" i="4" s="1"/>
  <c r="F106" i="4" s="1"/>
  <c r="B107" i="4" s="1"/>
  <c r="D107" i="4" l="1"/>
  <c r="C107" i="4" s="1"/>
  <c r="F107" i="4" s="1"/>
  <c r="B108" i="4" s="1"/>
  <c r="D108" i="4" l="1"/>
  <c r="C108" i="4" s="1"/>
  <c r="F108" i="4" s="1"/>
  <c r="B109" i="4" s="1"/>
  <c r="D109" i="4" l="1"/>
  <c r="C109" i="4" s="1"/>
  <c r="F109" i="4" s="1"/>
  <c r="B110" i="4" s="1"/>
  <c r="D110" i="4" l="1"/>
  <c r="C110" i="4" s="1"/>
  <c r="F110" i="4" s="1"/>
  <c r="B111" i="4" s="1"/>
  <c r="D111" i="4" l="1"/>
  <c r="C111" i="4" l="1"/>
  <c r="D112" i="4"/>
  <c r="K22" i="1" s="1"/>
  <c r="K25" i="1" s="1"/>
  <c r="K26" i="1" l="1"/>
  <c r="K42" i="1" s="1"/>
  <c r="C112" i="4"/>
  <c r="F111" i="4"/>
  <c r="K44" i="1" s="1"/>
  <c r="K27" i="1" l="1"/>
  <c r="K48" i="1" s="1"/>
  <c r="K50" i="1" s="1"/>
</calcChain>
</file>

<file path=xl/sharedStrings.xml><?xml version="1.0" encoding="utf-8"?>
<sst xmlns="http://schemas.openxmlformats.org/spreadsheetml/2006/main" count="251" uniqueCount="207">
  <si>
    <t>TOTALS</t>
  </si>
  <si>
    <t>December 2015</t>
  </si>
  <si>
    <t>November 2015</t>
  </si>
  <si>
    <t>October 2015</t>
  </si>
  <si>
    <t>September 2015</t>
  </si>
  <si>
    <t>August 2015</t>
  </si>
  <si>
    <t>July 2015</t>
  </si>
  <si>
    <t>June 2015</t>
  </si>
  <si>
    <t>May 2015</t>
  </si>
  <si>
    <t>April 2015</t>
  </si>
  <si>
    <t>March 2015</t>
  </si>
  <si>
    <t>February 2015</t>
  </si>
  <si>
    <t>January 2015</t>
  </si>
  <si>
    <t>December 2014</t>
  </si>
  <si>
    <t>November 2014</t>
  </si>
  <si>
    <t>October 2014</t>
  </si>
  <si>
    <t>September 2014</t>
  </si>
  <si>
    <t>August 2014</t>
  </si>
  <si>
    <t>July 2014</t>
  </si>
  <si>
    <t>June 2014</t>
  </si>
  <si>
    <t>May 2014</t>
  </si>
  <si>
    <t>April 2014</t>
  </si>
  <si>
    <t>March 2014</t>
  </si>
  <si>
    <t>February 2014</t>
  </si>
  <si>
    <t>January 2014</t>
  </si>
  <si>
    <t>December 2013</t>
  </si>
  <si>
    <t>November 2013</t>
  </si>
  <si>
    <t>October 2013</t>
  </si>
  <si>
    <t>September 2013</t>
  </si>
  <si>
    <t>August 2013</t>
  </si>
  <si>
    <t>July 2013</t>
  </si>
  <si>
    <t>June 2013</t>
  </si>
  <si>
    <t>May 2013</t>
  </si>
  <si>
    <t>April 2013</t>
  </si>
  <si>
    <t>March 2013</t>
  </si>
  <si>
    <t>February 2013</t>
  </si>
  <si>
    <t>January 2013</t>
  </si>
  <si>
    <t>Payment</t>
  </si>
  <si>
    <t>PV</t>
  </si>
  <si>
    <t>Type</t>
  </si>
  <si>
    <t>Per</t>
  </si>
  <si>
    <t>FV</t>
  </si>
  <si>
    <t>Per Rate</t>
  </si>
  <si>
    <t>Rate</t>
  </si>
  <si>
    <t>End Balance</t>
  </si>
  <si>
    <t xml:space="preserve">Interest </t>
  </si>
  <si>
    <t>Principal</t>
  </si>
  <si>
    <t>Beg Balance</t>
  </si>
  <si>
    <t>FORECAST</t>
  </si>
  <si>
    <t>SALES UNIT FORECAST</t>
  </si>
  <si>
    <t>INCOME STATEMENT</t>
  </si>
  <si>
    <t>Operating expenses</t>
  </si>
  <si>
    <t>Building maintenance expense</t>
  </si>
  <si>
    <t>General and administrative expense</t>
  </si>
  <si>
    <t>Operating profit</t>
  </si>
  <si>
    <t>Total operating expenses</t>
  </si>
  <si>
    <t>Depreciation</t>
  </si>
  <si>
    <t>Mortgage interest expense</t>
  </si>
  <si>
    <t>Bank loan interest expense</t>
  </si>
  <si>
    <t>Profit before taxes</t>
  </si>
  <si>
    <t>Net profit after taxes</t>
  </si>
  <si>
    <t>BALANCE SHEET</t>
  </si>
  <si>
    <t>Assets</t>
  </si>
  <si>
    <t>Cash</t>
  </si>
  <si>
    <t>Accounts receivable</t>
  </si>
  <si>
    <t>Total current assets</t>
  </si>
  <si>
    <t>Buildings</t>
  </si>
  <si>
    <t>Less accumulated depreciation</t>
  </si>
  <si>
    <t>depreciation rate</t>
  </si>
  <si>
    <t>interest rate</t>
  </si>
  <si>
    <t>Total assets</t>
  </si>
  <si>
    <t>Liabilities and equity</t>
  </si>
  <si>
    <t>Income tax payable</t>
  </si>
  <si>
    <t>Mortgage on buildings</t>
  </si>
  <si>
    <t>Bank Loans</t>
  </si>
  <si>
    <t>Retained earnings</t>
  </si>
  <si>
    <t>Total liabilities and equity</t>
  </si>
  <si>
    <t xml:space="preserve">tax rate if profit before taxes is positive </t>
  </si>
  <si>
    <t>Forecasted Occupancy</t>
  </si>
  <si>
    <t>Landscaping</t>
  </si>
  <si>
    <t>Rent revenue</t>
  </si>
  <si>
    <t>inflation</t>
  </si>
  <si>
    <t>of rental revenues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</si>
  <si>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</si>
  <si>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</si>
  <si>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</si>
  <si>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</si>
  <si>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</si>
  <si>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</si>
  <si>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</si>
  <si>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</si>
  <si>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</si>
  <si>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</si>
  <si>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</si>
  <si>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</si>
  <si>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</si>
  <si>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</si>
  <si>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</si>
  <si>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</si>
  <si>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</si>
  <si>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</si>
  <si>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</si>
  <si>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</si>
  <si>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</si>
  <si>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</si>
  <si>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</si>
  <si>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</si>
  <si>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</si>
  <si>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</si>
  <si>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</si>
  <si>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</si>
  <si>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</si>
  <si>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</si>
  <si>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</si>
  <si>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</si>
  <si>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</si>
  <si>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</si>
  <si>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</si>
  <si>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</si>
  <si>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</si>
  <si>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</si>
  <si>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</si>
  <si>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</si>
  <si>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</si>
  <si>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</si>
  <si>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</si>
  <si>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</si>
  <si>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</si>
  <si>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</si>
  <si>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</si>
  <si>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</si>
  <si>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</si>
  <si>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</si>
  <si>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</si>
  <si>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</si>
  <si>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</si>
  <si>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</si>
  <si>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</si>
  <si>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</si>
  <si>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</si>
  <si>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</si>
  <si>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</si>
  <si>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</si>
  <si>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occupancy</t>
  </si>
  <si>
    <t>Johnson Street Apartments</t>
  </si>
  <si>
    <t>Fixed</t>
  </si>
  <si>
    <t>Variable</t>
  </si>
  <si>
    <t>Total</t>
  </si>
  <si>
    <t>Sales</t>
  </si>
  <si>
    <t>Totals</t>
  </si>
  <si>
    <t>Per unit</t>
  </si>
  <si>
    <t>Unit = 1 apartment rented for 12 months</t>
  </si>
  <si>
    <t>Rental revenue</t>
  </si>
  <si>
    <t>Contribution margin</t>
  </si>
  <si>
    <t>Breakeven units</t>
  </si>
  <si>
    <t xml:space="preserve"> </t>
  </si>
  <si>
    <t>Months of rent</t>
  </si>
  <si>
    <t>Occupancy rate</t>
  </si>
  <si>
    <t>Units</t>
  </si>
  <si>
    <t>Insurance</t>
  </si>
  <si>
    <t>Income taxes</t>
  </si>
  <si>
    <t>Property taxes</t>
  </si>
  <si>
    <t>tax rate</t>
  </si>
  <si>
    <t>BREAKEVEN 2013</t>
  </si>
  <si>
    <t>Rent (Monthly)</t>
  </si>
  <si>
    <t>Average late rent</t>
  </si>
  <si>
    <t>Land</t>
  </si>
  <si>
    <t>Owners contribution</t>
  </si>
  <si>
    <t>WACC 2013</t>
  </si>
  <si>
    <t>T-Bills</t>
  </si>
  <si>
    <t>T-Bill Spread</t>
  </si>
  <si>
    <t>Percent Change</t>
  </si>
  <si>
    <t>REIT</t>
  </si>
  <si>
    <t>S&amp;P</t>
  </si>
  <si>
    <t>Date</t>
  </si>
  <si>
    <t>Beta</t>
  </si>
  <si>
    <t>CAPM</t>
  </si>
  <si>
    <t>S&amp;P 500</t>
  </si>
  <si>
    <t>Debt</t>
  </si>
  <si>
    <t>Mortgage on building</t>
  </si>
  <si>
    <t>Equity</t>
  </si>
  <si>
    <t>Capital</t>
  </si>
  <si>
    <t>Proportion</t>
  </si>
  <si>
    <t>WACC</t>
  </si>
  <si>
    <t>IRR</t>
  </si>
  <si>
    <t>Cash from operations</t>
  </si>
  <si>
    <t>Less: depreciation expense</t>
  </si>
  <si>
    <t>Taxes on operations</t>
  </si>
  <si>
    <t>Total cash from operations</t>
  </si>
  <si>
    <t>Cash in/out from capital expenditures</t>
  </si>
  <si>
    <t>Buy buildings</t>
  </si>
  <si>
    <t>Sell buildings</t>
  </si>
  <si>
    <t>Pay taxes</t>
  </si>
  <si>
    <t>Year zero</t>
  </si>
  <si>
    <t>Book value</t>
  </si>
  <si>
    <t>Gain</t>
  </si>
  <si>
    <t>Cash in/out from working capital changes</t>
  </si>
  <si>
    <t>Cash in/out from liquidating working capital</t>
  </si>
  <si>
    <t>Total free cash flows</t>
  </si>
  <si>
    <t>PV of FCFs</t>
  </si>
  <si>
    <t>NPV</t>
  </si>
  <si>
    <t>Debt/Equity ratio refactor</t>
  </si>
  <si>
    <t>Unlevered beta</t>
  </si>
  <si>
    <t>Relevered beta</t>
  </si>
  <si>
    <t>Percent debt</t>
  </si>
  <si>
    <t>Percent equity</t>
  </si>
  <si>
    <t>Getting our WACC to match IRR requires an impossible 130% debt.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</si>
</sst>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[Red]\-[$$-409]#,##0.00"/>
    <numFmt numFmtId="165" formatCode="_(&quot;$&quot;* #,##0_);_(&quot;$&quot;* \(#,##0\);_(&quot;$&quot;* &quot;-&quot;??_);_(@_)"/>
    <numFmt numFmtId="166" formatCode="_(* #,##0.00_);_(* \(#,##0.00\);_(* \-??_);_(@_)"/>
    <numFmt numFmtId="167" formatCode="_(\$* #,##0.00_);_(\$* \(#,##0.00\);_(\$* \-??_);_(@_)"/>
    <numFmt numFmtId="168" formatCode="0.0000%"/>
    <numFmt numFmtId="169" formatCode="0.00000%"/>
    <numFmt numFmtId="170" formatCode="0.000%"/>
    <numFmt numFmtId="171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6" fontId="4" fillId="0" borderId="0"/>
    <xf numFmtId="167" fontId="4" fillId="0" borderId="0"/>
    <xf numFmtId="9" fontId="4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164" fontId="2" fillId="0" borderId="0" xfId="3" applyNumberFormat="1" applyFont="1" applyAlignment="1">
      <alignment wrapText="1"/>
    </xf>
    <xf numFmtId="164" fontId="3" fillId="0" borderId="0" xfId="3" applyNumberFormat="1" applyFont="1" applyAlignment="1">
      <alignment wrapText="1"/>
    </xf>
    <xf numFmtId="0" fontId="3" fillId="0" borderId="0" xfId="3" applyFont="1"/>
    <xf numFmtId="0" fontId="2" fillId="0" borderId="0" xfId="3" applyFont="1" applyAlignment="1">
      <alignment wrapText="1"/>
    </xf>
    <xf numFmtId="0" fontId="3" fillId="0" borderId="0" xfId="3" applyFont="1" applyAlignment="1">
      <alignment wrapText="1"/>
    </xf>
    <xf numFmtId="17" fontId="2" fillId="0" borderId="0" xfId="3" applyNumberFormat="1" applyFont="1" applyAlignment="1">
      <alignment wrapText="1"/>
    </xf>
    <xf numFmtId="0" fontId="7" fillId="0" borderId="0" xfId="0" applyFont="1" applyBorder="1"/>
    <xf numFmtId="0" fontId="8" fillId="0" borderId="0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" xfId="0" applyFont="1" applyBorder="1"/>
    <xf numFmtId="0" fontId="8" fillId="0" borderId="2" xfId="0" applyFont="1" applyBorder="1"/>
    <xf numFmtId="165" fontId="8" fillId="0" borderId="2" xfId="1" applyNumberFormat="1" applyFont="1" applyBorder="1"/>
    <xf numFmtId="165" fontId="8" fillId="0" borderId="3" xfId="1" applyNumberFormat="1" applyFont="1" applyBorder="1"/>
    <xf numFmtId="9" fontId="8" fillId="0" borderId="0" xfId="0" applyNumberFormat="1" applyFont="1" applyBorder="1"/>
    <xf numFmtId="0" fontId="8" fillId="0" borderId="4" xfId="0" applyFont="1" applyBorder="1"/>
    <xf numFmtId="0" fontId="8" fillId="0" borderId="0" xfId="8" applyNumberFormat="1" applyFont="1" applyBorder="1"/>
    <xf numFmtId="0" fontId="8" fillId="0" borderId="5" xfId="8" applyNumberFormat="1" applyFont="1" applyBorder="1"/>
    <xf numFmtId="0" fontId="8" fillId="0" borderId="6" xfId="0" applyFont="1" applyBorder="1"/>
    <xf numFmtId="0" fontId="8" fillId="0" borderId="7" xfId="0" applyFont="1" applyBorder="1"/>
    <xf numFmtId="165" fontId="8" fillId="0" borderId="2" xfId="0" applyNumberFormat="1" applyFont="1" applyBorder="1"/>
    <xf numFmtId="165" fontId="8" fillId="0" borderId="3" xfId="0" applyNumberFormat="1" applyFont="1" applyBorder="1"/>
    <xf numFmtId="165" fontId="8" fillId="0" borderId="0" xfId="0" applyNumberFormat="1" applyFont="1" applyBorder="1"/>
    <xf numFmtId="165" fontId="8" fillId="0" borderId="5" xfId="0" applyNumberFormat="1" applyFont="1" applyBorder="1"/>
    <xf numFmtId="165" fontId="8" fillId="0" borderId="0" xfId="1" applyNumberFormat="1" applyFont="1" applyBorder="1"/>
    <xf numFmtId="165" fontId="8" fillId="0" borderId="5" xfId="1" applyNumberFormat="1" applyFont="1" applyBorder="1"/>
    <xf numFmtId="9" fontId="8" fillId="0" borderId="0" xfId="2" applyFont="1" applyBorder="1"/>
    <xf numFmtId="0" fontId="9" fillId="0" borderId="4" xfId="4" applyFont="1" applyBorder="1"/>
    <xf numFmtId="0" fontId="10" fillId="0" borderId="6" xfId="4" applyFont="1" applyBorder="1"/>
    <xf numFmtId="165" fontId="8" fillId="0" borderId="7" xfId="0" applyNumberFormat="1" applyFont="1" applyBorder="1"/>
    <xf numFmtId="165" fontId="8" fillId="0" borderId="8" xfId="0" applyNumberFormat="1" applyFont="1" applyBorder="1"/>
    <xf numFmtId="0" fontId="7" fillId="0" borderId="1" xfId="0" applyFont="1" applyBorder="1"/>
    <xf numFmtId="0" fontId="8" fillId="0" borderId="3" xfId="0" applyFont="1" applyBorder="1"/>
    <xf numFmtId="0" fontId="8" fillId="0" borderId="5" xfId="0" applyFont="1" applyBorder="1"/>
    <xf numFmtId="0" fontId="7" fillId="0" borderId="6" xfId="0" applyFont="1" applyBorder="1"/>
    <xf numFmtId="2" fontId="8" fillId="0" borderId="0" xfId="0" applyNumberFormat="1" applyFont="1" applyBorder="1"/>
    <xf numFmtId="0" fontId="2" fillId="0" borderId="0" xfId="3" applyFont="1"/>
    <xf numFmtId="10" fontId="2" fillId="0" borderId="0" xfId="3" applyNumberFormat="1" applyFont="1"/>
    <xf numFmtId="164" fontId="2" fillId="0" borderId="0" xfId="3" applyNumberFormat="1" applyFont="1"/>
    <xf numFmtId="0" fontId="2" fillId="0" borderId="0" xfId="3" applyNumberFormat="1" applyFont="1"/>
    <xf numFmtId="44" fontId="8" fillId="0" borderId="0" xfId="0" applyNumberFormat="1" applyFont="1" applyBorder="1"/>
    <xf numFmtId="44" fontId="8" fillId="0" borderId="5" xfId="0" applyNumberFormat="1" applyFont="1" applyBorder="1"/>
    <xf numFmtId="165" fontId="8" fillId="0" borderId="7" xfId="1" applyNumberFormat="1" applyFont="1" applyBorder="1"/>
    <xf numFmtId="165" fontId="8" fillId="0" borderId="8" xfId="1" applyNumberFormat="1" applyFont="1" applyBorder="1"/>
    <xf numFmtId="0" fontId="9" fillId="0" borderId="0" xfId="4" applyFont="1" applyBorder="1"/>
    <xf numFmtId="0" fontId="7" fillId="0" borderId="4" xfId="0" applyFont="1" applyBorder="1"/>
    <xf numFmtId="2" fontId="8" fillId="0" borderId="5" xfId="0" applyNumberFormat="1" applyFont="1" applyBorder="1"/>
    <xf numFmtId="2" fontId="8" fillId="0" borderId="7" xfId="0" applyNumberFormat="1" applyFont="1" applyBorder="1"/>
    <xf numFmtId="9" fontId="8" fillId="0" borderId="7" xfId="2" applyFont="1" applyBorder="1"/>
    <xf numFmtId="0" fontId="8" fillId="0" borderId="8" xfId="0" applyFont="1" applyBorder="1"/>
    <xf numFmtId="0" fontId="0" fillId="0" borderId="0" xfId="0" applyAlignment="1">
      <alignment vertical="top" wrapText="1"/>
    </xf>
    <xf numFmtId="168" fontId="0" fillId="0" borderId="0" xfId="0" applyNumberFormat="1"/>
    <xf numFmtId="168" fontId="0" fillId="0" borderId="0" xfId="2" applyNumberFormat="1" applyFont="1"/>
    <xf numFmtId="8" fontId="0" fillId="0" borderId="0" xfId="0" applyNumberFormat="1" applyAlignment="1">
      <alignment vertical="center" wrapText="1"/>
    </xf>
    <xf numFmtId="169" fontId="0" fillId="0" borderId="0" xfId="0" applyNumberFormat="1"/>
    <xf numFmtId="170" fontId="0" fillId="0" borderId="0" xfId="2" applyNumberFormat="1" applyFont="1"/>
    <xf numFmtId="14" fontId="0" fillId="0" borderId="0" xfId="0" applyNumberFormat="1" applyAlignment="1">
      <alignment horizontal="left" vertical="center" wrapText="1"/>
    </xf>
    <xf numFmtId="0" fontId="11" fillId="0" borderId="0" xfId="0" applyFont="1"/>
    <xf numFmtId="10" fontId="8" fillId="0" borderId="0" xfId="2" applyNumberFormat="1" applyFont="1" applyBorder="1"/>
    <xf numFmtId="10" fontId="8" fillId="0" borderId="0" xfId="0" applyNumberFormat="1" applyFont="1" applyBorder="1"/>
    <xf numFmtId="2" fontId="8" fillId="2" borderId="7" xfId="0" applyNumberFormat="1" applyFont="1" applyFill="1" applyBorder="1"/>
    <xf numFmtId="10" fontId="8" fillId="2" borderId="7" xfId="2" applyNumberFormat="1" applyFont="1" applyFill="1" applyBorder="1"/>
    <xf numFmtId="10" fontId="8" fillId="2" borderId="0" xfId="0" applyNumberFormat="1" applyFont="1" applyFill="1" applyBorder="1"/>
    <xf numFmtId="6" fontId="8" fillId="0" borderId="0" xfId="0" applyNumberFormat="1" applyFont="1" applyBorder="1"/>
    <xf numFmtId="6" fontId="8" fillId="0" borderId="5" xfId="0" applyNumberFormat="1" applyFont="1" applyBorder="1"/>
    <xf numFmtId="6" fontId="8" fillId="2" borderId="7" xfId="0" applyNumberFormat="1" applyFont="1" applyFill="1" applyBorder="1"/>
    <xf numFmtId="171" fontId="8" fillId="0" borderId="0" xfId="0" applyNumberFormat="1" applyFont="1" applyBorder="1"/>
    <xf numFmtId="170" fontId="8" fillId="0" borderId="0" xfId="0" applyNumberFormat="1" applyFont="1" applyBorder="1"/>
    <xf numFmtId="170" fontId="8" fillId="0" borderId="0" xfId="2" applyNumberFormat="1" applyFont="1" applyBorder="1"/>
    <xf numFmtId="0" fontId="8" fillId="0" borderId="0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0" borderId="7" xfId="0" applyFont="1" applyFill="1" applyBorder="1" applyAlignment="1">
      <alignment vertical="top"/>
    </xf>
    <xf numFmtId="0" fontId="8" fillId="0" borderId="8" xfId="0" applyFont="1" applyFill="1" applyBorder="1" applyAlignment="1">
      <alignment vertical="top"/>
    </xf>
    <xf numFmtId="0" fontId="8" fillId="0" borderId="0" xfId="0" applyFont="1" applyFill="1" applyBorder="1"/>
  </cellXfs>
  <cellStyles count="25">
    <cellStyle name="Comma" xfId="8" builtinId="3"/>
    <cellStyle name="Comma 2" xfId="5"/>
    <cellStyle name="Currency" xfId="1" builtinId="4"/>
    <cellStyle name="Currency 2" xfId="6"/>
    <cellStyle name="Excel Built-in Normal" xfId="4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2" xfId="3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30842847769028886"/>
                  <c:y val="-4.8501749781277321E-3"/>
                </c:manualLayout>
              </c:layout>
              <c:numFmt formatCode="General" sourceLinked="0"/>
            </c:trendlineLbl>
          </c:trendline>
          <c:xVal>
            <c:numRef>
              <c:f>Beta!$D$3:$D$207</c:f>
              <c:numCache>
                <c:formatCode>0.00000%</c:formatCode>
                <c:ptCount val="205"/>
                <c:pt idx="0">
                  <c:v>3.3675921165374499E-4</c:v>
                </c:pt>
                <c:pt idx="1">
                  <c:v>3.0777759122837026E-3</c:v>
                </c:pt>
                <c:pt idx="2">
                  <c:v>-2.2263245089666176E-3</c:v>
                </c:pt>
                <c:pt idx="3">
                  <c:v>2.21926532009578E-3</c:v>
                </c:pt>
                <c:pt idx="4">
                  <c:v>8.875298035866834E-3</c:v>
                </c:pt>
                <c:pt idx="5">
                  <c:v>5.0187201625192374E-4</c:v>
                </c:pt>
                <c:pt idx="6">
                  <c:v>2.3628663282572009E-3</c:v>
                </c:pt>
                <c:pt idx="7">
                  <c:v>-5.0701458474004769E-3</c:v>
                </c:pt>
                <c:pt idx="8">
                  <c:v>3.5569453681710359E-3</c:v>
                </c:pt>
                <c:pt idx="9">
                  <c:v>1.132113440405751E-2</c:v>
                </c:pt>
                <c:pt idx="10">
                  <c:v>5.0090451354061708E-3</c:v>
                </c:pt>
                <c:pt idx="11">
                  <c:v>6.5933599467729782E-4</c:v>
                </c:pt>
                <c:pt idx="12">
                  <c:v>4.9267021276597634E-4</c:v>
                </c:pt>
                <c:pt idx="13">
                  <c:v>-1.0028433294566401E-3</c:v>
                </c:pt>
                <c:pt idx="14">
                  <c:v>8.641929486113354E-3</c:v>
                </c:pt>
                <c:pt idx="15">
                  <c:v>-5.7768161582852666E-3</c:v>
                </c:pt>
                <c:pt idx="16">
                  <c:v>-1.4985373134327746E-3</c:v>
                </c:pt>
                <c:pt idx="17">
                  <c:v>-2.4972805181863239E-3</c:v>
                </c:pt>
                <c:pt idx="18">
                  <c:v>-5.055004995005184E-4</c:v>
                </c:pt>
                <c:pt idx="19">
                  <c:v>9.1560856238546914E-3</c:v>
                </c:pt>
                <c:pt idx="20">
                  <c:v>1.1494968636513749E-3</c:v>
                </c:pt>
                <c:pt idx="21">
                  <c:v>1.4668361088211056E-2</c:v>
                </c:pt>
                <c:pt idx="22">
                  <c:v>-3.3099187520305525E-4</c:v>
                </c:pt>
                <c:pt idx="23">
                  <c:v>1.9445851755526243E-3</c:v>
                </c:pt>
                <c:pt idx="24">
                  <c:v>2.5897170668396593E-3</c:v>
                </c:pt>
                <c:pt idx="25">
                  <c:v>1.4503106796117059E-3</c:v>
                </c:pt>
                <c:pt idx="26">
                  <c:v>-6.7922336403296443E-3</c:v>
                </c:pt>
                <c:pt idx="27">
                  <c:v>6.9892822515047947E-3</c:v>
                </c:pt>
                <c:pt idx="28">
                  <c:v>-8.1375444264938869E-4</c:v>
                </c:pt>
                <c:pt idx="29">
                  <c:v>-5.0181261115602631E-3</c:v>
                </c:pt>
                <c:pt idx="30">
                  <c:v>1.1043723756906073E-2</c:v>
                </c:pt>
                <c:pt idx="31">
                  <c:v>2.4048003857280388E-3</c:v>
                </c:pt>
                <c:pt idx="32">
                  <c:v>7.9566746833420335E-4</c:v>
                </c:pt>
                <c:pt idx="33">
                  <c:v>-3.3703063120794751E-3</c:v>
                </c:pt>
                <c:pt idx="34">
                  <c:v>4.4948841022343861E-3</c:v>
                </c:pt>
                <c:pt idx="35">
                  <c:v>1.7542816450632011E-3</c:v>
                </c:pt>
                <c:pt idx="36">
                  <c:v>1.4316996805111232E-3</c:v>
                </c:pt>
                <c:pt idx="37">
                  <c:v>3.5033316318391909E-3</c:v>
                </c:pt>
                <c:pt idx="38">
                  <c:v>-4.4568027340644422E-3</c:v>
                </c:pt>
                <c:pt idx="39">
                  <c:v>6.2210477406993547E-3</c:v>
                </c:pt>
                <c:pt idx="40">
                  <c:v>-3.3382754681053769E-3</c:v>
                </c:pt>
                <c:pt idx="41">
                  <c:v>-3.827047603884763E-3</c:v>
                </c:pt>
                <c:pt idx="42">
                  <c:v>-1.5188995045549032E-2</c:v>
                </c:pt>
                <c:pt idx="43">
                  <c:v>7.1345387861084849E-3</c:v>
                </c:pt>
                <c:pt idx="44">
                  <c:v>9.8231975507573205E-3</c:v>
                </c:pt>
                <c:pt idx="45">
                  <c:v>3.6640175522578088E-3</c:v>
                </c:pt>
                <c:pt idx="46">
                  <c:v>3.1196502384742651E-4</c:v>
                </c:pt>
                <c:pt idx="47">
                  <c:v>1.8430109345200202E-2</c:v>
                </c:pt>
                <c:pt idx="48">
                  <c:v>-1.254439450686615E-3</c:v>
                </c:pt>
                <c:pt idx="49">
                  <c:v>6.087750000000009E-3</c:v>
                </c:pt>
                <c:pt idx="50">
                  <c:v>1.0811253300200836E-3</c:v>
                </c:pt>
                <c:pt idx="51">
                  <c:v>4.0275091529631581E-3</c:v>
                </c:pt>
                <c:pt idx="52">
                  <c:v>-3.0962348578492407E-3</c:v>
                </c:pt>
                <c:pt idx="53">
                  <c:v>-1.8658884066954486E-3</c:v>
                </c:pt>
                <c:pt idx="54">
                  <c:v>-7.1488571428572657E-3</c:v>
                </c:pt>
                <c:pt idx="55">
                  <c:v>3.1219324366594126E-3</c:v>
                </c:pt>
                <c:pt idx="56">
                  <c:v>9.3485369504208646E-3</c:v>
                </c:pt>
                <c:pt idx="57">
                  <c:v>-2.6318881680568694E-3</c:v>
                </c:pt>
                <c:pt idx="58">
                  <c:v>-4.8069911723708858E-3</c:v>
                </c:pt>
                <c:pt idx="59">
                  <c:v>-1.5621780267663947E-3</c:v>
                </c:pt>
                <c:pt idx="60">
                  <c:v>3.7346483790525113E-3</c:v>
                </c:pt>
                <c:pt idx="61">
                  <c:v>7.6026956521738328E-3</c:v>
                </c:pt>
                <c:pt idx="62">
                  <c:v>-3.8586737555863769E-3</c:v>
                </c:pt>
                <c:pt idx="63">
                  <c:v>-1.0216396039604019E-2</c:v>
                </c:pt>
                <c:pt idx="64">
                  <c:v>-1.6229884338852784E-4</c:v>
                </c:pt>
                <c:pt idx="65">
                  <c:v>-1.1417599187118915E-2</c:v>
                </c:pt>
                <c:pt idx="66">
                  <c:v>-1.7083798861480159E-2</c:v>
                </c:pt>
                <c:pt idx="67">
                  <c:v>7.5551325611326577E-3</c:v>
                </c:pt>
                <c:pt idx="68">
                  <c:v>1.3885106498483114E-2</c:v>
                </c:pt>
                <c:pt idx="69">
                  <c:v>-1.2446944881889752E-2</c:v>
                </c:pt>
                <c:pt idx="70">
                  <c:v>-4.8439260086112479E-4</c:v>
                </c:pt>
                <c:pt idx="71">
                  <c:v>1.5469430759412872E-2</c:v>
                </c:pt>
                <c:pt idx="72">
                  <c:v>-4.0908389630793093E-3</c:v>
                </c:pt>
                <c:pt idx="73">
                  <c:v>-5.8428827890834112E-3</c:v>
                </c:pt>
                <c:pt idx="74">
                  <c:v>1.1047584893684589E-3</c:v>
                </c:pt>
                <c:pt idx="75">
                  <c:v>-8.4066974163893027E-3</c:v>
                </c:pt>
                <c:pt idx="76">
                  <c:v>3.6704705882352443E-3</c:v>
                </c:pt>
                <c:pt idx="77">
                  <c:v>1.3849709507883379E-2</c:v>
                </c:pt>
                <c:pt idx="78">
                  <c:v>6.7486339930883888E-3</c:v>
                </c:pt>
                <c:pt idx="79">
                  <c:v>2.3344587299109296E-3</c:v>
                </c:pt>
                <c:pt idx="80">
                  <c:v>-3.8976562889164526E-3</c:v>
                </c:pt>
                <c:pt idx="81">
                  <c:v>5.7761534614783156E-3</c:v>
                </c:pt>
                <c:pt idx="82">
                  <c:v>-2.492016159104981E-3</c:v>
                </c:pt>
                <c:pt idx="83">
                  <c:v>-7.4826355140187534E-3</c:v>
                </c:pt>
                <c:pt idx="84">
                  <c:v>-1.6170469554300081E-2</c:v>
                </c:pt>
                <c:pt idx="85">
                  <c:v>4.7254522252354662E-4</c:v>
                </c:pt>
                <c:pt idx="86">
                  <c:v>-4.1514081632652742E-3</c:v>
                </c:pt>
                <c:pt idx="87">
                  <c:v>-6.4100986231187731E-3</c:v>
                </c:pt>
                <c:pt idx="88">
                  <c:v>2.7332845633257267E-3</c:v>
                </c:pt>
                <c:pt idx="89">
                  <c:v>-3.2198839787882971E-3</c:v>
                </c:pt>
                <c:pt idx="90">
                  <c:v>-1.1129649846848264E-2</c:v>
                </c:pt>
                <c:pt idx="91">
                  <c:v>-5.5488757743724065E-3</c:v>
                </c:pt>
                <c:pt idx="92">
                  <c:v>-3.9404262295082296E-3</c:v>
                </c:pt>
                <c:pt idx="93">
                  <c:v>-1.4982958525345567E-2</c:v>
                </c:pt>
                <c:pt idx="94">
                  <c:v>-7.35771261487059E-3</c:v>
                </c:pt>
                <c:pt idx="95">
                  <c:v>1.5984573977444926E-2</c:v>
                </c:pt>
                <c:pt idx="96">
                  <c:v>4.9101789264415397E-4</c:v>
                </c:pt>
                <c:pt idx="97">
                  <c:v>1.649903295247581E-3</c:v>
                </c:pt>
                <c:pt idx="98">
                  <c:v>1.6471658125310205E-3</c:v>
                </c:pt>
                <c:pt idx="99">
                  <c:v>-2.1515685756725951E-3</c:v>
                </c:pt>
                <c:pt idx="100">
                  <c:v>1.124110552431359E-2</c:v>
                </c:pt>
                <c:pt idx="101">
                  <c:v>-1.4072077854105323E-2</c:v>
                </c:pt>
                <c:pt idx="102">
                  <c:v>-2.1626025215660677E-3</c:v>
                </c:pt>
                <c:pt idx="103">
                  <c:v>-2.4611153782211088E-2</c:v>
                </c:pt>
                <c:pt idx="104">
                  <c:v>-6.0000000000000002E-6</c:v>
                </c:pt>
                <c:pt idx="105">
                  <c:v>5.7891252769728362E-3</c:v>
                </c:pt>
                <c:pt idx="106">
                  <c:v>2.3379866802236953E-2</c:v>
                </c:pt>
                <c:pt idx="107">
                  <c:v>-6.0000000000000002E-6</c:v>
                </c:pt>
                <c:pt idx="108">
                  <c:v>8.1079261467130632E-3</c:v>
                </c:pt>
                <c:pt idx="109">
                  <c:v>-1.2653831800262864E-2</c:v>
                </c:pt>
                <c:pt idx="110">
                  <c:v>1.1639316918981913E-2</c:v>
                </c:pt>
                <c:pt idx="111">
                  <c:v>-6.5838654826509725E-3</c:v>
                </c:pt>
                <c:pt idx="112">
                  <c:v>1.075380797881155E-2</c:v>
                </c:pt>
                <c:pt idx="113">
                  <c:v>1.0311720275139132E-2</c:v>
                </c:pt>
                <c:pt idx="114">
                  <c:v>1.6150082671421856E-3</c:v>
                </c:pt>
                <c:pt idx="115">
                  <c:v>9.7043091115067391E-3</c:v>
                </c:pt>
                <c:pt idx="116">
                  <c:v>-1.6088209648982435E-3</c:v>
                </c:pt>
                <c:pt idx="117">
                  <c:v>-2.2160438914753611E-2</c:v>
                </c:pt>
                <c:pt idx="118">
                  <c:v>7.2177727795108334E-3</c:v>
                </c:pt>
                <c:pt idx="119">
                  <c:v>-2.1032894865525658E-2</c:v>
                </c:pt>
                <c:pt idx="120">
                  <c:v>4.8225048285048143E-3</c:v>
                </c:pt>
                <c:pt idx="121">
                  <c:v>9.2732046396022394E-3</c:v>
                </c:pt>
                <c:pt idx="122">
                  <c:v>-2.1402965030371934E-3</c:v>
                </c:pt>
                <c:pt idx="123">
                  <c:v>2.5002226390259889E-2</c:v>
                </c:pt>
                <c:pt idx="124">
                  <c:v>2.4017046548957576E-3</c:v>
                </c:pt>
                <c:pt idx="125">
                  <c:v>6.5592522017613539E-3</c:v>
                </c:pt>
                <c:pt idx="126">
                  <c:v>-4.7785103404390256E-3</c:v>
                </c:pt>
                <c:pt idx="127">
                  <c:v>-8.9574066496164052E-3</c:v>
                </c:pt>
                <c:pt idx="128">
                  <c:v>-1.7801935483870875E-3</c:v>
                </c:pt>
                <c:pt idx="129">
                  <c:v>-8.0848495718209741E-3</c:v>
                </c:pt>
                <c:pt idx="130">
                  <c:v>1.5689297931255922E-4</c:v>
                </c:pt>
                <c:pt idx="131">
                  <c:v>-5.0548599348533415E-3</c:v>
                </c:pt>
                <c:pt idx="132">
                  <c:v>1.6526984121787495E-2</c:v>
                </c:pt>
                <c:pt idx="133">
                  <c:v>-2.2604283413848723E-3</c:v>
                </c:pt>
                <c:pt idx="134">
                  <c:v>7.4181446094254491E-3</c:v>
                </c:pt>
                <c:pt idx="135">
                  <c:v>6.7226126241589504E-3</c:v>
                </c:pt>
                <c:pt idx="136">
                  <c:v>2.8584175684277483E-3</c:v>
                </c:pt>
                <c:pt idx="137">
                  <c:v>-1.000282640431613E-2</c:v>
                </c:pt>
                <c:pt idx="138">
                  <c:v>-8.9817974034300738E-3</c:v>
                </c:pt>
                <c:pt idx="139">
                  <c:v>-9.0630920265242637E-3</c:v>
                </c:pt>
                <c:pt idx="140">
                  <c:v>-1.6921201240419645E-4</c:v>
                </c:pt>
                <c:pt idx="141">
                  <c:v>1.6481104146261919E-2</c:v>
                </c:pt>
                <c:pt idx="142">
                  <c:v>1.9104325999678783E-2</c:v>
                </c:pt>
                <c:pt idx="143">
                  <c:v>-4.7873873306021332E-4</c:v>
                </c:pt>
                <c:pt idx="144">
                  <c:v>-4.26266088601613E-3</c:v>
                </c:pt>
                <c:pt idx="145">
                  <c:v>-2.697576947435E-3</c:v>
                </c:pt>
                <c:pt idx="146">
                  <c:v>-7.4675018256865986E-3</c:v>
                </c:pt>
                <c:pt idx="147">
                  <c:v>1.9187857965450989E-2</c:v>
                </c:pt>
                <c:pt idx="148">
                  <c:v>2.3480489642184335E-3</c:v>
                </c:pt>
                <c:pt idx="149">
                  <c:v>5.1607449506811554E-3</c:v>
                </c:pt>
                <c:pt idx="150">
                  <c:v>9.2857943925237179E-4</c:v>
                </c:pt>
                <c:pt idx="151">
                  <c:v>7.7208901338308674E-4</c:v>
                </c:pt>
                <c:pt idx="152">
                  <c:v>2.1709553724148741E-3</c:v>
                </c:pt>
                <c:pt idx="153">
                  <c:v>-1.0921132660978647E-3</c:v>
                </c:pt>
                <c:pt idx="154">
                  <c:v>1.4932774153471754E-4</c:v>
                </c:pt>
                <c:pt idx="155">
                  <c:v>1.391732567168868E-3</c:v>
                </c:pt>
                <c:pt idx="156">
                  <c:v>7.2830818858560615E-3</c:v>
                </c:pt>
                <c:pt idx="157">
                  <c:v>1.8415750577365718E-3</c:v>
                </c:pt>
                <c:pt idx="158">
                  <c:v>-6.0000000000000002E-6</c:v>
                </c:pt>
                <c:pt idx="159">
                  <c:v>-3.5406549869369877E-3</c:v>
                </c:pt>
                <c:pt idx="160">
                  <c:v>3.0245157310296149E-4</c:v>
                </c:pt>
                <c:pt idx="161">
                  <c:v>-8.0232679617637387E-3</c:v>
                </c:pt>
                <c:pt idx="162">
                  <c:v>6.5218209511967934E-3</c:v>
                </c:pt>
                <c:pt idx="163">
                  <c:v>-4.6924891908587296E-4</c:v>
                </c:pt>
                <c:pt idx="164">
                  <c:v>-7.7843936350992053E-4</c:v>
                </c:pt>
                <c:pt idx="165">
                  <c:v>1.0762510822509767E-3</c:v>
                </c:pt>
                <c:pt idx="166">
                  <c:v>-7.7280077220077221E-3</c:v>
                </c:pt>
                <c:pt idx="167">
                  <c:v>5.1301867704279889E-3</c:v>
                </c:pt>
                <c:pt idx="168">
                  <c:v>-1.0899269123566611E-3</c:v>
                </c:pt>
                <c:pt idx="169">
                  <c:v>-7.8107363199521578E-4</c:v>
                </c:pt>
                <c:pt idx="170">
                  <c:v>2.0471815699658821E-2</c:v>
                </c:pt>
                <c:pt idx="171">
                  <c:v>4.0985910611127394E-3</c:v>
                </c:pt>
                <c:pt idx="172">
                  <c:v>-6.0620181680543749E-3</c:v>
                </c:pt>
                <c:pt idx="173">
                  <c:v>3.0404584920028731E-3</c:v>
                </c:pt>
                <c:pt idx="174">
                  <c:v>2.4237646165529356E-3</c:v>
                </c:pt>
                <c:pt idx="175">
                  <c:v>1.650664959854551E-2</c:v>
                </c:pt>
                <c:pt idx="176">
                  <c:v>3.8688137108793615E-3</c:v>
                </c:pt>
                <c:pt idx="177">
                  <c:v>-3.1235771971495508E-3</c:v>
                </c:pt>
                <c:pt idx="178">
                  <c:v>-1.1973626209979523E-3</c:v>
                </c:pt>
                <c:pt idx="179">
                  <c:v>1.1867836588640602E-3</c:v>
                </c:pt>
                <c:pt idx="180">
                  <c:v>-4.527609828741792E-4</c:v>
                </c:pt>
                <c:pt idx="181">
                  <c:v>-6.0000000000000002E-6</c:v>
                </c:pt>
                <c:pt idx="182">
                  <c:v>-7.3063575685341038E-3</c:v>
                </c:pt>
                <c:pt idx="183">
                  <c:v>-1.0511778177997731E-2</c:v>
                </c:pt>
                <c:pt idx="184">
                  <c:v>-5.4663367207646533E-3</c:v>
                </c:pt>
                <c:pt idx="185">
                  <c:v>9.7545612322708641E-3</c:v>
                </c:pt>
                <c:pt idx="186">
                  <c:v>-4.5370376076121002E-3</c:v>
                </c:pt>
                <c:pt idx="187">
                  <c:v>2.7249968138371543E-3</c:v>
                </c:pt>
                <c:pt idx="188">
                  <c:v>9.0185292782572659E-4</c:v>
                </c:pt>
                <c:pt idx="189">
                  <c:v>3.7732894935752076E-3</c:v>
                </c:pt>
                <c:pt idx="190">
                  <c:v>7.2229156626504474E-3</c:v>
                </c:pt>
                <c:pt idx="191">
                  <c:v>-6.0000000000000002E-6</c:v>
                </c:pt>
                <c:pt idx="192">
                  <c:v>-3.4449952153108518E-3</c:v>
                </c:pt>
                <c:pt idx="193">
                  <c:v>-9.9084756189048873E-3</c:v>
                </c:pt>
                <c:pt idx="194">
                  <c:v>-6.0675244734049328E-3</c:v>
                </c:pt>
                <c:pt idx="195">
                  <c:v>2.9892453117847263E-4</c:v>
                </c:pt>
                <c:pt idx="196">
                  <c:v>-2.9019000152415444E-3</c:v>
                </c:pt>
                <c:pt idx="197">
                  <c:v>8.0954980128401261E-3</c:v>
                </c:pt>
                <c:pt idx="198">
                  <c:v>1.0304841546626118E-2</c:v>
                </c:pt>
                <c:pt idx="199">
                  <c:v>4.1963112711991771E-3</c:v>
                </c:pt>
                <c:pt idx="200">
                  <c:v>-2.3972718577192735E-3</c:v>
                </c:pt>
                <c:pt idx="201">
                  <c:v>-1.6635213483146057E-2</c:v>
                </c:pt>
                <c:pt idx="202">
                  <c:v>4.510383912248802E-4</c:v>
                </c:pt>
                <c:pt idx="203">
                  <c:v>-1.4472270747677827E-2</c:v>
                </c:pt>
                <c:pt idx="204">
                  <c:v>-2.9417231149567015E-3</c:v>
                </c:pt>
              </c:numCache>
            </c:numRef>
          </c:xVal>
          <c:yVal>
            <c:numRef>
              <c:f>Beta!$G$3:$G$207</c:f>
              <c:numCache>
                <c:formatCode>0.0000%</c:formatCode>
                <c:ptCount val="205"/>
                <c:pt idx="0">
                  <c:v>-1.7288683093771354E-2</c:v>
                </c:pt>
                <c:pt idx="1">
                  <c:v>1.0963876371234591E-2</c:v>
                </c:pt>
                <c:pt idx="2">
                  <c:v>-5.0008329314502088E-3</c:v>
                </c:pt>
                <c:pt idx="3">
                  <c:v>-2.6025033754544864E-3</c:v>
                </c:pt>
                <c:pt idx="4">
                  <c:v>1.2836762929538389E-2</c:v>
                </c:pt>
                <c:pt idx="5">
                  <c:v>5.4772076764907519E-3</c:v>
                </c:pt>
                <c:pt idx="6">
                  <c:v>-7.3338800272665251E-3</c:v>
                </c:pt>
                <c:pt idx="7">
                  <c:v>2.2257596566524047E-3</c:v>
                </c:pt>
                <c:pt idx="8">
                  <c:v>8.3872853717025485E-3</c:v>
                </c:pt>
                <c:pt idx="9">
                  <c:v>7.2982296585697255E-3</c:v>
                </c:pt>
                <c:pt idx="10">
                  <c:v>3.7039494097808765E-3</c:v>
                </c:pt>
                <c:pt idx="11">
                  <c:v>7.5544838709676702E-3</c:v>
                </c:pt>
                <c:pt idx="12">
                  <c:v>3.3290008337502558E-3</c:v>
                </c:pt>
                <c:pt idx="13">
                  <c:v>7.3066142595977681E-3</c:v>
                </c:pt>
                <c:pt idx="14">
                  <c:v>1.2863163504372234E-2</c:v>
                </c:pt>
                <c:pt idx="15">
                  <c:v>6.6726121518162007E-3</c:v>
                </c:pt>
                <c:pt idx="16">
                  <c:v>2.0975598705502032E-3</c:v>
                </c:pt>
                <c:pt idx="17">
                  <c:v>-9.2099399321815007E-3</c:v>
                </c:pt>
                <c:pt idx="18">
                  <c:v>5.8610143415906034E-3</c:v>
                </c:pt>
                <c:pt idx="19">
                  <c:v>9.8773441348023235E-3</c:v>
                </c:pt>
                <c:pt idx="20">
                  <c:v>1.7588002566982102E-3</c:v>
                </c:pt>
                <c:pt idx="21">
                  <c:v>1.4087529788597094E-2</c:v>
                </c:pt>
                <c:pt idx="22">
                  <c:v>-3.6383436512949598E-3</c:v>
                </c:pt>
                <c:pt idx="23">
                  <c:v>-1.2740297987003549E-3</c:v>
                </c:pt>
                <c:pt idx="24">
                  <c:v>1.2636397397239392E-3</c:v>
                </c:pt>
                <c:pt idx="25">
                  <c:v>-8.4066974163893027E-3</c:v>
                </c:pt>
                <c:pt idx="26">
                  <c:v>-9.4369462915601578E-3</c:v>
                </c:pt>
                <c:pt idx="27">
                  <c:v>1.2419367113119301E-2</c:v>
                </c:pt>
                <c:pt idx="28">
                  <c:v>-1.3235199872489726E-2</c:v>
                </c:pt>
                <c:pt idx="29">
                  <c:v>-3.7210702632853639E-3</c:v>
                </c:pt>
                <c:pt idx="30">
                  <c:v>1.0532261997405942E-2</c:v>
                </c:pt>
                <c:pt idx="31">
                  <c:v>-3.2687277394506691E-4</c:v>
                </c:pt>
                <c:pt idx="32">
                  <c:v>-1.5091861017493257E-2</c:v>
                </c:pt>
                <c:pt idx="33">
                  <c:v>-9.2939256965944329E-3</c:v>
                </c:pt>
                <c:pt idx="34">
                  <c:v>1.4138736842105254E-2</c:v>
                </c:pt>
                <c:pt idx="35">
                  <c:v>8.0489847551093517E-4</c:v>
                </c:pt>
                <c:pt idx="36">
                  <c:v>-9.7828974234325503E-4</c:v>
                </c:pt>
                <c:pt idx="37">
                  <c:v>-7.4674760746147751E-3</c:v>
                </c:pt>
                <c:pt idx="38">
                  <c:v>-2.6208063409053212E-3</c:v>
                </c:pt>
                <c:pt idx="39">
                  <c:v>5.8927383254137218E-3</c:v>
                </c:pt>
                <c:pt idx="40">
                  <c:v>-1.4720368138133801E-3</c:v>
                </c:pt>
                <c:pt idx="41">
                  <c:v>9.292531810766726E-3</c:v>
                </c:pt>
                <c:pt idx="42">
                  <c:v>-1.3744483917892264E-2</c:v>
                </c:pt>
                <c:pt idx="43">
                  <c:v>6.2214664044574798E-3</c:v>
                </c:pt>
                <c:pt idx="44">
                  <c:v>-4.566260586319237E-3</c:v>
                </c:pt>
                <c:pt idx="45">
                  <c:v>4.5751518324607518E-3</c:v>
                </c:pt>
                <c:pt idx="46">
                  <c:v>5.6943257328990462E-3</c:v>
                </c:pt>
                <c:pt idx="47">
                  <c:v>2.1856348178137676E-2</c:v>
                </c:pt>
                <c:pt idx="48">
                  <c:v>-3.8094865293185733E-3</c:v>
                </c:pt>
                <c:pt idx="49">
                  <c:v>-6.0000000000000002E-6</c:v>
                </c:pt>
                <c:pt idx="50">
                  <c:v>5.4028450524976684E-3</c:v>
                </c:pt>
                <c:pt idx="51">
                  <c:v>7.9053924050632891E-3</c:v>
                </c:pt>
                <c:pt idx="52">
                  <c:v>-2.0468163265306523E-3</c:v>
                </c:pt>
                <c:pt idx="53">
                  <c:v>-2.2082966808242969E-3</c:v>
                </c:pt>
                <c:pt idx="54">
                  <c:v>-1.3248944978716638E-2</c:v>
                </c:pt>
                <c:pt idx="55">
                  <c:v>6.5445671832560564E-3</c:v>
                </c:pt>
                <c:pt idx="56">
                  <c:v>2.6924126984127256E-3</c:v>
                </c:pt>
                <c:pt idx="57">
                  <c:v>1.5230299192651591E-4</c:v>
                </c:pt>
                <c:pt idx="58">
                  <c:v>-1.9053352326685255E-3</c:v>
                </c:pt>
                <c:pt idx="59">
                  <c:v>3.111582619726613E-4</c:v>
                </c:pt>
                <c:pt idx="60">
                  <c:v>9.3472022828155251E-3</c:v>
                </c:pt>
                <c:pt idx="61">
                  <c:v>6.4334534317574462E-3</c:v>
                </c:pt>
                <c:pt idx="62">
                  <c:v>-3.9073732833957552E-3</c:v>
                </c:pt>
                <c:pt idx="63">
                  <c:v>-1.0815963966786742E-2</c:v>
                </c:pt>
                <c:pt idx="64">
                  <c:v>-3.9654551789673736E-3</c:v>
                </c:pt>
                <c:pt idx="65">
                  <c:v>-1.034150643981553E-2</c:v>
                </c:pt>
                <c:pt idx="66">
                  <c:v>-2.1535562982005194E-2</c:v>
                </c:pt>
                <c:pt idx="67">
                  <c:v>1.3130288998358034E-2</c:v>
                </c:pt>
                <c:pt idx="68">
                  <c:v>1.3770337115072841E-2</c:v>
                </c:pt>
                <c:pt idx="69">
                  <c:v>-5.9212677857713421E-3</c:v>
                </c:pt>
                <c:pt idx="70">
                  <c:v>1.5915518173046029E-2</c:v>
                </c:pt>
                <c:pt idx="71">
                  <c:v>8.5423615640335456E-3</c:v>
                </c:pt>
                <c:pt idx="72">
                  <c:v>-7.3831778370742245E-3</c:v>
                </c:pt>
                <c:pt idx="73">
                  <c:v>-3.2225553447190269E-4</c:v>
                </c:pt>
                <c:pt idx="74">
                  <c:v>1.3122756722556125E-2</c:v>
                </c:pt>
                <c:pt idx="75">
                  <c:v>-1.1559473848555737E-2</c:v>
                </c:pt>
                <c:pt idx="76">
                  <c:v>1.5789293002685199E-2</c:v>
                </c:pt>
                <c:pt idx="77">
                  <c:v>1.1345267299020431E-2</c:v>
                </c:pt>
                <c:pt idx="78">
                  <c:v>2.300273062730496E-3</c:v>
                </c:pt>
                <c:pt idx="79">
                  <c:v>6.2833081761005773E-3</c:v>
                </c:pt>
                <c:pt idx="80">
                  <c:v>-1.3779512195120306E-3</c:v>
                </c:pt>
                <c:pt idx="81">
                  <c:v>1.0221446191421181E-2</c:v>
                </c:pt>
                <c:pt idx="82">
                  <c:v>-9.1261831368997083E-4</c:v>
                </c:pt>
                <c:pt idx="83">
                  <c:v>-4.8456854204477822E-3</c:v>
                </c:pt>
                <c:pt idx="84">
                  <c:v>-8.5166382978723761E-3</c:v>
                </c:pt>
                <c:pt idx="85">
                  <c:v>7.0448890251380751E-3</c:v>
                </c:pt>
                <c:pt idx="86">
                  <c:v>-1.5280700152208299E-3</c:v>
                </c:pt>
                <c:pt idx="87">
                  <c:v>-3.3596585365853488E-3</c:v>
                </c:pt>
                <c:pt idx="88">
                  <c:v>7.5875986540243755E-4</c:v>
                </c:pt>
                <c:pt idx="89">
                  <c:v>2.286526364053056E-3</c:v>
                </c:pt>
                <c:pt idx="90">
                  <c:v>-1.2967268679475364E-2</c:v>
                </c:pt>
                <c:pt idx="91">
                  <c:v>-4.331660435655818E-3</c:v>
                </c:pt>
                <c:pt idx="92">
                  <c:v>-1.2263564003103277E-2</c:v>
                </c:pt>
                <c:pt idx="93">
                  <c:v>-2.8281212064090438E-2</c:v>
                </c:pt>
                <c:pt idx="94">
                  <c:v>-1.2453462010992501E-2</c:v>
                </c:pt>
                <c:pt idx="95">
                  <c:v>2.1928850220985372E-2</c:v>
                </c:pt>
                <c:pt idx="96">
                  <c:v>1.9161528111484455E-3</c:v>
                </c:pt>
                <c:pt idx="97">
                  <c:v>2.551953637090387E-3</c:v>
                </c:pt>
                <c:pt idx="98">
                  <c:v>3.6616766066017679E-3</c:v>
                </c:pt>
                <c:pt idx="99">
                  <c:v>-4.4546812837623316E-3</c:v>
                </c:pt>
                <c:pt idx="100">
                  <c:v>1.4836004468560595E-2</c:v>
                </c:pt>
                <c:pt idx="101">
                  <c:v>-2.4066386853278832E-2</c:v>
                </c:pt>
                <c:pt idx="102">
                  <c:v>7.4061817595875096E-3</c:v>
                </c:pt>
                <c:pt idx="103">
                  <c:v>-2.5117964171465133E-2</c:v>
                </c:pt>
                <c:pt idx="104">
                  <c:v>-5.0921361771944585E-3</c:v>
                </c:pt>
                <c:pt idx="105">
                  <c:v>1.8958379947229528E-2</c:v>
                </c:pt>
                <c:pt idx="106">
                  <c:v>2.2651387926848982E-2</c:v>
                </c:pt>
                <c:pt idx="107">
                  <c:v>-6.9691270770691205E-3</c:v>
                </c:pt>
                <c:pt idx="108">
                  <c:v>1.3858541832669281E-2</c:v>
                </c:pt>
                <c:pt idx="109">
                  <c:v>-2.2640391700723007E-2</c:v>
                </c:pt>
                <c:pt idx="110">
                  <c:v>1.0447522032807953E-2</c:v>
                </c:pt>
                <c:pt idx="111">
                  <c:v>-5.735746936176977E-3</c:v>
                </c:pt>
                <c:pt idx="112">
                  <c:v>1.5201299503761851E-2</c:v>
                </c:pt>
                <c:pt idx="113">
                  <c:v>6.1434796594134434E-3</c:v>
                </c:pt>
                <c:pt idx="114">
                  <c:v>7.3596166745024108E-3</c:v>
                </c:pt>
                <c:pt idx="115">
                  <c:v>4.349942750466726E-3</c:v>
                </c:pt>
                <c:pt idx="116">
                  <c:v>-3.1578934324653067E-4</c:v>
                </c:pt>
                <c:pt idx="117">
                  <c:v>-1.6274980477223491E-2</c:v>
                </c:pt>
                <c:pt idx="118">
                  <c:v>-9.5103071349822454E-4</c:v>
                </c:pt>
                <c:pt idx="119">
                  <c:v>-1.2933636764937731E-2</c:v>
                </c:pt>
                <c:pt idx="120">
                  <c:v>4.4661290528669722E-3</c:v>
                </c:pt>
                <c:pt idx="121">
                  <c:v>3.969194784544443E-3</c:v>
                </c:pt>
                <c:pt idx="122">
                  <c:v>1.0446961672473812E-2</c:v>
                </c:pt>
                <c:pt idx="123">
                  <c:v>2.6639768025078416E-2</c:v>
                </c:pt>
                <c:pt idx="124">
                  <c:v>1.0070335877862543E-2</c:v>
                </c:pt>
                <c:pt idx="125">
                  <c:v>5.2842055622734059E-3</c:v>
                </c:pt>
                <c:pt idx="126">
                  <c:v>-5.7194265523982804E-3</c:v>
                </c:pt>
                <c:pt idx="127">
                  <c:v>2.5646940874036249E-3</c:v>
                </c:pt>
                <c:pt idx="128">
                  <c:v>1.3514660633484679E-3</c:v>
                </c:pt>
                <c:pt idx="129">
                  <c:v>-1.1754757342973357E-2</c:v>
                </c:pt>
                <c:pt idx="130">
                  <c:v>1.5181579027586393E-3</c:v>
                </c:pt>
                <c:pt idx="131">
                  <c:v>3.0376767615279692E-3</c:v>
                </c:pt>
                <c:pt idx="132">
                  <c:v>1.2738651797906288E-2</c:v>
                </c:pt>
                <c:pt idx="133">
                  <c:v>1.941565543071093E-3</c:v>
                </c:pt>
                <c:pt idx="134">
                  <c:v>1.0011942583732083E-2</c:v>
                </c:pt>
                <c:pt idx="135">
                  <c:v>-7.1118475203553518E-3</c:v>
                </c:pt>
                <c:pt idx="136">
                  <c:v>-1.0442857015058727E-2</c:v>
                </c:pt>
                <c:pt idx="137">
                  <c:v>-5.8821488624378566E-3</c:v>
                </c:pt>
                <c:pt idx="138">
                  <c:v>-6.5231264019400851E-3</c:v>
                </c:pt>
                <c:pt idx="139">
                  <c:v>-3.2096613272310261E-3</c:v>
                </c:pt>
                <c:pt idx="140">
                  <c:v>3.0009121518206335E-4</c:v>
                </c:pt>
                <c:pt idx="141">
                  <c:v>7.7969375764994665E-3</c:v>
                </c:pt>
                <c:pt idx="142">
                  <c:v>1.107643509943813E-2</c:v>
                </c:pt>
                <c:pt idx="143">
                  <c:v>3.1471531531532728E-3</c:v>
                </c:pt>
                <c:pt idx="144">
                  <c:v>-3.0535638377482443E-4</c:v>
                </c:pt>
                <c:pt idx="145">
                  <c:v>-3.8987983231023372E-3</c:v>
                </c:pt>
                <c:pt idx="146">
                  <c:v>1.3467731850293613E-3</c:v>
                </c:pt>
                <c:pt idx="147">
                  <c:v>8.7000942659861639E-3</c:v>
                </c:pt>
                <c:pt idx="148">
                  <c:v>-1.9405238095239531E-3</c:v>
                </c:pt>
                <c:pt idx="149">
                  <c:v>-1.1337444759206665E-2</c:v>
                </c:pt>
                <c:pt idx="150">
                  <c:v>-8.1495680892777304E-3</c:v>
                </c:pt>
                <c:pt idx="151">
                  <c:v>-3.3509901170746367E-3</c:v>
                </c:pt>
                <c:pt idx="152">
                  <c:v>1.3669977116705326E-3</c:v>
                </c:pt>
                <c:pt idx="153">
                  <c:v>-7.6773065204139483E-4</c:v>
                </c:pt>
                <c:pt idx="154">
                  <c:v>-1.5306226558927964E-3</c:v>
                </c:pt>
                <c:pt idx="155">
                  <c:v>5.0329372423270477E-3</c:v>
                </c:pt>
                <c:pt idx="156">
                  <c:v>6.6788982072320266E-3</c:v>
                </c:pt>
                <c:pt idx="157">
                  <c:v>1.8050473890732016E-3</c:v>
                </c:pt>
                <c:pt idx="158">
                  <c:v>-3.3202512805061597E-3</c:v>
                </c:pt>
                <c:pt idx="159">
                  <c:v>1.0520411124547672E-3</c:v>
                </c:pt>
                <c:pt idx="160">
                  <c:v>-1.569889778046975E-4</c:v>
                </c:pt>
                <c:pt idx="161">
                  <c:v>-3.7812944729688916E-3</c:v>
                </c:pt>
                <c:pt idx="162">
                  <c:v>4.6931056540852247E-3</c:v>
                </c:pt>
                <c:pt idx="163">
                  <c:v>2.7097513578755675E-3</c:v>
                </c:pt>
                <c:pt idx="164">
                  <c:v>3.1537953656335838E-3</c:v>
                </c:pt>
                <c:pt idx="165">
                  <c:v>2.9398500074990282E-4</c:v>
                </c:pt>
                <c:pt idx="166">
                  <c:v>-2.1052652571600023E-3</c:v>
                </c:pt>
                <c:pt idx="167">
                  <c:v>2.5484703230653901E-3</c:v>
                </c:pt>
                <c:pt idx="168">
                  <c:v>7.7877649880095327E-3</c:v>
                </c:pt>
                <c:pt idx="169">
                  <c:v>-2.2368149910766133E-3</c:v>
                </c:pt>
                <c:pt idx="170">
                  <c:v>8.4900500819793286E-3</c:v>
                </c:pt>
                <c:pt idx="171">
                  <c:v>7.3298906296182615E-4</c:v>
                </c:pt>
                <c:pt idx="172">
                  <c:v>-8.5719429921724769E-3</c:v>
                </c:pt>
                <c:pt idx="173">
                  <c:v>3.5691526888128873E-3</c:v>
                </c:pt>
                <c:pt idx="174">
                  <c:v>2.2205103161643384E-3</c:v>
                </c:pt>
                <c:pt idx="175">
                  <c:v>1.3027175355450379E-2</c:v>
                </c:pt>
                <c:pt idx="176">
                  <c:v>5.2571578947368334E-3</c:v>
                </c:pt>
                <c:pt idx="177">
                  <c:v>-3.2055346131471619E-3</c:v>
                </c:pt>
                <c:pt idx="178">
                  <c:v>-9.9272138896995456E-3</c:v>
                </c:pt>
                <c:pt idx="179">
                  <c:v>-5.3110397877984003E-3</c:v>
                </c:pt>
                <c:pt idx="180">
                  <c:v>-1.5413407407407501E-2</c:v>
                </c:pt>
                <c:pt idx="181">
                  <c:v>1.4446644598262287E-4</c:v>
                </c:pt>
                <c:pt idx="182">
                  <c:v>-1.0386622837370209E-2</c:v>
                </c:pt>
                <c:pt idx="183">
                  <c:v>-1.5208189115232595E-2</c:v>
                </c:pt>
                <c:pt idx="184">
                  <c:v>-4.6910589688177115E-4</c:v>
                </c:pt>
                <c:pt idx="185">
                  <c:v>4.9360849420848367E-3</c:v>
                </c:pt>
                <c:pt idx="186">
                  <c:v>-1.5428065160595409E-3</c:v>
                </c:pt>
                <c:pt idx="187">
                  <c:v>-7.2401080498691525E-3</c:v>
                </c:pt>
                <c:pt idx="188">
                  <c:v>6.9707441860465558E-3</c:v>
                </c:pt>
                <c:pt idx="189">
                  <c:v>3.2272563510391647E-3</c:v>
                </c:pt>
                <c:pt idx="190">
                  <c:v>-2.1545573971761905E-3</c:v>
                </c:pt>
                <c:pt idx="191">
                  <c:v>1.9933848046756334E-3</c:v>
                </c:pt>
                <c:pt idx="192">
                  <c:v>-2.4618710667691601E-3</c:v>
                </c:pt>
                <c:pt idx="193">
                  <c:v>-3.0833965225417546E-3</c:v>
                </c:pt>
                <c:pt idx="194">
                  <c:v>4.3156545763233045E-3</c:v>
                </c:pt>
                <c:pt idx="195">
                  <c:v>-4.6704195481768755E-4</c:v>
                </c:pt>
                <c:pt idx="196">
                  <c:v>-4.6185461254614289E-3</c:v>
                </c:pt>
                <c:pt idx="197">
                  <c:v>7.5627364843992764E-3</c:v>
                </c:pt>
                <c:pt idx="198">
                  <c:v>5.3596293116663241E-3</c:v>
                </c:pt>
                <c:pt idx="199">
                  <c:v>-3.0557102775236786E-3</c:v>
                </c:pt>
                <c:pt idx="200">
                  <c:v>1.024178219639036E-2</c:v>
                </c:pt>
                <c:pt idx="201">
                  <c:v>-7.4246222558666903E-3</c:v>
                </c:pt>
                <c:pt idx="202">
                  <c:v>-5.4971531421598449E-3</c:v>
                </c:pt>
                <c:pt idx="203">
                  <c:v>-9.5152024539878009E-3</c:v>
                </c:pt>
                <c:pt idx="204">
                  <c:v>-1.6084670176533163E-4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68992"/>
        <c:axId val="156870528"/>
      </c:scatterChart>
      <c:valAx>
        <c:axId val="156868992"/>
        <c:scaling>
          <c:orientation val="minMax"/>
        </c:scaling>
        <c:delete val="0"/>
        <c:axPos val="b"/>
        <c:numFmt formatCode="0.00000%" sourceLinked="1"/>
        <c:majorTickMark val="out"/>
        <c:minorTickMark val="none"/>
        <c:tickLblPos val="nextTo"/>
        <c:crossAx val="156870528"/>
        <c:crosses val="autoZero"/>
        <c:crossBetween val="midCat"/>
      </c:valAx>
      <c:valAx>
        <c:axId val="156870528"/>
        <c:scaling>
          <c:orientation val="minMax"/>
        </c:scaling>
        <c:delete val="0"/>
        <c:axPos val="l"/>
        <c:majorGridlines/>
        <c:numFmt formatCode="0.0000%" sourceLinked="1"/>
        <c:majorTickMark val="out"/>
        <c:minorTickMark val="none"/>
        <c:tickLblPos val="nextTo"/>
        <c:crossAx val="156868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</xdr:row>
      <xdr:rowOff>23812</xdr:rowOff>
    </xdr:from>
    <xdr:to>
      <xdr:col>15</xdr:col>
      <xdr:colOff>323850</xdr:colOff>
      <xdr:row>17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Normal="100" workbookViewId="0">
      <pane ySplit="1" topLeftCell="A80" activePane="bottomLeft" state="frozen"/>
      <selection pane="bottomLeft"/>
    </sheetView>
  </sheetViews>
  <sheetFormatPr defaultColWidth="8.85546875" defaultRowHeight="12.75" x14ac:dyDescent="0.2"/>
  <cols>
    <col min="1" max="1" width="4.7109375" style="8" customWidth="1"/>
    <col min="2" max="2" width="37.140625" style="8" customWidth="1"/>
    <col min="3" max="3" width="13.7109375" style="8" bestFit="1" customWidth="1"/>
    <col min="4" max="4" width="11.7109375" style="8" bestFit="1" customWidth="1"/>
    <col min="5" max="5" width="14.42578125" style="8" customWidth="1"/>
    <col min="6" max="6" width="13.28515625" style="8" customWidth="1"/>
    <col min="7" max="7" width="13.42578125" style="8" customWidth="1"/>
    <col min="8" max="11" width="11.42578125" style="8" customWidth="1"/>
    <col min="12" max="12" width="9.7109375" style="8" bestFit="1" customWidth="1"/>
    <col min="13" max="13" width="10.28515625" style="8" customWidth="1"/>
    <col min="14" max="14" width="9" style="8" bestFit="1" customWidth="1"/>
    <col min="15" max="16384" width="8.85546875" style="8"/>
  </cols>
  <sheetData>
    <row r="1" spans="1:13" x14ac:dyDescent="0.2">
      <c r="A1" s="7" t="s">
        <v>144</v>
      </c>
    </row>
    <row r="2" spans="1:13" x14ac:dyDescent="0.2">
      <c r="A2" s="7" t="s">
        <v>48</v>
      </c>
    </row>
    <row r="3" spans="1:13" x14ac:dyDescent="0.2">
      <c r="D3" s="9">
        <v>2013</v>
      </c>
      <c r="E3" s="10">
        <v>2014</v>
      </c>
      <c r="F3" s="10">
        <v>2015</v>
      </c>
      <c r="G3" s="10">
        <v>2016</v>
      </c>
      <c r="H3" s="10">
        <v>2017</v>
      </c>
      <c r="I3" s="10">
        <v>2018</v>
      </c>
      <c r="J3" s="10">
        <v>2019</v>
      </c>
      <c r="K3" s="11">
        <v>2020</v>
      </c>
    </row>
    <row r="4" spans="1:13" x14ac:dyDescent="0.2">
      <c r="A4" s="7" t="s">
        <v>49</v>
      </c>
    </row>
    <row r="5" spans="1:13" x14ac:dyDescent="0.2">
      <c r="A5" s="12" t="s">
        <v>164</v>
      </c>
      <c r="B5" s="13"/>
      <c r="C5" s="13"/>
      <c r="D5" s="14">
        <f>650</f>
        <v>650</v>
      </c>
      <c r="E5" s="14">
        <f>D5*(1+$L$5)</f>
        <v>669.5</v>
      </c>
      <c r="F5" s="14">
        <f t="shared" ref="F5:K5" si="0">E5*(1+$L$5)</f>
        <v>689.58500000000004</v>
      </c>
      <c r="G5" s="14">
        <f t="shared" si="0"/>
        <v>710.27255000000002</v>
      </c>
      <c r="H5" s="14">
        <f t="shared" si="0"/>
        <v>731.58072650000008</v>
      </c>
      <c r="I5" s="14">
        <f t="shared" si="0"/>
        <v>753.52814829500005</v>
      </c>
      <c r="J5" s="14">
        <f t="shared" si="0"/>
        <v>776.13399274385006</v>
      </c>
      <c r="K5" s="15">
        <f t="shared" si="0"/>
        <v>799.41801252616563</v>
      </c>
      <c r="L5" s="16">
        <v>0.03</v>
      </c>
      <c r="M5" s="8" t="s">
        <v>81</v>
      </c>
    </row>
    <row r="6" spans="1:13" x14ac:dyDescent="0.2">
      <c r="A6" s="17" t="s">
        <v>78</v>
      </c>
      <c r="D6" s="18">
        <f>$L$6*4</f>
        <v>3.8</v>
      </c>
      <c r="E6" s="18">
        <f t="shared" ref="E6:K6" si="1">$L$6*4</f>
        <v>3.8</v>
      </c>
      <c r="F6" s="18">
        <f t="shared" si="1"/>
        <v>3.8</v>
      </c>
      <c r="G6" s="18">
        <f t="shared" si="1"/>
        <v>3.8</v>
      </c>
      <c r="H6" s="18">
        <f t="shared" si="1"/>
        <v>3.8</v>
      </c>
      <c r="I6" s="18">
        <f t="shared" si="1"/>
        <v>3.8</v>
      </c>
      <c r="J6" s="18">
        <f t="shared" si="1"/>
        <v>3.8</v>
      </c>
      <c r="K6" s="19">
        <f t="shared" si="1"/>
        <v>3.8</v>
      </c>
      <c r="L6" s="16">
        <v>0.95</v>
      </c>
      <c r="M6" s="8" t="s">
        <v>143</v>
      </c>
    </row>
    <row r="7" spans="1:13" x14ac:dyDescent="0.2">
      <c r="A7" s="20" t="s">
        <v>165</v>
      </c>
      <c r="B7" s="21"/>
      <c r="C7" s="21"/>
      <c r="D7" s="44">
        <f>$L$7*D5*D6</f>
        <v>123.5</v>
      </c>
      <c r="E7" s="44">
        <f t="shared" ref="E7:K7" si="2">$L$7*E5*E6</f>
        <v>127.205</v>
      </c>
      <c r="F7" s="44">
        <f t="shared" si="2"/>
        <v>131.02115000000001</v>
      </c>
      <c r="G7" s="44">
        <f t="shared" si="2"/>
        <v>134.9517845</v>
      </c>
      <c r="H7" s="44">
        <f t="shared" si="2"/>
        <v>139.000338035</v>
      </c>
      <c r="I7" s="44">
        <f t="shared" si="2"/>
        <v>143.17034817605</v>
      </c>
      <c r="J7" s="44">
        <f t="shared" si="2"/>
        <v>147.46545862133152</v>
      </c>
      <c r="K7" s="45">
        <f t="shared" si="2"/>
        <v>151.88942237997148</v>
      </c>
      <c r="L7" s="16">
        <v>0.05</v>
      </c>
    </row>
    <row r="9" spans="1:13" x14ac:dyDescent="0.2">
      <c r="A9" s="7" t="s">
        <v>50</v>
      </c>
    </row>
    <row r="10" spans="1:13" x14ac:dyDescent="0.2">
      <c r="A10" s="12" t="s">
        <v>80</v>
      </c>
      <c r="B10" s="13"/>
      <c r="C10" s="13"/>
      <c r="D10" s="22">
        <f>D5*D6*12</f>
        <v>29640</v>
      </c>
      <c r="E10" s="22">
        <f t="shared" ref="E10:K10" si="3">E5*E6*12</f>
        <v>30529.199999999997</v>
      </c>
      <c r="F10" s="22">
        <f t="shared" si="3"/>
        <v>31445.076000000001</v>
      </c>
      <c r="G10" s="22">
        <f t="shared" si="3"/>
        <v>32388.42828</v>
      </c>
      <c r="H10" s="22">
        <f t="shared" si="3"/>
        <v>33360.081128400001</v>
      </c>
      <c r="I10" s="22">
        <f t="shared" si="3"/>
        <v>34360.883562251998</v>
      </c>
      <c r="J10" s="22">
        <f t="shared" si="3"/>
        <v>35391.710069119559</v>
      </c>
      <c r="K10" s="23">
        <f t="shared" si="3"/>
        <v>36453.461371193152</v>
      </c>
    </row>
    <row r="11" spans="1:13" x14ac:dyDescent="0.2">
      <c r="A11" s="17"/>
      <c r="D11" s="24"/>
      <c r="E11" s="24"/>
      <c r="F11" s="24"/>
      <c r="G11" s="24"/>
      <c r="H11" s="24"/>
      <c r="I11" s="24"/>
      <c r="J11" s="24"/>
      <c r="K11" s="25"/>
    </row>
    <row r="12" spans="1:13" x14ac:dyDescent="0.2">
      <c r="A12" s="17" t="s">
        <v>51</v>
      </c>
      <c r="D12" s="24"/>
      <c r="E12" s="24"/>
      <c r="F12" s="24"/>
      <c r="G12" s="24"/>
      <c r="H12" s="24"/>
      <c r="I12" s="24"/>
      <c r="J12" s="24"/>
      <c r="K12" s="25"/>
    </row>
    <row r="13" spans="1:13" x14ac:dyDescent="0.2">
      <c r="A13" s="17"/>
      <c r="B13" s="8" t="s">
        <v>79</v>
      </c>
      <c r="D13" s="26">
        <v>500</v>
      </c>
      <c r="E13" s="26">
        <f>D13*(1+$L$5)</f>
        <v>515</v>
      </c>
      <c r="F13" s="26">
        <f t="shared" ref="F13:K13" si="4">E13*(1+$L$5)</f>
        <v>530.45000000000005</v>
      </c>
      <c r="G13" s="26">
        <f t="shared" si="4"/>
        <v>546.36350000000004</v>
      </c>
      <c r="H13" s="26">
        <f t="shared" si="4"/>
        <v>562.75440500000002</v>
      </c>
      <c r="I13" s="26">
        <f t="shared" si="4"/>
        <v>579.63703715000008</v>
      </c>
      <c r="J13" s="26">
        <f t="shared" si="4"/>
        <v>597.02614826450008</v>
      </c>
      <c r="K13" s="27">
        <f t="shared" si="4"/>
        <v>614.93693271243512</v>
      </c>
      <c r="L13" s="28">
        <v>0.03</v>
      </c>
      <c r="M13" s="8" t="s">
        <v>81</v>
      </c>
    </row>
    <row r="14" spans="1:13" x14ac:dyDescent="0.2">
      <c r="A14" s="17"/>
      <c r="B14" s="8" t="s">
        <v>52</v>
      </c>
      <c r="D14" s="26">
        <f t="shared" ref="D14:K14" si="5">$L$14*D10</f>
        <v>988</v>
      </c>
      <c r="E14" s="26">
        <f t="shared" si="5"/>
        <v>1017.6399999999999</v>
      </c>
      <c r="F14" s="26">
        <f t="shared" si="5"/>
        <v>1048.1692</v>
      </c>
      <c r="G14" s="26">
        <f t="shared" si="5"/>
        <v>1079.614276</v>
      </c>
      <c r="H14" s="26">
        <f t="shared" si="5"/>
        <v>1112.00270428</v>
      </c>
      <c r="I14" s="26">
        <f t="shared" si="5"/>
        <v>1145.3627854084</v>
      </c>
      <c r="J14" s="26">
        <f t="shared" si="5"/>
        <v>1179.7236689706519</v>
      </c>
      <c r="K14" s="27">
        <f t="shared" si="5"/>
        <v>1215.1153790397718</v>
      </c>
      <c r="L14" s="28">
        <f>1/30</f>
        <v>3.3333333333333333E-2</v>
      </c>
      <c r="M14" s="8" t="s">
        <v>82</v>
      </c>
    </row>
    <row r="15" spans="1:13" x14ac:dyDescent="0.2">
      <c r="A15" s="17"/>
      <c r="B15" s="8" t="s">
        <v>53</v>
      </c>
      <c r="D15" s="24">
        <f t="shared" ref="D15:K15" si="6">$L$15*D10</f>
        <v>1482</v>
      </c>
      <c r="E15" s="24">
        <f t="shared" si="6"/>
        <v>1526.46</v>
      </c>
      <c r="F15" s="24">
        <f t="shared" si="6"/>
        <v>1572.2538000000002</v>
      </c>
      <c r="G15" s="24">
        <f t="shared" si="6"/>
        <v>1619.4214140000001</v>
      </c>
      <c r="H15" s="24">
        <f t="shared" si="6"/>
        <v>1668.0040564200001</v>
      </c>
      <c r="I15" s="24">
        <f t="shared" si="6"/>
        <v>1718.0441781126001</v>
      </c>
      <c r="J15" s="24">
        <f t="shared" si="6"/>
        <v>1769.5855034559781</v>
      </c>
      <c r="K15" s="25">
        <f t="shared" si="6"/>
        <v>1822.6730685596576</v>
      </c>
      <c r="L15" s="28">
        <v>0.05</v>
      </c>
      <c r="M15" s="8" t="s">
        <v>82</v>
      </c>
    </row>
    <row r="16" spans="1:13" x14ac:dyDescent="0.2">
      <c r="A16" s="17"/>
      <c r="B16" s="8" t="s">
        <v>159</v>
      </c>
      <c r="D16" s="24">
        <v>800</v>
      </c>
      <c r="E16" s="24">
        <f>D16*(1+$L$5)</f>
        <v>824</v>
      </c>
      <c r="F16" s="24">
        <f t="shared" ref="F16:K16" si="7">E16*(1+$L$5)</f>
        <v>848.72</v>
      </c>
      <c r="G16" s="24">
        <f t="shared" si="7"/>
        <v>874.1816</v>
      </c>
      <c r="H16" s="24">
        <f t="shared" si="7"/>
        <v>900.40704800000003</v>
      </c>
      <c r="I16" s="24">
        <f t="shared" si="7"/>
        <v>927.41925944000002</v>
      </c>
      <c r="J16" s="24">
        <f t="shared" si="7"/>
        <v>955.24183722320004</v>
      </c>
      <c r="K16" s="25">
        <f t="shared" si="7"/>
        <v>983.89909233989601</v>
      </c>
      <c r="L16" s="28">
        <v>0.03</v>
      </c>
      <c r="M16" s="8" t="s">
        <v>81</v>
      </c>
    </row>
    <row r="17" spans="1:13" x14ac:dyDescent="0.2">
      <c r="A17" s="17"/>
      <c r="B17" s="46" t="s">
        <v>161</v>
      </c>
      <c r="D17" s="42">
        <f t="shared" ref="D17:K17" si="8">$L$17*D36</f>
        <v>3673.7750000000005</v>
      </c>
      <c r="E17" s="42">
        <f t="shared" si="8"/>
        <v>2448.7750000000001</v>
      </c>
      <c r="F17" s="42">
        <f t="shared" si="8"/>
        <v>2448.7750000000001</v>
      </c>
      <c r="G17" s="42">
        <f t="shared" si="8"/>
        <v>2448.7750000000001</v>
      </c>
      <c r="H17" s="42">
        <f t="shared" si="8"/>
        <v>2448.7750000000001</v>
      </c>
      <c r="I17" s="42">
        <f t="shared" si="8"/>
        <v>2448.7750000000001</v>
      </c>
      <c r="J17" s="42">
        <f t="shared" si="8"/>
        <v>2448.7750000000001</v>
      </c>
      <c r="K17" s="43">
        <f t="shared" si="8"/>
        <v>2448.7750000000001</v>
      </c>
      <c r="L17" s="16">
        <f>17.5/1000</f>
        <v>1.7500000000000002E-2</v>
      </c>
      <c r="M17" s="8" t="s">
        <v>162</v>
      </c>
    </row>
    <row r="18" spans="1:13" x14ac:dyDescent="0.2">
      <c r="A18" s="17"/>
      <c r="B18" s="8" t="s">
        <v>55</v>
      </c>
      <c r="D18" s="24">
        <f>SUM(D13:D17)</f>
        <v>7443.7750000000005</v>
      </c>
      <c r="E18" s="24">
        <f t="shared" ref="E18:K18" si="9">SUM(E13:E17)</f>
        <v>6331.875</v>
      </c>
      <c r="F18" s="24">
        <f t="shared" si="9"/>
        <v>6448.3680000000004</v>
      </c>
      <c r="G18" s="24">
        <f t="shared" si="9"/>
        <v>6568.3557899999996</v>
      </c>
      <c r="H18" s="24">
        <f t="shared" si="9"/>
        <v>6691.9432137000003</v>
      </c>
      <c r="I18" s="24">
        <f t="shared" si="9"/>
        <v>6819.2382601110003</v>
      </c>
      <c r="J18" s="24">
        <f t="shared" si="9"/>
        <v>6950.3521579143307</v>
      </c>
      <c r="K18" s="25">
        <f t="shared" si="9"/>
        <v>7085.3994726517612</v>
      </c>
    </row>
    <row r="19" spans="1:13" x14ac:dyDescent="0.2">
      <c r="A19" s="17" t="s">
        <v>54</v>
      </c>
      <c r="D19" s="24">
        <f>D10-D18</f>
        <v>22196.224999999999</v>
      </c>
      <c r="E19" s="24">
        <f t="shared" ref="E19:K19" si="10">E10-E18</f>
        <v>24197.324999999997</v>
      </c>
      <c r="F19" s="24">
        <f t="shared" si="10"/>
        <v>24996.707999999999</v>
      </c>
      <c r="G19" s="24">
        <f t="shared" si="10"/>
        <v>25820.072489999999</v>
      </c>
      <c r="H19" s="24">
        <f t="shared" si="10"/>
        <v>26668.137914700001</v>
      </c>
      <c r="I19" s="24">
        <f t="shared" si="10"/>
        <v>27541.645302140998</v>
      </c>
      <c r="J19" s="24">
        <f t="shared" si="10"/>
        <v>28441.357911205228</v>
      </c>
      <c r="K19" s="25">
        <f t="shared" si="10"/>
        <v>29368.061898541389</v>
      </c>
    </row>
    <row r="20" spans="1:13" x14ac:dyDescent="0.2">
      <c r="A20" s="17"/>
      <c r="D20" s="24"/>
      <c r="E20" s="24"/>
      <c r="F20" s="24"/>
      <c r="G20" s="24"/>
      <c r="H20" s="24"/>
      <c r="I20" s="24"/>
      <c r="J20" s="24"/>
      <c r="K20" s="25"/>
    </row>
    <row r="21" spans="1:13" x14ac:dyDescent="0.2">
      <c r="A21" s="17" t="s">
        <v>56</v>
      </c>
      <c r="D21" s="24">
        <f t="shared" ref="D21:K21" si="11">D36*$L$21</f>
        <v>6997.666666666667</v>
      </c>
      <c r="E21" s="24">
        <f t="shared" si="11"/>
        <v>4664.333333333333</v>
      </c>
      <c r="F21" s="24">
        <f t="shared" si="11"/>
        <v>4664.333333333333</v>
      </c>
      <c r="G21" s="24">
        <f t="shared" si="11"/>
        <v>4664.333333333333</v>
      </c>
      <c r="H21" s="24">
        <f t="shared" si="11"/>
        <v>4664.333333333333</v>
      </c>
      <c r="I21" s="24">
        <f t="shared" si="11"/>
        <v>4664.333333333333</v>
      </c>
      <c r="J21" s="24">
        <f t="shared" si="11"/>
        <v>4664.333333333333</v>
      </c>
      <c r="K21" s="25">
        <f t="shared" si="11"/>
        <v>4664.333333333333</v>
      </c>
      <c r="L21" s="28">
        <f>1/30</f>
        <v>3.3333333333333333E-2</v>
      </c>
      <c r="M21" s="8" t="s">
        <v>68</v>
      </c>
    </row>
    <row r="22" spans="1:13" x14ac:dyDescent="0.2">
      <c r="A22" s="17" t="s">
        <v>57</v>
      </c>
      <c r="D22" s="24">
        <f>Mortgage!D14</f>
        <v>9928.0217670257989</v>
      </c>
      <c r="E22" s="24">
        <f>Mortgage!D28</f>
        <v>9777.1322672206006</v>
      </c>
      <c r="F22" s="24">
        <f>Mortgage!D42</f>
        <v>9618.5229742349493</v>
      </c>
      <c r="G22" s="24">
        <f>Mortgage!D56</f>
        <v>9451.7989287984692</v>
      </c>
      <c r="H22" s="24">
        <f>Mortgage!D70</f>
        <v>9276.5449647749356</v>
      </c>
      <c r="I22" s="24">
        <f>Mortgage!D84</f>
        <v>9092.3246753406638</v>
      </c>
      <c r="J22" s="24">
        <f>Mortgage!D98</f>
        <v>8898.6793262706105</v>
      </c>
      <c r="K22" s="25">
        <f>Mortgage!D112</f>
        <v>8695.1267136261667</v>
      </c>
    </row>
    <row r="23" spans="1:13" x14ac:dyDescent="0.2">
      <c r="A23" s="17" t="s">
        <v>58</v>
      </c>
      <c r="D23" s="24">
        <f t="shared" ref="D23:K23" si="12">D45*$L$23</f>
        <v>0</v>
      </c>
      <c r="E23" s="24">
        <f t="shared" si="12"/>
        <v>0</v>
      </c>
      <c r="F23" s="24">
        <f t="shared" si="12"/>
        <v>0</v>
      </c>
      <c r="G23" s="24">
        <f t="shared" si="12"/>
        <v>0</v>
      </c>
      <c r="H23" s="24">
        <f t="shared" si="12"/>
        <v>0</v>
      </c>
      <c r="I23" s="24">
        <f t="shared" si="12"/>
        <v>0</v>
      </c>
      <c r="J23" s="24">
        <f t="shared" si="12"/>
        <v>0</v>
      </c>
      <c r="K23" s="25">
        <f t="shared" si="12"/>
        <v>0</v>
      </c>
      <c r="L23" s="28">
        <v>0.08</v>
      </c>
      <c r="M23" s="8" t="s">
        <v>69</v>
      </c>
    </row>
    <row r="24" spans="1:13" x14ac:dyDescent="0.2">
      <c r="A24" s="17"/>
      <c r="D24" s="24"/>
      <c r="E24" s="24"/>
      <c r="F24" s="24"/>
      <c r="G24" s="24"/>
      <c r="H24" s="24"/>
      <c r="I24" s="24"/>
      <c r="J24" s="24"/>
      <c r="K24" s="25"/>
    </row>
    <row r="25" spans="1:13" x14ac:dyDescent="0.2">
      <c r="A25" s="29" t="s">
        <v>59</v>
      </c>
      <c r="D25" s="24">
        <f>D19-D21-D22-D23</f>
        <v>5270.5365663075318</v>
      </c>
      <c r="E25" s="24">
        <f t="shared" ref="E25:K25" si="13">E19-E21-E22-E23</f>
        <v>9755.8593994460643</v>
      </c>
      <c r="F25" s="24">
        <f t="shared" si="13"/>
        <v>10713.851692431717</v>
      </c>
      <c r="G25" s="24">
        <f t="shared" si="13"/>
        <v>11703.940227868197</v>
      </c>
      <c r="H25" s="24">
        <f t="shared" si="13"/>
        <v>12727.259616591733</v>
      </c>
      <c r="I25" s="24">
        <f t="shared" si="13"/>
        <v>13784.987293467002</v>
      </c>
      <c r="J25" s="24">
        <f t="shared" si="13"/>
        <v>14878.345251601286</v>
      </c>
      <c r="K25" s="25">
        <f t="shared" si="13"/>
        <v>16008.601851581891</v>
      </c>
    </row>
    <row r="26" spans="1:13" x14ac:dyDescent="0.2">
      <c r="A26" s="29" t="s">
        <v>160</v>
      </c>
      <c r="D26" s="24">
        <f t="shared" ref="D26:K26" si="14">IF(D25&lt;0,0,$L$26*D25)</f>
        <v>790.58048494612979</v>
      </c>
      <c r="E26" s="24">
        <f t="shared" si="14"/>
        <v>1463.3789099169096</v>
      </c>
      <c r="F26" s="24">
        <f t="shared" si="14"/>
        <v>1607.0777538647576</v>
      </c>
      <c r="G26" s="24">
        <f t="shared" si="14"/>
        <v>1755.5910341802296</v>
      </c>
      <c r="H26" s="24">
        <f t="shared" si="14"/>
        <v>1909.0889424887598</v>
      </c>
      <c r="I26" s="24">
        <f t="shared" si="14"/>
        <v>2067.7480940200503</v>
      </c>
      <c r="J26" s="24">
        <f t="shared" si="14"/>
        <v>2231.7517877401929</v>
      </c>
      <c r="K26" s="25">
        <f t="shared" si="14"/>
        <v>2401.2902777372833</v>
      </c>
      <c r="L26" s="16">
        <v>0.15</v>
      </c>
      <c r="M26" s="8" t="s">
        <v>77</v>
      </c>
    </row>
    <row r="27" spans="1:13" x14ac:dyDescent="0.2">
      <c r="A27" s="30" t="s">
        <v>60</v>
      </c>
      <c r="B27" s="21"/>
      <c r="C27" s="21"/>
      <c r="D27" s="31">
        <f>D25-D26</f>
        <v>4479.9560813614016</v>
      </c>
      <c r="E27" s="31">
        <f t="shared" ref="E27:K27" si="15">E25-E26</f>
        <v>8292.4804895291545</v>
      </c>
      <c r="F27" s="31">
        <f t="shared" si="15"/>
        <v>9106.7739385669593</v>
      </c>
      <c r="G27" s="31">
        <f t="shared" si="15"/>
        <v>9948.3491936879673</v>
      </c>
      <c r="H27" s="31">
        <f t="shared" si="15"/>
        <v>10818.170674102974</v>
      </c>
      <c r="I27" s="31">
        <f t="shared" si="15"/>
        <v>11717.239199446951</v>
      </c>
      <c r="J27" s="31">
        <f t="shared" si="15"/>
        <v>12646.593463861092</v>
      </c>
      <c r="K27" s="32">
        <f t="shared" si="15"/>
        <v>13607.311573844607</v>
      </c>
    </row>
    <row r="29" spans="1:13" x14ac:dyDescent="0.2">
      <c r="A29" s="7" t="s">
        <v>61</v>
      </c>
    </row>
    <row r="30" spans="1:13" x14ac:dyDescent="0.2">
      <c r="A30" s="33" t="s">
        <v>62</v>
      </c>
      <c r="B30" s="13"/>
      <c r="C30" s="13"/>
      <c r="D30" s="13"/>
      <c r="E30" s="13"/>
      <c r="F30" s="13"/>
      <c r="G30" s="13"/>
      <c r="H30" s="13"/>
      <c r="I30" s="13"/>
      <c r="J30" s="13"/>
      <c r="K30" s="34"/>
    </row>
    <row r="31" spans="1:13" x14ac:dyDescent="0.2">
      <c r="A31" s="17" t="s">
        <v>63</v>
      </c>
      <c r="D31" s="24">
        <v>109062.33333333337</v>
      </c>
      <c r="E31" s="24">
        <v>119013.20666666672</v>
      </c>
      <c r="F31" s="24">
        <v>122118.74619999992</v>
      </c>
      <c r="G31" s="24">
        <v>125114.91191933339</v>
      </c>
      <c r="H31" s="24">
        <v>127994.66261024664</v>
      </c>
      <c r="I31" s="24">
        <v>130751.95582188737</v>
      </c>
      <c r="J31" s="24">
        <v>133378.74782987731</v>
      </c>
      <c r="K31" s="25">
        <v>135866.99359810702</v>
      </c>
      <c r="L31" s="26"/>
    </row>
    <row r="32" spans="1:13" x14ac:dyDescent="0.2">
      <c r="A32" s="17" t="s">
        <v>64</v>
      </c>
      <c r="D32" s="24">
        <f t="shared" ref="D32:K32" si="16">D7*12</f>
        <v>1482</v>
      </c>
      <c r="E32" s="24">
        <f t="shared" si="16"/>
        <v>1526.46</v>
      </c>
      <c r="F32" s="24">
        <f t="shared" si="16"/>
        <v>1572.2538</v>
      </c>
      <c r="G32" s="24">
        <f t="shared" si="16"/>
        <v>1619.4214139999999</v>
      </c>
      <c r="H32" s="24">
        <f t="shared" si="16"/>
        <v>1668.0040564199999</v>
      </c>
      <c r="I32" s="24">
        <f t="shared" si="16"/>
        <v>1718.0441781126001</v>
      </c>
      <c r="J32" s="24">
        <f t="shared" si="16"/>
        <v>1769.5855034559781</v>
      </c>
      <c r="K32" s="25">
        <f t="shared" si="16"/>
        <v>1822.6730685596576</v>
      </c>
    </row>
    <row r="33" spans="1:12" x14ac:dyDescent="0.2">
      <c r="A33" s="17" t="s">
        <v>166</v>
      </c>
      <c r="D33" s="24">
        <f>$L$33*(Mortgage!$I$6+D47)</f>
        <v>89970</v>
      </c>
      <c r="E33" s="24">
        <f>$L$33*Mortgage!$I$6</f>
        <v>59970</v>
      </c>
      <c r="F33" s="24">
        <f>$L$33*Mortgage!$I$6</f>
        <v>59970</v>
      </c>
      <c r="G33" s="24">
        <f>$L$33*Mortgage!$I$6</f>
        <v>59970</v>
      </c>
      <c r="H33" s="24">
        <f>$L$33*Mortgage!$I$6</f>
        <v>59970</v>
      </c>
      <c r="I33" s="24">
        <f>$L$33*Mortgage!$I$6</f>
        <v>59970</v>
      </c>
      <c r="J33" s="24">
        <f>$L$33*Mortgage!$I$6</f>
        <v>59970</v>
      </c>
      <c r="K33" s="25">
        <f>$L$33*Mortgage!$I$6</f>
        <v>59970</v>
      </c>
      <c r="L33" s="16">
        <v>0.3</v>
      </c>
    </row>
    <row r="34" spans="1:12" x14ac:dyDescent="0.2">
      <c r="A34" s="17" t="s">
        <v>65</v>
      </c>
      <c r="D34" s="26">
        <f>SUM(D31:D33)</f>
        <v>200514.33333333337</v>
      </c>
      <c r="E34" s="26">
        <f t="shared" ref="E34:K34" si="17">SUM(E31:E33)</f>
        <v>180509.66666666674</v>
      </c>
      <c r="F34" s="26">
        <f t="shared" si="17"/>
        <v>183660.99999999994</v>
      </c>
      <c r="G34" s="26">
        <f t="shared" si="17"/>
        <v>186704.33333333337</v>
      </c>
      <c r="H34" s="26">
        <f t="shared" si="17"/>
        <v>189632.66666666663</v>
      </c>
      <c r="I34" s="26">
        <f t="shared" si="17"/>
        <v>192439.99999999997</v>
      </c>
      <c r="J34" s="26">
        <f t="shared" si="17"/>
        <v>195118.33333333328</v>
      </c>
      <c r="K34" s="27">
        <f t="shared" si="17"/>
        <v>197659.66666666669</v>
      </c>
    </row>
    <row r="35" spans="1:12" x14ac:dyDescent="0.2">
      <c r="A35" s="17"/>
      <c r="K35" s="35"/>
    </row>
    <row r="36" spans="1:12" x14ac:dyDescent="0.2">
      <c r="A36" s="17" t="s">
        <v>66</v>
      </c>
      <c r="D36" s="26">
        <f>$L$36*(Mortgage!$I$6+D47)</f>
        <v>209930</v>
      </c>
      <c r="E36" s="26">
        <f>$L$36*Mortgage!$I$6</f>
        <v>139930</v>
      </c>
      <c r="F36" s="26">
        <f>$L$36*Mortgage!$I$6</f>
        <v>139930</v>
      </c>
      <c r="G36" s="26">
        <f>$L$36*Mortgage!$I$6</f>
        <v>139930</v>
      </c>
      <c r="H36" s="26">
        <f>$L$36*Mortgage!$I$6</f>
        <v>139930</v>
      </c>
      <c r="I36" s="26">
        <f>$L$36*Mortgage!$I$6</f>
        <v>139930</v>
      </c>
      <c r="J36" s="26">
        <f>$L$36*Mortgage!$I$6</f>
        <v>139930</v>
      </c>
      <c r="K36" s="27">
        <f>$L$36*Mortgage!$I$6</f>
        <v>139930</v>
      </c>
      <c r="L36" s="16">
        <v>0.7</v>
      </c>
    </row>
    <row r="37" spans="1:12" x14ac:dyDescent="0.2">
      <c r="A37" s="17" t="s">
        <v>67</v>
      </c>
      <c r="D37" s="24">
        <f>D21</f>
        <v>6997.666666666667</v>
      </c>
      <c r="E37" s="24">
        <f t="shared" ref="E37:K37" si="18">D37+E21</f>
        <v>11662</v>
      </c>
      <c r="F37" s="24">
        <f t="shared" si="18"/>
        <v>16326.333333333332</v>
      </c>
      <c r="G37" s="24">
        <f t="shared" si="18"/>
        <v>20990.666666666664</v>
      </c>
      <c r="H37" s="24">
        <f t="shared" si="18"/>
        <v>25654.999999999996</v>
      </c>
      <c r="I37" s="24">
        <f t="shared" si="18"/>
        <v>30319.333333333328</v>
      </c>
      <c r="J37" s="24">
        <f t="shared" si="18"/>
        <v>34983.666666666664</v>
      </c>
      <c r="K37" s="25">
        <f t="shared" si="18"/>
        <v>39648</v>
      </c>
    </row>
    <row r="38" spans="1:12" x14ac:dyDescent="0.2">
      <c r="A38" s="17"/>
      <c r="K38" s="35"/>
    </row>
    <row r="39" spans="1:12" x14ac:dyDescent="0.2">
      <c r="A39" s="36" t="s">
        <v>70</v>
      </c>
      <c r="B39" s="21"/>
      <c r="C39" s="21"/>
      <c r="D39" s="31">
        <f>D34+D36-D37</f>
        <v>403446.66666666669</v>
      </c>
      <c r="E39" s="31">
        <f t="shared" ref="E39:K39" si="19">E34+E36-E37</f>
        <v>308777.66666666674</v>
      </c>
      <c r="F39" s="31">
        <f t="shared" si="19"/>
        <v>307264.66666666663</v>
      </c>
      <c r="G39" s="31">
        <f t="shared" si="19"/>
        <v>305643.66666666669</v>
      </c>
      <c r="H39" s="31">
        <f t="shared" si="19"/>
        <v>303907.66666666663</v>
      </c>
      <c r="I39" s="31">
        <f t="shared" si="19"/>
        <v>302050.66666666669</v>
      </c>
      <c r="J39" s="31">
        <f t="shared" si="19"/>
        <v>300064.66666666657</v>
      </c>
      <c r="K39" s="32">
        <f t="shared" si="19"/>
        <v>297941.66666666669</v>
      </c>
    </row>
    <row r="41" spans="1:12" x14ac:dyDescent="0.2">
      <c r="A41" s="33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34"/>
    </row>
    <row r="42" spans="1:12" x14ac:dyDescent="0.2">
      <c r="A42" s="17" t="s">
        <v>72</v>
      </c>
      <c r="D42" s="24">
        <f t="shared" ref="D42:K42" si="20">D26</f>
        <v>790.58048494612979</v>
      </c>
      <c r="E42" s="24">
        <f t="shared" si="20"/>
        <v>1463.3789099169096</v>
      </c>
      <c r="F42" s="24">
        <f t="shared" si="20"/>
        <v>1607.0777538647576</v>
      </c>
      <c r="G42" s="24">
        <f t="shared" si="20"/>
        <v>1755.5910341802296</v>
      </c>
      <c r="H42" s="24">
        <f t="shared" si="20"/>
        <v>1909.0889424887598</v>
      </c>
      <c r="I42" s="24">
        <f t="shared" si="20"/>
        <v>2067.7480940200503</v>
      </c>
      <c r="J42" s="24">
        <f t="shared" si="20"/>
        <v>2231.7517877401929</v>
      </c>
      <c r="K42" s="25">
        <f t="shared" si="20"/>
        <v>2401.2902777372833</v>
      </c>
    </row>
    <row r="43" spans="1:12" x14ac:dyDescent="0.2">
      <c r="A43" s="17"/>
      <c r="D43" s="24"/>
      <c r="E43" s="24"/>
      <c r="F43" s="24"/>
      <c r="G43" s="24"/>
      <c r="H43" s="24"/>
      <c r="I43" s="24"/>
      <c r="J43" s="24"/>
      <c r="K43" s="25"/>
    </row>
    <row r="44" spans="1:12" x14ac:dyDescent="0.2">
      <c r="A44" s="17" t="s">
        <v>73</v>
      </c>
      <c r="D44" s="24">
        <f>Mortgage!F13</f>
        <v>196950.74467421061</v>
      </c>
      <c r="E44" s="24">
        <f>Mortgage!F27</f>
        <v>193850.59984861597</v>
      </c>
      <c r="F44" s="24">
        <f>Mortgage!F41</f>
        <v>190591.84573003574</v>
      </c>
      <c r="G44" s="24">
        <f>Mortgage!F55</f>
        <v>187166.36756601901</v>
      </c>
      <c r="H44" s="24">
        <f>Mortgage!F69</f>
        <v>183565.63543797875</v>
      </c>
      <c r="I44" s="24">
        <f>Mortgage!F83</f>
        <v>179780.68302050416</v>
      </c>
      <c r="J44" s="24">
        <f>Mortgage!F97</f>
        <v>175802.08525395958</v>
      </c>
      <c r="K44" s="25">
        <f>Mortgage!F111</f>
        <v>171619.93487477061</v>
      </c>
    </row>
    <row r="45" spans="1:12" x14ac:dyDescent="0.2">
      <c r="A45" s="17" t="s">
        <v>74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5">
        <v>0</v>
      </c>
    </row>
    <row r="46" spans="1:12" x14ac:dyDescent="0.2">
      <c r="A46" s="17"/>
      <c r="D46" s="24"/>
      <c r="E46" s="24"/>
      <c r="F46" s="24"/>
      <c r="G46" s="24"/>
      <c r="H46" s="24"/>
      <c r="I46" s="24"/>
      <c r="J46" s="24"/>
      <c r="K46" s="25"/>
    </row>
    <row r="47" spans="1:12" x14ac:dyDescent="0.2">
      <c r="A47" s="17" t="s">
        <v>167</v>
      </c>
      <c r="D47" s="24">
        <v>100000</v>
      </c>
      <c r="E47" s="24">
        <v>100000</v>
      </c>
      <c r="F47" s="24">
        <v>100000</v>
      </c>
      <c r="G47" s="24">
        <v>100000</v>
      </c>
      <c r="H47" s="24">
        <v>100000</v>
      </c>
      <c r="I47" s="24">
        <v>100000</v>
      </c>
      <c r="J47" s="24">
        <v>100000</v>
      </c>
      <c r="K47" s="25">
        <v>100000</v>
      </c>
    </row>
    <row r="48" spans="1:12" x14ac:dyDescent="0.2">
      <c r="A48" s="17" t="s">
        <v>75</v>
      </c>
      <c r="D48" s="24">
        <f>D27</f>
        <v>4479.9560813614016</v>
      </c>
      <c r="E48" s="24">
        <f t="shared" ref="E48:K48" si="21">E27+D27</f>
        <v>12772.436570890557</v>
      </c>
      <c r="F48" s="24">
        <f t="shared" si="21"/>
        <v>17399.254428096116</v>
      </c>
      <c r="G48" s="24">
        <f t="shared" si="21"/>
        <v>19055.123132254928</v>
      </c>
      <c r="H48" s="24">
        <f t="shared" si="21"/>
        <v>20766.519867790943</v>
      </c>
      <c r="I48" s="24">
        <f t="shared" si="21"/>
        <v>22535.409873549925</v>
      </c>
      <c r="J48" s="24">
        <f t="shared" si="21"/>
        <v>24363.832663308043</v>
      </c>
      <c r="K48" s="25">
        <f t="shared" si="21"/>
        <v>26253.905037705699</v>
      </c>
    </row>
    <row r="49" spans="1:11" x14ac:dyDescent="0.2">
      <c r="A49" s="17"/>
      <c r="K49" s="35"/>
    </row>
    <row r="50" spans="1:11" x14ac:dyDescent="0.2">
      <c r="A50" s="36" t="s">
        <v>76</v>
      </c>
      <c r="B50" s="21"/>
      <c r="C50" s="21"/>
      <c r="D50" s="31">
        <f t="shared" ref="D50:K50" si="22">SUM(D42:D48)</f>
        <v>302221.28124051815</v>
      </c>
      <c r="E50" s="31">
        <f t="shared" si="22"/>
        <v>308086.41532942344</v>
      </c>
      <c r="F50" s="31">
        <f t="shared" si="22"/>
        <v>309598.17791199661</v>
      </c>
      <c r="G50" s="31">
        <f t="shared" si="22"/>
        <v>307977.08173245413</v>
      </c>
      <c r="H50" s="31">
        <f t="shared" si="22"/>
        <v>306241.24424825847</v>
      </c>
      <c r="I50" s="31">
        <f t="shared" si="22"/>
        <v>304383.8409880742</v>
      </c>
      <c r="J50" s="31">
        <f t="shared" si="22"/>
        <v>302397.66970500781</v>
      </c>
      <c r="K50" s="32">
        <f t="shared" si="22"/>
        <v>300275.13019021356</v>
      </c>
    </row>
    <row r="52" spans="1:11" x14ac:dyDescent="0.2">
      <c r="A52" s="7" t="s">
        <v>163</v>
      </c>
    </row>
    <row r="53" spans="1:11" x14ac:dyDescent="0.2">
      <c r="A53" s="33" t="s">
        <v>148</v>
      </c>
      <c r="B53" s="13"/>
      <c r="C53" s="13"/>
      <c r="D53" s="13" t="s">
        <v>149</v>
      </c>
      <c r="E53" s="13" t="s">
        <v>150</v>
      </c>
      <c r="F53" s="13"/>
      <c r="G53" s="13"/>
      <c r="H53" s="13"/>
      <c r="I53" s="13"/>
      <c r="J53" s="13"/>
      <c r="K53" s="34"/>
    </row>
    <row r="54" spans="1:11" x14ac:dyDescent="0.2">
      <c r="A54" s="17"/>
      <c r="B54" s="8" t="s">
        <v>152</v>
      </c>
      <c r="E54" s="24">
        <f>D5</f>
        <v>650</v>
      </c>
      <c r="F54" s="8" t="s">
        <v>151</v>
      </c>
      <c r="K54" s="35"/>
    </row>
    <row r="55" spans="1:11" x14ac:dyDescent="0.2">
      <c r="A55" s="17"/>
      <c r="K55" s="35"/>
    </row>
    <row r="56" spans="1:11" x14ac:dyDescent="0.2">
      <c r="A56" s="47" t="s">
        <v>146</v>
      </c>
      <c r="K56" s="35"/>
    </row>
    <row r="57" spans="1:11" x14ac:dyDescent="0.2">
      <c r="A57" s="17"/>
      <c r="B57" s="8" t="s">
        <v>52</v>
      </c>
      <c r="D57" s="26">
        <f>D14</f>
        <v>988</v>
      </c>
      <c r="E57" s="26">
        <f>D57/D6</f>
        <v>260</v>
      </c>
      <c r="G57" s="37"/>
      <c r="H57" s="37"/>
      <c r="I57" s="37"/>
      <c r="J57" s="37"/>
      <c r="K57" s="48"/>
    </row>
    <row r="58" spans="1:11" x14ac:dyDescent="0.2">
      <c r="A58" s="17"/>
      <c r="D58" s="26"/>
      <c r="E58" s="26"/>
      <c r="G58" s="37"/>
      <c r="H58" s="37"/>
      <c r="I58" s="37"/>
      <c r="J58" s="37"/>
      <c r="K58" s="48"/>
    </row>
    <row r="59" spans="1:11" x14ac:dyDescent="0.2">
      <c r="A59" s="47" t="s">
        <v>153</v>
      </c>
      <c r="D59" s="26"/>
      <c r="E59" s="26">
        <f>E54-E57</f>
        <v>390</v>
      </c>
      <c r="G59" s="37"/>
      <c r="H59" s="37"/>
      <c r="I59" s="37"/>
      <c r="J59" s="37"/>
      <c r="K59" s="48"/>
    </row>
    <row r="60" spans="1:11" x14ac:dyDescent="0.2">
      <c r="A60" s="17"/>
      <c r="D60" s="26"/>
      <c r="E60" s="37"/>
      <c r="G60" s="37"/>
      <c r="H60" s="37"/>
      <c r="I60" s="37"/>
      <c r="J60" s="37"/>
      <c r="K60" s="48"/>
    </row>
    <row r="61" spans="1:11" x14ac:dyDescent="0.2">
      <c r="A61" s="47" t="s">
        <v>145</v>
      </c>
      <c r="D61" s="26"/>
      <c r="E61" s="37"/>
      <c r="G61" s="37"/>
      <c r="H61" s="37"/>
      <c r="I61" s="37"/>
      <c r="J61" s="37"/>
      <c r="K61" s="48"/>
    </row>
    <row r="62" spans="1:11" x14ac:dyDescent="0.2">
      <c r="A62" s="17"/>
      <c r="B62" s="8" t="s">
        <v>79</v>
      </c>
      <c r="D62" s="26">
        <f>D13</f>
        <v>500</v>
      </c>
      <c r="E62" s="37"/>
      <c r="G62" s="37"/>
      <c r="H62" s="37"/>
      <c r="I62" s="37"/>
      <c r="J62" s="37"/>
      <c r="K62" s="48"/>
    </row>
    <row r="63" spans="1:11" x14ac:dyDescent="0.2">
      <c r="A63" s="17"/>
      <c r="B63" s="8" t="s">
        <v>53</v>
      </c>
      <c r="D63" s="26">
        <f>D15</f>
        <v>1482</v>
      </c>
      <c r="K63" s="35"/>
    </row>
    <row r="64" spans="1:11" x14ac:dyDescent="0.2">
      <c r="A64" s="17"/>
      <c r="B64" s="8" t="s">
        <v>56</v>
      </c>
      <c r="D64" s="26">
        <f>D21</f>
        <v>6997.666666666667</v>
      </c>
      <c r="K64" s="35"/>
    </row>
    <row r="65" spans="1:11" x14ac:dyDescent="0.2">
      <c r="A65" s="17"/>
      <c r="B65" s="8" t="s">
        <v>57</v>
      </c>
      <c r="D65" s="26">
        <f t="shared" ref="D65:D66" si="23">D22</f>
        <v>9928.0217670257989</v>
      </c>
      <c r="K65" s="35"/>
    </row>
    <row r="66" spans="1:11" x14ac:dyDescent="0.2">
      <c r="A66" s="17"/>
      <c r="B66" s="8" t="s">
        <v>58</v>
      </c>
      <c r="D66" s="26">
        <f t="shared" si="23"/>
        <v>0</v>
      </c>
      <c r="K66" s="35"/>
    </row>
    <row r="67" spans="1:11" x14ac:dyDescent="0.2">
      <c r="A67" s="17"/>
      <c r="B67" s="8" t="s">
        <v>159</v>
      </c>
      <c r="D67" s="26">
        <f>D16</f>
        <v>800</v>
      </c>
      <c r="K67" s="35"/>
    </row>
    <row r="68" spans="1:11" x14ac:dyDescent="0.2">
      <c r="A68" s="17"/>
      <c r="B68" s="8" t="s">
        <v>147</v>
      </c>
      <c r="D68" s="24">
        <f>SUM(D62:D67)</f>
        <v>19707.688433692467</v>
      </c>
      <c r="K68" s="35"/>
    </row>
    <row r="69" spans="1:11" x14ac:dyDescent="0.2">
      <c r="A69" s="17"/>
      <c r="E69" s="8" t="s">
        <v>158</v>
      </c>
      <c r="F69" s="8" t="s">
        <v>156</v>
      </c>
      <c r="G69" s="8" t="s">
        <v>157</v>
      </c>
      <c r="K69" s="35"/>
    </row>
    <row r="70" spans="1:11" x14ac:dyDescent="0.2">
      <c r="A70" s="36" t="s">
        <v>154</v>
      </c>
      <c r="B70" s="21"/>
      <c r="C70" s="21"/>
      <c r="D70" s="21"/>
      <c r="E70" s="62">
        <f>D68/E59</f>
        <v>50.5325344453653</v>
      </c>
      <c r="F70" s="49">
        <f>E70*12</f>
        <v>606.39041334438366</v>
      </c>
      <c r="G70" s="50">
        <f>E70/48</f>
        <v>1.0527611342784438</v>
      </c>
      <c r="H70" s="21"/>
      <c r="I70" s="21"/>
      <c r="J70" s="21"/>
      <c r="K70" s="51"/>
    </row>
    <row r="72" spans="1:11" x14ac:dyDescent="0.2">
      <c r="A72" s="7" t="s">
        <v>168</v>
      </c>
    </row>
    <row r="73" spans="1:11" x14ac:dyDescent="0.2">
      <c r="A73" s="12" t="s">
        <v>175</v>
      </c>
      <c r="B73" s="13"/>
      <c r="C73" s="13"/>
      <c r="D73" s="13">
        <f>Beta!I2</f>
        <v>0.82709999999999995</v>
      </c>
      <c r="E73" s="13"/>
      <c r="F73" s="13"/>
      <c r="G73" s="13"/>
      <c r="H73" s="13"/>
      <c r="I73" s="13"/>
      <c r="J73" s="13"/>
      <c r="K73" s="34"/>
    </row>
    <row r="74" spans="1:11" x14ac:dyDescent="0.2">
      <c r="A74" s="17" t="s">
        <v>169</v>
      </c>
      <c r="D74" s="60">
        <f>Beta!H2*250</f>
        <v>1.5E-3</v>
      </c>
      <c r="H74" s="8" t="s">
        <v>155</v>
      </c>
      <c r="K74" s="35"/>
    </row>
    <row r="75" spans="1:11" x14ac:dyDescent="0.2">
      <c r="A75" s="17" t="s">
        <v>177</v>
      </c>
      <c r="D75" s="16">
        <v>0.08</v>
      </c>
      <c r="K75" s="35"/>
    </row>
    <row r="76" spans="1:11" x14ac:dyDescent="0.2">
      <c r="A76" s="17"/>
      <c r="K76" s="35"/>
    </row>
    <row r="77" spans="1:11" x14ac:dyDescent="0.2">
      <c r="A77" s="17" t="s">
        <v>176</v>
      </c>
      <c r="D77" s="60">
        <f>D74+D73*(D75-D74)</f>
        <v>6.6427349999999996E-2</v>
      </c>
      <c r="K77" s="35"/>
    </row>
    <row r="78" spans="1:11" x14ac:dyDescent="0.2">
      <c r="A78" s="17"/>
      <c r="K78" s="35"/>
    </row>
    <row r="79" spans="1:11" x14ac:dyDescent="0.2">
      <c r="A79" s="47" t="s">
        <v>178</v>
      </c>
      <c r="D79" s="8" t="s">
        <v>147</v>
      </c>
      <c r="E79" s="8" t="s">
        <v>43</v>
      </c>
      <c r="K79" s="35"/>
    </row>
    <row r="80" spans="1:11" x14ac:dyDescent="0.2">
      <c r="A80" s="17"/>
      <c r="B80" s="8" t="s">
        <v>179</v>
      </c>
      <c r="D80" s="24">
        <f>D44</f>
        <v>196950.74467421061</v>
      </c>
      <c r="E80" s="61">
        <f>Mortgage!I1</f>
        <v>0.05</v>
      </c>
      <c r="K80" s="35"/>
    </row>
    <row r="81" spans="1:11" x14ac:dyDescent="0.2">
      <c r="A81" s="17"/>
      <c r="K81" s="35"/>
    </row>
    <row r="82" spans="1:11" x14ac:dyDescent="0.2">
      <c r="A82" s="47" t="s">
        <v>180</v>
      </c>
      <c r="K82" s="35"/>
    </row>
    <row r="83" spans="1:11" x14ac:dyDescent="0.2">
      <c r="A83" s="17"/>
      <c r="B83" s="8" t="s">
        <v>167</v>
      </c>
      <c r="D83" s="24">
        <f>D47</f>
        <v>100000</v>
      </c>
      <c r="K83" s="35"/>
    </row>
    <row r="84" spans="1:11" x14ac:dyDescent="0.2">
      <c r="A84" s="17"/>
      <c r="B84" s="8" t="s">
        <v>75</v>
      </c>
      <c r="D84" s="24">
        <f>D48</f>
        <v>4479.9560813614016</v>
      </c>
      <c r="K84" s="35"/>
    </row>
    <row r="85" spans="1:11" x14ac:dyDescent="0.2">
      <c r="A85" s="17" t="s">
        <v>147</v>
      </c>
      <c r="D85" s="24">
        <f>SUM(D83:D84)</f>
        <v>104479.95608136141</v>
      </c>
      <c r="K85" s="35"/>
    </row>
    <row r="86" spans="1:11" x14ac:dyDescent="0.2">
      <c r="A86" s="17"/>
      <c r="K86" s="35"/>
    </row>
    <row r="87" spans="1:11" x14ac:dyDescent="0.2">
      <c r="A87" s="47" t="s">
        <v>181</v>
      </c>
      <c r="F87" s="8" t="s">
        <v>182</v>
      </c>
      <c r="G87" s="8" t="s">
        <v>183</v>
      </c>
      <c r="K87" s="35"/>
    </row>
    <row r="88" spans="1:11" x14ac:dyDescent="0.2">
      <c r="A88" s="17"/>
      <c r="B88" s="8" t="s">
        <v>178</v>
      </c>
      <c r="D88" s="24">
        <f>D80</f>
        <v>196950.74467421061</v>
      </c>
      <c r="E88" s="61">
        <f>E80</f>
        <v>0.05</v>
      </c>
      <c r="F88" s="28">
        <f>D88/D90</f>
        <v>0.65338648047637504</v>
      </c>
      <c r="G88" s="28">
        <f>F88*E88*(1-L26)</f>
        <v>2.7768925420245939E-2</v>
      </c>
      <c r="K88" s="35"/>
    </row>
    <row r="89" spans="1:11" x14ac:dyDescent="0.2">
      <c r="A89" s="17"/>
      <c r="B89" s="8" t="s">
        <v>180</v>
      </c>
      <c r="D89" s="24">
        <f>D85</f>
        <v>104479.95608136141</v>
      </c>
      <c r="E89" s="61">
        <f>D77</f>
        <v>6.6427349999999996E-2</v>
      </c>
      <c r="F89" s="28">
        <f>D89/D90</f>
        <v>0.34661351952362496</v>
      </c>
      <c r="G89" s="28">
        <f>E89*F89</f>
        <v>2.3024617576127667E-2</v>
      </c>
      <c r="K89" s="35"/>
    </row>
    <row r="90" spans="1:11" x14ac:dyDescent="0.2">
      <c r="A90" s="20" t="s">
        <v>147</v>
      </c>
      <c r="B90" s="21"/>
      <c r="C90" s="21"/>
      <c r="D90" s="31">
        <f>SUM(D88:D89)</f>
        <v>301430.700755572</v>
      </c>
      <c r="E90" s="21"/>
      <c r="F90" s="21"/>
      <c r="G90" s="63">
        <f>SUM(G88:G89)</f>
        <v>5.0793542996373606E-2</v>
      </c>
      <c r="H90" s="21"/>
      <c r="I90" s="21"/>
      <c r="J90" s="21"/>
      <c r="K90" s="51"/>
    </row>
    <row r="92" spans="1:11" x14ac:dyDescent="0.2">
      <c r="A92" s="7" t="s">
        <v>184</v>
      </c>
    </row>
    <row r="93" spans="1:11" x14ac:dyDescent="0.2">
      <c r="A93" s="12" t="s">
        <v>185</v>
      </c>
      <c r="B93" s="13"/>
      <c r="C93" s="13" t="s">
        <v>193</v>
      </c>
      <c r="D93" s="13">
        <v>2013</v>
      </c>
      <c r="E93" s="13">
        <v>2014</v>
      </c>
      <c r="F93" s="13">
        <v>2015</v>
      </c>
      <c r="G93" s="13">
        <v>2016</v>
      </c>
      <c r="H93" s="13">
        <v>2017</v>
      </c>
      <c r="I93" s="13">
        <v>2018</v>
      </c>
      <c r="J93" s="13">
        <v>2019</v>
      </c>
      <c r="K93" s="34">
        <v>2020</v>
      </c>
    </row>
    <row r="94" spans="1:11" x14ac:dyDescent="0.2">
      <c r="A94" s="17"/>
      <c r="B94" s="8" t="s">
        <v>54</v>
      </c>
      <c r="D94" s="24">
        <f>D19</f>
        <v>22196.224999999999</v>
      </c>
      <c r="E94" s="24">
        <f t="shared" ref="E94:K94" si="24">E19</f>
        <v>24197.324999999997</v>
      </c>
      <c r="F94" s="24">
        <f t="shared" si="24"/>
        <v>24996.707999999999</v>
      </c>
      <c r="G94" s="24">
        <f t="shared" si="24"/>
        <v>25820.072489999999</v>
      </c>
      <c r="H94" s="24">
        <f t="shared" si="24"/>
        <v>26668.137914700001</v>
      </c>
      <c r="I94" s="24">
        <f t="shared" si="24"/>
        <v>27541.645302140998</v>
      </c>
      <c r="J94" s="24">
        <f t="shared" si="24"/>
        <v>28441.357911205228</v>
      </c>
      <c r="K94" s="25">
        <f t="shared" si="24"/>
        <v>29368.061898541389</v>
      </c>
    </row>
    <row r="95" spans="1:11" x14ac:dyDescent="0.2">
      <c r="A95" s="17"/>
      <c r="B95" s="8" t="s">
        <v>186</v>
      </c>
      <c r="D95" s="24">
        <f>D21</f>
        <v>6997.666666666667</v>
      </c>
      <c r="E95" s="24">
        <f t="shared" ref="E95:K95" si="25">E21</f>
        <v>4664.333333333333</v>
      </c>
      <c r="F95" s="24">
        <f t="shared" si="25"/>
        <v>4664.333333333333</v>
      </c>
      <c r="G95" s="24">
        <f t="shared" si="25"/>
        <v>4664.333333333333</v>
      </c>
      <c r="H95" s="24">
        <f t="shared" si="25"/>
        <v>4664.333333333333</v>
      </c>
      <c r="I95" s="24">
        <f t="shared" si="25"/>
        <v>4664.333333333333</v>
      </c>
      <c r="J95" s="24">
        <f t="shared" si="25"/>
        <v>4664.333333333333</v>
      </c>
      <c r="K95" s="25">
        <f t="shared" si="25"/>
        <v>4664.333333333333</v>
      </c>
    </row>
    <row r="96" spans="1:11" x14ac:dyDescent="0.2">
      <c r="A96" s="17"/>
      <c r="D96" s="24">
        <f>D94-D95</f>
        <v>15198.558333333331</v>
      </c>
      <c r="E96" s="24">
        <f t="shared" ref="E96:K96" si="26">E94-E95</f>
        <v>19532.991666666665</v>
      </c>
      <c r="F96" s="24">
        <f t="shared" si="26"/>
        <v>20332.374666666667</v>
      </c>
      <c r="G96" s="24">
        <f t="shared" si="26"/>
        <v>21155.739156666667</v>
      </c>
      <c r="H96" s="24">
        <f t="shared" si="26"/>
        <v>22003.804581366669</v>
      </c>
      <c r="I96" s="24">
        <f t="shared" si="26"/>
        <v>22877.311968807666</v>
      </c>
      <c r="J96" s="24">
        <f t="shared" si="26"/>
        <v>23777.024577871896</v>
      </c>
      <c r="K96" s="25">
        <f t="shared" si="26"/>
        <v>24703.728565208057</v>
      </c>
    </row>
    <row r="97" spans="1:13" x14ac:dyDescent="0.2">
      <c r="A97" s="17"/>
      <c r="B97" s="8" t="s">
        <v>187</v>
      </c>
      <c r="D97" s="24">
        <f>D96*$L$26</f>
        <v>2279.7837499999996</v>
      </c>
      <c r="E97" s="24">
        <f t="shared" ref="E97:K97" si="27">E96*$L$26</f>
        <v>2929.9487499999996</v>
      </c>
      <c r="F97" s="24">
        <f t="shared" si="27"/>
        <v>3049.8561999999997</v>
      </c>
      <c r="G97" s="24">
        <f t="shared" si="27"/>
        <v>3173.3608734999998</v>
      </c>
      <c r="H97" s="24">
        <f t="shared" si="27"/>
        <v>3300.570687205</v>
      </c>
      <c r="I97" s="24">
        <f t="shared" si="27"/>
        <v>3431.5967953211498</v>
      </c>
      <c r="J97" s="24">
        <f t="shared" si="27"/>
        <v>3566.5536866807843</v>
      </c>
      <c r="K97" s="25">
        <f t="shared" si="27"/>
        <v>3705.5592847812086</v>
      </c>
    </row>
    <row r="98" spans="1:13" x14ac:dyDescent="0.2">
      <c r="A98" s="17"/>
      <c r="D98" s="24"/>
      <c r="E98" s="24"/>
      <c r="F98" s="24"/>
      <c r="G98" s="24"/>
      <c r="H98" s="24"/>
      <c r="I98" s="24"/>
      <c r="J98" s="24"/>
      <c r="K98" s="25"/>
    </row>
    <row r="99" spans="1:13" x14ac:dyDescent="0.2">
      <c r="A99" s="17"/>
      <c r="B99" s="8" t="s">
        <v>188</v>
      </c>
      <c r="D99" s="24">
        <f>D96-D97+D95</f>
        <v>19916.44125</v>
      </c>
      <c r="E99" s="24">
        <f t="shared" ref="E99:K99" si="28">E96-E97+E95</f>
        <v>21267.376249999998</v>
      </c>
      <c r="F99" s="24">
        <f t="shared" si="28"/>
        <v>21946.8518</v>
      </c>
      <c r="G99" s="24">
        <f t="shared" si="28"/>
        <v>22646.711616500001</v>
      </c>
      <c r="H99" s="24">
        <f t="shared" si="28"/>
        <v>23367.567227495001</v>
      </c>
      <c r="I99" s="24">
        <f t="shared" si="28"/>
        <v>24110.048506819847</v>
      </c>
      <c r="J99" s="24">
        <f t="shared" si="28"/>
        <v>24874.804224524443</v>
      </c>
      <c r="K99" s="25">
        <f t="shared" si="28"/>
        <v>25662.502613760182</v>
      </c>
    </row>
    <row r="100" spans="1:13" x14ac:dyDescent="0.2">
      <c r="A100" s="17"/>
      <c r="K100" s="35"/>
    </row>
    <row r="101" spans="1:13" x14ac:dyDescent="0.2">
      <c r="A101" s="17" t="s">
        <v>189</v>
      </c>
      <c r="K101" s="35"/>
    </row>
    <row r="102" spans="1:13" x14ac:dyDescent="0.2">
      <c r="A102" s="17"/>
      <c r="B102" s="8" t="s">
        <v>190</v>
      </c>
      <c r="C102" s="24">
        <f>-(Forecast!D36+Forecast!D33)</f>
        <v>-299900</v>
      </c>
      <c r="K102" s="35"/>
    </row>
    <row r="103" spans="1:13" x14ac:dyDescent="0.2">
      <c r="A103" s="17"/>
      <c r="B103" s="8" t="s">
        <v>191</v>
      </c>
      <c r="K103" s="27">
        <f>L103*1.15</f>
        <v>299289.8</v>
      </c>
      <c r="L103" s="24">
        <f>-C102-SUM(D21:K21)</f>
        <v>260252</v>
      </c>
      <c r="M103" s="8" t="s">
        <v>194</v>
      </c>
    </row>
    <row r="104" spans="1:13" x14ac:dyDescent="0.2">
      <c r="A104" s="17"/>
      <c r="B104" s="8" t="s">
        <v>192</v>
      </c>
      <c r="K104" s="25">
        <f>-L104*L26</f>
        <v>-5855.6699999999983</v>
      </c>
      <c r="L104" s="24">
        <f>K103-L103</f>
        <v>39037.799999999988</v>
      </c>
      <c r="M104" s="8" t="s">
        <v>195</v>
      </c>
    </row>
    <row r="105" spans="1:13" x14ac:dyDescent="0.2">
      <c r="A105" s="17"/>
      <c r="K105" s="35"/>
    </row>
    <row r="106" spans="1:13" x14ac:dyDescent="0.2">
      <c r="A106" s="17" t="s">
        <v>196</v>
      </c>
      <c r="K106" s="35"/>
    </row>
    <row r="107" spans="1:13" x14ac:dyDescent="0.2">
      <c r="A107" s="17"/>
      <c r="B107" s="8" t="s">
        <v>64</v>
      </c>
      <c r="D107" s="24">
        <f>C32-D32</f>
        <v>-1482</v>
      </c>
      <c r="E107" s="24">
        <f t="shared" ref="E107:K107" si="29">D32-E32</f>
        <v>-44.460000000000036</v>
      </c>
      <c r="F107" s="24">
        <f t="shared" si="29"/>
        <v>-45.793799999999919</v>
      </c>
      <c r="G107" s="24">
        <f t="shared" si="29"/>
        <v>-47.167613999999958</v>
      </c>
      <c r="H107" s="24">
        <f t="shared" si="29"/>
        <v>-48.582642419999956</v>
      </c>
      <c r="I107" s="24">
        <f t="shared" si="29"/>
        <v>-50.040121692600223</v>
      </c>
      <c r="J107" s="24">
        <f t="shared" si="29"/>
        <v>-51.541325343378048</v>
      </c>
      <c r="K107" s="25">
        <f t="shared" si="29"/>
        <v>-53.087565103679481</v>
      </c>
    </row>
    <row r="108" spans="1:13" x14ac:dyDescent="0.2">
      <c r="A108" s="17"/>
      <c r="B108" s="8" t="s">
        <v>72</v>
      </c>
      <c r="D108" s="24">
        <f>D97-C97</f>
        <v>2279.7837499999996</v>
      </c>
      <c r="E108" s="24">
        <f t="shared" ref="E108:K108" si="30">E97-D97</f>
        <v>650.16499999999996</v>
      </c>
      <c r="F108" s="24">
        <f t="shared" si="30"/>
        <v>119.90745000000015</v>
      </c>
      <c r="G108" s="24">
        <f t="shared" si="30"/>
        <v>123.50467350000008</v>
      </c>
      <c r="H108" s="24">
        <f t="shared" si="30"/>
        <v>127.20981370500022</v>
      </c>
      <c r="I108" s="24">
        <f t="shared" si="30"/>
        <v>131.02610811614977</v>
      </c>
      <c r="J108" s="24">
        <f t="shared" si="30"/>
        <v>134.95689135963448</v>
      </c>
      <c r="K108" s="25">
        <f t="shared" si="30"/>
        <v>139.00559810042432</v>
      </c>
    </row>
    <row r="109" spans="1:13" x14ac:dyDescent="0.2">
      <c r="A109" s="17"/>
      <c r="K109" s="35"/>
    </row>
    <row r="110" spans="1:13" x14ac:dyDescent="0.2">
      <c r="A110" s="17" t="s">
        <v>197</v>
      </c>
      <c r="K110" s="35"/>
    </row>
    <row r="111" spans="1:13" x14ac:dyDescent="0.2">
      <c r="A111" s="17"/>
      <c r="B111" s="8" t="s">
        <v>64</v>
      </c>
      <c r="K111" s="25">
        <f>-SUM(D107:K107)</f>
        <v>1822.6730685596576</v>
      </c>
    </row>
    <row r="112" spans="1:13" x14ac:dyDescent="0.2">
      <c r="A112" s="17"/>
      <c r="B112" s="8" t="s">
        <v>72</v>
      </c>
      <c r="K112" s="25">
        <f>-SUM(D108:K108)</f>
        <v>-3705.5592847812086</v>
      </c>
    </row>
    <row r="113" spans="1:11" x14ac:dyDescent="0.2">
      <c r="A113" s="17"/>
      <c r="K113" s="35"/>
    </row>
    <row r="114" spans="1:11" x14ac:dyDescent="0.2">
      <c r="A114" s="17" t="s">
        <v>198</v>
      </c>
      <c r="C114" s="26">
        <f>SUM(C99:C112)</f>
        <v>-299900</v>
      </c>
      <c r="D114" s="26">
        <f t="shared" ref="D114:K114" si="31">SUM(D99:D112)</f>
        <v>20714.224999999999</v>
      </c>
      <c r="E114" s="26">
        <f t="shared" si="31"/>
        <v>21873.081249999999</v>
      </c>
      <c r="F114" s="26">
        <f t="shared" si="31"/>
        <v>22020.96545</v>
      </c>
      <c r="G114" s="26">
        <f t="shared" si="31"/>
        <v>22723.048675999999</v>
      </c>
      <c r="H114" s="26">
        <f t="shared" si="31"/>
        <v>23446.194398780004</v>
      </c>
      <c r="I114" s="26">
        <f t="shared" si="31"/>
        <v>24191.034493243395</v>
      </c>
      <c r="J114" s="26">
        <f t="shared" si="31"/>
        <v>24958.219790540697</v>
      </c>
      <c r="K114" s="27">
        <f t="shared" si="31"/>
        <v>317299.6644305354</v>
      </c>
    </row>
    <row r="115" spans="1:11" x14ac:dyDescent="0.2">
      <c r="A115" s="17"/>
      <c r="K115" s="35"/>
    </row>
    <row r="116" spans="1:11" x14ac:dyDescent="0.2">
      <c r="A116" s="17" t="s">
        <v>184</v>
      </c>
      <c r="B116" s="64">
        <f>IRR(C114:K114)</f>
        <v>7.3862065467875215E-2</v>
      </c>
      <c r="K116" s="35"/>
    </row>
    <row r="117" spans="1:11" x14ac:dyDescent="0.2">
      <c r="A117" s="17"/>
      <c r="C117" s="8">
        <v>0</v>
      </c>
      <c r="D117" s="8">
        <v>1</v>
      </c>
      <c r="E117" s="8">
        <v>2</v>
      </c>
      <c r="F117" s="8">
        <v>3</v>
      </c>
      <c r="G117" s="8">
        <v>4</v>
      </c>
      <c r="H117" s="8">
        <v>5</v>
      </c>
      <c r="I117" s="8">
        <v>6</v>
      </c>
      <c r="J117" s="8">
        <v>7</v>
      </c>
      <c r="K117" s="35">
        <v>8</v>
      </c>
    </row>
    <row r="118" spans="1:11" x14ac:dyDescent="0.2">
      <c r="A118" s="17" t="s">
        <v>199</v>
      </c>
      <c r="C118" s="65">
        <f>-PV($G$90,C117,,C114)</f>
        <v>-299900</v>
      </c>
      <c r="D118" s="65">
        <f t="shared" ref="D118:K118" si="32">-PV($G$90,D117,,D114)</f>
        <v>19712.935179381366</v>
      </c>
      <c r="E118" s="65">
        <f t="shared" si="32"/>
        <v>19809.575782714765</v>
      </c>
      <c r="F118" s="65">
        <f t="shared" si="32"/>
        <v>18979.473872002298</v>
      </c>
      <c r="G118" s="65">
        <f t="shared" si="32"/>
        <v>18637.901709244692</v>
      </c>
      <c r="H118" s="65">
        <f t="shared" si="32"/>
        <v>18301.445140062129</v>
      </c>
      <c r="I118" s="65">
        <f t="shared" si="32"/>
        <v>17970.082382737641</v>
      </c>
      <c r="J118" s="65">
        <f t="shared" si="32"/>
        <v>17643.788246211108</v>
      </c>
      <c r="K118" s="66">
        <f t="shared" si="32"/>
        <v>213466.85384224509</v>
      </c>
    </row>
    <row r="119" spans="1:11" x14ac:dyDescent="0.2">
      <c r="A119" s="20" t="s">
        <v>200</v>
      </c>
      <c r="B119" s="67">
        <f>SUM(C118:K118)</f>
        <v>44622.056154599064</v>
      </c>
      <c r="C119" s="21"/>
      <c r="D119" s="21"/>
      <c r="E119" s="21"/>
      <c r="F119" s="21"/>
      <c r="G119" s="21"/>
      <c r="H119" s="21"/>
      <c r="I119" s="21"/>
      <c r="J119" s="21"/>
      <c r="K119" s="51"/>
    </row>
    <row r="121" spans="1:11" x14ac:dyDescent="0.2">
      <c r="A121" s="33" t="s">
        <v>201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34"/>
    </row>
    <row r="122" spans="1:11" x14ac:dyDescent="0.2">
      <c r="A122" s="17" t="s">
        <v>183</v>
      </c>
      <c r="C122" s="61">
        <f>G90</f>
        <v>5.0793542996373606E-2</v>
      </c>
      <c r="G122" s="8" t="s">
        <v>169</v>
      </c>
      <c r="H122" s="60">
        <f>D74</f>
        <v>1.5E-3</v>
      </c>
      <c r="K122" s="35"/>
    </row>
    <row r="123" spans="1:11" x14ac:dyDescent="0.2">
      <c r="A123" s="17" t="s">
        <v>184</v>
      </c>
      <c r="C123" s="61">
        <f>B116</f>
        <v>7.3862065467875215E-2</v>
      </c>
      <c r="G123" s="8" t="s">
        <v>177</v>
      </c>
      <c r="H123" s="60">
        <f>D75</f>
        <v>0.08</v>
      </c>
      <c r="K123" s="35"/>
    </row>
    <row r="124" spans="1:11" x14ac:dyDescent="0.2">
      <c r="A124" s="17" t="s">
        <v>175</v>
      </c>
      <c r="C124" s="8">
        <f>D73</f>
        <v>0.82709999999999995</v>
      </c>
      <c r="G124" s="8" t="s">
        <v>203</v>
      </c>
      <c r="H124" s="68">
        <f>C125*(1+(1-L26)*(C128/C129))</f>
        <v>-0.86420010782564172</v>
      </c>
      <c r="K124" s="35"/>
    </row>
    <row r="125" spans="1:11" x14ac:dyDescent="0.2">
      <c r="A125" s="17" t="s">
        <v>202</v>
      </c>
      <c r="C125" s="68">
        <f>C124/(1+(1-L26)*(F88/F89))</f>
        <v>0.31783434123732796</v>
      </c>
      <c r="G125" s="8" t="s">
        <v>176</v>
      </c>
      <c r="H125" s="60">
        <f>H122+H124*(H123-H122)</f>
        <v>-6.6339708464312877E-2</v>
      </c>
      <c r="K125" s="35"/>
    </row>
    <row r="126" spans="1:11" x14ac:dyDescent="0.2">
      <c r="A126" s="17"/>
      <c r="K126" s="35"/>
    </row>
    <row r="127" spans="1:11" x14ac:dyDescent="0.2">
      <c r="A127" s="17"/>
      <c r="D127" s="8" t="s">
        <v>43</v>
      </c>
      <c r="E127" s="8" t="s">
        <v>183</v>
      </c>
      <c r="K127" s="35"/>
    </row>
    <row r="128" spans="1:11" x14ac:dyDescent="0.2">
      <c r="A128" s="17" t="s">
        <v>204</v>
      </c>
      <c r="C128" s="28">
        <v>1.2962677048006173</v>
      </c>
      <c r="D128" s="61">
        <f>E88</f>
        <v>0.05</v>
      </c>
      <c r="E128" s="70">
        <f>C128*D128*(1-L26)</f>
        <v>5.5091377454026237E-2</v>
      </c>
      <c r="K128" s="35"/>
    </row>
    <row r="129" spans="1:11" x14ac:dyDescent="0.2">
      <c r="A129" s="17" t="s">
        <v>205</v>
      </c>
      <c r="C129" s="28">
        <f>1-C128</f>
        <v>-0.29626770480061726</v>
      </c>
      <c r="D129" s="61">
        <f>H125</f>
        <v>-6.6339708464312877E-2</v>
      </c>
      <c r="E129" s="69">
        <f>C129*D129</f>
        <v>1.9654313163864057E-2</v>
      </c>
      <c r="K129" s="35"/>
    </row>
    <row r="130" spans="1:11" x14ac:dyDescent="0.2">
      <c r="A130" s="17"/>
      <c r="E130" s="69">
        <f>SUM(E128:E129)</f>
        <v>7.4745690617890298E-2</v>
      </c>
      <c r="K130" s="35"/>
    </row>
    <row r="131" spans="1:11" x14ac:dyDescent="0.2">
      <c r="A131" s="72" t="s">
        <v>206</v>
      </c>
      <c r="B131" s="73"/>
      <c r="C131" s="73"/>
      <c r="D131" s="73"/>
      <c r="E131" s="74"/>
      <c r="F131" s="74"/>
      <c r="G131" s="74"/>
      <c r="H131" s="74"/>
      <c r="I131" s="74"/>
      <c r="J131" s="74"/>
      <c r="K131" s="75"/>
    </row>
    <row r="132" spans="1:11" x14ac:dyDescent="0.2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</row>
    <row r="133" spans="1:11" x14ac:dyDescent="0.2">
      <c r="A133" s="76"/>
      <c r="B133" s="76"/>
      <c r="C133" s="76"/>
      <c r="D133" s="76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opLeftCell="A13" workbookViewId="0">
      <selection activeCell="F13" sqref="F13"/>
    </sheetView>
  </sheetViews>
  <sheetFormatPr defaultColWidth="11.42578125" defaultRowHeight="12.75" x14ac:dyDescent="0.2"/>
  <cols>
    <col min="1" max="1" width="30.140625" style="38" customWidth="1"/>
    <col min="2" max="3" width="12.7109375" style="38" customWidth="1"/>
    <col min="4" max="4" width="12.85546875" style="38" customWidth="1"/>
    <col min="5" max="5" width="13.42578125" style="38" customWidth="1"/>
    <col min="6" max="6" width="12.42578125" style="38" customWidth="1"/>
    <col min="7" max="16384" width="11.42578125" style="38"/>
  </cols>
  <sheetData>
    <row r="1" spans="1:9" x14ac:dyDescent="0.2">
      <c r="B1" s="38" t="s">
        <v>47</v>
      </c>
      <c r="C1" s="38" t="s">
        <v>46</v>
      </c>
      <c r="D1" s="38" t="s">
        <v>45</v>
      </c>
      <c r="E1" s="38" t="s">
        <v>37</v>
      </c>
      <c r="F1" s="38" t="s">
        <v>44</v>
      </c>
      <c r="H1" s="38" t="s">
        <v>43</v>
      </c>
      <c r="I1" s="39">
        <v>0.05</v>
      </c>
    </row>
    <row r="2" spans="1:9" x14ac:dyDescent="0.2">
      <c r="A2" s="4" t="s">
        <v>36</v>
      </c>
      <c r="B2" s="1">
        <f>I6</f>
        <v>199900</v>
      </c>
      <c r="C2" s="1">
        <f t="shared" ref="C2:C13" si="0">+E2-D2</f>
        <v>240.18975773459931</v>
      </c>
      <c r="D2" s="1">
        <f t="shared" ref="D2:D13" si="1">B2*$I$2</f>
        <v>832.91666666666663</v>
      </c>
      <c r="E2" s="1">
        <f t="shared" ref="E2:E13" si="2">-$I$8</f>
        <v>1073.1064244012659</v>
      </c>
      <c r="F2" s="1">
        <f t="shared" ref="F2:F13" si="3">+B2-C2</f>
        <v>199659.8102422654</v>
      </c>
      <c r="H2" s="38" t="s">
        <v>42</v>
      </c>
      <c r="I2" s="39">
        <f>+I1/12</f>
        <v>4.1666666666666666E-3</v>
      </c>
    </row>
    <row r="3" spans="1:9" x14ac:dyDescent="0.2">
      <c r="A3" s="4" t="s">
        <v>35</v>
      </c>
      <c r="B3" s="1">
        <f t="shared" ref="B3:B13" si="4">+F2</f>
        <v>199659.8102422654</v>
      </c>
      <c r="C3" s="1">
        <f t="shared" si="0"/>
        <v>241.19054839182672</v>
      </c>
      <c r="D3" s="1">
        <f t="shared" si="1"/>
        <v>831.91587600943922</v>
      </c>
      <c r="E3" s="1">
        <f t="shared" si="2"/>
        <v>1073.1064244012659</v>
      </c>
      <c r="F3" s="1">
        <f t="shared" si="3"/>
        <v>199418.61969387357</v>
      </c>
      <c r="H3" s="38" t="s">
        <v>41</v>
      </c>
      <c r="I3" s="40">
        <v>0</v>
      </c>
    </row>
    <row r="4" spans="1:9" x14ac:dyDescent="0.2">
      <c r="A4" s="4" t="s">
        <v>34</v>
      </c>
      <c r="B4" s="1">
        <f t="shared" si="4"/>
        <v>199418.61969387357</v>
      </c>
      <c r="C4" s="1">
        <f t="shared" si="0"/>
        <v>242.1955090101261</v>
      </c>
      <c r="D4" s="1">
        <f t="shared" si="1"/>
        <v>830.91091539113984</v>
      </c>
      <c r="E4" s="1">
        <f t="shared" si="2"/>
        <v>1073.1064244012659</v>
      </c>
      <c r="F4" s="1">
        <f t="shared" si="3"/>
        <v>199176.42418486343</v>
      </c>
      <c r="H4" s="38" t="s">
        <v>40</v>
      </c>
      <c r="I4" s="41">
        <f>12*30</f>
        <v>360</v>
      </c>
    </row>
    <row r="5" spans="1:9" x14ac:dyDescent="0.2">
      <c r="A5" s="4" t="s">
        <v>33</v>
      </c>
      <c r="B5" s="1">
        <f t="shared" si="4"/>
        <v>199176.42418486343</v>
      </c>
      <c r="C5" s="1">
        <f t="shared" si="0"/>
        <v>243.20465696433496</v>
      </c>
      <c r="D5" s="1">
        <f t="shared" si="1"/>
        <v>829.90176743693098</v>
      </c>
      <c r="E5" s="1">
        <f t="shared" si="2"/>
        <v>1073.1064244012659</v>
      </c>
      <c r="F5" s="1">
        <f t="shared" si="3"/>
        <v>198933.21952789908</v>
      </c>
      <c r="H5" s="38" t="s">
        <v>39</v>
      </c>
      <c r="I5" s="38">
        <v>0</v>
      </c>
    </row>
    <row r="6" spans="1:9" x14ac:dyDescent="0.2">
      <c r="A6" s="4" t="s">
        <v>32</v>
      </c>
      <c r="B6" s="1">
        <f t="shared" si="4"/>
        <v>198933.21952789908</v>
      </c>
      <c r="C6" s="1">
        <f t="shared" si="0"/>
        <v>244.21800970168647</v>
      </c>
      <c r="D6" s="1">
        <f t="shared" si="1"/>
        <v>828.88841469957947</v>
      </c>
      <c r="E6" s="1">
        <f t="shared" si="2"/>
        <v>1073.1064244012659</v>
      </c>
      <c r="F6" s="1">
        <f t="shared" si="3"/>
        <v>198689.00151819739</v>
      </c>
      <c r="H6" s="38" t="s">
        <v>38</v>
      </c>
      <c r="I6" s="40">
        <v>199900</v>
      </c>
    </row>
    <row r="7" spans="1:9" x14ac:dyDescent="0.2">
      <c r="A7" s="4" t="s">
        <v>31</v>
      </c>
      <c r="B7" s="1">
        <f t="shared" si="4"/>
        <v>198689.00151819739</v>
      </c>
      <c r="C7" s="1">
        <f t="shared" si="0"/>
        <v>245.23558474211018</v>
      </c>
      <c r="D7" s="1">
        <f t="shared" si="1"/>
        <v>827.87083965915576</v>
      </c>
      <c r="E7" s="1">
        <f t="shared" si="2"/>
        <v>1073.1064244012659</v>
      </c>
      <c r="F7" s="1">
        <f t="shared" si="3"/>
        <v>198443.76593345529</v>
      </c>
    </row>
    <row r="8" spans="1:9" x14ac:dyDescent="0.2">
      <c r="A8" s="4" t="s">
        <v>30</v>
      </c>
      <c r="B8" s="1">
        <f t="shared" si="4"/>
        <v>198443.76593345529</v>
      </c>
      <c r="C8" s="1">
        <f t="shared" si="0"/>
        <v>246.25739967853553</v>
      </c>
      <c r="D8" s="1">
        <f t="shared" si="1"/>
        <v>826.84902472273041</v>
      </c>
      <c r="E8" s="1">
        <f t="shared" si="2"/>
        <v>1073.1064244012659</v>
      </c>
      <c r="F8" s="1">
        <f t="shared" si="3"/>
        <v>198197.50853377677</v>
      </c>
      <c r="H8" s="38" t="s">
        <v>37</v>
      </c>
      <c r="I8" s="40">
        <f>PMT(I2,I4,I6,I3,I5)</f>
        <v>-1073.1064244012659</v>
      </c>
    </row>
    <row r="9" spans="1:9" x14ac:dyDescent="0.2">
      <c r="A9" s="4" t="s">
        <v>29</v>
      </c>
      <c r="B9" s="1">
        <f t="shared" si="4"/>
        <v>198197.50853377677</v>
      </c>
      <c r="C9" s="1">
        <f t="shared" si="0"/>
        <v>247.28347217719613</v>
      </c>
      <c r="D9" s="1">
        <f t="shared" si="1"/>
        <v>825.82295222406981</v>
      </c>
      <c r="E9" s="1">
        <f t="shared" si="2"/>
        <v>1073.1064244012659</v>
      </c>
      <c r="F9" s="1">
        <f t="shared" si="3"/>
        <v>197950.22506159957</v>
      </c>
    </row>
    <row r="10" spans="1:9" x14ac:dyDescent="0.2">
      <c r="A10" s="4" t="s">
        <v>28</v>
      </c>
      <c r="B10" s="1">
        <f t="shared" si="4"/>
        <v>197950.22506159957</v>
      </c>
      <c r="C10" s="1">
        <f t="shared" si="0"/>
        <v>248.31381997793437</v>
      </c>
      <c r="D10" s="1">
        <f t="shared" si="1"/>
        <v>824.79260442333157</v>
      </c>
      <c r="E10" s="1">
        <f t="shared" si="2"/>
        <v>1073.1064244012659</v>
      </c>
      <c r="F10" s="1">
        <f t="shared" si="3"/>
        <v>197701.91124162165</v>
      </c>
    </row>
    <row r="11" spans="1:9" x14ac:dyDescent="0.2">
      <c r="A11" s="4" t="s">
        <v>27</v>
      </c>
      <c r="B11" s="1">
        <f t="shared" si="4"/>
        <v>197701.91124162165</v>
      </c>
      <c r="C11" s="1">
        <f t="shared" si="0"/>
        <v>249.34846089450912</v>
      </c>
      <c r="D11" s="1">
        <f t="shared" si="1"/>
        <v>823.75796350675682</v>
      </c>
      <c r="E11" s="1">
        <f t="shared" si="2"/>
        <v>1073.1064244012659</v>
      </c>
      <c r="F11" s="1">
        <f t="shared" si="3"/>
        <v>197452.56278072714</v>
      </c>
    </row>
    <row r="12" spans="1:9" x14ac:dyDescent="0.2">
      <c r="A12" s="4" t="s">
        <v>26</v>
      </c>
      <c r="B12" s="1">
        <f t="shared" si="4"/>
        <v>197452.56278072714</v>
      </c>
      <c r="C12" s="1">
        <f t="shared" si="0"/>
        <v>250.38741281490286</v>
      </c>
      <c r="D12" s="1">
        <f t="shared" si="1"/>
        <v>822.71901158636308</v>
      </c>
      <c r="E12" s="1">
        <f t="shared" si="2"/>
        <v>1073.1064244012659</v>
      </c>
      <c r="F12" s="1">
        <f t="shared" si="3"/>
        <v>197202.17536791225</v>
      </c>
    </row>
    <row r="13" spans="1:9" x14ac:dyDescent="0.2">
      <c r="A13" s="4" t="s">
        <v>25</v>
      </c>
      <c r="B13" s="1">
        <f t="shared" si="4"/>
        <v>197202.17536791225</v>
      </c>
      <c r="C13" s="1">
        <f t="shared" si="0"/>
        <v>251.43069370163164</v>
      </c>
      <c r="D13" s="1">
        <f t="shared" si="1"/>
        <v>821.6757306996343</v>
      </c>
      <c r="E13" s="1">
        <f t="shared" si="2"/>
        <v>1073.1064244012659</v>
      </c>
      <c r="F13" s="2">
        <f t="shared" si="3"/>
        <v>196950.74467421061</v>
      </c>
    </row>
    <row r="14" spans="1:9" x14ac:dyDescent="0.2">
      <c r="A14" s="5" t="s">
        <v>0</v>
      </c>
      <c r="B14" s="5"/>
      <c r="C14" s="2">
        <f>SUM(C2:C13)</f>
        <v>2949.2553257893933</v>
      </c>
      <c r="D14" s="2">
        <f>SUM(D2:D13)</f>
        <v>9928.0217670257989</v>
      </c>
      <c r="E14" s="1"/>
      <c r="F14" s="1"/>
    </row>
    <row r="15" spans="1:9" x14ac:dyDescent="0.2">
      <c r="B15" s="4"/>
      <c r="C15" s="1"/>
      <c r="D15" s="1"/>
      <c r="E15" s="1"/>
      <c r="F15" s="1"/>
    </row>
    <row r="16" spans="1:9" x14ac:dyDescent="0.2">
      <c r="A16" s="4" t="s">
        <v>24</v>
      </c>
      <c r="B16" s="1">
        <f>+F13</f>
        <v>196950.74467421061</v>
      </c>
      <c r="C16" s="1">
        <f t="shared" ref="C16:C27" si="5">+E16-D16</f>
        <v>252.47832159205507</v>
      </c>
      <c r="D16" s="1">
        <f t="shared" ref="D16:D27" si="6">B16*$I$2</f>
        <v>820.62810280921087</v>
      </c>
      <c r="E16" s="1">
        <f t="shared" ref="E16:E27" si="7">-$I$8</f>
        <v>1073.1064244012659</v>
      </c>
      <c r="F16" s="1">
        <f t="shared" ref="F16:F27" si="8">+B16-C16</f>
        <v>196698.26635261855</v>
      </c>
    </row>
    <row r="17" spans="1:6" x14ac:dyDescent="0.2">
      <c r="A17" s="4" t="s">
        <v>23</v>
      </c>
      <c r="B17" s="1">
        <f t="shared" ref="B17:B27" si="9">+F16</f>
        <v>196698.26635261855</v>
      </c>
      <c r="C17" s="1">
        <f t="shared" si="5"/>
        <v>253.53031459868862</v>
      </c>
      <c r="D17" s="1">
        <f t="shared" si="6"/>
        <v>819.57610980257732</v>
      </c>
      <c r="E17" s="1">
        <f t="shared" si="7"/>
        <v>1073.1064244012659</v>
      </c>
      <c r="F17" s="1">
        <f t="shared" si="8"/>
        <v>196444.73603801985</v>
      </c>
    </row>
    <row r="18" spans="1:6" x14ac:dyDescent="0.2">
      <c r="A18" s="4" t="s">
        <v>22</v>
      </c>
      <c r="B18" s="1">
        <f t="shared" si="9"/>
        <v>196444.73603801985</v>
      </c>
      <c r="C18" s="1">
        <f t="shared" si="5"/>
        <v>254.58669090951662</v>
      </c>
      <c r="D18" s="1">
        <f t="shared" si="6"/>
        <v>818.51973349174932</v>
      </c>
      <c r="E18" s="1">
        <f t="shared" si="7"/>
        <v>1073.1064244012659</v>
      </c>
      <c r="F18" s="1">
        <f t="shared" si="8"/>
        <v>196190.14934711033</v>
      </c>
    </row>
    <row r="19" spans="1:6" x14ac:dyDescent="0.2">
      <c r="A19" s="4" t="s">
        <v>21</v>
      </c>
      <c r="B19" s="1">
        <f t="shared" si="9"/>
        <v>196190.14934711033</v>
      </c>
      <c r="C19" s="1">
        <f t="shared" si="5"/>
        <v>255.64746878830624</v>
      </c>
      <c r="D19" s="1">
        <f t="shared" si="6"/>
        <v>817.4589556129597</v>
      </c>
      <c r="E19" s="1">
        <f t="shared" si="7"/>
        <v>1073.1064244012659</v>
      </c>
      <c r="F19" s="1">
        <f t="shared" si="8"/>
        <v>195934.50187832201</v>
      </c>
    </row>
    <row r="20" spans="1:6" x14ac:dyDescent="0.2">
      <c r="A20" s="4" t="s">
        <v>20</v>
      </c>
      <c r="B20" s="1">
        <f t="shared" si="9"/>
        <v>195934.50187832201</v>
      </c>
      <c r="C20" s="1">
        <f t="shared" si="5"/>
        <v>256.71266657492424</v>
      </c>
      <c r="D20" s="1">
        <f t="shared" si="6"/>
        <v>816.3937578263417</v>
      </c>
      <c r="E20" s="1">
        <f t="shared" si="7"/>
        <v>1073.1064244012659</v>
      </c>
      <c r="F20" s="1">
        <f t="shared" si="8"/>
        <v>195677.78921174709</v>
      </c>
    </row>
    <row r="21" spans="1:6" x14ac:dyDescent="0.2">
      <c r="A21" s="4" t="s">
        <v>19</v>
      </c>
      <c r="B21" s="1">
        <f t="shared" si="9"/>
        <v>195677.78921174709</v>
      </c>
      <c r="C21" s="1">
        <f t="shared" si="5"/>
        <v>257.78230268565312</v>
      </c>
      <c r="D21" s="1">
        <f t="shared" si="6"/>
        <v>815.32412171561282</v>
      </c>
      <c r="E21" s="1">
        <f t="shared" si="7"/>
        <v>1073.1064244012659</v>
      </c>
      <c r="F21" s="1">
        <f t="shared" si="8"/>
        <v>195420.00690906143</v>
      </c>
    </row>
    <row r="22" spans="1:6" x14ac:dyDescent="0.2">
      <c r="A22" s="4" t="s">
        <v>18</v>
      </c>
      <c r="B22" s="1">
        <f t="shared" si="9"/>
        <v>195420.00690906143</v>
      </c>
      <c r="C22" s="1">
        <f t="shared" si="5"/>
        <v>258.85639561351002</v>
      </c>
      <c r="D22" s="1">
        <f t="shared" si="6"/>
        <v>814.25002878775592</v>
      </c>
      <c r="E22" s="1">
        <f t="shared" si="7"/>
        <v>1073.1064244012659</v>
      </c>
      <c r="F22" s="1">
        <f t="shared" si="8"/>
        <v>195161.15051344791</v>
      </c>
    </row>
    <row r="23" spans="1:6" x14ac:dyDescent="0.2">
      <c r="A23" s="4" t="s">
        <v>17</v>
      </c>
      <c r="B23" s="1">
        <f t="shared" si="9"/>
        <v>195161.15051344791</v>
      </c>
      <c r="C23" s="1">
        <f t="shared" si="5"/>
        <v>259.93496392856628</v>
      </c>
      <c r="D23" s="1">
        <f t="shared" si="6"/>
        <v>813.17146047269966</v>
      </c>
      <c r="E23" s="1">
        <f t="shared" si="7"/>
        <v>1073.1064244012659</v>
      </c>
      <c r="F23" s="1">
        <f t="shared" si="8"/>
        <v>194901.21554951934</v>
      </c>
    </row>
    <row r="24" spans="1:6" x14ac:dyDescent="0.2">
      <c r="A24" s="4" t="s">
        <v>16</v>
      </c>
      <c r="B24" s="1">
        <f t="shared" si="9"/>
        <v>194901.21554951934</v>
      </c>
      <c r="C24" s="1">
        <f t="shared" si="5"/>
        <v>261.01802627826874</v>
      </c>
      <c r="D24" s="1">
        <f t="shared" si="6"/>
        <v>812.08839812299721</v>
      </c>
      <c r="E24" s="1">
        <f t="shared" si="7"/>
        <v>1073.1064244012659</v>
      </c>
      <c r="F24" s="1">
        <f t="shared" si="8"/>
        <v>194640.19752324108</v>
      </c>
    </row>
    <row r="25" spans="1:6" x14ac:dyDescent="0.2">
      <c r="A25" s="4" t="s">
        <v>15</v>
      </c>
      <c r="B25" s="1">
        <f t="shared" si="9"/>
        <v>194640.19752324108</v>
      </c>
      <c r="C25" s="1">
        <f t="shared" si="5"/>
        <v>262.10560138776145</v>
      </c>
      <c r="D25" s="1">
        <f t="shared" si="6"/>
        <v>811.00082301350449</v>
      </c>
      <c r="E25" s="1">
        <f t="shared" si="7"/>
        <v>1073.1064244012659</v>
      </c>
      <c r="F25" s="1">
        <f t="shared" si="8"/>
        <v>194378.09192185331</v>
      </c>
    </row>
    <row r="26" spans="1:6" x14ac:dyDescent="0.2">
      <c r="A26" s="4" t="s">
        <v>14</v>
      </c>
      <c r="B26" s="1">
        <f t="shared" si="9"/>
        <v>194378.09192185331</v>
      </c>
      <c r="C26" s="1">
        <f t="shared" si="5"/>
        <v>263.19770806021052</v>
      </c>
      <c r="D26" s="1">
        <f t="shared" si="6"/>
        <v>809.90871634105542</v>
      </c>
      <c r="E26" s="1">
        <f t="shared" si="7"/>
        <v>1073.1064244012659</v>
      </c>
      <c r="F26" s="1">
        <f t="shared" si="8"/>
        <v>194114.8942137931</v>
      </c>
    </row>
    <row r="27" spans="1:6" x14ac:dyDescent="0.2">
      <c r="A27" s="4" t="s">
        <v>13</v>
      </c>
      <c r="B27" s="1">
        <f t="shared" si="9"/>
        <v>194114.8942137931</v>
      </c>
      <c r="C27" s="1">
        <f t="shared" si="5"/>
        <v>264.29436517712804</v>
      </c>
      <c r="D27" s="1">
        <f t="shared" si="6"/>
        <v>808.8120592241379</v>
      </c>
      <c r="E27" s="1">
        <f t="shared" si="7"/>
        <v>1073.1064244012659</v>
      </c>
      <c r="F27" s="2">
        <f t="shared" si="8"/>
        <v>193850.59984861597</v>
      </c>
    </row>
    <row r="28" spans="1:6" x14ac:dyDescent="0.2">
      <c r="A28" s="5" t="s">
        <v>0</v>
      </c>
      <c r="B28" s="5"/>
      <c r="C28" s="2">
        <f>SUM(C16:C27)</f>
        <v>3100.1448255945888</v>
      </c>
      <c r="D28" s="2">
        <f>SUM(D16:D27)</f>
        <v>9777.1322672206006</v>
      </c>
      <c r="E28" s="1"/>
      <c r="F28" s="1"/>
    </row>
    <row r="29" spans="1:6" x14ac:dyDescent="0.2">
      <c r="B29" s="4"/>
      <c r="C29" s="1"/>
      <c r="D29" s="1"/>
      <c r="E29" s="1"/>
      <c r="F29" s="1"/>
    </row>
    <row r="30" spans="1:6" x14ac:dyDescent="0.2">
      <c r="A30" s="4" t="s">
        <v>12</v>
      </c>
      <c r="B30" s="1">
        <f>+F27</f>
        <v>193850.59984861597</v>
      </c>
      <c r="C30" s="1">
        <f t="shared" ref="C30:C41" si="10">+E30-D30</f>
        <v>265.39559169869938</v>
      </c>
      <c r="D30" s="1">
        <f t="shared" ref="D30:D41" si="11">B30*$I$2</f>
        <v>807.71083270256656</v>
      </c>
      <c r="E30" s="1">
        <f t="shared" ref="E30:E41" si="12">-$I$8</f>
        <v>1073.1064244012659</v>
      </c>
      <c r="F30" s="1">
        <f t="shared" ref="F30:F41" si="13">+B30-C30</f>
        <v>193585.20425691726</v>
      </c>
    </row>
    <row r="31" spans="1:6" x14ac:dyDescent="0.2">
      <c r="A31" s="4" t="s">
        <v>11</v>
      </c>
      <c r="B31" s="1">
        <f t="shared" ref="B31:B41" si="14">+F30</f>
        <v>193585.20425691726</v>
      </c>
      <c r="C31" s="1">
        <f t="shared" si="10"/>
        <v>266.50140666411073</v>
      </c>
      <c r="D31" s="1">
        <f t="shared" si="11"/>
        <v>806.60501773715521</v>
      </c>
      <c r="E31" s="1">
        <f t="shared" si="12"/>
        <v>1073.1064244012659</v>
      </c>
      <c r="F31" s="1">
        <f t="shared" si="13"/>
        <v>193318.70285025315</v>
      </c>
    </row>
    <row r="32" spans="1:6" x14ac:dyDescent="0.2">
      <c r="A32" s="4" t="s">
        <v>10</v>
      </c>
      <c r="B32" s="1">
        <f t="shared" si="14"/>
        <v>193318.70285025315</v>
      </c>
      <c r="C32" s="1">
        <f t="shared" si="10"/>
        <v>267.61182919187786</v>
      </c>
      <c r="D32" s="1">
        <f t="shared" si="11"/>
        <v>805.49459520938808</v>
      </c>
      <c r="E32" s="1">
        <f t="shared" si="12"/>
        <v>1073.1064244012659</v>
      </c>
      <c r="F32" s="1">
        <f t="shared" si="13"/>
        <v>193051.09102106126</v>
      </c>
    </row>
    <row r="33" spans="1:6" x14ac:dyDescent="0.2">
      <c r="A33" s="4" t="s">
        <v>9</v>
      </c>
      <c r="B33" s="1">
        <f t="shared" si="14"/>
        <v>193051.09102106126</v>
      </c>
      <c r="C33" s="1">
        <f t="shared" si="10"/>
        <v>268.72687848017733</v>
      </c>
      <c r="D33" s="1">
        <f t="shared" si="11"/>
        <v>804.37954592108861</v>
      </c>
      <c r="E33" s="1">
        <f t="shared" si="12"/>
        <v>1073.1064244012659</v>
      </c>
      <c r="F33" s="1">
        <f t="shared" si="13"/>
        <v>192782.36414258109</v>
      </c>
    </row>
    <row r="34" spans="1:6" x14ac:dyDescent="0.2">
      <c r="A34" s="4" t="s">
        <v>8</v>
      </c>
      <c r="B34" s="1">
        <f t="shared" si="14"/>
        <v>192782.36414258109</v>
      </c>
      <c r="C34" s="1">
        <f t="shared" si="10"/>
        <v>269.84657380717806</v>
      </c>
      <c r="D34" s="1">
        <f t="shared" si="11"/>
        <v>803.25985059408788</v>
      </c>
      <c r="E34" s="1">
        <f t="shared" si="12"/>
        <v>1073.1064244012659</v>
      </c>
      <c r="F34" s="1">
        <f t="shared" si="13"/>
        <v>192512.51756877391</v>
      </c>
    </row>
    <row r="35" spans="1:6" x14ac:dyDescent="0.2">
      <c r="A35" s="4" t="s">
        <v>7</v>
      </c>
      <c r="B35" s="1">
        <f t="shared" si="14"/>
        <v>192512.51756877391</v>
      </c>
      <c r="C35" s="1">
        <f t="shared" si="10"/>
        <v>270.97093453137461</v>
      </c>
      <c r="D35" s="1">
        <f t="shared" si="11"/>
        <v>802.13548986989133</v>
      </c>
      <c r="E35" s="1">
        <f t="shared" si="12"/>
        <v>1073.1064244012659</v>
      </c>
      <c r="F35" s="1">
        <f t="shared" si="13"/>
        <v>192241.54663424255</v>
      </c>
    </row>
    <row r="36" spans="1:6" x14ac:dyDescent="0.2">
      <c r="A36" s="4" t="s">
        <v>6</v>
      </c>
      <c r="B36" s="1">
        <f t="shared" si="14"/>
        <v>192241.54663424255</v>
      </c>
      <c r="C36" s="1">
        <f t="shared" si="10"/>
        <v>272.09998009192202</v>
      </c>
      <c r="D36" s="1">
        <f t="shared" si="11"/>
        <v>801.00644430934392</v>
      </c>
      <c r="E36" s="1">
        <f t="shared" si="12"/>
        <v>1073.1064244012659</v>
      </c>
      <c r="F36" s="1">
        <f t="shared" si="13"/>
        <v>191969.44665415064</v>
      </c>
    </row>
    <row r="37" spans="1:6" x14ac:dyDescent="0.2">
      <c r="A37" s="4" t="s">
        <v>5</v>
      </c>
      <c r="B37" s="1">
        <f t="shared" si="14"/>
        <v>191969.44665415064</v>
      </c>
      <c r="C37" s="1">
        <f t="shared" si="10"/>
        <v>273.23373000897163</v>
      </c>
      <c r="D37" s="1">
        <f t="shared" si="11"/>
        <v>799.87269439229431</v>
      </c>
      <c r="E37" s="1">
        <f t="shared" si="12"/>
        <v>1073.1064244012659</v>
      </c>
      <c r="F37" s="1">
        <f t="shared" si="13"/>
        <v>191696.21292414167</v>
      </c>
    </row>
    <row r="38" spans="1:6" x14ac:dyDescent="0.2">
      <c r="A38" s="4" t="s">
        <v>4</v>
      </c>
      <c r="B38" s="1">
        <f t="shared" si="14"/>
        <v>191696.21292414167</v>
      </c>
      <c r="C38" s="1">
        <f t="shared" si="10"/>
        <v>274.37220388400897</v>
      </c>
      <c r="D38" s="1">
        <f t="shared" si="11"/>
        <v>798.73422051725697</v>
      </c>
      <c r="E38" s="1">
        <f t="shared" si="12"/>
        <v>1073.1064244012659</v>
      </c>
      <c r="F38" s="1">
        <f t="shared" si="13"/>
        <v>191421.84072025766</v>
      </c>
    </row>
    <row r="39" spans="1:6" x14ac:dyDescent="0.2">
      <c r="A39" s="4" t="s">
        <v>3</v>
      </c>
      <c r="B39" s="1">
        <f t="shared" si="14"/>
        <v>191421.84072025766</v>
      </c>
      <c r="C39" s="1">
        <f t="shared" si="10"/>
        <v>275.51542140019239</v>
      </c>
      <c r="D39" s="1">
        <f t="shared" si="11"/>
        <v>797.59100300107355</v>
      </c>
      <c r="E39" s="1">
        <f t="shared" si="12"/>
        <v>1073.1064244012659</v>
      </c>
      <c r="F39" s="1">
        <f t="shared" si="13"/>
        <v>191146.32529885747</v>
      </c>
    </row>
    <row r="40" spans="1:6" x14ac:dyDescent="0.2">
      <c r="A40" s="4" t="s">
        <v>2</v>
      </c>
      <c r="B40" s="1">
        <f t="shared" si="14"/>
        <v>191146.32529885747</v>
      </c>
      <c r="C40" s="1">
        <f t="shared" si="10"/>
        <v>276.66340232269317</v>
      </c>
      <c r="D40" s="1">
        <f t="shared" si="11"/>
        <v>796.44302207857277</v>
      </c>
      <c r="E40" s="1">
        <f t="shared" si="12"/>
        <v>1073.1064244012659</v>
      </c>
      <c r="F40" s="1">
        <f t="shared" si="13"/>
        <v>190869.66189653479</v>
      </c>
    </row>
    <row r="41" spans="1:6" x14ac:dyDescent="0.2">
      <c r="A41" s="4" t="s">
        <v>1</v>
      </c>
      <c r="B41" s="1">
        <f t="shared" si="14"/>
        <v>190869.66189653479</v>
      </c>
      <c r="C41" s="1">
        <f t="shared" si="10"/>
        <v>277.81616649903765</v>
      </c>
      <c r="D41" s="1">
        <f t="shared" si="11"/>
        <v>795.29025790222829</v>
      </c>
      <c r="E41" s="1">
        <f t="shared" si="12"/>
        <v>1073.1064244012659</v>
      </c>
      <c r="F41" s="2">
        <f t="shared" si="13"/>
        <v>190591.84573003574</v>
      </c>
    </row>
    <row r="42" spans="1:6" x14ac:dyDescent="0.2">
      <c r="A42" s="5" t="s">
        <v>0</v>
      </c>
      <c r="B42" s="5"/>
      <c r="C42" s="2">
        <f>SUM(C30:C41)</f>
        <v>3258.7541185802438</v>
      </c>
      <c r="D42" s="2">
        <f>SUM(D30:D41)</f>
        <v>9618.5229742349493</v>
      </c>
      <c r="E42" s="1"/>
      <c r="F42" s="1"/>
    </row>
    <row r="43" spans="1:6" x14ac:dyDescent="0.2">
      <c r="B43" s="4"/>
      <c r="C43" s="1"/>
      <c r="D43" s="1"/>
      <c r="E43" s="1"/>
      <c r="F43" s="1"/>
    </row>
    <row r="44" spans="1:6" x14ac:dyDescent="0.2">
      <c r="A44" s="4" t="s">
        <v>83</v>
      </c>
      <c r="B44" s="1">
        <f>+F41</f>
        <v>190591.84573003574</v>
      </c>
      <c r="C44" s="1">
        <f t="shared" ref="C44:C55" si="15">+E44-D44</f>
        <v>278.97373385945036</v>
      </c>
      <c r="D44" s="1">
        <f t="shared" ref="D44:D55" si="16">B44*$I$2</f>
        <v>794.13269054181558</v>
      </c>
      <c r="E44" s="1">
        <f t="shared" ref="E44:E55" si="17">-$I$8</f>
        <v>1073.1064244012659</v>
      </c>
      <c r="F44" s="1">
        <f t="shared" ref="F44:F55" si="18">+B44-C44</f>
        <v>190312.87199617628</v>
      </c>
    </row>
    <row r="45" spans="1:6" x14ac:dyDescent="0.2">
      <c r="A45" s="4" t="s">
        <v>84</v>
      </c>
      <c r="B45" s="1">
        <f t="shared" ref="B45:B55" si="19">+F44</f>
        <v>190312.87199617628</v>
      </c>
      <c r="C45" s="1">
        <f t="shared" si="15"/>
        <v>280.13612441719806</v>
      </c>
      <c r="D45" s="1">
        <f t="shared" si="16"/>
        <v>792.97029998406788</v>
      </c>
      <c r="E45" s="1">
        <f t="shared" si="17"/>
        <v>1073.1064244012659</v>
      </c>
      <c r="F45" s="1">
        <f t="shared" si="18"/>
        <v>190032.7358717591</v>
      </c>
    </row>
    <row r="46" spans="1:6" x14ac:dyDescent="0.2">
      <c r="A46" s="4" t="s">
        <v>85</v>
      </c>
      <c r="B46" s="1">
        <f t="shared" si="19"/>
        <v>190032.7358717591</v>
      </c>
      <c r="C46" s="1">
        <f t="shared" si="15"/>
        <v>281.30335826893634</v>
      </c>
      <c r="D46" s="1">
        <f t="shared" si="16"/>
        <v>791.8030661323296</v>
      </c>
      <c r="E46" s="1">
        <f t="shared" si="17"/>
        <v>1073.1064244012659</v>
      </c>
      <c r="F46" s="1">
        <f t="shared" si="18"/>
        <v>189751.43251349017</v>
      </c>
    </row>
    <row r="47" spans="1:6" x14ac:dyDescent="0.2">
      <c r="A47" s="4" t="s">
        <v>86</v>
      </c>
      <c r="B47" s="1">
        <f t="shared" si="19"/>
        <v>189751.43251349017</v>
      </c>
      <c r="C47" s="1">
        <f t="shared" si="15"/>
        <v>282.47545559505693</v>
      </c>
      <c r="D47" s="1">
        <f t="shared" si="16"/>
        <v>790.63096880620901</v>
      </c>
      <c r="E47" s="1">
        <f t="shared" si="17"/>
        <v>1073.1064244012659</v>
      </c>
      <c r="F47" s="1">
        <f t="shared" si="18"/>
        <v>189468.95705789511</v>
      </c>
    </row>
    <row r="48" spans="1:6" x14ac:dyDescent="0.2">
      <c r="A48" s="4" t="s">
        <v>87</v>
      </c>
      <c r="B48" s="1">
        <f t="shared" si="19"/>
        <v>189468.95705789511</v>
      </c>
      <c r="C48" s="1">
        <f t="shared" si="15"/>
        <v>283.6524366600363</v>
      </c>
      <c r="D48" s="1">
        <f t="shared" si="16"/>
        <v>789.45398774122964</v>
      </c>
      <c r="E48" s="1">
        <f t="shared" si="17"/>
        <v>1073.1064244012659</v>
      </c>
      <c r="F48" s="1">
        <f t="shared" si="18"/>
        <v>189185.30462123506</v>
      </c>
    </row>
    <row r="49" spans="1:7" x14ac:dyDescent="0.2">
      <c r="A49" s="4" t="s">
        <v>88</v>
      </c>
      <c r="B49" s="1">
        <f t="shared" si="19"/>
        <v>189185.30462123506</v>
      </c>
      <c r="C49" s="1">
        <f t="shared" si="15"/>
        <v>284.83432181278658</v>
      </c>
      <c r="D49" s="1">
        <f t="shared" si="16"/>
        <v>788.27210258847936</v>
      </c>
      <c r="E49" s="1">
        <f t="shared" si="17"/>
        <v>1073.1064244012659</v>
      </c>
      <c r="F49" s="1">
        <f t="shared" si="18"/>
        <v>188900.47029942228</v>
      </c>
    </row>
    <row r="50" spans="1:7" x14ac:dyDescent="0.2">
      <c r="A50" s="4" t="s">
        <v>89</v>
      </c>
      <c r="B50" s="1">
        <f t="shared" si="19"/>
        <v>188900.47029942228</v>
      </c>
      <c r="C50" s="1">
        <f t="shared" si="15"/>
        <v>286.02113148700641</v>
      </c>
      <c r="D50" s="1">
        <f t="shared" si="16"/>
        <v>787.08529291425953</v>
      </c>
      <c r="E50" s="1">
        <f t="shared" si="17"/>
        <v>1073.1064244012659</v>
      </c>
      <c r="F50" s="1">
        <f t="shared" si="18"/>
        <v>188614.44916793526</v>
      </c>
    </row>
    <row r="51" spans="1:7" x14ac:dyDescent="0.2">
      <c r="A51" s="4" t="s">
        <v>90</v>
      </c>
      <c r="B51" s="1">
        <f t="shared" si="19"/>
        <v>188614.44916793526</v>
      </c>
      <c r="C51" s="1">
        <f t="shared" si="15"/>
        <v>287.21288620153564</v>
      </c>
      <c r="D51" s="1">
        <f t="shared" si="16"/>
        <v>785.8935381997303</v>
      </c>
      <c r="E51" s="1">
        <f t="shared" si="17"/>
        <v>1073.1064244012659</v>
      </c>
      <c r="F51" s="1">
        <f t="shared" si="18"/>
        <v>188327.23628173373</v>
      </c>
    </row>
    <row r="52" spans="1:7" x14ac:dyDescent="0.2">
      <c r="A52" s="4" t="s">
        <v>91</v>
      </c>
      <c r="B52" s="1">
        <f t="shared" si="19"/>
        <v>188327.23628173373</v>
      </c>
      <c r="C52" s="1">
        <f t="shared" si="15"/>
        <v>288.40960656070877</v>
      </c>
      <c r="D52" s="1">
        <f t="shared" si="16"/>
        <v>784.69681784055717</v>
      </c>
      <c r="E52" s="1">
        <f t="shared" si="17"/>
        <v>1073.1064244012659</v>
      </c>
      <c r="F52" s="1">
        <f t="shared" si="18"/>
        <v>188038.82667517301</v>
      </c>
    </row>
    <row r="53" spans="1:7" x14ac:dyDescent="0.2">
      <c r="A53" s="4" t="s">
        <v>92</v>
      </c>
      <c r="B53" s="1">
        <f t="shared" si="19"/>
        <v>188038.82667517301</v>
      </c>
      <c r="C53" s="1">
        <f t="shared" si="15"/>
        <v>289.61131325471172</v>
      </c>
      <c r="D53" s="1">
        <f t="shared" si="16"/>
        <v>783.49511114655422</v>
      </c>
      <c r="E53" s="1">
        <f t="shared" si="17"/>
        <v>1073.1064244012659</v>
      </c>
      <c r="F53" s="1">
        <f t="shared" si="18"/>
        <v>187749.21536191829</v>
      </c>
    </row>
    <row r="54" spans="1:7" x14ac:dyDescent="0.2">
      <c r="A54" s="4" t="s">
        <v>93</v>
      </c>
      <c r="B54" s="1">
        <f t="shared" si="19"/>
        <v>187749.21536191829</v>
      </c>
      <c r="C54" s="1">
        <f t="shared" si="15"/>
        <v>290.81802705993971</v>
      </c>
      <c r="D54" s="1">
        <f t="shared" si="16"/>
        <v>782.28839734132623</v>
      </c>
      <c r="E54" s="1">
        <f t="shared" si="17"/>
        <v>1073.1064244012659</v>
      </c>
      <c r="F54" s="1">
        <f t="shared" si="18"/>
        <v>187458.39733485837</v>
      </c>
    </row>
    <row r="55" spans="1:7" x14ac:dyDescent="0.2">
      <c r="A55" s="4" t="s">
        <v>94</v>
      </c>
      <c r="B55" s="1">
        <f t="shared" si="19"/>
        <v>187458.39733485837</v>
      </c>
      <c r="C55" s="1">
        <f t="shared" si="15"/>
        <v>292.02976883935605</v>
      </c>
      <c r="D55" s="1">
        <f t="shared" si="16"/>
        <v>781.07665556190989</v>
      </c>
      <c r="E55" s="1">
        <f t="shared" si="17"/>
        <v>1073.1064244012659</v>
      </c>
      <c r="F55" s="2">
        <f t="shared" si="18"/>
        <v>187166.36756601901</v>
      </c>
      <c r="G55" s="1"/>
    </row>
    <row r="56" spans="1:7" x14ac:dyDescent="0.2">
      <c r="A56" s="5" t="s">
        <v>0</v>
      </c>
      <c r="B56" s="3"/>
      <c r="C56" s="2">
        <f>SUM(C44:C55)</f>
        <v>3425.4781640167225</v>
      </c>
      <c r="D56" s="2">
        <f>SUM(D44:D55)</f>
        <v>9451.7989287984692</v>
      </c>
    </row>
    <row r="58" spans="1:7" x14ac:dyDescent="0.2">
      <c r="A58" s="4" t="s">
        <v>95</v>
      </c>
      <c r="B58" s="1">
        <f>+F55</f>
        <v>187166.36756601901</v>
      </c>
      <c r="C58" s="1">
        <f>+E58-D58</f>
        <v>293.24655954285345</v>
      </c>
      <c r="D58" s="1">
        <f>B58*$I$2</f>
        <v>779.85986485841249</v>
      </c>
      <c r="E58" s="1">
        <f t="shared" ref="E58:E69" si="20">-$I$8</f>
        <v>1073.1064244012659</v>
      </c>
      <c r="F58" s="1">
        <f t="shared" ref="F58:F69" si="21">+B58-C58</f>
        <v>186873.12100647614</v>
      </c>
    </row>
    <row r="59" spans="1:7" x14ac:dyDescent="0.2">
      <c r="A59" s="4" t="s">
        <v>96</v>
      </c>
      <c r="B59" s="1">
        <f t="shared" ref="B59:B69" si="22">+F58</f>
        <v>186873.12100647614</v>
      </c>
      <c r="C59" s="1">
        <f t="shared" ref="C59:C69" si="23">+E59-D59</f>
        <v>294.4684202076154</v>
      </c>
      <c r="D59" s="1">
        <f t="shared" ref="D59:D69" si="24">B59*$I$2</f>
        <v>778.63800419365054</v>
      </c>
      <c r="E59" s="1">
        <f t="shared" si="20"/>
        <v>1073.1064244012659</v>
      </c>
      <c r="F59" s="1">
        <f t="shared" si="21"/>
        <v>186578.65258626852</v>
      </c>
    </row>
    <row r="60" spans="1:7" x14ac:dyDescent="0.2">
      <c r="A60" s="4" t="s">
        <v>97</v>
      </c>
      <c r="B60" s="1">
        <f t="shared" si="22"/>
        <v>186578.65258626852</v>
      </c>
      <c r="C60" s="1">
        <f t="shared" si="23"/>
        <v>295.69537195848045</v>
      </c>
      <c r="D60" s="1">
        <f t="shared" si="24"/>
        <v>777.41105244278549</v>
      </c>
      <c r="E60" s="1">
        <f t="shared" si="20"/>
        <v>1073.1064244012659</v>
      </c>
      <c r="F60" s="1">
        <f t="shared" si="21"/>
        <v>186282.95721431004</v>
      </c>
    </row>
    <row r="61" spans="1:7" x14ac:dyDescent="0.2">
      <c r="A61" s="4" t="s">
        <v>98</v>
      </c>
      <c r="B61" s="1">
        <f t="shared" si="22"/>
        <v>186282.95721431004</v>
      </c>
      <c r="C61" s="1">
        <f t="shared" si="23"/>
        <v>296.9274360083075</v>
      </c>
      <c r="D61" s="1">
        <f t="shared" si="24"/>
        <v>776.17898839295844</v>
      </c>
      <c r="E61" s="1">
        <f t="shared" si="20"/>
        <v>1073.1064244012659</v>
      </c>
      <c r="F61" s="1">
        <f t="shared" si="21"/>
        <v>185986.02977830172</v>
      </c>
    </row>
    <row r="62" spans="1:7" x14ac:dyDescent="0.2">
      <c r="A62" s="4" t="s">
        <v>99</v>
      </c>
      <c r="B62" s="1">
        <f t="shared" si="22"/>
        <v>185986.02977830172</v>
      </c>
      <c r="C62" s="1">
        <f t="shared" si="23"/>
        <v>298.16463365834215</v>
      </c>
      <c r="D62" s="1">
        <f t="shared" si="24"/>
        <v>774.94179074292379</v>
      </c>
      <c r="E62" s="1">
        <f t="shared" si="20"/>
        <v>1073.1064244012659</v>
      </c>
      <c r="F62" s="1">
        <f t="shared" si="21"/>
        <v>185687.86514464338</v>
      </c>
    </row>
    <row r="63" spans="1:7" x14ac:dyDescent="0.2">
      <c r="A63" s="4" t="s">
        <v>100</v>
      </c>
      <c r="B63" s="1">
        <f t="shared" si="22"/>
        <v>185687.86514464338</v>
      </c>
      <c r="C63" s="1">
        <f t="shared" si="23"/>
        <v>299.40698629858525</v>
      </c>
      <c r="D63" s="1">
        <f t="shared" si="24"/>
        <v>773.69943810268069</v>
      </c>
      <c r="E63" s="1">
        <f t="shared" si="20"/>
        <v>1073.1064244012659</v>
      </c>
      <c r="F63" s="1">
        <f t="shared" si="21"/>
        <v>185388.45815834479</v>
      </c>
    </row>
    <row r="64" spans="1:7" x14ac:dyDescent="0.2">
      <c r="A64" s="4" t="s">
        <v>101</v>
      </c>
      <c r="B64" s="1">
        <f t="shared" si="22"/>
        <v>185388.45815834479</v>
      </c>
      <c r="C64" s="1">
        <f t="shared" si="23"/>
        <v>300.65451540816264</v>
      </c>
      <c r="D64" s="1">
        <f t="shared" si="24"/>
        <v>772.4519089931033</v>
      </c>
      <c r="E64" s="1">
        <f t="shared" si="20"/>
        <v>1073.1064244012659</v>
      </c>
      <c r="F64" s="1">
        <f t="shared" si="21"/>
        <v>185087.80364293663</v>
      </c>
    </row>
    <row r="65" spans="1:6" x14ac:dyDescent="0.2">
      <c r="A65" s="4" t="s">
        <v>102</v>
      </c>
      <c r="B65" s="1">
        <f t="shared" si="22"/>
        <v>185087.80364293663</v>
      </c>
      <c r="C65" s="1">
        <f t="shared" si="23"/>
        <v>301.9072425556966</v>
      </c>
      <c r="D65" s="1">
        <f t="shared" si="24"/>
        <v>771.19918184556934</v>
      </c>
      <c r="E65" s="1">
        <f t="shared" si="20"/>
        <v>1073.1064244012659</v>
      </c>
      <c r="F65" s="1">
        <f t="shared" si="21"/>
        <v>184785.89640038094</v>
      </c>
    </row>
    <row r="66" spans="1:6" x14ac:dyDescent="0.2">
      <c r="A66" s="4" t="s">
        <v>103</v>
      </c>
      <c r="B66" s="1">
        <f t="shared" si="22"/>
        <v>184785.89640038094</v>
      </c>
      <c r="C66" s="1">
        <f t="shared" si="23"/>
        <v>303.16518939967875</v>
      </c>
      <c r="D66" s="1">
        <f t="shared" si="24"/>
        <v>769.94123500158719</v>
      </c>
      <c r="E66" s="1">
        <f t="shared" si="20"/>
        <v>1073.1064244012659</v>
      </c>
      <c r="F66" s="1">
        <f t="shared" si="21"/>
        <v>184482.73121098126</v>
      </c>
    </row>
    <row r="67" spans="1:6" x14ac:dyDescent="0.2">
      <c r="A67" s="4" t="s">
        <v>104</v>
      </c>
      <c r="B67" s="1">
        <f t="shared" si="22"/>
        <v>184482.73121098126</v>
      </c>
      <c r="C67" s="1">
        <f t="shared" si="23"/>
        <v>304.42837768884397</v>
      </c>
      <c r="D67" s="1">
        <f t="shared" si="24"/>
        <v>768.67804671242197</v>
      </c>
      <c r="E67" s="1">
        <f t="shared" si="20"/>
        <v>1073.1064244012659</v>
      </c>
      <c r="F67" s="1">
        <f t="shared" si="21"/>
        <v>184178.30283329243</v>
      </c>
    </row>
    <row r="68" spans="1:6" x14ac:dyDescent="0.2">
      <c r="A68" s="4" t="s">
        <v>105</v>
      </c>
      <c r="B68" s="1">
        <f t="shared" si="22"/>
        <v>184178.30283329243</v>
      </c>
      <c r="C68" s="1">
        <f t="shared" si="23"/>
        <v>305.69682926254745</v>
      </c>
      <c r="D68" s="1">
        <f t="shared" si="24"/>
        <v>767.40959513871849</v>
      </c>
      <c r="E68" s="1">
        <f t="shared" si="20"/>
        <v>1073.1064244012659</v>
      </c>
      <c r="F68" s="1">
        <f t="shared" si="21"/>
        <v>183872.60600402989</v>
      </c>
    </row>
    <row r="69" spans="1:6" x14ac:dyDescent="0.2">
      <c r="A69" s="4" t="s">
        <v>106</v>
      </c>
      <c r="B69" s="1">
        <f t="shared" si="22"/>
        <v>183872.60600402989</v>
      </c>
      <c r="C69" s="1">
        <f t="shared" si="23"/>
        <v>306.97056605114142</v>
      </c>
      <c r="D69" s="1">
        <f t="shared" si="24"/>
        <v>766.13585835012452</v>
      </c>
      <c r="E69" s="1">
        <f t="shared" si="20"/>
        <v>1073.1064244012659</v>
      </c>
      <c r="F69" s="2">
        <f t="shared" si="21"/>
        <v>183565.63543797875</v>
      </c>
    </row>
    <row r="70" spans="1:6" x14ac:dyDescent="0.2">
      <c r="A70" s="5" t="s">
        <v>0</v>
      </c>
      <c r="B70" s="3"/>
      <c r="C70" s="2">
        <f>SUM(C58:C69)</f>
        <v>3600.7321280402548</v>
      </c>
      <c r="D70" s="2">
        <f>SUM(D58:D69)</f>
        <v>9276.5449647749356</v>
      </c>
    </row>
    <row r="72" spans="1:6" x14ac:dyDescent="0.2">
      <c r="A72" s="4" t="s">
        <v>107</v>
      </c>
      <c r="B72" s="1">
        <f>+F69</f>
        <v>183565.63543797875</v>
      </c>
      <c r="C72" s="1">
        <f>+E72-D72</f>
        <v>308.24961007635443</v>
      </c>
      <c r="D72" s="1">
        <f>B72*$I$2</f>
        <v>764.85681432491151</v>
      </c>
      <c r="E72" s="1">
        <f t="shared" ref="E72:E83" si="25">-$I$8</f>
        <v>1073.1064244012659</v>
      </c>
      <c r="F72" s="1">
        <f t="shared" ref="F72:F83" si="26">+B72-C72</f>
        <v>183257.38582790238</v>
      </c>
    </row>
    <row r="73" spans="1:6" x14ac:dyDescent="0.2">
      <c r="A73" s="4" t="s">
        <v>108</v>
      </c>
      <c r="B73" s="1">
        <f t="shared" ref="B73:B83" si="27">+F72</f>
        <v>183257.38582790238</v>
      </c>
      <c r="C73" s="1">
        <f t="shared" ref="C73:C83" si="28">+E73-D73</f>
        <v>309.53398345167273</v>
      </c>
      <c r="D73" s="1">
        <f t="shared" ref="D73:D83" si="29">B73*$I$2</f>
        <v>763.57244094959322</v>
      </c>
      <c r="E73" s="1">
        <f t="shared" si="25"/>
        <v>1073.1064244012659</v>
      </c>
      <c r="F73" s="1">
        <f t="shared" si="26"/>
        <v>182947.85184445072</v>
      </c>
    </row>
    <row r="74" spans="1:6" x14ac:dyDescent="0.2">
      <c r="A74" s="4" t="s">
        <v>109</v>
      </c>
      <c r="B74" s="1">
        <f t="shared" si="27"/>
        <v>182947.85184445072</v>
      </c>
      <c r="C74" s="1">
        <f t="shared" si="28"/>
        <v>310.82370838272129</v>
      </c>
      <c r="D74" s="1">
        <f t="shared" si="29"/>
        <v>762.28271601854465</v>
      </c>
      <c r="E74" s="1">
        <f t="shared" si="25"/>
        <v>1073.1064244012659</v>
      </c>
      <c r="F74" s="1">
        <f t="shared" si="26"/>
        <v>182637.02813606799</v>
      </c>
    </row>
    <row r="75" spans="1:6" x14ac:dyDescent="0.2">
      <c r="A75" s="4" t="s">
        <v>110</v>
      </c>
      <c r="B75" s="1">
        <f t="shared" si="27"/>
        <v>182637.02813606799</v>
      </c>
      <c r="C75" s="1">
        <f t="shared" si="28"/>
        <v>312.11880716764927</v>
      </c>
      <c r="D75" s="1">
        <f t="shared" si="29"/>
        <v>760.98761723361667</v>
      </c>
      <c r="E75" s="1">
        <f t="shared" si="25"/>
        <v>1073.1064244012659</v>
      </c>
      <c r="F75" s="1">
        <f t="shared" si="26"/>
        <v>182324.90932890034</v>
      </c>
    </row>
    <row r="76" spans="1:6" x14ac:dyDescent="0.2">
      <c r="A76" s="4" t="s">
        <v>111</v>
      </c>
      <c r="B76" s="1">
        <f t="shared" si="27"/>
        <v>182324.90932890034</v>
      </c>
      <c r="C76" s="1">
        <f t="shared" si="28"/>
        <v>313.41930219751453</v>
      </c>
      <c r="D76" s="1">
        <f t="shared" si="29"/>
        <v>759.68712220375141</v>
      </c>
      <c r="E76" s="1">
        <f t="shared" si="25"/>
        <v>1073.1064244012659</v>
      </c>
      <c r="F76" s="1">
        <f t="shared" si="26"/>
        <v>182011.49002670281</v>
      </c>
    </row>
    <row r="77" spans="1:6" x14ac:dyDescent="0.2">
      <c r="A77" s="4" t="s">
        <v>112</v>
      </c>
      <c r="B77" s="1">
        <f t="shared" si="27"/>
        <v>182011.49002670281</v>
      </c>
      <c r="C77" s="1">
        <f t="shared" si="28"/>
        <v>314.72521595667092</v>
      </c>
      <c r="D77" s="1">
        <f t="shared" si="29"/>
        <v>758.38120844459502</v>
      </c>
      <c r="E77" s="1">
        <f t="shared" si="25"/>
        <v>1073.1064244012659</v>
      </c>
      <c r="F77" s="1">
        <f t="shared" si="26"/>
        <v>181696.76481074613</v>
      </c>
    </row>
    <row r="78" spans="1:6" x14ac:dyDescent="0.2">
      <c r="A78" s="4" t="s">
        <v>113</v>
      </c>
      <c r="B78" s="1">
        <f t="shared" si="27"/>
        <v>181696.76481074613</v>
      </c>
      <c r="C78" s="1">
        <f t="shared" si="28"/>
        <v>316.03657102315708</v>
      </c>
      <c r="D78" s="1">
        <f t="shared" si="29"/>
        <v>757.06985337810886</v>
      </c>
      <c r="E78" s="1">
        <f t="shared" si="25"/>
        <v>1073.1064244012659</v>
      </c>
      <c r="F78" s="1">
        <f t="shared" si="26"/>
        <v>181380.72823972296</v>
      </c>
    </row>
    <row r="79" spans="1:6" x14ac:dyDescent="0.2">
      <c r="A79" s="4" t="s">
        <v>114</v>
      </c>
      <c r="B79" s="1">
        <f t="shared" si="27"/>
        <v>181380.72823972296</v>
      </c>
      <c r="C79" s="1">
        <f t="shared" si="28"/>
        <v>317.35339006908691</v>
      </c>
      <c r="D79" s="1">
        <f t="shared" si="29"/>
        <v>755.75303433217903</v>
      </c>
      <c r="E79" s="1">
        <f t="shared" si="25"/>
        <v>1073.1064244012659</v>
      </c>
      <c r="F79" s="1">
        <f t="shared" si="26"/>
        <v>181063.37484965386</v>
      </c>
    </row>
    <row r="80" spans="1:6" x14ac:dyDescent="0.2">
      <c r="A80" s="4" t="s">
        <v>115</v>
      </c>
      <c r="B80" s="1">
        <f t="shared" si="27"/>
        <v>181063.37484965386</v>
      </c>
      <c r="C80" s="1">
        <f t="shared" si="28"/>
        <v>318.6756958610415</v>
      </c>
      <c r="D80" s="1">
        <f t="shared" si="29"/>
        <v>754.43072854022444</v>
      </c>
      <c r="E80" s="1">
        <f t="shared" si="25"/>
        <v>1073.1064244012659</v>
      </c>
      <c r="F80" s="1">
        <f t="shared" si="26"/>
        <v>180744.69915379281</v>
      </c>
    </row>
    <row r="81" spans="1:6" x14ac:dyDescent="0.2">
      <c r="A81" s="4" t="s">
        <v>116</v>
      </c>
      <c r="B81" s="1">
        <f t="shared" si="27"/>
        <v>180744.69915379281</v>
      </c>
      <c r="C81" s="1">
        <f t="shared" si="28"/>
        <v>320.00351126046257</v>
      </c>
      <c r="D81" s="1">
        <f t="shared" si="29"/>
        <v>753.10291314080337</v>
      </c>
      <c r="E81" s="1">
        <f t="shared" si="25"/>
        <v>1073.1064244012659</v>
      </c>
      <c r="F81" s="1">
        <f t="shared" si="26"/>
        <v>180424.69564253234</v>
      </c>
    </row>
    <row r="82" spans="1:6" x14ac:dyDescent="0.2">
      <c r="A82" s="4" t="s">
        <v>117</v>
      </c>
      <c r="B82" s="1">
        <f t="shared" si="27"/>
        <v>180424.69564253234</v>
      </c>
      <c r="C82" s="1">
        <f t="shared" si="28"/>
        <v>321.33685922404788</v>
      </c>
      <c r="D82" s="1">
        <f t="shared" si="29"/>
        <v>751.76956517721806</v>
      </c>
      <c r="E82" s="1">
        <f t="shared" si="25"/>
        <v>1073.1064244012659</v>
      </c>
      <c r="F82" s="1">
        <f t="shared" si="26"/>
        <v>180103.3587833083</v>
      </c>
    </row>
    <row r="83" spans="1:6" x14ac:dyDescent="0.2">
      <c r="A83" s="4" t="s">
        <v>118</v>
      </c>
      <c r="B83" s="1">
        <f t="shared" si="27"/>
        <v>180103.3587833083</v>
      </c>
      <c r="C83" s="1">
        <f t="shared" si="28"/>
        <v>322.67576280414801</v>
      </c>
      <c r="D83" s="1">
        <f t="shared" si="29"/>
        <v>750.43066159711793</v>
      </c>
      <c r="E83" s="1">
        <f t="shared" si="25"/>
        <v>1073.1064244012659</v>
      </c>
      <c r="F83" s="2">
        <f t="shared" si="26"/>
        <v>179780.68302050416</v>
      </c>
    </row>
    <row r="84" spans="1:6" x14ac:dyDescent="0.2">
      <c r="A84" s="5" t="s">
        <v>0</v>
      </c>
      <c r="B84" s="3"/>
      <c r="C84" s="2">
        <f>SUM(C72:C83)</f>
        <v>3784.9524174745266</v>
      </c>
      <c r="D84" s="2">
        <f>SUM(D72:D83)</f>
        <v>9092.3246753406638</v>
      </c>
    </row>
    <row r="85" spans="1:6" x14ac:dyDescent="0.2">
      <c r="B85" s="1"/>
      <c r="C85" s="1"/>
      <c r="D85" s="1"/>
      <c r="E85" s="1"/>
      <c r="F85" s="1"/>
    </row>
    <row r="86" spans="1:6" x14ac:dyDescent="0.2">
      <c r="A86" s="4" t="s">
        <v>119</v>
      </c>
      <c r="B86" s="1">
        <f>+F83</f>
        <v>179780.68302050416</v>
      </c>
      <c r="C86" s="1">
        <f>+E86-D86</f>
        <v>324.02024514916525</v>
      </c>
      <c r="D86" s="1">
        <f>B86*$I$2</f>
        <v>749.08617925210069</v>
      </c>
      <c r="E86" s="1">
        <f t="shared" ref="E86:E97" si="30">-$I$8</f>
        <v>1073.1064244012659</v>
      </c>
      <c r="F86" s="1">
        <f t="shared" ref="F86:F97" si="31">+B86-C86</f>
        <v>179456.66277535498</v>
      </c>
    </row>
    <row r="87" spans="1:6" x14ac:dyDescent="0.2">
      <c r="A87" s="4" t="s">
        <v>120</v>
      </c>
      <c r="B87" s="1">
        <f t="shared" ref="B87:B97" si="32">+F86</f>
        <v>179456.66277535498</v>
      </c>
      <c r="C87" s="1">
        <f t="shared" ref="C87:C97" si="33">+E87-D87</f>
        <v>325.37032950395349</v>
      </c>
      <c r="D87" s="1">
        <f t="shared" ref="D87:D97" si="34">B87*$I$2</f>
        <v>747.73609489731246</v>
      </c>
      <c r="E87" s="1">
        <f t="shared" si="30"/>
        <v>1073.1064244012659</v>
      </c>
      <c r="F87" s="1">
        <f t="shared" si="31"/>
        <v>179131.29244585102</v>
      </c>
    </row>
    <row r="88" spans="1:6" x14ac:dyDescent="0.2">
      <c r="A88" s="4" t="s">
        <v>121</v>
      </c>
      <c r="B88" s="1">
        <f t="shared" si="32"/>
        <v>179131.29244585102</v>
      </c>
      <c r="C88" s="1">
        <f t="shared" si="33"/>
        <v>326.72603921022005</v>
      </c>
      <c r="D88" s="1">
        <f t="shared" si="34"/>
        <v>746.38038519104589</v>
      </c>
      <c r="E88" s="1">
        <f t="shared" si="30"/>
        <v>1073.1064244012659</v>
      </c>
      <c r="F88" s="1">
        <f t="shared" si="31"/>
        <v>178804.56640664081</v>
      </c>
    </row>
    <row r="89" spans="1:6" x14ac:dyDescent="0.2">
      <c r="A89" s="4" t="s">
        <v>122</v>
      </c>
      <c r="B89" s="1">
        <f t="shared" si="32"/>
        <v>178804.56640664081</v>
      </c>
      <c r="C89" s="1">
        <f t="shared" si="33"/>
        <v>328.08739770692921</v>
      </c>
      <c r="D89" s="1">
        <f t="shared" si="34"/>
        <v>745.01902669433673</v>
      </c>
      <c r="E89" s="1">
        <f t="shared" si="30"/>
        <v>1073.1064244012659</v>
      </c>
      <c r="F89" s="1">
        <f t="shared" si="31"/>
        <v>178476.47900893388</v>
      </c>
    </row>
    <row r="90" spans="1:6" x14ac:dyDescent="0.2">
      <c r="A90" s="4" t="s">
        <v>123</v>
      </c>
      <c r="B90" s="1">
        <f t="shared" si="32"/>
        <v>178476.47900893388</v>
      </c>
      <c r="C90" s="1">
        <f t="shared" si="33"/>
        <v>329.45442853070813</v>
      </c>
      <c r="D90" s="1">
        <f t="shared" si="34"/>
        <v>743.65199587055781</v>
      </c>
      <c r="E90" s="1">
        <f t="shared" si="30"/>
        <v>1073.1064244012659</v>
      </c>
      <c r="F90" s="1">
        <f t="shared" si="31"/>
        <v>178147.02458040317</v>
      </c>
    </row>
    <row r="91" spans="1:6" x14ac:dyDescent="0.2">
      <c r="A91" s="4" t="s">
        <v>124</v>
      </c>
      <c r="B91" s="1">
        <f t="shared" si="32"/>
        <v>178147.02458040317</v>
      </c>
      <c r="C91" s="1">
        <f t="shared" si="33"/>
        <v>330.82715531625274</v>
      </c>
      <c r="D91" s="1">
        <f t="shared" si="34"/>
        <v>742.2792690850132</v>
      </c>
      <c r="E91" s="1">
        <f t="shared" si="30"/>
        <v>1073.1064244012659</v>
      </c>
      <c r="F91" s="1">
        <f t="shared" si="31"/>
        <v>177816.19742508692</v>
      </c>
    </row>
    <row r="92" spans="1:6" x14ac:dyDescent="0.2">
      <c r="A92" s="4" t="s">
        <v>125</v>
      </c>
      <c r="B92" s="1">
        <f t="shared" si="32"/>
        <v>177816.19742508692</v>
      </c>
      <c r="C92" s="1">
        <f t="shared" si="33"/>
        <v>332.20560179673714</v>
      </c>
      <c r="D92" s="1">
        <f t="shared" si="34"/>
        <v>740.9008226045288</v>
      </c>
      <c r="E92" s="1">
        <f t="shared" si="30"/>
        <v>1073.1064244012659</v>
      </c>
      <c r="F92" s="1">
        <f t="shared" si="31"/>
        <v>177483.99182329018</v>
      </c>
    </row>
    <row r="93" spans="1:6" x14ac:dyDescent="0.2">
      <c r="A93" s="4" t="s">
        <v>126</v>
      </c>
      <c r="B93" s="1">
        <f t="shared" si="32"/>
        <v>177483.99182329018</v>
      </c>
      <c r="C93" s="1">
        <f t="shared" si="33"/>
        <v>333.58979180422352</v>
      </c>
      <c r="D93" s="1">
        <f t="shared" si="34"/>
        <v>739.51663259704242</v>
      </c>
      <c r="E93" s="1">
        <f t="shared" si="30"/>
        <v>1073.1064244012659</v>
      </c>
      <c r="F93" s="1">
        <f t="shared" si="31"/>
        <v>177150.40203148595</v>
      </c>
    </row>
    <row r="94" spans="1:6" x14ac:dyDescent="0.2">
      <c r="A94" s="4" t="s">
        <v>127</v>
      </c>
      <c r="B94" s="1">
        <f t="shared" si="32"/>
        <v>177150.40203148595</v>
      </c>
      <c r="C94" s="1">
        <f t="shared" si="33"/>
        <v>334.97974927007454</v>
      </c>
      <c r="D94" s="1">
        <f t="shared" si="34"/>
        <v>738.1266751311914</v>
      </c>
      <c r="E94" s="1">
        <f t="shared" si="30"/>
        <v>1073.1064244012659</v>
      </c>
      <c r="F94" s="1">
        <f t="shared" si="31"/>
        <v>176815.42228221588</v>
      </c>
    </row>
    <row r="95" spans="1:6" x14ac:dyDescent="0.2">
      <c r="A95" s="4" t="s">
        <v>128</v>
      </c>
      <c r="B95" s="1">
        <f t="shared" si="32"/>
        <v>176815.42228221588</v>
      </c>
      <c r="C95" s="1">
        <f t="shared" si="33"/>
        <v>336.37549822536641</v>
      </c>
      <c r="D95" s="1">
        <f t="shared" si="34"/>
        <v>736.73092617589953</v>
      </c>
      <c r="E95" s="1">
        <f t="shared" si="30"/>
        <v>1073.1064244012659</v>
      </c>
      <c r="F95" s="1">
        <f t="shared" si="31"/>
        <v>176479.04678399052</v>
      </c>
    </row>
    <row r="96" spans="1:6" x14ac:dyDescent="0.2">
      <c r="A96" s="4" t="s">
        <v>129</v>
      </c>
      <c r="B96" s="1">
        <f t="shared" si="32"/>
        <v>176479.04678399052</v>
      </c>
      <c r="C96" s="1">
        <f t="shared" si="33"/>
        <v>337.77706280130542</v>
      </c>
      <c r="D96" s="1">
        <f t="shared" si="34"/>
        <v>735.32936159996052</v>
      </c>
      <c r="E96" s="1">
        <f t="shared" si="30"/>
        <v>1073.1064244012659</v>
      </c>
      <c r="F96" s="1">
        <f t="shared" si="31"/>
        <v>176141.26972118922</v>
      </c>
    </row>
    <row r="97" spans="1:6" x14ac:dyDescent="0.2">
      <c r="A97" s="4" t="s">
        <v>130</v>
      </c>
      <c r="B97" s="1">
        <f t="shared" si="32"/>
        <v>176141.26972118922</v>
      </c>
      <c r="C97" s="1">
        <f t="shared" si="33"/>
        <v>339.18446722964416</v>
      </c>
      <c r="D97" s="1">
        <f t="shared" si="34"/>
        <v>733.92195717162178</v>
      </c>
      <c r="E97" s="1">
        <f t="shared" si="30"/>
        <v>1073.1064244012659</v>
      </c>
      <c r="F97" s="2">
        <f t="shared" si="31"/>
        <v>175802.08525395958</v>
      </c>
    </row>
    <row r="98" spans="1:6" x14ac:dyDescent="0.2">
      <c r="A98" s="5" t="s">
        <v>0</v>
      </c>
      <c r="B98" s="3"/>
      <c r="C98" s="2">
        <f>SUM(C86:C97)</f>
        <v>3978.5977665445803</v>
      </c>
      <c r="D98" s="2">
        <f>SUM(D86:D97)</f>
        <v>8898.6793262706105</v>
      </c>
    </row>
    <row r="99" spans="1:6" x14ac:dyDescent="0.2">
      <c r="B99" s="4"/>
      <c r="C99" s="1"/>
      <c r="D99" s="1"/>
      <c r="E99" s="1"/>
      <c r="F99" s="1"/>
    </row>
    <row r="100" spans="1:6" x14ac:dyDescent="0.2">
      <c r="A100" s="4" t="s">
        <v>131</v>
      </c>
      <c r="B100" s="1">
        <f>+F97</f>
        <v>175802.08525395958</v>
      </c>
      <c r="C100" s="1">
        <f>+E100-D100</f>
        <v>340.59773584310108</v>
      </c>
      <c r="D100" s="1">
        <f>B100*$I$2</f>
        <v>732.50868855816486</v>
      </c>
      <c r="E100" s="1">
        <f t="shared" ref="E100:E111" si="35">-$I$8</f>
        <v>1073.1064244012659</v>
      </c>
      <c r="F100" s="1">
        <f t="shared" ref="F100:F111" si="36">+B100-C100</f>
        <v>175461.48751811648</v>
      </c>
    </row>
    <row r="101" spans="1:6" x14ac:dyDescent="0.2">
      <c r="A101" s="4" t="s">
        <v>132</v>
      </c>
      <c r="B101" s="1">
        <f t="shared" ref="B101:B111" si="37">+F100</f>
        <v>175461.48751811648</v>
      </c>
      <c r="C101" s="1">
        <f t="shared" ref="C101:C111" si="38">+E101-D101</f>
        <v>342.01689307578056</v>
      </c>
      <c r="D101" s="1">
        <f t="shared" ref="D101:D111" si="39">B101*$I$2</f>
        <v>731.08953132548538</v>
      </c>
      <c r="E101" s="1">
        <f t="shared" si="35"/>
        <v>1073.1064244012659</v>
      </c>
      <c r="F101" s="1">
        <f t="shared" si="36"/>
        <v>175119.4706250407</v>
      </c>
    </row>
    <row r="102" spans="1:6" x14ac:dyDescent="0.2">
      <c r="A102" s="4" t="s">
        <v>133</v>
      </c>
      <c r="B102" s="1">
        <f t="shared" si="37"/>
        <v>175119.4706250407</v>
      </c>
      <c r="C102" s="1">
        <f t="shared" si="38"/>
        <v>343.44196346359638</v>
      </c>
      <c r="D102" s="1">
        <f t="shared" si="39"/>
        <v>729.66446093766956</v>
      </c>
      <c r="E102" s="1">
        <f t="shared" si="35"/>
        <v>1073.1064244012659</v>
      </c>
      <c r="F102" s="1">
        <f t="shared" si="36"/>
        <v>174776.02866157712</v>
      </c>
    </row>
    <row r="103" spans="1:6" x14ac:dyDescent="0.2">
      <c r="A103" s="4" t="s">
        <v>134</v>
      </c>
      <c r="B103" s="1">
        <f t="shared" si="37"/>
        <v>174776.02866157712</v>
      </c>
      <c r="C103" s="1">
        <f t="shared" si="38"/>
        <v>344.87297164469464</v>
      </c>
      <c r="D103" s="1">
        <f t="shared" si="39"/>
        <v>728.2334527565713</v>
      </c>
      <c r="E103" s="1">
        <f t="shared" si="35"/>
        <v>1073.1064244012659</v>
      </c>
      <c r="F103" s="1">
        <f t="shared" si="36"/>
        <v>174431.15568993244</v>
      </c>
    </row>
    <row r="104" spans="1:6" x14ac:dyDescent="0.2">
      <c r="A104" s="4" t="s">
        <v>135</v>
      </c>
      <c r="B104" s="1">
        <f t="shared" si="37"/>
        <v>174431.15568993244</v>
      </c>
      <c r="C104" s="1">
        <f t="shared" si="38"/>
        <v>346.30994235988078</v>
      </c>
      <c r="D104" s="1">
        <f t="shared" si="39"/>
        <v>726.79648204138516</v>
      </c>
      <c r="E104" s="1">
        <f t="shared" si="35"/>
        <v>1073.1064244012659</v>
      </c>
      <c r="F104" s="1">
        <f t="shared" si="36"/>
        <v>174084.84574757254</v>
      </c>
    </row>
    <row r="105" spans="1:6" x14ac:dyDescent="0.2">
      <c r="A105" s="4" t="s">
        <v>136</v>
      </c>
      <c r="B105" s="1">
        <f t="shared" si="37"/>
        <v>174084.84574757254</v>
      </c>
      <c r="C105" s="1">
        <f t="shared" si="38"/>
        <v>347.752900453047</v>
      </c>
      <c r="D105" s="1">
        <f t="shared" si="39"/>
        <v>725.35352394821894</v>
      </c>
      <c r="E105" s="1">
        <f t="shared" si="35"/>
        <v>1073.1064244012659</v>
      </c>
      <c r="F105" s="1">
        <f t="shared" si="36"/>
        <v>173737.09284711949</v>
      </c>
    </row>
    <row r="106" spans="1:6" x14ac:dyDescent="0.2">
      <c r="A106" s="4" t="s">
        <v>137</v>
      </c>
      <c r="B106" s="1">
        <f t="shared" si="37"/>
        <v>173737.09284711949</v>
      </c>
      <c r="C106" s="1">
        <f t="shared" si="38"/>
        <v>349.20187087160139</v>
      </c>
      <c r="D106" s="1">
        <f t="shared" si="39"/>
        <v>723.90455352966455</v>
      </c>
      <c r="E106" s="1">
        <f t="shared" si="35"/>
        <v>1073.1064244012659</v>
      </c>
      <c r="F106" s="1">
        <f t="shared" si="36"/>
        <v>173387.8909762479</v>
      </c>
    </row>
    <row r="107" spans="1:6" x14ac:dyDescent="0.2">
      <c r="A107" s="4" t="s">
        <v>138</v>
      </c>
      <c r="B107" s="1">
        <f t="shared" si="37"/>
        <v>173387.8909762479</v>
      </c>
      <c r="C107" s="1">
        <f t="shared" si="38"/>
        <v>350.65687866689973</v>
      </c>
      <c r="D107" s="1">
        <f t="shared" si="39"/>
        <v>722.44954573436621</v>
      </c>
      <c r="E107" s="1">
        <f t="shared" si="35"/>
        <v>1073.1064244012659</v>
      </c>
      <c r="F107" s="1">
        <f t="shared" si="36"/>
        <v>173037.23409758101</v>
      </c>
    </row>
    <row r="108" spans="1:6" x14ac:dyDescent="0.2">
      <c r="A108" s="4" t="s">
        <v>139</v>
      </c>
      <c r="B108" s="1">
        <f t="shared" si="37"/>
        <v>173037.23409758101</v>
      </c>
      <c r="C108" s="1">
        <f t="shared" si="38"/>
        <v>352.11794899467839</v>
      </c>
      <c r="D108" s="1">
        <f t="shared" si="39"/>
        <v>720.98847540658755</v>
      </c>
      <c r="E108" s="1">
        <f t="shared" si="35"/>
        <v>1073.1064244012659</v>
      </c>
      <c r="F108" s="1">
        <f t="shared" si="36"/>
        <v>172685.11614858633</v>
      </c>
    </row>
    <row r="109" spans="1:6" x14ac:dyDescent="0.2">
      <c r="A109" s="4" t="s">
        <v>140</v>
      </c>
      <c r="B109" s="1">
        <f t="shared" si="37"/>
        <v>172685.11614858633</v>
      </c>
      <c r="C109" s="1">
        <f t="shared" si="38"/>
        <v>353.58510711548956</v>
      </c>
      <c r="D109" s="1">
        <f t="shared" si="39"/>
        <v>719.52131728577638</v>
      </c>
      <c r="E109" s="1">
        <f t="shared" si="35"/>
        <v>1073.1064244012659</v>
      </c>
      <c r="F109" s="1">
        <f t="shared" si="36"/>
        <v>172331.53104147085</v>
      </c>
    </row>
    <row r="110" spans="1:6" x14ac:dyDescent="0.2">
      <c r="A110" s="4" t="s">
        <v>141</v>
      </c>
      <c r="B110" s="1">
        <f t="shared" si="37"/>
        <v>172331.53104147085</v>
      </c>
      <c r="C110" s="1">
        <f t="shared" si="38"/>
        <v>355.05837839513742</v>
      </c>
      <c r="D110" s="1">
        <f t="shared" si="39"/>
        <v>718.04804600612852</v>
      </c>
      <c r="E110" s="1">
        <f t="shared" si="35"/>
        <v>1073.1064244012659</v>
      </c>
      <c r="F110" s="1">
        <f t="shared" si="36"/>
        <v>171976.47266307572</v>
      </c>
    </row>
    <row r="111" spans="1:6" x14ac:dyDescent="0.2">
      <c r="A111" s="4" t="s">
        <v>142</v>
      </c>
      <c r="B111" s="1">
        <f t="shared" si="37"/>
        <v>171976.47266307572</v>
      </c>
      <c r="C111" s="1">
        <f t="shared" si="38"/>
        <v>356.53778830511715</v>
      </c>
      <c r="D111" s="1">
        <f t="shared" si="39"/>
        <v>716.56863609614879</v>
      </c>
      <c r="E111" s="1">
        <f t="shared" si="35"/>
        <v>1073.1064244012659</v>
      </c>
      <c r="F111" s="2">
        <f t="shared" si="36"/>
        <v>171619.93487477061</v>
      </c>
    </row>
    <row r="112" spans="1:6" x14ac:dyDescent="0.2">
      <c r="A112" s="5" t="s">
        <v>0</v>
      </c>
      <c r="B112" s="3"/>
      <c r="C112" s="2">
        <f>SUM(C100:C111)</f>
        <v>4182.1503791890245</v>
      </c>
      <c r="D112" s="2">
        <f>SUM(D100:D111)</f>
        <v>8695.1267136261667</v>
      </c>
    </row>
    <row r="114" spans="1:6" x14ac:dyDescent="0.2">
      <c r="A114" s="6"/>
      <c r="B114" s="1"/>
      <c r="C114" s="1"/>
      <c r="D114" s="1"/>
      <c r="E114" s="1"/>
      <c r="F114" s="1"/>
    </row>
    <row r="115" spans="1:6" x14ac:dyDescent="0.2">
      <c r="A115" s="6"/>
      <c r="B115" s="1"/>
      <c r="C115" s="1"/>
      <c r="D115" s="1"/>
      <c r="E115" s="1"/>
      <c r="F115" s="1"/>
    </row>
    <row r="116" spans="1:6" x14ac:dyDescent="0.2">
      <c r="A116" s="6"/>
      <c r="B116" s="1"/>
      <c r="C116" s="1"/>
      <c r="D116" s="1"/>
      <c r="E116" s="1"/>
      <c r="F116" s="1"/>
    </row>
    <row r="117" spans="1:6" x14ac:dyDescent="0.2">
      <c r="A117" s="6"/>
      <c r="B117" s="1"/>
      <c r="C117" s="1"/>
      <c r="D117" s="1"/>
      <c r="E117" s="1"/>
      <c r="F117" s="1"/>
    </row>
    <row r="118" spans="1:6" x14ac:dyDescent="0.2">
      <c r="A118" s="6"/>
      <c r="B118" s="1"/>
      <c r="C118" s="1"/>
      <c r="D118" s="1"/>
      <c r="E118" s="1"/>
      <c r="F118" s="1"/>
    </row>
    <row r="119" spans="1:6" x14ac:dyDescent="0.2">
      <c r="A119" s="6"/>
      <c r="B119" s="1"/>
      <c r="C119" s="1"/>
      <c r="D119" s="1"/>
      <c r="E119" s="1"/>
      <c r="F119" s="1"/>
    </row>
    <row r="120" spans="1:6" x14ac:dyDescent="0.2">
      <c r="A120" s="6"/>
      <c r="B120" s="1"/>
      <c r="C120" s="1"/>
      <c r="D120" s="1"/>
      <c r="E120" s="1"/>
      <c r="F120" s="1"/>
    </row>
    <row r="121" spans="1:6" x14ac:dyDescent="0.2">
      <c r="A121" s="6"/>
      <c r="B121" s="1"/>
      <c r="C121" s="1"/>
      <c r="D121" s="1"/>
      <c r="E121" s="1"/>
      <c r="F121" s="1"/>
    </row>
    <row r="122" spans="1:6" x14ac:dyDescent="0.2">
      <c r="A122" s="6"/>
      <c r="B122" s="1"/>
      <c r="C122" s="1"/>
      <c r="D122" s="1"/>
      <c r="E122" s="1"/>
      <c r="F122" s="1"/>
    </row>
    <row r="123" spans="1:6" x14ac:dyDescent="0.2">
      <c r="A123" s="6"/>
      <c r="B123" s="1"/>
      <c r="C123" s="1"/>
      <c r="D123" s="1"/>
      <c r="E123" s="1"/>
      <c r="F123" s="1"/>
    </row>
    <row r="124" spans="1:6" x14ac:dyDescent="0.2">
      <c r="A124" s="6"/>
      <c r="B124" s="1"/>
      <c r="C124" s="1"/>
      <c r="D124" s="1"/>
      <c r="E124" s="1"/>
      <c r="F124" s="1"/>
    </row>
    <row r="125" spans="1:6" x14ac:dyDescent="0.2">
      <c r="A125" s="6"/>
      <c r="B125" s="1"/>
      <c r="C125" s="1"/>
      <c r="D125" s="1"/>
      <c r="E125" s="1"/>
      <c r="F125" s="2"/>
    </row>
    <row r="126" spans="1:6" x14ac:dyDescent="0.2">
      <c r="A126" s="5"/>
      <c r="B126" s="3"/>
      <c r="C126" s="2"/>
      <c r="D126" s="2"/>
    </row>
    <row r="128" spans="1:6" x14ac:dyDescent="0.2">
      <c r="A128" s="6"/>
      <c r="B128" s="1"/>
      <c r="C128" s="1"/>
      <c r="D128" s="1"/>
      <c r="E128" s="1"/>
      <c r="F128" s="1"/>
    </row>
    <row r="129" spans="1:6" x14ac:dyDescent="0.2">
      <c r="A129" s="6"/>
      <c r="B129" s="1"/>
      <c r="C129" s="1"/>
      <c r="D129" s="1"/>
      <c r="E129" s="1"/>
      <c r="F129" s="1"/>
    </row>
    <row r="130" spans="1:6" x14ac:dyDescent="0.2">
      <c r="A130" s="6"/>
      <c r="B130" s="1"/>
      <c r="C130" s="1"/>
      <c r="D130" s="1"/>
      <c r="E130" s="1"/>
      <c r="F130" s="1"/>
    </row>
    <row r="131" spans="1:6" x14ac:dyDescent="0.2">
      <c r="A131" s="6"/>
      <c r="B131" s="1"/>
      <c r="C131" s="1"/>
      <c r="D131" s="1"/>
      <c r="E131" s="1"/>
      <c r="F131" s="1"/>
    </row>
    <row r="132" spans="1:6" x14ac:dyDescent="0.2">
      <c r="A132" s="6"/>
      <c r="B132" s="1"/>
      <c r="C132" s="1"/>
      <c r="D132" s="1"/>
      <c r="E132" s="1"/>
      <c r="F132" s="1"/>
    </row>
    <row r="133" spans="1:6" x14ac:dyDescent="0.2">
      <c r="A133" s="6"/>
      <c r="B133" s="1"/>
      <c r="C133" s="1"/>
      <c r="D133" s="1"/>
      <c r="E133" s="1"/>
      <c r="F133" s="1"/>
    </row>
    <row r="134" spans="1:6" x14ac:dyDescent="0.2">
      <c r="A134" s="6"/>
      <c r="B134" s="1"/>
      <c r="C134" s="1"/>
      <c r="D134" s="1"/>
      <c r="E134" s="1"/>
      <c r="F134" s="1"/>
    </row>
    <row r="135" spans="1:6" x14ac:dyDescent="0.2">
      <c r="A135" s="6"/>
      <c r="B135" s="1"/>
      <c r="C135" s="1"/>
      <c r="D135" s="1"/>
      <c r="E135" s="1"/>
      <c r="F135" s="1"/>
    </row>
    <row r="136" spans="1:6" x14ac:dyDescent="0.2">
      <c r="A136" s="6"/>
      <c r="B136" s="1"/>
      <c r="C136" s="1"/>
      <c r="D136" s="1"/>
      <c r="E136" s="1"/>
      <c r="F136" s="1"/>
    </row>
    <row r="137" spans="1:6" x14ac:dyDescent="0.2">
      <c r="A137" s="6"/>
      <c r="B137" s="1"/>
      <c r="C137" s="1"/>
      <c r="D137" s="1"/>
      <c r="E137" s="1"/>
      <c r="F137" s="1"/>
    </row>
    <row r="138" spans="1:6" x14ac:dyDescent="0.2">
      <c r="A138" s="6"/>
      <c r="B138" s="1"/>
      <c r="C138" s="1"/>
      <c r="D138" s="1"/>
      <c r="E138" s="1"/>
      <c r="F138" s="1"/>
    </row>
    <row r="139" spans="1:6" x14ac:dyDescent="0.2">
      <c r="A139" s="6"/>
      <c r="B139" s="1"/>
      <c r="C139" s="1"/>
      <c r="D139" s="1"/>
      <c r="E139" s="1"/>
      <c r="F139" s="2"/>
    </row>
    <row r="140" spans="1:6" x14ac:dyDescent="0.2">
      <c r="A140" s="5"/>
      <c r="B140" s="3"/>
      <c r="C140" s="2"/>
      <c r="D140" s="2"/>
    </row>
    <row r="141" spans="1:6" x14ac:dyDescent="0.2">
      <c r="B141" s="4"/>
      <c r="C141" s="1"/>
      <c r="D141" s="1"/>
      <c r="E141" s="1"/>
      <c r="F141" s="1"/>
    </row>
    <row r="142" spans="1:6" x14ac:dyDescent="0.2">
      <c r="B142" s="1"/>
      <c r="C142" s="1"/>
      <c r="D142" s="1"/>
      <c r="E142" s="1"/>
      <c r="F142" s="1"/>
    </row>
    <row r="143" spans="1:6" x14ac:dyDescent="0.2">
      <c r="B143" s="1"/>
      <c r="C143" s="1"/>
      <c r="D143" s="1"/>
      <c r="E143" s="1"/>
      <c r="F143" s="1"/>
    </row>
    <row r="144" spans="1:6" x14ac:dyDescent="0.2">
      <c r="B144" s="1"/>
      <c r="C144" s="1"/>
      <c r="D144" s="1"/>
      <c r="E144" s="1"/>
      <c r="F144" s="1"/>
    </row>
    <row r="145" spans="2:6" x14ac:dyDescent="0.2">
      <c r="B145" s="1"/>
      <c r="C145" s="1"/>
      <c r="D145" s="1"/>
      <c r="E145" s="1"/>
      <c r="F145" s="1"/>
    </row>
    <row r="146" spans="2:6" x14ac:dyDescent="0.2">
      <c r="B146" s="1"/>
      <c r="C146" s="1"/>
      <c r="D146" s="1"/>
      <c r="E146" s="1"/>
      <c r="F146" s="1"/>
    </row>
    <row r="147" spans="2:6" x14ac:dyDescent="0.2">
      <c r="B147" s="1"/>
      <c r="C147" s="1"/>
      <c r="D147" s="1"/>
      <c r="E147" s="1"/>
      <c r="F147" s="1"/>
    </row>
    <row r="148" spans="2:6" x14ac:dyDescent="0.2">
      <c r="B148" s="1"/>
      <c r="C148" s="1"/>
      <c r="D148" s="1"/>
      <c r="E148" s="1"/>
      <c r="F148" s="1"/>
    </row>
    <row r="149" spans="2:6" x14ac:dyDescent="0.2">
      <c r="B149" s="1"/>
      <c r="C149" s="1"/>
      <c r="D149" s="1"/>
      <c r="E149" s="1"/>
      <c r="F149" s="1"/>
    </row>
    <row r="150" spans="2:6" x14ac:dyDescent="0.2">
      <c r="B150" s="1"/>
      <c r="C150" s="1"/>
      <c r="D150" s="1"/>
      <c r="E150" s="1"/>
      <c r="F150" s="1"/>
    </row>
    <row r="151" spans="2:6" x14ac:dyDescent="0.2">
      <c r="B151" s="1"/>
      <c r="C151" s="1"/>
      <c r="D151" s="1"/>
      <c r="E151" s="1"/>
      <c r="F151" s="1"/>
    </row>
    <row r="152" spans="2:6" x14ac:dyDescent="0.2">
      <c r="B152" s="1"/>
      <c r="C152" s="1"/>
      <c r="D152" s="1"/>
      <c r="E152" s="1"/>
      <c r="F152" s="1"/>
    </row>
    <row r="153" spans="2:6" x14ac:dyDescent="0.2">
      <c r="B153" s="1"/>
      <c r="C153" s="1"/>
      <c r="D153" s="1"/>
      <c r="E153" s="1"/>
      <c r="F153" s="2"/>
    </row>
    <row r="154" spans="2:6" x14ac:dyDescent="0.2">
      <c r="B154" s="5"/>
      <c r="C154" s="2"/>
      <c r="D154" s="2"/>
      <c r="E154" s="1"/>
      <c r="F154" s="1"/>
    </row>
    <row r="155" spans="2:6" x14ac:dyDescent="0.2">
      <c r="B155" s="4"/>
      <c r="C155" s="1"/>
      <c r="D155" s="1"/>
      <c r="E155" s="1"/>
      <c r="F155" s="1"/>
    </row>
    <row r="156" spans="2:6" x14ac:dyDescent="0.2">
      <c r="B156" s="1"/>
      <c r="C156" s="1"/>
      <c r="D156" s="1"/>
      <c r="E156" s="1"/>
      <c r="F156" s="1"/>
    </row>
    <row r="157" spans="2:6" x14ac:dyDescent="0.2">
      <c r="B157" s="1"/>
      <c r="C157" s="1"/>
      <c r="D157" s="1"/>
      <c r="E157" s="1"/>
      <c r="F157" s="1"/>
    </row>
    <row r="158" spans="2:6" x14ac:dyDescent="0.2">
      <c r="B158" s="1"/>
      <c r="C158" s="1"/>
      <c r="D158" s="1"/>
      <c r="E158" s="1"/>
      <c r="F158" s="1"/>
    </row>
    <row r="159" spans="2:6" x14ac:dyDescent="0.2">
      <c r="B159" s="1"/>
      <c r="C159" s="1"/>
      <c r="D159" s="1"/>
      <c r="E159" s="1"/>
      <c r="F159" s="1"/>
    </row>
    <row r="160" spans="2:6" x14ac:dyDescent="0.2">
      <c r="B160" s="1"/>
      <c r="C160" s="1"/>
      <c r="D160" s="1"/>
      <c r="E160" s="1"/>
      <c r="F160" s="1"/>
    </row>
    <row r="161" spans="2:6" x14ac:dyDescent="0.2">
      <c r="B161" s="1"/>
      <c r="C161" s="1"/>
      <c r="D161" s="1"/>
      <c r="E161" s="1"/>
      <c r="F161" s="1"/>
    </row>
    <row r="162" spans="2:6" x14ac:dyDescent="0.2">
      <c r="B162" s="1"/>
      <c r="C162" s="1"/>
      <c r="D162" s="1"/>
      <c r="E162" s="1"/>
      <c r="F162" s="1"/>
    </row>
    <row r="163" spans="2:6" x14ac:dyDescent="0.2">
      <c r="B163" s="1"/>
      <c r="C163" s="1"/>
      <c r="D163" s="1"/>
      <c r="E163" s="1"/>
      <c r="F163" s="1"/>
    </row>
    <row r="164" spans="2:6" x14ac:dyDescent="0.2">
      <c r="B164" s="1"/>
      <c r="C164" s="1"/>
      <c r="D164" s="1"/>
      <c r="E164" s="1"/>
      <c r="F164" s="1"/>
    </row>
    <row r="165" spans="2:6" x14ac:dyDescent="0.2">
      <c r="B165" s="1"/>
      <c r="C165" s="1"/>
      <c r="D165" s="1"/>
      <c r="E165" s="1"/>
      <c r="F165" s="1"/>
    </row>
    <row r="166" spans="2:6" x14ac:dyDescent="0.2">
      <c r="B166" s="1"/>
      <c r="C166" s="1"/>
      <c r="D166" s="1"/>
      <c r="E166" s="1"/>
      <c r="F166" s="1"/>
    </row>
    <row r="167" spans="2:6" x14ac:dyDescent="0.2">
      <c r="B167" s="1"/>
      <c r="C167" s="1"/>
      <c r="D167" s="1"/>
      <c r="E167" s="1"/>
      <c r="F167" s="2"/>
    </row>
    <row r="168" spans="2:6" x14ac:dyDescent="0.2">
      <c r="B168" s="3"/>
      <c r="C168" s="2"/>
      <c r="D168" s="2"/>
    </row>
    <row r="170" spans="2:6" x14ac:dyDescent="0.2">
      <c r="B170" s="1"/>
      <c r="C170" s="1"/>
      <c r="D170" s="1"/>
      <c r="E170" s="1"/>
      <c r="F170" s="1"/>
    </row>
    <row r="171" spans="2:6" x14ac:dyDescent="0.2">
      <c r="B171" s="1"/>
      <c r="C171" s="1"/>
      <c r="D171" s="1"/>
      <c r="E171" s="1"/>
      <c r="F171" s="1"/>
    </row>
    <row r="172" spans="2:6" x14ac:dyDescent="0.2">
      <c r="B172" s="1"/>
      <c r="C172" s="1"/>
      <c r="D172" s="1"/>
      <c r="E172" s="1"/>
      <c r="F172" s="1"/>
    </row>
    <row r="173" spans="2:6" x14ac:dyDescent="0.2">
      <c r="B173" s="1"/>
      <c r="C173" s="1"/>
      <c r="D173" s="1"/>
      <c r="E173" s="1"/>
      <c r="F173" s="1"/>
    </row>
    <row r="174" spans="2:6" x14ac:dyDescent="0.2">
      <c r="B174" s="1"/>
      <c r="C174" s="1"/>
      <c r="D174" s="1"/>
      <c r="E174" s="1"/>
      <c r="F174" s="1"/>
    </row>
    <row r="175" spans="2:6" x14ac:dyDescent="0.2">
      <c r="B175" s="1"/>
      <c r="C175" s="1"/>
      <c r="D175" s="1"/>
      <c r="E175" s="1"/>
      <c r="F175" s="1"/>
    </row>
    <row r="176" spans="2:6" x14ac:dyDescent="0.2">
      <c r="B176" s="1"/>
      <c r="C176" s="1"/>
      <c r="D176" s="1"/>
      <c r="E176" s="1"/>
      <c r="F176" s="1"/>
    </row>
    <row r="177" spans="2:6" x14ac:dyDescent="0.2">
      <c r="B177" s="1"/>
      <c r="C177" s="1"/>
      <c r="D177" s="1"/>
      <c r="E177" s="1"/>
      <c r="F177" s="1"/>
    </row>
    <row r="178" spans="2:6" x14ac:dyDescent="0.2">
      <c r="B178" s="1"/>
      <c r="C178" s="1"/>
      <c r="D178" s="1"/>
      <c r="E178" s="1"/>
      <c r="F178" s="1"/>
    </row>
    <row r="179" spans="2:6" x14ac:dyDescent="0.2">
      <c r="B179" s="1"/>
      <c r="C179" s="1"/>
      <c r="D179" s="1"/>
      <c r="E179" s="1"/>
      <c r="F179" s="1"/>
    </row>
    <row r="180" spans="2:6" x14ac:dyDescent="0.2">
      <c r="B180" s="1"/>
      <c r="C180" s="1"/>
      <c r="D180" s="1"/>
      <c r="E180" s="1"/>
      <c r="F180" s="1"/>
    </row>
    <row r="181" spans="2:6" x14ac:dyDescent="0.2">
      <c r="B181" s="1"/>
      <c r="C181" s="1"/>
      <c r="D181" s="1"/>
      <c r="E181" s="1"/>
      <c r="F181" s="2"/>
    </row>
    <row r="182" spans="2:6" x14ac:dyDescent="0.2">
      <c r="B182" s="3"/>
      <c r="C182" s="2"/>
      <c r="D182" s="2"/>
    </row>
    <row r="184" spans="2:6" x14ac:dyDescent="0.2">
      <c r="B184" s="1"/>
      <c r="C184" s="1"/>
      <c r="D184" s="1"/>
      <c r="E184" s="1"/>
      <c r="F184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tabSelected="1" workbookViewId="0">
      <selection activeCell="I2" sqref="I2"/>
    </sheetView>
  </sheetViews>
  <sheetFormatPr defaultRowHeight="15" x14ac:dyDescent="0.25"/>
  <cols>
    <col min="1" max="1" width="10.7109375" bestFit="1" customWidth="1"/>
    <col min="2" max="2" width="7" bestFit="1" customWidth="1"/>
    <col min="3" max="3" width="15" bestFit="1" customWidth="1"/>
    <col min="4" max="4" width="12.140625" bestFit="1" customWidth="1"/>
    <col min="6" max="6" width="15" bestFit="1" customWidth="1"/>
    <col min="7" max="7" width="12.140625" bestFit="1" customWidth="1"/>
  </cols>
  <sheetData>
    <row r="1" spans="1:9" x14ac:dyDescent="0.25">
      <c r="A1" s="59" t="s">
        <v>174</v>
      </c>
      <c r="B1" s="59" t="s">
        <v>173</v>
      </c>
      <c r="C1" s="59" t="s">
        <v>171</v>
      </c>
      <c r="D1" s="59" t="s">
        <v>170</v>
      </c>
      <c r="E1" s="59" t="s">
        <v>172</v>
      </c>
      <c r="F1" s="59" t="s">
        <v>171</v>
      </c>
      <c r="G1" s="59" t="s">
        <v>170</v>
      </c>
      <c r="H1" s="59" t="s">
        <v>169</v>
      </c>
      <c r="I1" s="59" t="s">
        <v>175</v>
      </c>
    </row>
    <row r="2" spans="1:9" x14ac:dyDescent="0.25">
      <c r="A2" s="58">
        <v>40911</v>
      </c>
      <c r="B2" s="55">
        <v>58.35</v>
      </c>
      <c r="E2" s="55">
        <v>58.44</v>
      </c>
      <c r="H2" s="54">
        <f>0.0015/250</f>
        <v>6.0000000000000002E-6</v>
      </c>
      <c r="I2">
        <v>0.82709999999999995</v>
      </c>
    </row>
    <row r="3" spans="1:9" ht="15" customHeight="1" x14ac:dyDescent="0.25">
      <c r="A3" s="58">
        <v>40912</v>
      </c>
      <c r="B3" s="55">
        <v>58.37</v>
      </c>
      <c r="C3" s="57">
        <f t="shared" ref="C3:C66" si="0">(B3-B2)/B2</f>
        <v>3.4275921165374498E-4</v>
      </c>
      <c r="D3" s="56">
        <f t="shared" ref="D3:D66" si="1">C3-$H$2</f>
        <v>3.3675921165374499E-4</v>
      </c>
      <c r="E3" s="55">
        <v>57.43</v>
      </c>
      <c r="F3" s="54">
        <f t="shared" ref="F3:F66" si="2">(E3-E2)/E2</f>
        <v>-1.7282683093771355E-2</v>
      </c>
      <c r="G3" s="53">
        <f t="shared" ref="G3:G66" si="3">F3-$H$2</f>
        <v>-1.7288683093771354E-2</v>
      </c>
    </row>
    <row r="4" spans="1:9" ht="15" customHeight="1" x14ac:dyDescent="0.25">
      <c r="A4" s="58">
        <v>40913</v>
      </c>
      <c r="B4" s="55">
        <v>58.55</v>
      </c>
      <c r="C4" s="57">
        <f t="shared" si="0"/>
        <v>3.0837759122837025E-3</v>
      </c>
      <c r="D4" s="56">
        <f t="shared" si="1"/>
        <v>3.0777759122837026E-3</v>
      </c>
      <c r="E4" s="55">
        <v>58.06</v>
      </c>
      <c r="F4" s="54">
        <f t="shared" si="2"/>
        <v>1.0969876371234592E-2</v>
      </c>
      <c r="G4" s="53">
        <f t="shared" si="3"/>
        <v>1.0963876371234591E-2</v>
      </c>
    </row>
    <row r="5" spans="1:9" x14ac:dyDescent="0.25">
      <c r="A5" s="58">
        <v>40914</v>
      </c>
      <c r="B5" s="55">
        <v>58.42</v>
      </c>
      <c r="C5" s="57">
        <f t="shared" si="0"/>
        <v>-2.2203245089666176E-3</v>
      </c>
      <c r="D5" s="56">
        <f t="shared" si="1"/>
        <v>-2.2263245089666176E-3</v>
      </c>
      <c r="E5" s="55">
        <v>57.77</v>
      </c>
      <c r="F5" s="54">
        <f t="shared" si="2"/>
        <v>-4.9948329314502089E-3</v>
      </c>
      <c r="G5" s="53">
        <f t="shared" si="3"/>
        <v>-5.0008329314502088E-3</v>
      </c>
    </row>
    <row r="6" spans="1:9" ht="15" customHeight="1" x14ac:dyDescent="0.25">
      <c r="A6" s="58">
        <v>40917</v>
      </c>
      <c r="B6" s="55">
        <v>58.55</v>
      </c>
      <c r="C6" s="57">
        <f t="shared" si="0"/>
        <v>2.2252653200957799E-3</v>
      </c>
      <c r="D6" s="56">
        <f t="shared" si="1"/>
        <v>2.21926532009578E-3</v>
      </c>
      <c r="E6" s="55">
        <v>57.62</v>
      </c>
      <c r="F6" s="54">
        <f t="shared" si="2"/>
        <v>-2.5965033754544865E-3</v>
      </c>
      <c r="G6" s="53">
        <f t="shared" si="3"/>
        <v>-2.6025033754544864E-3</v>
      </c>
    </row>
    <row r="7" spans="1:9" x14ac:dyDescent="0.25">
      <c r="A7" s="58">
        <v>40918</v>
      </c>
      <c r="B7" s="55">
        <v>59.07</v>
      </c>
      <c r="C7" s="57">
        <f t="shared" si="0"/>
        <v>8.8812980358668348E-3</v>
      </c>
      <c r="D7" s="56">
        <f t="shared" si="1"/>
        <v>8.875298035866834E-3</v>
      </c>
      <c r="E7" s="55">
        <v>58.36</v>
      </c>
      <c r="F7" s="54">
        <f t="shared" si="2"/>
        <v>1.284276292953839E-2</v>
      </c>
      <c r="G7" s="53">
        <f t="shared" si="3"/>
        <v>1.2836762929538389E-2</v>
      </c>
    </row>
    <row r="8" spans="1:9" x14ac:dyDescent="0.25">
      <c r="A8" s="58">
        <v>40919</v>
      </c>
      <c r="B8" s="55">
        <v>59.1</v>
      </c>
      <c r="C8" s="57">
        <f t="shared" si="0"/>
        <v>5.0787201625192378E-4</v>
      </c>
      <c r="D8" s="56">
        <f t="shared" si="1"/>
        <v>5.0187201625192374E-4</v>
      </c>
      <c r="E8" s="55">
        <v>58.68</v>
      </c>
      <c r="F8" s="54">
        <f t="shared" si="2"/>
        <v>5.4832076764907518E-3</v>
      </c>
      <c r="G8" s="53">
        <f t="shared" si="3"/>
        <v>5.4772076764907519E-3</v>
      </c>
    </row>
    <row r="9" spans="1:9" x14ac:dyDescent="0.25">
      <c r="A9" s="58">
        <v>40920</v>
      </c>
      <c r="B9" s="55">
        <v>59.24</v>
      </c>
      <c r="C9" s="57">
        <f t="shared" si="0"/>
        <v>2.3688663282572008E-3</v>
      </c>
      <c r="D9" s="56">
        <f t="shared" si="1"/>
        <v>2.3628663282572009E-3</v>
      </c>
      <c r="E9" s="55">
        <v>58.25</v>
      </c>
      <c r="F9" s="54">
        <f t="shared" si="2"/>
        <v>-7.3278800272665251E-3</v>
      </c>
      <c r="G9" s="53">
        <f t="shared" si="3"/>
        <v>-7.3338800272665251E-3</v>
      </c>
    </row>
    <row r="10" spans="1:9" x14ac:dyDescent="0.25">
      <c r="A10" s="58">
        <v>40921</v>
      </c>
      <c r="B10" s="55">
        <v>58.94</v>
      </c>
      <c r="C10" s="57">
        <f t="shared" si="0"/>
        <v>-5.064145847400477E-3</v>
      </c>
      <c r="D10" s="56">
        <f t="shared" si="1"/>
        <v>-5.0701458474004769E-3</v>
      </c>
      <c r="E10" s="55">
        <v>58.38</v>
      </c>
      <c r="F10" s="54">
        <f t="shared" si="2"/>
        <v>2.2317596566524046E-3</v>
      </c>
      <c r="G10" s="53">
        <f t="shared" si="3"/>
        <v>2.2257596566524047E-3</v>
      </c>
    </row>
    <row r="11" spans="1:9" x14ac:dyDescent="0.25">
      <c r="A11" s="58">
        <v>40925</v>
      </c>
      <c r="B11" s="55">
        <v>59.15</v>
      </c>
      <c r="C11" s="57">
        <f t="shared" si="0"/>
        <v>3.5629453681710358E-3</v>
      </c>
      <c r="D11" s="56">
        <f t="shared" si="1"/>
        <v>3.5569453681710359E-3</v>
      </c>
      <c r="E11" s="55">
        <v>58.87</v>
      </c>
      <c r="F11" s="54">
        <f t="shared" si="2"/>
        <v>8.3932853717025493E-3</v>
      </c>
      <c r="G11" s="53">
        <f t="shared" si="3"/>
        <v>8.3872853717025485E-3</v>
      </c>
    </row>
    <row r="12" spans="1:9" x14ac:dyDescent="0.25">
      <c r="A12" s="58">
        <v>40926</v>
      </c>
      <c r="B12" s="55">
        <v>59.82</v>
      </c>
      <c r="C12" s="57">
        <f t="shared" si="0"/>
        <v>1.1327134404057511E-2</v>
      </c>
      <c r="D12" s="56">
        <f t="shared" si="1"/>
        <v>1.132113440405751E-2</v>
      </c>
      <c r="E12" s="55">
        <v>59.3</v>
      </c>
      <c r="F12" s="54">
        <f t="shared" si="2"/>
        <v>7.3042296585697254E-3</v>
      </c>
      <c r="G12" s="53">
        <f t="shared" si="3"/>
        <v>7.2982296585697255E-3</v>
      </c>
    </row>
    <row r="13" spans="1:9" x14ac:dyDescent="0.25">
      <c r="A13" s="58">
        <v>40927</v>
      </c>
      <c r="B13" s="55">
        <v>60.12</v>
      </c>
      <c r="C13" s="57">
        <f t="shared" si="0"/>
        <v>5.0150451354061707E-3</v>
      </c>
      <c r="D13" s="56">
        <f t="shared" si="1"/>
        <v>5.0090451354061708E-3</v>
      </c>
      <c r="E13" s="55">
        <v>59.52</v>
      </c>
      <c r="F13" s="54">
        <f t="shared" si="2"/>
        <v>3.7099494097808765E-3</v>
      </c>
      <c r="G13" s="53">
        <f t="shared" si="3"/>
        <v>3.7039494097808765E-3</v>
      </c>
    </row>
    <row r="14" spans="1:9" x14ac:dyDescent="0.25">
      <c r="A14" s="58">
        <v>40928</v>
      </c>
      <c r="B14" s="55">
        <v>60.16</v>
      </c>
      <c r="C14" s="57">
        <f t="shared" si="0"/>
        <v>6.6533599467729786E-4</v>
      </c>
      <c r="D14" s="56">
        <f t="shared" si="1"/>
        <v>6.5933599467729782E-4</v>
      </c>
      <c r="E14" s="55">
        <v>59.97</v>
      </c>
      <c r="F14" s="54">
        <f t="shared" si="2"/>
        <v>7.5604838709676702E-3</v>
      </c>
      <c r="G14" s="53">
        <f t="shared" si="3"/>
        <v>7.5544838709676702E-3</v>
      </c>
    </row>
    <row r="15" spans="1:9" x14ac:dyDescent="0.25">
      <c r="A15" s="58">
        <v>40931</v>
      </c>
      <c r="B15" s="55">
        <v>60.19</v>
      </c>
      <c r="C15" s="57">
        <f t="shared" si="0"/>
        <v>4.9867021276597638E-4</v>
      </c>
      <c r="D15" s="56">
        <f t="shared" si="1"/>
        <v>4.9267021276597634E-4</v>
      </c>
      <c r="E15" s="55">
        <v>60.17</v>
      </c>
      <c r="F15" s="54">
        <f t="shared" si="2"/>
        <v>3.3350008337502558E-3</v>
      </c>
      <c r="G15" s="53">
        <f t="shared" si="3"/>
        <v>3.3290008337502558E-3</v>
      </c>
    </row>
    <row r="16" spans="1:9" x14ac:dyDescent="0.25">
      <c r="A16" s="58">
        <v>40932</v>
      </c>
      <c r="B16" s="55">
        <v>60.13</v>
      </c>
      <c r="C16" s="57">
        <f t="shared" si="0"/>
        <v>-9.9684332945664022E-4</v>
      </c>
      <c r="D16" s="56">
        <f t="shared" si="1"/>
        <v>-1.0028433294566401E-3</v>
      </c>
      <c r="E16" s="55">
        <v>60.61</v>
      </c>
      <c r="F16" s="54">
        <f t="shared" si="2"/>
        <v>7.312614259597768E-3</v>
      </c>
      <c r="G16" s="53">
        <f t="shared" si="3"/>
        <v>7.3066142595977681E-3</v>
      </c>
    </row>
    <row r="17" spans="1:7" x14ac:dyDescent="0.25">
      <c r="A17" s="58">
        <v>40933</v>
      </c>
      <c r="B17" s="55">
        <v>60.65</v>
      </c>
      <c r="C17" s="57">
        <f t="shared" si="0"/>
        <v>8.6479294861133548E-3</v>
      </c>
      <c r="D17" s="56">
        <f t="shared" si="1"/>
        <v>8.641929486113354E-3</v>
      </c>
      <c r="E17" s="55">
        <v>61.39</v>
      </c>
      <c r="F17" s="54">
        <f t="shared" si="2"/>
        <v>1.2869163504372234E-2</v>
      </c>
      <c r="G17" s="53">
        <f t="shared" si="3"/>
        <v>1.2863163504372234E-2</v>
      </c>
    </row>
    <row r="18" spans="1:7" x14ac:dyDescent="0.25">
      <c r="A18" s="58">
        <v>40934</v>
      </c>
      <c r="B18" s="55">
        <v>60.3</v>
      </c>
      <c r="C18" s="57">
        <f t="shared" si="0"/>
        <v>-5.7708161582852666E-3</v>
      </c>
      <c r="D18" s="56">
        <f t="shared" si="1"/>
        <v>-5.7768161582852666E-3</v>
      </c>
      <c r="E18" s="55">
        <v>61.8</v>
      </c>
      <c r="F18" s="54">
        <f t="shared" si="2"/>
        <v>6.6786121518162007E-3</v>
      </c>
      <c r="G18" s="53">
        <f t="shared" si="3"/>
        <v>6.6726121518162007E-3</v>
      </c>
    </row>
    <row r="19" spans="1:7" x14ac:dyDescent="0.25">
      <c r="A19" s="58">
        <v>40935</v>
      </c>
      <c r="B19" s="55">
        <v>60.21</v>
      </c>
      <c r="C19" s="57">
        <f t="shared" si="0"/>
        <v>-1.4925373134327747E-3</v>
      </c>
      <c r="D19" s="56">
        <f t="shared" si="1"/>
        <v>-1.4985373134327746E-3</v>
      </c>
      <c r="E19" s="55">
        <v>61.93</v>
      </c>
      <c r="F19" s="54">
        <f t="shared" si="2"/>
        <v>2.1035598705502032E-3</v>
      </c>
      <c r="G19" s="53">
        <f t="shared" si="3"/>
        <v>2.0975598705502032E-3</v>
      </c>
    </row>
    <row r="20" spans="1:7" x14ac:dyDescent="0.25">
      <c r="A20" s="58">
        <v>40938</v>
      </c>
      <c r="B20" s="55">
        <v>60.06</v>
      </c>
      <c r="C20" s="57">
        <f t="shared" si="0"/>
        <v>-2.4912805181863239E-3</v>
      </c>
      <c r="D20" s="56">
        <f t="shared" si="1"/>
        <v>-2.4972805181863239E-3</v>
      </c>
      <c r="E20" s="55">
        <v>61.36</v>
      </c>
      <c r="F20" s="54">
        <f t="shared" si="2"/>
        <v>-9.2039399321814999E-3</v>
      </c>
      <c r="G20" s="53">
        <f t="shared" si="3"/>
        <v>-9.2099399321815007E-3</v>
      </c>
    </row>
    <row r="21" spans="1:7" x14ac:dyDescent="0.25">
      <c r="A21" s="58">
        <v>40939</v>
      </c>
      <c r="B21" s="55">
        <v>60.03</v>
      </c>
      <c r="C21" s="57">
        <f t="shared" si="0"/>
        <v>-4.9950049950051837E-4</v>
      </c>
      <c r="D21" s="56">
        <f t="shared" si="1"/>
        <v>-5.055004995005184E-4</v>
      </c>
      <c r="E21" s="55">
        <v>61.72</v>
      </c>
      <c r="F21" s="54">
        <f t="shared" si="2"/>
        <v>5.8670143415906033E-3</v>
      </c>
      <c r="G21" s="53">
        <f t="shared" si="3"/>
        <v>5.8610143415906034E-3</v>
      </c>
    </row>
    <row r="22" spans="1:7" x14ac:dyDescent="0.25">
      <c r="A22" s="58">
        <v>40940</v>
      </c>
      <c r="B22" s="55">
        <v>60.58</v>
      </c>
      <c r="C22" s="57">
        <f t="shared" si="0"/>
        <v>9.1620856238546922E-3</v>
      </c>
      <c r="D22" s="56">
        <f t="shared" si="1"/>
        <v>9.1560856238546914E-3</v>
      </c>
      <c r="E22" s="55">
        <v>62.33</v>
      </c>
      <c r="F22" s="54">
        <f t="shared" si="2"/>
        <v>9.8833441348023243E-3</v>
      </c>
      <c r="G22" s="53">
        <f t="shared" si="3"/>
        <v>9.8773441348023235E-3</v>
      </c>
    </row>
    <row r="23" spans="1:7" x14ac:dyDescent="0.25">
      <c r="A23" s="58">
        <v>40941</v>
      </c>
      <c r="B23" s="55">
        <v>60.65</v>
      </c>
      <c r="C23" s="57">
        <f t="shared" si="0"/>
        <v>1.1554968636513748E-3</v>
      </c>
      <c r="D23" s="56">
        <f t="shared" si="1"/>
        <v>1.1494968636513749E-3</v>
      </c>
      <c r="E23" s="55">
        <v>62.44</v>
      </c>
      <c r="F23" s="54">
        <f t="shared" si="2"/>
        <v>1.7648002566982102E-3</v>
      </c>
      <c r="G23" s="53">
        <f t="shared" si="3"/>
        <v>1.7588002566982102E-3</v>
      </c>
    </row>
    <row r="24" spans="1:7" x14ac:dyDescent="0.25">
      <c r="A24" s="58">
        <v>40942</v>
      </c>
      <c r="B24" s="55">
        <v>61.54</v>
      </c>
      <c r="C24" s="57">
        <f t="shared" si="0"/>
        <v>1.4674361088211057E-2</v>
      </c>
      <c r="D24" s="56">
        <f t="shared" si="1"/>
        <v>1.4668361088211056E-2</v>
      </c>
      <c r="E24" s="55">
        <v>63.32</v>
      </c>
      <c r="F24" s="54">
        <f t="shared" si="2"/>
        <v>1.4093529788597094E-2</v>
      </c>
      <c r="G24" s="53">
        <f t="shared" si="3"/>
        <v>1.4087529788597094E-2</v>
      </c>
    </row>
    <row r="25" spans="1:7" x14ac:dyDescent="0.25">
      <c r="A25" s="58">
        <v>40945</v>
      </c>
      <c r="B25" s="55">
        <v>61.52</v>
      </c>
      <c r="C25" s="57">
        <f t="shared" si="0"/>
        <v>-3.2499187520305527E-4</v>
      </c>
      <c r="D25" s="56">
        <f t="shared" si="1"/>
        <v>-3.3099187520305525E-4</v>
      </c>
      <c r="E25" s="55">
        <v>63.09</v>
      </c>
      <c r="F25" s="54">
        <f t="shared" si="2"/>
        <v>-3.6323436512949599E-3</v>
      </c>
      <c r="G25" s="53">
        <f t="shared" si="3"/>
        <v>-3.6383436512949598E-3</v>
      </c>
    </row>
    <row r="26" spans="1:7" x14ac:dyDescent="0.25">
      <c r="A26" s="58">
        <v>40946</v>
      </c>
      <c r="B26" s="55">
        <v>61.64</v>
      </c>
      <c r="C26" s="57">
        <f t="shared" si="0"/>
        <v>1.9505851755526242E-3</v>
      </c>
      <c r="D26" s="56">
        <f t="shared" si="1"/>
        <v>1.9445851755526243E-3</v>
      </c>
      <c r="E26" s="55">
        <v>63.01</v>
      </c>
      <c r="F26" s="54">
        <f t="shared" si="2"/>
        <v>-1.2680297987003549E-3</v>
      </c>
      <c r="G26" s="53">
        <f t="shared" si="3"/>
        <v>-1.2740297987003549E-3</v>
      </c>
    </row>
    <row r="27" spans="1:7" x14ac:dyDescent="0.25">
      <c r="A27" s="58">
        <v>40947</v>
      </c>
      <c r="B27" s="55">
        <v>61.8</v>
      </c>
      <c r="C27" s="57">
        <f t="shared" si="0"/>
        <v>2.5957170668396592E-3</v>
      </c>
      <c r="D27" s="56">
        <f t="shared" si="1"/>
        <v>2.5897170668396593E-3</v>
      </c>
      <c r="E27" s="55">
        <v>63.09</v>
      </c>
      <c r="F27" s="54">
        <f t="shared" si="2"/>
        <v>1.2696397397239391E-3</v>
      </c>
      <c r="G27" s="53">
        <f t="shared" si="3"/>
        <v>1.2636397397239392E-3</v>
      </c>
    </row>
    <row r="28" spans="1:7" x14ac:dyDescent="0.25">
      <c r="A28" s="58">
        <v>40948</v>
      </c>
      <c r="B28" s="55">
        <v>61.89</v>
      </c>
      <c r="C28" s="57">
        <f t="shared" si="0"/>
        <v>1.4563106796117058E-3</v>
      </c>
      <c r="D28" s="56">
        <f t="shared" si="1"/>
        <v>1.4503106796117059E-3</v>
      </c>
      <c r="E28" s="55">
        <v>62.56</v>
      </c>
      <c r="F28" s="54">
        <f t="shared" si="2"/>
        <v>-8.4006974163893019E-3</v>
      </c>
      <c r="G28" s="53">
        <f t="shared" si="3"/>
        <v>-8.4066974163893027E-3</v>
      </c>
    </row>
    <row r="29" spans="1:7" x14ac:dyDescent="0.25">
      <c r="A29" s="58">
        <v>40949</v>
      </c>
      <c r="B29" s="55">
        <v>61.47</v>
      </c>
      <c r="C29" s="57">
        <f t="shared" si="0"/>
        <v>-6.7862336403296444E-3</v>
      </c>
      <c r="D29" s="56">
        <f t="shared" si="1"/>
        <v>-6.7922336403296443E-3</v>
      </c>
      <c r="E29" s="55">
        <v>61.97</v>
      </c>
      <c r="F29" s="54">
        <f t="shared" si="2"/>
        <v>-9.430946291560157E-3</v>
      </c>
      <c r="G29" s="53">
        <f t="shared" si="3"/>
        <v>-9.4369462915601578E-3</v>
      </c>
    </row>
    <row r="30" spans="1:7" x14ac:dyDescent="0.25">
      <c r="A30" s="58">
        <v>40952</v>
      </c>
      <c r="B30" s="55">
        <v>61.9</v>
      </c>
      <c r="C30" s="57">
        <f t="shared" si="0"/>
        <v>6.9952822515047947E-3</v>
      </c>
      <c r="D30" s="56">
        <f t="shared" si="1"/>
        <v>6.9892822515047947E-3</v>
      </c>
      <c r="E30" s="55">
        <v>62.74</v>
      </c>
      <c r="F30" s="54">
        <f t="shared" si="2"/>
        <v>1.2425367113119302E-2</v>
      </c>
      <c r="G30" s="53">
        <f t="shared" si="3"/>
        <v>1.2419367113119301E-2</v>
      </c>
    </row>
    <row r="31" spans="1:7" x14ac:dyDescent="0.25">
      <c r="A31" s="58">
        <v>40953</v>
      </c>
      <c r="B31" s="55">
        <v>61.85</v>
      </c>
      <c r="C31" s="57">
        <f t="shared" si="0"/>
        <v>-8.0775444264938865E-4</v>
      </c>
      <c r="D31" s="56">
        <f t="shared" si="1"/>
        <v>-8.1375444264938869E-4</v>
      </c>
      <c r="E31" s="55">
        <v>61.91</v>
      </c>
      <c r="F31" s="54">
        <f t="shared" si="2"/>
        <v>-1.3229199872489725E-2</v>
      </c>
      <c r="G31" s="53">
        <f t="shared" si="3"/>
        <v>-1.3235199872489726E-2</v>
      </c>
    </row>
    <row r="32" spans="1:7" x14ac:dyDescent="0.25">
      <c r="A32" s="58">
        <v>40954</v>
      </c>
      <c r="B32" s="55">
        <v>61.54</v>
      </c>
      <c r="C32" s="57">
        <f t="shared" si="0"/>
        <v>-5.0121261115602632E-3</v>
      </c>
      <c r="D32" s="56">
        <f t="shared" si="1"/>
        <v>-5.0181261115602631E-3</v>
      </c>
      <c r="E32" s="55">
        <v>61.68</v>
      </c>
      <c r="F32" s="54">
        <f t="shared" si="2"/>
        <v>-3.715070263285364E-3</v>
      </c>
      <c r="G32" s="53">
        <f t="shared" si="3"/>
        <v>-3.7210702632853639E-3</v>
      </c>
    </row>
    <row r="33" spans="1:7" x14ac:dyDescent="0.25">
      <c r="A33" s="58">
        <v>40955</v>
      </c>
      <c r="B33" s="55">
        <v>62.22</v>
      </c>
      <c r="C33" s="57">
        <f t="shared" si="0"/>
        <v>1.1049723756906073E-2</v>
      </c>
      <c r="D33" s="56">
        <f t="shared" si="1"/>
        <v>1.1043723756906073E-2</v>
      </c>
      <c r="E33" s="55">
        <v>62.33</v>
      </c>
      <c r="F33" s="54">
        <f t="shared" si="2"/>
        <v>1.0538261997405943E-2</v>
      </c>
      <c r="G33" s="53">
        <f t="shared" si="3"/>
        <v>1.0532261997405942E-2</v>
      </c>
    </row>
    <row r="34" spans="1:7" x14ac:dyDescent="0.25">
      <c r="A34" s="58">
        <v>40956</v>
      </c>
      <c r="B34" s="55">
        <v>62.37</v>
      </c>
      <c r="C34" s="57">
        <f t="shared" si="0"/>
        <v>2.4108003857280388E-3</v>
      </c>
      <c r="D34" s="56">
        <f t="shared" si="1"/>
        <v>2.4048003857280388E-3</v>
      </c>
      <c r="E34" s="55">
        <v>62.31</v>
      </c>
      <c r="F34" s="54">
        <f t="shared" si="2"/>
        <v>-3.2087277394506693E-4</v>
      </c>
      <c r="G34" s="53">
        <f t="shared" si="3"/>
        <v>-3.2687277394506691E-4</v>
      </c>
    </row>
    <row r="35" spans="1:7" x14ac:dyDescent="0.25">
      <c r="A35" s="58">
        <v>40960</v>
      </c>
      <c r="B35" s="55">
        <v>62.42</v>
      </c>
      <c r="C35" s="57">
        <f t="shared" si="0"/>
        <v>8.0166746833420339E-4</v>
      </c>
      <c r="D35" s="56">
        <f t="shared" si="1"/>
        <v>7.9566746833420335E-4</v>
      </c>
      <c r="E35" s="55">
        <v>61.37</v>
      </c>
      <c r="F35" s="54">
        <f t="shared" si="2"/>
        <v>-1.5085861017493256E-2</v>
      </c>
      <c r="G35" s="53">
        <f t="shared" si="3"/>
        <v>-1.5091861017493257E-2</v>
      </c>
    </row>
    <row r="36" spans="1:7" x14ac:dyDescent="0.25">
      <c r="A36" s="58">
        <v>40961</v>
      </c>
      <c r="B36" s="55">
        <v>62.21</v>
      </c>
      <c r="C36" s="57">
        <f t="shared" si="0"/>
        <v>-3.3643063120794752E-3</v>
      </c>
      <c r="D36" s="56">
        <f t="shared" si="1"/>
        <v>-3.3703063120794751E-3</v>
      </c>
      <c r="E36" s="55">
        <v>60.8</v>
      </c>
      <c r="F36" s="54">
        <f t="shared" si="2"/>
        <v>-9.2879256965944321E-3</v>
      </c>
      <c r="G36" s="53">
        <f t="shared" si="3"/>
        <v>-9.2939256965944329E-3</v>
      </c>
    </row>
    <row r="37" spans="1:7" x14ac:dyDescent="0.25">
      <c r="A37" s="58">
        <v>40962</v>
      </c>
      <c r="B37" s="55">
        <v>62.49</v>
      </c>
      <c r="C37" s="57">
        <f t="shared" si="0"/>
        <v>4.500884102234386E-3</v>
      </c>
      <c r="D37" s="56">
        <f t="shared" si="1"/>
        <v>4.4948841022343861E-3</v>
      </c>
      <c r="E37" s="55">
        <v>61.66</v>
      </c>
      <c r="F37" s="54">
        <f t="shared" si="2"/>
        <v>1.4144736842105255E-2</v>
      </c>
      <c r="G37" s="53">
        <f t="shared" si="3"/>
        <v>1.4138736842105254E-2</v>
      </c>
    </row>
    <row r="38" spans="1:7" x14ac:dyDescent="0.25">
      <c r="A38" s="58">
        <v>40963</v>
      </c>
      <c r="B38" s="55">
        <v>62.6</v>
      </c>
      <c r="C38" s="57">
        <f t="shared" si="0"/>
        <v>1.760281645063201E-3</v>
      </c>
      <c r="D38" s="56">
        <f t="shared" si="1"/>
        <v>1.7542816450632011E-3</v>
      </c>
      <c r="E38" s="55">
        <v>61.71</v>
      </c>
      <c r="F38" s="54">
        <f t="shared" si="2"/>
        <v>8.1089847551093521E-4</v>
      </c>
      <c r="G38" s="53">
        <f t="shared" si="3"/>
        <v>8.0489847551093517E-4</v>
      </c>
    </row>
    <row r="39" spans="1:7" x14ac:dyDescent="0.25">
      <c r="A39" s="58">
        <v>40966</v>
      </c>
      <c r="B39" s="55">
        <v>62.69</v>
      </c>
      <c r="C39" s="57">
        <f t="shared" si="0"/>
        <v>1.4376996805111231E-3</v>
      </c>
      <c r="D39" s="56">
        <f t="shared" si="1"/>
        <v>1.4316996805111232E-3</v>
      </c>
      <c r="E39" s="55">
        <v>61.65</v>
      </c>
      <c r="F39" s="54">
        <f t="shared" si="2"/>
        <v>-9.7228974234325511E-4</v>
      </c>
      <c r="G39" s="53">
        <f t="shared" si="3"/>
        <v>-9.7828974234325503E-4</v>
      </c>
    </row>
    <row r="40" spans="1:7" x14ac:dyDescent="0.25">
      <c r="A40" s="58">
        <v>40967</v>
      </c>
      <c r="B40" s="55">
        <v>62.91</v>
      </c>
      <c r="C40" s="57">
        <f t="shared" si="0"/>
        <v>3.5093316318391909E-3</v>
      </c>
      <c r="D40" s="56">
        <f t="shared" si="1"/>
        <v>3.5033316318391909E-3</v>
      </c>
      <c r="E40" s="55">
        <v>61.19</v>
      </c>
      <c r="F40" s="54">
        <f t="shared" si="2"/>
        <v>-7.4614760746147752E-3</v>
      </c>
      <c r="G40" s="53">
        <f t="shared" si="3"/>
        <v>-7.4674760746147751E-3</v>
      </c>
    </row>
    <row r="41" spans="1:7" x14ac:dyDescent="0.25">
      <c r="A41" s="58">
        <v>40968</v>
      </c>
      <c r="B41" s="55">
        <v>62.63</v>
      </c>
      <c r="C41" s="57">
        <f t="shared" si="0"/>
        <v>-4.4508027340644423E-3</v>
      </c>
      <c r="D41" s="56">
        <f t="shared" si="1"/>
        <v>-4.4568027340644422E-3</v>
      </c>
      <c r="E41" s="55">
        <v>61.03</v>
      </c>
      <c r="F41" s="54">
        <f t="shared" si="2"/>
        <v>-2.6148063409053212E-3</v>
      </c>
      <c r="G41" s="53">
        <f t="shared" si="3"/>
        <v>-2.6208063409053212E-3</v>
      </c>
    </row>
    <row r="42" spans="1:7" x14ac:dyDescent="0.25">
      <c r="A42" s="58">
        <v>40969</v>
      </c>
      <c r="B42" s="55">
        <v>63.02</v>
      </c>
      <c r="C42" s="57">
        <f t="shared" si="0"/>
        <v>6.2270477406993546E-3</v>
      </c>
      <c r="D42" s="56">
        <f t="shared" si="1"/>
        <v>6.2210477406993547E-3</v>
      </c>
      <c r="E42" s="55">
        <v>61.39</v>
      </c>
      <c r="F42" s="54">
        <f t="shared" si="2"/>
        <v>5.8987383254137217E-3</v>
      </c>
      <c r="G42" s="53">
        <f t="shared" si="3"/>
        <v>5.8927383254137218E-3</v>
      </c>
    </row>
    <row r="43" spans="1:7" x14ac:dyDescent="0.25">
      <c r="A43" s="58">
        <v>40970</v>
      </c>
      <c r="B43" s="55">
        <v>62.81</v>
      </c>
      <c r="C43" s="57">
        <f t="shared" si="0"/>
        <v>-3.3322754681053769E-3</v>
      </c>
      <c r="D43" s="56">
        <f t="shared" si="1"/>
        <v>-3.3382754681053769E-3</v>
      </c>
      <c r="E43" s="55">
        <v>61.3</v>
      </c>
      <c r="F43" s="54">
        <f t="shared" si="2"/>
        <v>-1.4660368138133802E-3</v>
      </c>
      <c r="G43" s="53">
        <f t="shared" si="3"/>
        <v>-1.4720368138133801E-3</v>
      </c>
    </row>
    <row r="44" spans="1:7" x14ac:dyDescent="0.25">
      <c r="A44" s="58">
        <v>40973</v>
      </c>
      <c r="B44" s="55">
        <v>62.57</v>
      </c>
      <c r="C44" s="57">
        <f t="shared" si="0"/>
        <v>-3.8210476038847631E-3</v>
      </c>
      <c r="D44" s="56">
        <f t="shared" si="1"/>
        <v>-3.827047603884763E-3</v>
      </c>
      <c r="E44" s="55">
        <v>61.87</v>
      </c>
      <c r="F44" s="54">
        <f t="shared" si="2"/>
        <v>9.2985318107667268E-3</v>
      </c>
      <c r="G44" s="53">
        <f t="shared" si="3"/>
        <v>9.292531810766726E-3</v>
      </c>
    </row>
    <row r="45" spans="1:7" x14ac:dyDescent="0.25">
      <c r="A45" s="58">
        <v>40974</v>
      </c>
      <c r="B45" s="55">
        <v>61.62</v>
      </c>
      <c r="C45" s="57">
        <f t="shared" si="0"/>
        <v>-1.5182995045549031E-2</v>
      </c>
      <c r="D45" s="56">
        <f t="shared" si="1"/>
        <v>-1.5188995045549032E-2</v>
      </c>
      <c r="E45" s="55">
        <v>61.02</v>
      </c>
      <c r="F45" s="54">
        <f t="shared" si="2"/>
        <v>-1.3738483917892263E-2</v>
      </c>
      <c r="G45" s="53">
        <f t="shared" si="3"/>
        <v>-1.3744483917892264E-2</v>
      </c>
    </row>
    <row r="46" spans="1:7" x14ac:dyDescent="0.25">
      <c r="A46" s="58">
        <v>40975</v>
      </c>
      <c r="B46" s="55">
        <v>62.06</v>
      </c>
      <c r="C46" s="57">
        <f t="shared" si="0"/>
        <v>7.1405387861084848E-3</v>
      </c>
      <c r="D46" s="56">
        <f t="shared" si="1"/>
        <v>7.1345387861084849E-3</v>
      </c>
      <c r="E46" s="55">
        <v>61.4</v>
      </c>
      <c r="F46" s="54">
        <f t="shared" si="2"/>
        <v>6.2274664044574797E-3</v>
      </c>
      <c r="G46" s="53">
        <f t="shared" si="3"/>
        <v>6.2214664044574798E-3</v>
      </c>
    </row>
    <row r="47" spans="1:7" x14ac:dyDescent="0.25">
      <c r="A47" s="58">
        <v>40976</v>
      </c>
      <c r="B47" s="55">
        <v>62.67</v>
      </c>
      <c r="C47" s="57">
        <f t="shared" si="0"/>
        <v>9.8291975507573213E-3</v>
      </c>
      <c r="D47" s="56">
        <f t="shared" si="1"/>
        <v>9.8231975507573205E-3</v>
      </c>
      <c r="E47" s="55">
        <v>61.12</v>
      </c>
      <c r="F47" s="54">
        <f t="shared" si="2"/>
        <v>-4.5602605863192371E-3</v>
      </c>
      <c r="G47" s="53">
        <f t="shared" si="3"/>
        <v>-4.566260586319237E-3</v>
      </c>
    </row>
    <row r="48" spans="1:7" x14ac:dyDescent="0.25">
      <c r="A48" s="58">
        <v>40977</v>
      </c>
      <c r="B48" s="55">
        <v>62.9</v>
      </c>
      <c r="C48" s="57">
        <f t="shared" si="0"/>
        <v>3.6700175522578087E-3</v>
      </c>
      <c r="D48" s="56">
        <f t="shared" si="1"/>
        <v>3.6640175522578088E-3</v>
      </c>
      <c r="E48" s="55">
        <v>61.4</v>
      </c>
      <c r="F48" s="54">
        <f t="shared" si="2"/>
        <v>4.5811518324607517E-3</v>
      </c>
      <c r="G48" s="53">
        <f t="shared" si="3"/>
        <v>4.5751518324607518E-3</v>
      </c>
    </row>
    <row r="49" spans="1:7" x14ac:dyDescent="0.25">
      <c r="A49" s="58">
        <v>40980</v>
      </c>
      <c r="B49" s="55">
        <v>62.92</v>
      </c>
      <c r="C49" s="57">
        <f t="shared" si="0"/>
        <v>3.179650238474265E-4</v>
      </c>
      <c r="D49" s="56">
        <f t="shared" si="1"/>
        <v>3.1196502384742651E-4</v>
      </c>
      <c r="E49" s="55">
        <v>61.75</v>
      </c>
      <c r="F49" s="54">
        <f t="shared" si="2"/>
        <v>5.7003257328990461E-3</v>
      </c>
      <c r="G49" s="53">
        <f t="shared" si="3"/>
        <v>5.6943257328990462E-3</v>
      </c>
    </row>
    <row r="50" spans="1:7" x14ac:dyDescent="0.25">
      <c r="A50" s="58">
        <v>40981</v>
      </c>
      <c r="B50" s="55">
        <v>64.08</v>
      </c>
      <c r="C50" s="57">
        <f t="shared" si="0"/>
        <v>1.8436109345200201E-2</v>
      </c>
      <c r="D50" s="56">
        <f t="shared" si="1"/>
        <v>1.8430109345200202E-2</v>
      </c>
      <c r="E50" s="55">
        <v>63.1</v>
      </c>
      <c r="F50" s="54">
        <f t="shared" si="2"/>
        <v>2.1862348178137675E-2</v>
      </c>
      <c r="G50" s="53">
        <f t="shared" si="3"/>
        <v>2.1856348178137676E-2</v>
      </c>
    </row>
    <row r="51" spans="1:7" x14ac:dyDescent="0.25">
      <c r="A51" s="58">
        <v>40982</v>
      </c>
      <c r="B51" s="55">
        <v>64</v>
      </c>
      <c r="C51" s="57">
        <f t="shared" si="0"/>
        <v>-1.248439450686615E-3</v>
      </c>
      <c r="D51" s="56">
        <f t="shared" si="1"/>
        <v>-1.254439450686615E-3</v>
      </c>
      <c r="E51" s="55">
        <v>62.86</v>
      </c>
      <c r="F51" s="54">
        <f t="shared" si="2"/>
        <v>-3.8034865293185734E-3</v>
      </c>
      <c r="G51" s="53">
        <f t="shared" si="3"/>
        <v>-3.8094865293185733E-3</v>
      </c>
    </row>
    <row r="52" spans="1:7" x14ac:dyDescent="0.25">
      <c r="A52" s="58">
        <v>40983</v>
      </c>
      <c r="B52" s="55">
        <v>64.39</v>
      </c>
      <c r="C52" s="57">
        <f t="shared" si="0"/>
        <v>6.0937500000000089E-3</v>
      </c>
      <c r="D52" s="56">
        <f t="shared" si="1"/>
        <v>6.087750000000009E-3</v>
      </c>
      <c r="E52" s="55">
        <v>62.86</v>
      </c>
      <c r="F52" s="54">
        <f t="shared" si="2"/>
        <v>0</v>
      </c>
      <c r="G52" s="53">
        <f t="shared" si="3"/>
        <v>-6.0000000000000002E-6</v>
      </c>
    </row>
    <row r="53" spans="1:7" x14ac:dyDescent="0.25">
      <c r="A53" s="58">
        <v>40984</v>
      </c>
      <c r="B53" s="55">
        <v>64.459999999999994</v>
      </c>
      <c r="C53" s="57">
        <f t="shared" si="0"/>
        <v>1.0871253300200835E-3</v>
      </c>
      <c r="D53" s="56">
        <f t="shared" si="1"/>
        <v>1.0811253300200836E-3</v>
      </c>
      <c r="E53" s="55">
        <v>63.2</v>
      </c>
      <c r="F53" s="54">
        <f t="shared" si="2"/>
        <v>5.4088450524976683E-3</v>
      </c>
      <c r="G53" s="53">
        <f t="shared" si="3"/>
        <v>5.4028450524976684E-3</v>
      </c>
    </row>
    <row r="54" spans="1:7" x14ac:dyDescent="0.25">
      <c r="A54" s="58">
        <v>40987</v>
      </c>
      <c r="B54" s="55">
        <v>64.72</v>
      </c>
      <c r="C54" s="57">
        <f t="shared" si="0"/>
        <v>4.033509152963158E-3</v>
      </c>
      <c r="D54" s="56">
        <f t="shared" si="1"/>
        <v>4.0275091529631581E-3</v>
      </c>
      <c r="E54" s="55">
        <v>63.7</v>
      </c>
      <c r="F54" s="54">
        <f t="shared" si="2"/>
        <v>7.9113924050632899E-3</v>
      </c>
      <c r="G54" s="53">
        <f t="shared" si="3"/>
        <v>7.9053924050632891E-3</v>
      </c>
    </row>
    <row r="55" spans="1:7" x14ac:dyDescent="0.25">
      <c r="A55" s="58">
        <v>40988</v>
      </c>
      <c r="B55" s="55">
        <v>64.52</v>
      </c>
      <c r="C55" s="57">
        <f t="shared" si="0"/>
        <v>-3.0902348578492407E-3</v>
      </c>
      <c r="D55" s="56">
        <f t="shared" si="1"/>
        <v>-3.0962348578492407E-3</v>
      </c>
      <c r="E55" s="55">
        <v>63.57</v>
      </c>
      <c r="F55" s="54">
        <f t="shared" si="2"/>
        <v>-2.0408163265306523E-3</v>
      </c>
      <c r="G55" s="53">
        <f t="shared" si="3"/>
        <v>-2.0468163265306523E-3</v>
      </c>
    </row>
    <row r="56" spans="1:7" x14ac:dyDescent="0.25">
      <c r="A56" s="58">
        <v>40989</v>
      </c>
      <c r="B56" s="55">
        <v>64.400000000000006</v>
      </c>
      <c r="C56" s="57">
        <f t="shared" si="0"/>
        <v>-1.8598884066954487E-3</v>
      </c>
      <c r="D56" s="56">
        <f t="shared" si="1"/>
        <v>-1.8658884066954486E-3</v>
      </c>
      <c r="E56" s="55">
        <v>63.43</v>
      </c>
      <c r="F56" s="54">
        <f t="shared" si="2"/>
        <v>-2.202296680824297E-3</v>
      </c>
      <c r="G56" s="53">
        <f t="shared" si="3"/>
        <v>-2.2082966808242969E-3</v>
      </c>
    </row>
    <row r="57" spans="1:7" x14ac:dyDescent="0.25">
      <c r="A57" s="58">
        <v>40990</v>
      </c>
      <c r="B57" s="55">
        <v>63.94</v>
      </c>
      <c r="C57" s="57">
        <f t="shared" si="0"/>
        <v>-7.1428571428572658E-3</v>
      </c>
      <c r="D57" s="56">
        <f t="shared" si="1"/>
        <v>-7.1488571428572657E-3</v>
      </c>
      <c r="E57" s="55">
        <v>62.59</v>
      </c>
      <c r="F57" s="54">
        <f t="shared" si="2"/>
        <v>-1.3242944978716637E-2</v>
      </c>
      <c r="G57" s="53">
        <f t="shared" si="3"/>
        <v>-1.3248944978716638E-2</v>
      </c>
    </row>
    <row r="58" spans="1:7" x14ac:dyDescent="0.25">
      <c r="A58" s="58">
        <v>40991</v>
      </c>
      <c r="B58" s="55">
        <v>64.14</v>
      </c>
      <c r="C58" s="57">
        <f t="shared" si="0"/>
        <v>3.1279324366594126E-3</v>
      </c>
      <c r="D58" s="56">
        <f t="shared" si="1"/>
        <v>3.1219324366594126E-3</v>
      </c>
      <c r="E58" s="55">
        <v>63</v>
      </c>
      <c r="F58" s="54">
        <f t="shared" si="2"/>
        <v>6.5505671832560564E-3</v>
      </c>
      <c r="G58" s="53">
        <f t="shared" si="3"/>
        <v>6.5445671832560564E-3</v>
      </c>
    </row>
    <row r="59" spans="1:7" x14ac:dyDescent="0.25">
      <c r="A59" s="58">
        <v>40994</v>
      </c>
      <c r="B59" s="55">
        <v>64.739999999999995</v>
      </c>
      <c r="C59" s="57">
        <f t="shared" si="0"/>
        <v>9.3545369504208654E-3</v>
      </c>
      <c r="D59" s="56">
        <f t="shared" si="1"/>
        <v>9.3485369504208646E-3</v>
      </c>
      <c r="E59" s="55">
        <v>63.17</v>
      </c>
      <c r="F59" s="54">
        <f t="shared" si="2"/>
        <v>2.6984126984127255E-3</v>
      </c>
      <c r="G59" s="53">
        <f t="shared" si="3"/>
        <v>2.6924126984127256E-3</v>
      </c>
    </row>
    <row r="60" spans="1:7" x14ac:dyDescent="0.25">
      <c r="A60" s="58">
        <v>40995</v>
      </c>
      <c r="B60" s="55">
        <v>64.569999999999993</v>
      </c>
      <c r="C60" s="57">
        <f t="shared" si="0"/>
        <v>-2.6258881680568695E-3</v>
      </c>
      <c r="D60" s="56">
        <f t="shared" si="1"/>
        <v>-2.6318881680568694E-3</v>
      </c>
      <c r="E60" s="55">
        <v>63.18</v>
      </c>
      <c r="F60" s="54">
        <f t="shared" si="2"/>
        <v>1.5830299192651592E-4</v>
      </c>
      <c r="G60" s="53">
        <f t="shared" si="3"/>
        <v>1.5230299192651591E-4</v>
      </c>
    </row>
    <row r="61" spans="1:7" x14ac:dyDescent="0.25">
      <c r="A61" s="58">
        <v>40996</v>
      </c>
      <c r="B61" s="55">
        <v>64.260000000000005</v>
      </c>
      <c r="C61" s="57">
        <f t="shared" si="0"/>
        <v>-4.8009911723708859E-3</v>
      </c>
      <c r="D61" s="56">
        <f t="shared" si="1"/>
        <v>-4.8069911723708858E-3</v>
      </c>
      <c r="E61" s="55">
        <v>63.06</v>
      </c>
      <c r="F61" s="54">
        <f t="shared" si="2"/>
        <v>-1.8993352326685255E-3</v>
      </c>
      <c r="G61" s="53">
        <f t="shared" si="3"/>
        <v>-1.9053352326685255E-3</v>
      </c>
    </row>
    <row r="62" spans="1:7" x14ac:dyDescent="0.25">
      <c r="A62" s="58">
        <v>40997</v>
      </c>
      <c r="B62" s="55">
        <v>64.16</v>
      </c>
      <c r="C62" s="57">
        <f t="shared" si="0"/>
        <v>-1.5561780267663947E-3</v>
      </c>
      <c r="D62" s="56">
        <f t="shared" si="1"/>
        <v>-1.5621780267663947E-3</v>
      </c>
      <c r="E62" s="55">
        <v>63.08</v>
      </c>
      <c r="F62" s="54">
        <f t="shared" si="2"/>
        <v>3.1715826197266128E-4</v>
      </c>
      <c r="G62" s="53">
        <f t="shared" si="3"/>
        <v>3.111582619726613E-4</v>
      </c>
    </row>
    <row r="63" spans="1:7" x14ac:dyDescent="0.25">
      <c r="A63" s="58">
        <v>40998</v>
      </c>
      <c r="B63" s="55">
        <v>64.400000000000006</v>
      </c>
      <c r="C63" s="57">
        <f t="shared" si="0"/>
        <v>3.7406483790525112E-3</v>
      </c>
      <c r="D63" s="56">
        <f t="shared" si="1"/>
        <v>3.7346483790525113E-3</v>
      </c>
      <c r="E63" s="55">
        <v>63.67</v>
      </c>
      <c r="F63" s="54">
        <f t="shared" si="2"/>
        <v>9.3532022828155259E-3</v>
      </c>
      <c r="G63" s="53">
        <f t="shared" si="3"/>
        <v>9.3472022828155251E-3</v>
      </c>
    </row>
    <row r="64" spans="1:7" x14ac:dyDescent="0.25">
      <c r="A64" s="58">
        <v>41001</v>
      </c>
      <c r="B64" s="55">
        <v>64.89</v>
      </c>
      <c r="C64" s="57">
        <f t="shared" si="0"/>
        <v>7.6086956521738327E-3</v>
      </c>
      <c r="D64" s="56">
        <f t="shared" si="1"/>
        <v>7.6026956521738328E-3</v>
      </c>
      <c r="E64" s="55">
        <v>64.08</v>
      </c>
      <c r="F64" s="54">
        <f t="shared" si="2"/>
        <v>6.4394534317574461E-3</v>
      </c>
      <c r="G64" s="53">
        <f t="shared" si="3"/>
        <v>6.4334534317574462E-3</v>
      </c>
    </row>
    <row r="65" spans="1:7" x14ac:dyDescent="0.25">
      <c r="A65" s="58">
        <v>41002</v>
      </c>
      <c r="B65" s="55">
        <v>64.64</v>
      </c>
      <c r="C65" s="57">
        <f t="shared" si="0"/>
        <v>-3.8526737555863769E-3</v>
      </c>
      <c r="D65" s="56">
        <f t="shared" si="1"/>
        <v>-3.8586737555863769E-3</v>
      </c>
      <c r="E65" s="55">
        <v>63.83</v>
      </c>
      <c r="F65" s="54">
        <f t="shared" si="2"/>
        <v>-3.9013732833957553E-3</v>
      </c>
      <c r="G65" s="53">
        <f t="shared" si="3"/>
        <v>-3.9073732833957552E-3</v>
      </c>
    </row>
    <row r="66" spans="1:7" x14ac:dyDescent="0.25">
      <c r="A66" s="58">
        <v>41003</v>
      </c>
      <c r="B66" s="55">
        <v>63.98</v>
      </c>
      <c r="C66" s="57">
        <f t="shared" si="0"/>
        <v>-1.0210396039604018E-2</v>
      </c>
      <c r="D66" s="56">
        <f t="shared" si="1"/>
        <v>-1.0216396039604019E-2</v>
      </c>
      <c r="E66" s="55">
        <v>63.14</v>
      </c>
      <c r="F66" s="54">
        <f t="shared" si="2"/>
        <v>-1.0809963966786741E-2</v>
      </c>
      <c r="G66" s="53">
        <f t="shared" si="3"/>
        <v>-1.0815963966786742E-2</v>
      </c>
    </row>
    <row r="67" spans="1:7" x14ac:dyDescent="0.25">
      <c r="A67" s="58">
        <v>41004</v>
      </c>
      <c r="B67" s="55">
        <v>63.97</v>
      </c>
      <c r="C67" s="57">
        <f t="shared" ref="C67:C130" si="4">(B67-B66)/B66</f>
        <v>-1.5629884338852783E-4</v>
      </c>
      <c r="D67" s="56">
        <f t="shared" ref="D67:D130" si="5">C67-$H$2</f>
        <v>-1.6229884338852784E-4</v>
      </c>
      <c r="E67" s="55">
        <v>62.89</v>
      </c>
      <c r="F67" s="54">
        <f t="shared" ref="F67:F130" si="6">(E67-E66)/E66</f>
        <v>-3.9594551789673737E-3</v>
      </c>
      <c r="G67" s="53">
        <f t="shared" ref="G67:G130" si="7">F67-$H$2</f>
        <v>-3.9654551789673736E-3</v>
      </c>
    </row>
    <row r="68" spans="1:7" x14ac:dyDescent="0.25">
      <c r="A68" s="58">
        <v>41008</v>
      </c>
      <c r="B68" s="55">
        <v>63.24</v>
      </c>
      <c r="C68" s="57">
        <f t="shared" si="4"/>
        <v>-1.1411599187118914E-2</v>
      </c>
      <c r="D68" s="56">
        <f t="shared" si="5"/>
        <v>-1.1417599187118915E-2</v>
      </c>
      <c r="E68" s="55">
        <v>62.24</v>
      </c>
      <c r="F68" s="54">
        <f t="shared" si="6"/>
        <v>-1.0335506439815529E-2</v>
      </c>
      <c r="G68" s="53">
        <f t="shared" si="7"/>
        <v>-1.034150643981553E-2</v>
      </c>
    </row>
    <row r="69" spans="1:7" x14ac:dyDescent="0.25">
      <c r="A69" s="58">
        <v>41009</v>
      </c>
      <c r="B69" s="55">
        <v>62.16</v>
      </c>
      <c r="C69" s="57">
        <f t="shared" si="4"/>
        <v>-1.707779886148016E-2</v>
      </c>
      <c r="D69" s="56">
        <f t="shared" si="5"/>
        <v>-1.7083798861480159E-2</v>
      </c>
      <c r="E69" s="55">
        <v>60.9</v>
      </c>
      <c r="F69" s="54">
        <f t="shared" si="6"/>
        <v>-2.1529562982005195E-2</v>
      </c>
      <c r="G69" s="53">
        <f t="shared" si="7"/>
        <v>-2.1535562982005194E-2</v>
      </c>
    </row>
    <row r="70" spans="1:7" x14ac:dyDescent="0.25">
      <c r="A70" s="58">
        <v>41010</v>
      </c>
      <c r="B70" s="55">
        <v>62.63</v>
      </c>
      <c r="C70" s="57">
        <f t="shared" si="4"/>
        <v>7.5611325611326576E-3</v>
      </c>
      <c r="D70" s="56">
        <f t="shared" si="5"/>
        <v>7.5551325611326577E-3</v>
      </c>
      <c r="E70" s="55">
        <v>61.7</v>
      </c>
      <c r="F70" s="54">
        <f t="shared" si="6"/>
        <v>1.3136288998358035E-2</v>
      </c>
      <c r="G70" s="53">
        <f t="shared" si="7"/>
        <v>1.3130288998358034E-2</v>
      </c>
    </row>
    <row r="71" spans="1:7" x14ac:dyDescent="0.25">
      <c r="A71" s="58">
        <v>41011</v>
      </c>
      <c r="B71" s="55">
        <v>63.5</v>
      </c>
      <c r="C71" s="57">
        <f t="shared" si="4"/>
        <v>1.3891106498483114E-2</v>
      </c>
      <c r="D71" s="56">
        <f t="shared" si="5"/>
        <v>1.3885106498483114E-2</v>
      </c>
      <c r="E71" s="55">
        <v>62.55</v>
      </c>
      <c r="F71" s="54">
        <f t="shared" si="6"/>
        <v>1.3776337115072841E-2</v>
      </c>
      <c r="G71" s="53">
        <f t="shared" si="7"/>
        <v>1.3770337115072841E-2</v>
      </c>
    </row>
    <row r="72" spans="1:7" x14ac:dyDescent="0.25">
      <c r="A72" s="58">
        <v>41012</v>
      </c>
      <c r="B72" s="55">
        <v>62.71</v>
      </c>
      <c r="C72" s="57">
        <f t="shared" si="4"/>
        <v>-1.2440944881889751E-2</v>
      </c>
      <c r="D72" s="56">
        <f t="shared" si="5"/>
        <v>-1.2446944881889752E-2</v>
      </c>
      <c r="E72" s="55">
        <v>62.18</v>
      </c>
      <c r="F72" s="54">
        <f t="shared" si="6"/>
        <v>-5.9152677857713422E-3</v>
      </c>
      <c r="G72" s="53">
        <f t="shared" si="7"/>
        <v>-5.9212677857713421E-3</v>
      </c>
    </row>
    <row r="73" spans="1:7" x14ac:dyDescent="0.25">
      <c r="A73" s="58">
        <v>41015</v>
      </c>
      <c r="B73" s="55">
        <v>62.68</v>
      </c>
      <c r="C73" s="57">
        <f t="shared" si="4"/>
        <v>-4.7839260086112481E-4</v>
      </c>
      <c r="D73" s="56">
        <f t="shared" si="5"/>
        <v>-4.8439260086112479E-4</v>
      </c>
      <c r="E73" s="55">
        <v>63.17</v>
      </c>
      <c r="F73" s="54">
        <f t="shared" si="6"/>
        <v>1.5921518173046028E-2</v>
      </c>
      <c r="G73" s="53">
        <f t="shared" si="7"/>
        <v>1.5915518173046029E-2</v>
      </c>
    </row>
    <row r="74" spans="1:7" x14ac:dyDescent="0.25">
      <c r="A74" s="58">
        <v>41016</v>
      </c>
      <c r="B74" s="55">
        <v>63.65</v>
      </c>
      <c r="C74" s="57">
        <f t="shared" si="4"/>
        <v>1.5475430759412873E-2</v>
      </c>
      <c r="D74" s="56">
        <f t="shared" si="5"/>
        <v>1.5469430759412872E-2</v>
      </c>
      <c r="E74" s="55">
        <v>63.71</v>
      </c>
      <c r="F74" s="54">
        <f t="shared" si="6"/>
        <v>8.5483615640335464E-3</v>
      </c>
      <c r="G74" s="53">
        <f t="shared" si="7"/>
        <v>8.5423615640335456E-3</v>
      </c>
    </row>
    <row r="75" spans="1:7" x14ac:dyDescent="0.25">
      <c r="A75" s="58">
        <v>41017</v>
      </c>
      <c r="B75" s="55">
        <v>63.39</v>
      </c>
      <c r="C75" s="57">
        <f t="shared" si="4"/>
        <v>-4.0848389630793094E-3</v>
      </c>
      <c r="D75" s="56">
        <f t="shared" si="5"/>
        <v>-4.0908389630793093E-3</v>
      </c>
      <c r="E75" s="55">
        <v>63.24</v>
      </c>
      <c r="F75" s="54">
        <f t="shared" si="6"/>
        <v>-7.3771778370742246E-3</v>
      </c>
      <c r="G75" s="53">
        <f t="shared" si="7"/>
        <v>-7.3831778370742245E-3</v>
      </c>
    </row>
    <row r="76" spans="1:7" x14ac:dyDescent="0.25">
      <c r="A76" s="58">
        <v>41018</v>
      </c>
      <c r="B76" s="55">
        <v>63.02</v>
      </c>
      <c r="C76" s="57">
        <f t="shared" si="4"/>
        <v>-5.8368827890834113E-3</v>
      </c>
      <c r="D76" s="56">
        <f t="shared" si="5"/>
        <v>-5.8428827890834112E-3</v>
      </c>
      <c r="E76" s="55">
        <v>63.22</v>
      </c>
      <c r="F76" s="54">
        <f t="shared" si="6"/>
        <v>-3.162555344719027E-4</v>
      </c>
      <c r="G76" s="53">
        <f t="shared" si="7"/>
        <v>-3.2225553447190269E-4</v>
      </c>
    </row>
    <row r="77" spans="1:7" x14ac:dyDescent="0.25">
      <c r="A77" s="58">
        <v>41019</v>
      </c>
      <c r="B77" s="55">
        <v>63.09</v>
      </c>
      <c r="C77" s="57">
        <f t="shared" si="4"/>
        <v>1.1107584893684588E-3</v>
      </c>
      <c r="D77" s="56">
        <f t="shared" si="5"/>
        <v>1.1047584893684589E-3</v>
      </c>
      <c r="E77" s="55">
        <v>64.05</v>
      </c>
      <c r="F77" s="54">
        <f t="shared" si="6"/>
        <v>1.3128756722556126E-2</v>
      </c>
      <c r="G77" s="53">
        <f t="shared" si="7"/>
        <v>1.3122756722556125E-2</v>
      </c>
    </row>
    <row r="78" spans="1:7" x14ac:dyDescent="0.25">
      <c r="A78" s="58">
        <v>41022</v>
      </c>
      <c r="B78" s="55">
        <v>62.56</v>
      </c>
      <c r="C78" s="57">
        <f t="shared" si="4"/>
        <v>-8.4006974163893019E-3</v>
      </c>
      <c r="D78" s="56">
        <f t="shared" si="5"/>
        <v>-8.4066974163893027E-3</v>
      </c>
      <c r="E78" s="55">
        <v>63.31</v>
      </c>
      <c r="F78" s="54">
        <f t="shared" si="6"/>
        <v>-1.1553473848555736E-2</v>
      </c>
      <c r="G78" s="53">
        <f t="shared" si="7"/>
        <v>-1.1559473848555737E-2</v>
      </c>
    </row>
    <row r="79" spans="1:7" x14ac:dyDescent="0.25">
      <c r="A79" s="58">
        <v>41023</v>
      </c>
      <c r="B79" s="55">
        <v>62.79</v>
      </c>
      <c r="C79" s="57">
        <f t="shared" si="4"/>
        <v>3.6764705882352442E-3</v>
      </c>
      <c r="D79" s="56">
        <f t="shared" si="5"/>
        <v>3.6704705882352443E-3</v>
      </c>
      <c r="E79" s="55">
        <v>64.31</v>
      </c>
      <c r="F79" s="54">
        <f t="shared" si="6"/>
        <v>1.5795293002685198E-2</v>
      </c>
      <c r="G79" s="53">
        <f t="shared" si="7"/>
        <v>1.5789293002685199E-2</v>
      </c>
    </row>
    <row r="80" spans="1:7" x14ac:dyDescent="0.25">
      <c r="A80" s="58">
        <v>41024</v>
      </c>
      <c r="B80" s="55">
        <v>63.66</v>
      </c>
      <c r="C80" s="57">
        <f t="shared" si="4"/>
        <v>1.385570950788338E-2</v>
      </c>
      <c r="D80" s="56">
        <f t="shared" si="5"/>
        <v>1.3849709507883379E-2</v>
      </c>
      <c r="E80" s="55">
        <v>65.040000000000006</v>
      </c>
      <c r="F80" s="54">
        <f t="shared" si="6"/>
        <v>1.1351267299020432E-2</v>
      </c>
      <c r="G80" s="53">
        <f t="shared" si="7"/>
        <v>1.1345267299020431E-2</v>
      </c>
    </row>
    <row r="81" spans="1:7" x14ac:dyDescent="0.25">
      <c r="A81" s="58">
        <v>41025</v>
      </c>
      <c r="B81" s="55">
        <v>64.09</v>
      </c>
      <c r="C81" s="57">
        <f t="shared" si="4"/>
        <v>6.7546339930883888E-3</v>
      </c>
      <c r="D81" s="56">
        <f t="shared" si="5"/>
        <v>6.7486339930883888E-3</v>
      </c>
      <c r="E81" s="55">
        <v>65.19</v>
      </c>
      <c r="F81" s="54">
        <f t="shared" si="6"/>
        <v>2.3062730627304959E-3</v>
      </c>
      <c r="G81" s="53">
        <f t="shared" si="7"/>
        <v>2.300273062730496E-3</v>
      </c>
    </row>
    <row r="82" spans="1:7" x14ac:dyDescent="0.25">
      <c r="A82" s="58">
        <v>41026</v>
      </c>
      <c r="B82" s="55">
        <v>64.239999999999995</v>
      </c>
      <c r="C82" s="57">
        <f t="shared" si="4"/>
        <v>2.3404587299109296E-3</v>
      </c>
      <c r="D82" s="56">
        <f t="shared" si="5"/>
        <v>2.3344587299109296E-3</v>
      </c>
      <c r="E82" s="55">
        <v>65.599999999999994</v>
      </c>
      <c r="F82" s="54">
        <f t="shared" si="6"/>
        <v>6.2893081761005772E-3</v>
      </c>
      <c r="G82" s="53">
        <f t="shared" si="7"/>
        <v>6.2833081761005773E-3</v>
      </c>
    </row>
    <row r="83" spans="1:7" x14ac:dyDescent="0.25">
      <c r="A83" s="58">
        <v>41029</v>
      </c>
      <c r="B83" s="55">
        <v>63.99</v>
      </c>
      <c r="C83" s="57">
        <f t="shared" si="4"/>
        <v>-3.8916562889164527E-3</v>
      </c>
      <c r="D83" s="56">
        <f t="shared" si="5"/>
        <v>-3.8976562889164526E-3</v>
      </c>
      <c r="E83" s="55">
        <v>65.510000000000005</v>
      </c>
      <c r="F83" s="54">
        <f t="shared" si="6"/>
        <v>-1.3719512195120307E-3</v>
      </c>
      <c r="G83" s="53">
        <f t="shared" si="7"/>
        <v>-1.3779512195120306E-3</v>
      </c>
    </row>
    <row r="84" spans="1:7" x14ac:dyDescent="0.25">
      <c r="A84" s="58">
        <v>41030</v>
      </c>
      <c r="B84" s="55">
        <v>64.36</v>
      </c>
      <c r="C84" s="57">
        <f t="shared" si="4"/>
        <v>5.7821534614783156E-3</v>
      </c>
      <c r="D84" s="56">
        <f t="shared" si="5"/>
        <v>5.7761534614783156E-3</v>
      </c>
      <c r="E84" s="55">
        <v>66.180000000000007</v>
      </c>
      <c r="F84" s="54">
        <f t="shared" si="6"/>
        <v>1.0227446191421182E-2</v>
      </c>
      <c r="G84" s="53">
        <f t="shared" si="7"/>
        <v>1.0221446191421181E-2</v>
      </c>
    </row>
    <row r="85" spans="1:7" x14ac:dyDescent="0.25">
      <c r="A85" s="58">
        <v>41031</v>
      </c>
      <c r="B85" s="55">
        <v>64.2</v>
      </c>
      <c r="C85" s="57">
        <f t="shared" si="4"/>
        <v>-2.4860161591049811E-3</v>
      </c>
      <c r="D85" s="56">
        <f t="shared" si="5"/>
        <v>-2.492016159104981E-3</v>
      </c>
      <c r="E85" s="55">
        <v>66.12</v>
      </c>
      <c r="F85" s="54">
        <f t="shared" si="6"/>
        <v>-9.0661831368997079E-4</v>
      </c>
      <c r="G85" s="53">
        <f t="shared" si="7"/>
        <v>-9.1261831368997083E-4</v>
      </c>
    </row>
    <row r="86" spans="1:7" x14ac:dyDescent="0.25">
      <c r="A86" s="58">
        <v>41032</v>
      </c>
      <c r="B86" s="55">
        <v>63.72</v>
      </c>
      <c r="C86" s="57">
        <f t="shared" si="4"/>
        <v>-7.4766355140187535E-3</v>
      </c>
      <c r="D86" s="56">
        <f t="shared" si="5"/>
        <v>-7.4826355140187534E-3</v>
      </c>
      <c r="E86" s="55">
        <v>65.8</v>
      </c>
      <c r="F86" s="54">
        <f t="shared" si="6"/>
        <v>-4.8396854204477823E-3</v>
      </c>
      <c r="G86" s="53">
        <f t="shared" si="7"/>
        <v>-4.8456854204477822E-3</v>
      </c>
    </row>
    <row r="87" spans="1:7" x14ac:dyDescent="0.25">
      <c r="A87" s="58">
        <v>41033</v>
      </c>
      <c r="B87" s="55">
        <v>62.69</v>
      </c>
      <c r="C87" s="57">
        <f t="shared" si="4"/>
        <v>-1.6164469554300082E-2</v>
      </c>
      <c r="D87" s="56">
        <f t="shared" si="5"/>
        <v>-1.6170469554300081E-2</v>
      </c>
      <c r="E87" s="55">
        <v>65.239999999999995</v>
      </c>
      <c r="F87" s="54">
        <f t="shared" si="6"/>
        <v>-8.5106382978723753E-3</v>
      </c>
      <c r="G87" s="53">
        <f t="shared" si="7"/>
        <v>-8.5166382978723761E-3</v>
      </c>
    </row>
    <row r="88" spans="1:7" x14ac:dyDescent="0.25">
      <c r="A88" s="58">
        <v>41036</v>
      </c>
      <c r="B88" s="55">
        <v>62.72</v>
      </c>
      <c r="C88" s="57">
        <f t="shared" si="4"/>
        <v>4.7854522252354661E-4</v>
      </c>
      <c r="D88" s="56">
        <f t="shared" si="5"/>
        <v>4.7254522252354662E-4</v>
      </c>
      <c r="E88" s="55">
        <v>65.7</v>
      </c>
      <c r="F88" s="54">
        <f t="shared" si="6"/>
        <v>7.0508890251380751E-3</v>
      </c>
      <c r="G88" s="53">
        <f t="shared" si="7"/>
        <v>7.0448890251380751E-3</v>
      </c>
    </row>
    <row r="89" spans="1:7" x14ac:dyDescent="0.25">
      <c r="A89" s="58">
        <v>41037</v>
      </c>
      <c r="B89" s="55">
        <v>62.46</v>
      </c>
      <c r="C89" s="57">
        <f t="shared" si="4"/>
        <v>-4.1454081632652743E-3</v>
      </c>
      <c r="D89" s="56">
        <f t="shared" si="5"/>
        <v>-4.1514081632652742E-3</v>
      </c>
      <c r="E89" s="55">
        <v>65.599999999999994</v>
      </c>
      <c r="F89" s="54">
        <f t="shared" si="6"/>
        <v>-1.52207001522083E-3</v>
      </c>
      <c r="G89" s="53">
        <f t="shared" si="7"/>
        <v>-1.5280700152208299E-3</v>
      </c>
    </row>
    <row r="90" spans="1:7" x14ac:dyDescent="0.25">
      <c r="A90" s="58">
        <v>41038</v>
      </c>
      <c r="B90" s="55">
        <v>62.06</v>
      </c>
      <c r="C90" s="57">
        <f t="shared" si="4"/>
        <v>-6.4040986231187732E-3</v>
      </c>
      <c r="D90" s="56">
        <f t="shared" si="5"/>
        <v>-6.4100986231187731E-3</v>
      </c>
      <c r="E90" s="55">
        <v>65.38</v>
      </c>
      <c r="F90" s="54">
        <f t="shared" si="6"/>
        <v>-3.3536585365853489E-3</v>
      </c>
      <c r="G90" s="53">
        <f t="shared" si="7"/>
        <v>-3.3596585365853488E-3</v>
      </c>
    </row>
    <row r="91" spans="1:7" x14ac:dyDescent="0.25">
      <c r="A91" s="58">
        <v>41039</v>
      </c>
      <c r="B91" s="55">
        <v>62.23</v>
      </c>
      <c r="C91" s="57">
        <f t="shared" si="4"/>
        <v>2.7392845633257266E-3</v>
      </c>
      <c r="D91" s="56">
        <f t="shared" si="5"/>
        <v>2.7332845633257267E-3</v>
      </c>
      <c r="E91" s="55">
        <v>65.430000000000007</v>
      </c>
      <c r="F91" s="54">
        <f t="shared" si="6"/>
        <v>7.6475986540243759E-4</v>
      </c>
      <c r="G91" s="53">
        <f t="shared" si="7"/>
        <v>7.5875986540243755E-4</v>
      </c>
    </row>
    <row r="92" spans="1:7" x14ac:dyDescent="0.25">
      <c r="A92" s="58">
        <v>41040</v>
      </c>
      <c r="B92" s="55">
        <v>62.03</v>
      </c>
      <c r="C92" s="57">
        <f t="shared" si="4"/>
        <v>-3.2138839787882972E-3</v>
      </c>
      <c r="D92" s="56">
        <f t="shared" si="5"/>
        <v>-3.2198839787882971E-3</v>
      </c>
      <c r="E92" s="55">
        <v>65.58</v>
      </c>
      <c r="F92" s="54">
        <f t="shared" si="6"/>
        <v>2.292526364053056E-3</v>
      </c>
      <c r="G92" s="53">
        <f t="shared" si="7"/>
        <v>2.286526364053056E-3</v>
      </c>
    </row>
    <row r="93" spans="1:7" x14ac:dyDescent="0.25">
      <c r="A93" s="58">
        <v>41043</v>
      </c>
      <c r="B93" s="55">
        <v>61.34</v>
      </c>
      <c r="C93" s="57">
        <f t="shared" si="4"/>
        <v>-1.1123649846848263E-2</v>
      </c>
      <c r="D93" s="56">
        <f t="shared" si="5"/>
        <v>-1.1129649846848264E-2</v>
      </c>
      <c r="E93" s="55">
        <v>64.73</v>
      </c>
      <c r="F93" s="54">
        <f t="shared" si="6"/>
        <v>-1.2961268679475363E-2</v>
      </c>
      <c r="G93" s="53">
        <f t="shared" si="7"/>
        <v>-1.2967268679475364E-2</v>
      </c>
    </row>
    <row r="94" spans="1:7" x14ac:dyDescent="0.25">
      <c r="A94" s="58">
        <v>41044</v>
      </c>
      <c r="B94" s="55">
        <v>61</v>
      </c>
      <c r="C94" s="57">
        <f t="shared" si="4"/>
        <v>-5.5428757743724065E-3</v>
      </c>
      <c r="D94" s="56">
        <f t="shared" si="5"/>
        <v>-5.5488757743724065E-3</v>
      </c>
      <c r="E94" s="55">
        <v>64.45</v>
      </c>
      <c r="F94" s="54">
        <f t="shared" si="6"/>
        <v>-4.3256604356558181E-3</v>
      </c>
      <c r="G94" s="53">
        <f t="shared" si="7"/>
        <v>-4.331660435655818E-3</v>
      </c>
    </row>
    <row r="95" spans="1:7" x14ac:dyDescent="0.25">
      <c r="A95" s="58">
        <v>41045</v>
      </c>
      <c r="B95" s="55">
        <v>60.76</v>
      </c>
      <c r="C95" s="57">
        <f t="shared" si="4"/>
        <v>-3.9344262295082297E-3</v>
      </c>
      <c r="D95" s="56">
        <f t="shared" si="5"/>
        <v>-3.9404262295082296E-3</v>
      </c>
      <c r="E95" s="55">
        <v>63.66</v>
      </c>
      <c r="F95" s="54">
        <f t="shared" si="6"/>
        <v>-1.2257564003103277E-2</v>
      </c>
      <c r="G95" s="53">
        <f t="shared" si="7"/>
        <v>-1.2263564003103277E-2</v>
      </c>
    </row>
    <row r="96" spans="1:7" x14ac:dyDescent="0.25">
      <c r="A96" s="58">
        <v>41046</v>
      </c>
      <c r="B96" s="55">
        <v>59.85</v>
      </c>
      <c r="C96" s="57">
        <f t="shared" si="4"/>
        <v>-1.4976958525345566E-2</v>
      </c>
      <c r="D96" s="56">
        <f t="shared" si="5"/>
        <v>-1.4982958525345567E-2</v>
      </c>
      <c r="E96" s="55">
        <v>61.86</v>
      </c>
      <c r="F96" s="54">
        <f t="shared" si="6"/>
        <v>-2.8275212064090439E-2</v>
      </c>
      <c r="G96" s="53">
        <f t="shared" si="7"/>
        <v>-2.8281212064090438E-2</v>
      </c>
    </row>
    <row r="97" spans="1:7" x14ac:dyDescent="0.25">
      <c r="A97" s="58">
        <v>41047</v>
      </c>
      <c r="B97" s="55">
        <v>59.41</v>
      </c>
      <c r="C97" s="57">
        <f t="shared" si="4"/>
        <v>-7.35171261487059E-3</v>
      </c>
      <c r="D97" s="56">
        <f t="shared" si="5"/>
        <v>-7.35771261487059E-3</v>
      </c>
      <c r="E97" s="55">
        <v>61.09</v>
      </c>
      <c r="F97" s="54">
        <f t="shared" si="6"/>
        <v>-1.24474620109925E-2</v>
      </c>
      <c r="G97" s="53">
        <f t="shared" si="7"/>
        <v>-1.2453462010992501E-2</v>
      </c>
    </row>
    <row r="98" spans="1:7" x14ac:dyDescent="0.25">
      <c r="A98" s="58">
        <v>41050</v>
      </c>
      <c r="B98" s="55">
        <v>60.36</v>
      </c>
      <c r="C98" s="57">
        <f t="shared" si="4"/>
        <v>1.5990573977444925E-2</v>
      </c>
      <c r="D98" s="56">
        <f t="shared" si="5"/>
        <v>1.5984573977444926E-2</v>
      </c>
      <c r="E98" s="55">
        <v>62.43</v>
      </c>
      <c r="F98" s="54">
        <f t="shared" si="6"/>
        <v>2.1934850220985371E-2</v>
      </c>
      <c r="G98" s="53">
        <f t="shared" si="7"/>
        <v>2.1928850220985372E-2</v>
      </c>
    </row>
    <row r="99" spans="1:7" x14ac:dyDescent="0.25">
      <c r="A99" s="58">
        <v>41051</v>
      </c>
      <c r="B99" s="55">
        <v>60.39</v>
      </c>
      <c r="C99" s="57">
        <f t="shared" si="4"/>
        <v>4.97017892644154E-4</v>
      </c>
      <c r="D99" s="56">
        <f t="shared" si="5"/>
        <v>4.9101789264415397E-4</v>
      </c>
      <c r="E99" s="55">
        <v>62.55</v>
      </c>
      <c r="F99" s="54">
        <f t="shared" si="6"/>
        <v>1.9221528111484454E-3</v>
      </c>
      <c r="G99" s="53">
        <f t="shared" si="7"/>
        <v>1.9161528111484455E-3</v>
      </c>
    </row>
    <row r="100" spans="1:7" x14ac:dyDescent="0.25">
      <c r="A100" s="58">
        <v>41052</v>
      </c>
      <c r="B100" s="55">
        <v>60.49</v>
      </c>
      <c r="C100" s="57">
        <f t="shared" si="4"/>
        <v>1.655903295247581E-3</v>
      </c>
      <c r="D100" s="56">
        <f t="shared" si="5"/>
        <v>1.649903295247581E-3</v>
      </c>
      <c r="E100" s="55">
        <v>62.71</v>
      </c>
      <c r="F100" s="54">
        <f t="shared" si="6"/>
        <v>2.5579536370903869E-3</v>
      </c>
      <c r="G100" s="53">
        <f t="shared" si="7"/>
        <v>2.551953637090387E-3</v>
      </c>
    </row>
    <row r="101" spans="1:7" x14ac:dyDescent="0.25">
      <c r="A101" s="58">
        <v>41053</v>
      </c>
      <c r="B101" s="55">
        <v>60.59</v>
      </c>
      <c r="C101" s="57">
        <f t="shared" si="4"/>
        <v>1.6531658125310204E-3</v>
      </c>
      <c r="D101" s="56">
        <f t="shared" si="5"/>
        <v>1.6471658125310205E-3</v>
      </c>
      <c r="E101" s="55">
        <v>62.94</v>
      </c>
      <c r="F101" s="54">
        <f t="shared" si="6"/>
        <v>3.6676766066017679E-3</v>
      </c>
      <c r="G101" s="53">
        <f t="shared" si="7"/>
        <v>3.6616766066017679E-3</v>
      </c>
    </row>
    <row r="102" spans="1:7" x14ac:dyDescent="0.25">
      <c r="A102" s="58">
        <v>41054</v>
      </c>
      <c r="B102" s="55">
        <v>60.46</v>
      </c>
      <c r="C102" s="57">
        <f t="shared" si="4"/>
        <v>-2.1455685756725951E-3</v>
      </c>
      <c r="D102" s="56">
        <f t="shared" si="5"/>
        <v>-2.1515685756725951E-3</v>
      </c>
      <c r="E102" s="55">
        <v>62.66</v>
      </c>
      <c r="F102" s="54">
        <f t="shared" si="6"/>
        <v>-4.4486812837623317E-3</v>
      </c>
      <c r="G102" s="53">
        <f t="shared" si="7"/>
        <v>-4.4546812837623316E-3</v>
      </c>
    </row>
    <row r="103" spans="1:7" x14ac:dyDescent="0.25">
      <c r="A103" s="58">
        <v>41058</v>
      </c>
      <c r="B103" s="55">
        <v>61.14</v>
      </c>
      <c r="C103" s="57">
        <f t="shared" si="4"/>
        <v>1.1247105524313591E-2</v>
      </c>
      <c r="D103" s="56">
        <f t="shared" si="5"/>
        <v>1.124110552431359E-2</v>
      </c>
      <c r="E103" s="55">
        <v>63.59</v>
      </c>
      <c r="F103" s="54">
        <f t="shared" si="6"/>
        <v>1.4842004468560595E-2</v>
      </c>
      <c r="G103" s="53">
        <f t="shared" si="7"/>
        <v>1.4836004468560595E-2</v>
      </c>
    </row>
    <row r="104" spans="1:7" x14ac:dyDescent="0.25">
      <c r="A104" s="58">
        <v>41059</v>
      </c>
      <c r="B104" s="55">
        <v>60.28</v>
      </c>
      <c r="C104" s="57">
        <f t="shared" si="4"/>
        <v>-1.4066077854105323E-2</v>
      </c>
      <c r="D104" s="56">
        <f t="shared" si="5"/>
        <v>-1.4072077854105323E-2</v>
      </c>
      <c r="E104" s="55">
        <v>62.06</v>
      </c>
      <c r="F104" s="54">
        <f t="shared" si="6"/>
        <v>-2.4060386853278833E-2</v>
      </c>
      <c r="G104" s="53">
        <f t="shared" si="7"/>
        <v>-2.4066386853278832E-2</v>
      </c>
    </row>
    <row r="105" spans="1:7" x14ac:dyDescent="0.25">
      <c r="A105" s="58">
        <v>41060</v>
      </c>
      <c r="B105" s="55">
        <v>60.15</v>
      </c>
      <c r="C105" s="57">
        <f t="shared" si="4"/>
        <v>-2.1566025215660678E-3</v>
      </c>
      <c r="D105" s="56">
        <f t="shared" si="5"/>
        <v>-2.1626025215660677E-3</v>
      </c>
      <c r="E105" s="55">
        <v>62.52</v>
      </c>
      <c r="F105" s="54">
        <f t="shared" si="6"/>
        <v>7.4121817595875095E-3</v>
      </c>
      <c r="G105" s="53">
        <f t="shared" si="7"/>
        <v>7.4061817595875096E-3</v>
      </c>
    </row>
    <row r="106" spans="1:7" x14ac:dyDescent="0.25">
      <c r="A106" s="58">
        <v>41061</v>
      </c>
      <c r="B106" s="55">
        <v>58.67</v>
      </c>
      <c r="C106" s="57">
        <f t="shared" si="4"/>
        <v>-2.4605153782211089E-2</v>
      </c>
      <c r="D106" s="56">
        <f t="shared" si="5"/>
        <v>-2.4611153782211088E-2</v>
      </c>
      <c r="E106" s="55">
        <v>60.95</v>
      </c>
      <c r="F106" s="54">
        <f t="shared" si="6"/>
        <v>-2.5111964171465134E-2</v>
      </c>
      <c r="G106" s="53">
        <f t="shared" si="7"/>
        <v>-2.5117964171465133E-2</v>
      </c>
    </row>
    <row r="107" spans="1:7" x14ac:dyDescent="0.25">
      <c r="A107" s="58">
        <v>41064</v>
      </c>
      <c r="B107" s="55">
        <v>58.67</v>
      </c>
      <c r="C107" s="57">
        <f t="shared" si="4"/>
        <v>0</v>
      </c>
      <c r="D107" s="56">
        <f t="shared" si="5"/>
        <v>-6.0000000000000002E-6</v>
      </c>
      <c r="E107" s="55">
        <v>60.64</v>
      </c>
      <c r="F107" s="54">
        <f t="shared" si="6"/>
        <v>-5.0861361771944585E-3</v>
      </c>
      <c r="G107" s="53">
        <f t="shared" si="7"/>
        <v>-5.0921361771944585E-3</v>
      </c>
    </row>
    <row r="108" spans="1:7" x14ac:dyDescent="0.25">
      <c r="A108" s="58">
        <v>41065</v>
      </c>
      <c r="B108" s="55">
        <v>59.01</v>
      </c>
      <c r="C108" s="57">
        <f t="shared" si="4"/>
        <v>5.7951252769728361E-3</v>
      </c>
      <c r="D108" s="56">
        <f t="shared" si="5"/>
        <v>5.7891252769728362E-3</v>
      </c>
      <c r="E108" s="55">
        <v>61.79</v>
      </c>
      <c r="F108" s="54">
        <f t="shared" si="6"/>
        <v>1.8964379947229527E-2</v>
      </c>
      <c r="G108" s="53">
        <f t="shared" si="7"/>
        <v>1.8958379947229528E-2</v>
      </c>
    </row>
    <row r="109" spans="1:7" x14ac:dyDescent="0.25">
      <c r="A109" s="58">
        <v>41066</v>
      </c>
      <c r="B109" s="55">
        <v>60.39</v>
      </c>
      <c r="C109" s="57">
        <f t="shared" si="4"/>
        <v>2.3385866802236952E-2</v>
      </c>
      <c r="D109" s="56">
        <f t="shared" si="5"/>
        <v>2.3379866802236953E-2</v>
      </c>
      <c r="E109" s="55">
        <v>63.19</v>
      </c>
      <c r="F109" s="54">
        <f t="shared" si="6"/>
        <v>2.2657387926848981E-2</v>
      </c>
      <c r="G109" s="53">
        <f t="shared" si="7"/>
        <v>2.2651387926848982E-2</v>
      </c>
    </row>
    <row r="110" spans="1:7" x14ac:dyDescent="0.25">
      <c r="A110" s="58">
        <v>41067</v>
      </c>
      <c r="B110" s="55">
        <v>60.39</v>
      </c>
      <c r="C110" s="57">
        <f t="shared" si="4"/>
        <v>0</v>
      </c>
      <c r="D110" s="56">
        <f t="shared" si="5"/>
        <v>-6.0000000000000002E-6</v>
      </c>
      <c r="E110" s="55">
        <v>62.75</v>
      </c>
      <c r="F110" s="54">
        <f t="shared" si="6"/>
        <v>-6.9631270770691206E-3</v>
      </c>
      <c r="G110" s="53">
        <f t="shared" si="7"/>
        <v>-6.9691270770691205E-3</v>
      </c>
    </row>
    <row r="111" spans="1:7" x14ac:dyDescent="0.25">
      <c r="A111" s="58">
        <v>41068</v>
      </c>
      <c r="B111" s="55">
        <v>60.88</v>
      </c>
      <c r="C111" s="57">
        <f t="shared" si="4"/>
        <v>8.113926146713064E-3</v>
      </c>
      <c r="D111" s="56">
        <f t="shared" si="5"/>
        <v>8.1079261467130632E-3</v>
      </c>
      <c r="E111" s="55">
        <v>63.62</v>
      </c>
      <c r="F111" s="54">
        <f t="shared" si="6"/>
        <v>1.3864541832669282E-2</v>
      </c>
      <c r="G111" s="53">
        <f t="shared" si="7"/>
        <v>1.3858541832669281E-2</v>
      </c>
    </row>
    <row r="112" spans="1:7" x14ac:dyDescent="0.25">
      <c r="A112" s="58">
        <v>41071</v>
      </c>
      <c r="B112" s="55">
        <v>60.11</v>
      </c>
      <c r="C112" s="57">
        <f t="shared" si="4"/>
        <v>-1.2647831800262863E-2</v>
      </c>
      <c r="D112" s="56">
        <f t="shared" si="5"/>
        <v>-1.2653831800262864E-2</v>
      </c>
      <c r="E112" s="55">
        <v>62.18</v>
      </c>
      <c r="F112" s="54">
        <f t="shared" si="6"/>
        <v>-2.2634391700723008E-2</v>
      </c>
      <c r="G112" s="53">
        <f t="shared" si="7"/>
        <v>-2.2640391700723007E-2</v>
      </c>
    </row>
    <row r="113" spans="1:7" x14ac:dyDescent="0.25">
      <c r="A113" s="58">
        <v>41072</v>
      </c>
      <c r="B113" s="55">
        <v>60.81</v>
      </c>
      <c r="C113" s="57">
        <f t="shared" si="4"/>
        <v>1.1645316918981914E-2</v>
      </c>
      <c r="D113" s="56">
        <f t="shared" si="5"/>
        <v>1.1639316918981913E-2</v>
      </c>
      <c r="E113" s="55">
        <v>62.83</v>
      </c>
      <c r="F113" s="54">
        <f t="shared" si="6"/>
        <v>1.0453522032807954E-2</v>
      </c>
      <c r="G113" s="53">
        <f t="shared" si="7"/>
        <v>1.0447522032807953E-2</v>
      </c>
    </row>
    <row r="114" spans="1:7" x14ac:dyDescent="0.25">
      <c r="A114" s="58">
        <v>41073</v>
      </c>
      <c r="B114" s="55">
        <v>60.41</v>
      </c>
      <c r="C114" s="57">
        <f t="shared" si="4"/>
        <v>-6.5778654826509726E-3</v>
      </c>
      <c r="D114" s="56">
        <f t="shared" si="5"/>
        <v>-6.5838654826509725E-3</v>
      </c>
      <c r="E114" s="55">
        <v>62.47</v>
      </c>
      <c r="F114" s="54">
        <f t="shared" si="6"/>
        <v>-5.7297469361769771E-3</v>
      </c>
      <c r="G114" s="53">
        <f t="shared" si="7"/>
        <v>-5.735746936176977E-3</v>
      </c>
    </row>
    <row r="115" spans="1:7" x14ac:dyDescent="0.25">
      <c r="A115" s="58">
        <v>41074</v>
      </c>
      <c r="B115" s="55">
        <v>61.06</v>
      </c>
      <c r="C115" s="57">
        <f t="shared" si="4"/>
        <v>1.0759807978811551E-2</v>
      </c>
      <c r="D115" s="56">
        <f t="shared" si="5"/>
        <v>1.075380797881155E-2</v>
      </c>
      <c r="E115" s="55">
        <v>63.42</v>
      </c>
      <c r="F115" s="54">
        <f t="shared" si="6"/>
        <v>1.5207299503761852E-2</v>
      </c>
      <c r="G115" s="53">
        <f t="shared" si="7"/>
        <v>1.5201299503761851E-2</v>
      </c>
    </row>
    <row r="116" spans="1:7" x14ac:dyDescent="0.25">
      <c r="A116" s="58">
        <v>41075</v>
      </c>
      <c r="B116" s="55">
        <v>61.69</v>
      </c>
      <c r="C116" s="57">
        <f t="shared" si="4"/>
        <v>1.0317720275139133E-2</v>
      </c>
      <c r="D116" s="56">
        <f t="shared" si="5"/>
        <v>1.0311720275139132E-2</v>
      </c>
      <c r="E116" s="55">
        <v>63.81</v>
      </c>
      <c r="F116" s="54">
        <f t="shared" si="6"/>
        <v>6.1494796594134433E-3</v>
      </c>
      <c r="G116" s="53">
        <f t="shared" si="7"/>
        <v>6.1434796594134434E-3</v>
      </c>
    </row>
    <row r="117" spans="1:7" x14ac:dyDescent="0.25">
      <c r="A117" s="58">
        <v>41078</v>
      </c>
      <c r="B117" s="55">
        <v>61.79</v>
      </c>
      <c r="C117" s="57">
        <f t="shared" si="4"/>
        <v>1.6210082671421855E-3</v>
      </c>
      <c r="D117" s="56">
        <f t="shared" si="5"/>
        <v>1.6150082671421856E-3</v>
      </c>
      <c r="E117" s="55">
        <v>64.28</v>
      </c>
      <c r="F117" s="54">
        <f t="shared" si="6"/>
        <v>7.3656166745024107E-3</v>
      </c>
      <c r="G117" s="53">
        <f t="shared" si="7"/>
        <v>7.3596166745024108E-3</v>
      </c>
    </row>
    <row r="118" spans="1:7" x14ac:dyDescent="0.25">
      <c r="A118" s="58">
        <v>41079</v>
      </c>
      <c r="B118" s="55">
        <v>62.39</v>
      </c>
      <c r="C118" s="57">
        <f t="shared" si="4"/>
        <v>9.7103091115067399E-3</v>
      </c>
      <c r="D118" s="56">
        <f t="shared" si="5"/>
        <v>9.7043091115067391E-3</v>
      </c>
      <c r="E118" s="55">
        <v>64.56</v>
      </c>
      <c r="F118" s="54">
        <f t="shared" si="6"/>
        <v>4.3559427504667259E-3</v>
      </c>
      <c r="G118" s="53">
        <f t="shared" si="7"/>
        <v>4.349942750466726E-3</v>
      </c>
    </row>
    <row r="119" spans="1:7" x14ac:dyDescent="0.25">
      <c r="A119" s="58">
        <v>41080</v>
      </c>
      <c r="B119" s="55">
        <v>62.29</v>
      </c>
      <c r="C119" s="57">
        <f t="shared" si="4"/>
        <v>-1.6028209648982436E-3</v>
      </c>
      <c r="D119" s="56">
        <f t="shared" si="5"/>
        <v>-1.6088209648982435E-3</v>
      </c>
      <c r="E119" s="55">
        <v>64.540000000000006</v>
      </c>
      <c r="F119" s="54">
        <f t="shared" si="6"/>
        <v>-3.0978934324653068E-4</v>
      </c>
      <c r="G119" s="53">
        <f t="shared" si="7"/>
        <v>-3.1578934324653067E-4</v>
      </c>
    </row>
    <row r="120" spans="1:7" x14ac:dyDescent="0.25">
      <c r="A120" s="58">
        <v>41081</v>
      </c>
      <c r="B120" s="55">
        <v>60.91</v>
      </c>
      <c r="C120" s="57">
        <f t="shared" si="4"/>
        <v>-2.2154438914753612E-2</v>
      </c>
      <c r="D120" s="56">
        <f t="shared" si="5"/>
        <v>-2.2160438914753611E-2</v>
      </c>
      <c r="E120" s="55">
        <v>63.49</v>
      </c>
      <c r="F120" s="54">
        <f t="shared" si="6"/>
        <v>-1.6268980477223492E-2</v>
      </c>
      <c r="G120" s="53">
        <f t="shared" si="7"/>
        <v>-1.6274980477223491E-2</v>
      </c>
    </row>
    <row r="121" spans="1:7" x14ac:dyDescent="0.25">
      <c r="A121" s="58">
        <v>41082</v>
      </c>
      <c r="B121" s="55">
        <v>61.35</v>
      </c>
      <c r="C121" s="57">
        <f t="shared" si="4"/>
        <v>7.2237727795108333E-3</v>
      </c>
      <c r="D121" s="56">
        <f t="shared" si="5"/>
        <v>7.2177727795108334E-3</v>
      </c>
      <c r="E121" s="55">
        <v>63.43</v>
      </c>
      <c r="F121" s="54">
        <f t="shared" si="6"/>
        <v>-9.450307134982245E-4</v>
      </c>
      <c r="G121" s="53">
        <f t="shared" si="7"/>
        <v>-9.5103071349822454E-4</v>
      </c>
    </row>
    <row r="122" spans="1:7" x14ac:dyDescent="0.25">
      <c r="A122" s="58">
        <v>41085</v>
      </c>
      <c r="B122" s="55">
        <v>60.06</v>
      </c>
      <c r="C122" s="57">
        <f t="shared" si="4"/>
        <v>-2.1026894865525659E-2</v>
      </c>
      <c r="D122" s="56">
        <f t="shared" si="5"/>
        <v>-2.1032894865525658E-2</v>
      </c>
      <c r="E122" s="55">
        <v>62.61</v>
      </c>
      <c r="F122" s="54">
        <f t="shared" si="6"/>
        <v>-1.2927636764937731E-2</v>
      </c>
      <c r="G122" s="53">
        <f t="shared" si="7"/>
        <v>-1.2933636764937731E-2</v>
      </c>
    </row>
    <row r="123" spans="1:7" x14ac:dyDescent="0.25">
      <c r="A123" s="58">
        <v>41086</v>
      </c>
      <c r="B123" s="55">
        <v>60.35</v>
      </c>
      <c r="C123" s="57">
        <f t="shared" si="4"/>
        <v>4.8285048285048142E-3</v>
      </c>
      <c r="D123" s="56">
        <f t="shared" si="5"/>
        <v>4.8225048285048143E-3</v>
      </c>
      <c r="E123" s="55">
        <v>62.89</v>
      </c>
      <c r="F123" s="54">
        <f t="shared" si="6"/>
        <v>4.4721290528669721E-3</v>
      </c>
      <c r="G123" s="53">
        <f t="shared" si="7"/>
        <v>4.4661290528669722E-3</v>
      </c>
    </row>
    <row r="124" spans="1:7" x14ac:dyDescent="0.25">
      <c r="A124" s="58">
        <v>41087</v>
      </c>
      <c r="B124" s="55">
        <v>60.91</v>
      </c>
      <c r="C124" s="57">
        <f t="shared" si="4"/>
        <v>9.2792046396022402E-3</v>
      </c>
      <c r="D124" s="56">
        <f t="shared" si="5"/>
        <v>9.2732046396022394E-3</v>
      </c>
      <c r="E124" s="55">
        <v>63.14</v>
      </c>
      <c r="F124" s="54">
        <f t="shared" si="6"/>
        <v>3.9751947845444429E-3</v>
      </c>
      <c r="G124" s="53">
        <f t="shared" si="7"/>
        <v>3.969194784544443E-3</v>
      </c>
    </row>
    <row r="125" spans="1:7" x14ac:dyDescent="0.25">
      <c r="A125" s="58">
        <v>41088</v>
      </c>
      <c r="B125" s="55">
        <v>60.78</v>
      </c>
      <c r="C125" s="57">
        <f t="shared" si="4"/>
        <v>-2.1342965030371934E-3</v>
      </c>
      <c r="D125" s="56">
        <f t="shared" si="5"/>
        <v>-2.1402965030371934E-3</v>
      </c>
      <c r="E125" s="55">
        <v>63.8</v>
      </c>
      <c r="F125" s="54">
        <f t="shared" si="6"/>
        <v>1.0452961672473813E-2</v>
      </c>
      <c r="G125" s="53">
        <f t="shared" si="7"/>
        <v>1.0446961672473812E-2</v>
      </c>
    </row>
    <row r="126" spans="1:7" x14ac:dyDescent="0.25">
      <c r="A126" s="58">
        <v>41089</v>
      </c>
      <c r="B126" s="55">
        <v>62.3</v>
      </c>
      <c r="C126" s="57">
        <f t="shared" si="4"/>
        <v>2.5008226390259888E-2</v>
      </c>
      <c r="D126" s="56">
        <f t="shared" si="5"/>
        <v>2.5002226390259889E-2</v>
      </c>
      <c r="E126" s="55">
        <v>65.5</v>
      </c>
      <c r="F126" s="54">
        <f t="shared" si="6"/>
        <v>2.6645768025078415E-2</v>
      </c>
      <c r="G126" s="53">
        <f t="shared" si="7"/>
        <v>2.6639768025078416E-2</v>
      </c>
    </row>
    <row r="127" spans="1:7" x14ac:dyDescent="0.25">
      <c r="A127" s="58">
        <v>41092</v>
      </c>
      <c r="B127" s="55">
        <v>62.45</v>
      </c>
      <c r="C127" s="57">
        <f t="shared" si="4"/>
        <v>2.4077046548957575E-3</v>
      </c>
      <c r="D127" s="56">
        <f t="shared" si="5"/>
        <v>2.4017046548957576E-3</v>
      </c>
      <c r="E127" s="55">
        <v>66.16</v>
      </c>
      <c r="F127" s="54">
        <f t="shared" si="6"/>
        <v>1.0076335877862544E-2</v>
      </c>
      <c r="G127" s="53">
        <f t="shared" si="7"/>
        <v>1.0070335877862543E-2</v>
      </c>
    </row>
    <row r="128" spans="1:7" x14ac:dyDescent="0.25">
      <c r="A128" s="58">
        <v>41093</v>
      </c>
      <c r="B128" s="55">
        <v>62.86</v>
      </c>
      <c r="C128" s="57">
        <f t="shared" si="4"/>
        <v>6.5652522017613539E-3</v>
      </c>
      <c r="D128" s="56">
        <f t="shared" si="5"/>
        <v>6.5592522017613539E-3</v>
      </c>
      <c r="E128" s="55">
        <v>66.510000000000005</v>
      </c>
      <c r="F128" s="54">
        <f t="shared" si="6"/>
        <v>5.2902055622734059E-3</v>
      </c>
      <c r="G128" s="53">
        <f t="shared" si="7"/>
        <v>5.2842055622734059E-3</v>
      </c>
    </row>
    <row r="129" spans="1:7" x14ac:dyDescent="0.25">
      <c r="A129" s="58">
        <v>41095</v>
      </c>
      <c r="B129" s="55">
        <v>62.56</v>
      </c>
      <c r="C129" s="57">
        <f t="shared" si="4"/>
        <v>-4.7725103404390257E-3</v>
      </c>
      <c r="D129" s="56">
        <f t="shared" si="5"/>
        <v>-4.7785103404390256E-3</v>
      </c>
      <c r="E129" s="55">
        <v>66.13</v>
      </c>
      <c r="F129" s="54">
        <f t="shared" si="6"/>
        <v>-5.7134265523982805E-3</v>
      </c>
      <c r="G129" s="53">
        <f t="shared" si="7"/>
        <v>-5.7194265523982804E-3</v>
      </c>
    </row>
    <row r="130" spans="1:7" x14ac:dyDescent="0.25">
      <c r="A130" s="58">
        <v>41096</v>
      </c>
      <c r="B130" s="55">
        <v>62</v>
      </c>
      <c r="C130" s="57">
        <f t="shared" si="4"/>
        <v>-8.9514066496164044E-3</v>
      </c>
      <c r="D130" s="56">
        <f t="shared" si="5"/>
        <v>-8.9574066496164052E-3</v>
      </c>
      <c r="E130" s="55">
        <v>66.3</v>
      </c>
      <c r="F130" s="54">
        <f t="shared" si="6"/>
        <v>2.5706940874036248E-3</v>
      </c>
      <c r="G130" s="53">
        <f t="shared" si="7"/>
        <v>2.5646940874036249E-3</v>
      </c>
    </row>
    <row r="131" spans="1:7" x14ac:dyDescent="0.25">
      <c r="A131" s="58">
        <v>41099</v>
      </c>
      <c r="B131" s="55">
        <v>61.89</v>
      </c>
      <c r="C131" s="57">
        <f t="shared" ref="C131:C194" si="8">(B131-B130)/B130</f>
        <v>-1.7741935483870876E-3</v>
      </c>
      <c r="D131" s="56">
        <f t="shared" ref="D131:D194" si="9">C131-$H$2</f>
        <v>-1.7801935483870875E-3</v>
      </c>
      <c r="E131" s="55">
        <v>66.39</v>
      </c>
      <c r="F131" s="54">
        <f t="shared" ref="F131:F194" si="10">(E131-E130)/E130</f>
        <v>1.3574660633484678E-3</v>
      </c>
      <c r="G131" s="53">
        <f t="shared" ref="G131:G194" si="11">F131-$H$2</f>
        <v>1.3514660633484679E-3</v>
      </c>
    </row>
    <row r="132" spans="1:7" x14ac:dyDescent="0.25">
      <c r="A132" s="58">
        <v>41100</v>
      </c>
      <c r="B132" s="55">
        <v>61.39</v>
      </c>
      <c r="C132" s="57">
        <f t="shared" si="8"/>
        <v>-8.0788495718209733E-3</v>
      </c>
      <c r="D132" s="56">
        <f t="shared" si="9"/>
        <v>-8.0848495718209741E-3</v>
      </c>
      <c r="E132" s="55">
        <v>65.61</v>
      </c>
      <c r="F132" s="54">
        <f t="shared" si="10"/>
        <v>-1.1748757342973357E-2</v>
      </c>
      <c r="G132" s="53">
        <f t="shared" si="11"/>
        <v>-1.1754757342973357E-2</v>
      </c>
    </row>
    <row r="133" spans="1:7" x14ac:dyDescent="0.25">
      <c r="A133" s="58">
        <v>41101</v>
      </c>
      <c r="B133" s="55">
        <v>61.4</v>
      </c>
      <c r="C133" s="57">
        <f t="shared" si="8"/>
        <v>1.6289297931255923E-4</v>
      </c>
      <c r="D133" s="56">
        <f t="shared" si="9"/>
        <v>1.5689297931255922E-4</v>
      </c>
      <c r="E133" s="55">
        <v>65.709999999999994</v>
      </c>
      <c r="F133" s="54">
        <f t="shared" si="10"/>
        <v>1.5241579027586393E-3</v>
      </c>
      <c r="G133" s="53">
        <f t="shared" si="11"/>
        <v>1.5181579027586393E-3</v>
      </c>
    </row>
    <row r="134" spans="1:7" x14ac:dyDescent="0.25">
      <c r="A134" s="58">
        <v>41102</v>
      </c>
      <c r="B134" s="55">
        <v>61.09</v>
      </c>
      <c r="C134" s="57">
        <f t="shared" si="8"/>
        <v>-5.0488599348533416E-3</v>
      </c>
      <c r="D134" s="56">
        <f t="shared" si="9"/>
        <v>-5.0548599348533415E-3</v>
      </c>
      <c r="E134" s="55">
        <v>65.91</v>
      </c>
      <c r="F134" s="54">
        <f t="shared" si="10"/>
        <v>3.0436767615279691E-3</v>
      </c>
      <c r="G134" s="53">
        <f t="shared" si="11"/>
        <v>3.0376767615279692E-3</v>
      </c>
    </row>
    <row r="135" spans="1:7" x14ac:dyDescent="0.25">
      <c r="A135" s="58">
        <v>41103</v>
      </c>
      <c r="B135" s="55">
        <v>62.1</v>
      </c>
      <c r="C135" s="57">
        <f t="shared" si="8"/>
        <v>1.6532984121787494E-2</v>
      </c>
      <c r="D135" s="56">
        <f t="shared" si="9"/>
        <v>1.6526984121787495E-2</v>
      </c>
      <c r="E135" s="55">
        <v>66.75</v>
      </c>
      <c r="F135" s="54">
        <f t="shared" si="10"/>
        <v>1.2744651797906289E-2</v>
      </c>
      <c r="G135" s="53">
        <f t="shared" si="11"/>
        <v>1.2738651797906288E-2</v>
      </c>
    </row>
    <row r="136" spans="1:7" x14ac:dyDescent="0.25">
      <c r="A136" s="58">
        <v>41106</v>
      </c>
      <c r="B136" s="55">
        <v>61.96</v>
      </c>
      <c r="C136" s="57">
        <f t="shared" si="8"/>
        <v>-2.2544283413848724E-3</v>
      </c>
      <c r="D136" s="56">
        <f t="shared" si="9"/>
        <v>-2.2604283413848723E-3</v>
      </c>
      <c r="E136" s="55">
        <v>66.88</v>
      </c>
      <c r="F136" s="54">
        <f t="shared" si="10"/>
        <v>1.9475655430710929E-3</v>
      </c>
      <c r="G136" s="53">
        <f t="shared" si="11"/>
        <v>1.941565543071093E-3</v>
      </c>
    </row>
    <row r="137" spans="1:7" x14ac:dyDescent="0.25">
      <c r="A137" s="58">
        <v>41107</v>
      </c>
      <c r="B137" s="55">
        <v>62.42</v>
      </c>
      <c r="C137" s="57">
        <f t="shared" si="8"/>
        <v>7.424144609425449E-3</v>
      </c>
      <c r="D137" s="56">
        <f t="shared" si="9"/>
        <v>7.4181446094254491E-3</v>
      </c>
      <c r="E137" s="55">
        <v>67.55</v>
      </c>
      <c r="F137" s="54">
        <f t="shared" si="10"/>
        <v>1.0017942583732084E-2</v>
      </c>
      <c r="G137" s="53">
        <f t="shared" si="11"/>
        <v>1.0011942583732083E-2</v>
      </c>
    </row>
    <row r="138" spans="1:7" x14ac:dyDescent="0.25">
      <c r="A138" s="58">
        <v>41108</v>
      </c>
      <c r="B138" s="55">
        <v>62.84</v>
      </c>
      <c r="C138" s="57">
        <f t="shared" si="8"/>
        <v>6.7286126241589504E-3</v>
      </c>
      <c r="D138" s="56">
        <f t="shared" si="9"/>
        <v>6.7226126241589504E-3</v>
      </c>
      <c r="E138" s="55">
        <v>67.069999999999993</v>
      </c>
      <c r="F138" s="54">
        <f t="shared" si="10"/>
        <v>-7.1058475203553519E-3</v>
      </c>
      <c r="G138" s="53">
        <f t="shared" si="11"/>
        <v>-7.1118475203553518E-3</v>
      </c>
    </row>
    <row r="139" spans="1:7" x14ac:dyDescent="0.25">
      <c r="A139" s="58">
        <v>41109</v>
      </c>
      <c r="B139" s="55">
        <v>63.02</v>
      </c>
      <c r="C139" s="57">
        <f t="shared" si="8"/>
        <v>2.8644175684277482E-3</v>
      </c>
      <c r="D139" s="56">
        <f t="shared" si="9"/>
        <v>2.8584175684277483E-3</v>
      </c>
      <c r="E139" s="55">
        <v>66.37</v>
      </c>
      <c r="F139" s="54">
        <f t="shared" si="10"/>
        <v>-1.0436857015058726E-2</v>
      </c>
      <c r="G139" s="53">
        <f t="shared" si="11"/>
        <v>-1.0442857015058727E-2</v>
      </c>
    </row>
    <row r="140" spans="1:7" x14ac:dyDescent="0.25">
      <c r="A140" s="58">
        <v>41110</v>
      </c>
      <c r="B140" s="55">
        <v>62.39</v>
      </c>
      <c r="C140" s="57">
        <f t="shared" si="8"/>
        <v>-9.9968264043161295E-3</v>
      </c>
      <c r="D140" s="56">
        <f t="shared" si="9"/>
        <v>-1.000282640431613E-2</v>
      </c>
      <c r="E140" s="55">
        <v>65.98</v>
      </c>
      <c r="F140" s="54">
        <f t="shared" si="10"/>
        <v>-5.8761488624378567E-3</v>
      </c>
      <c r="G140" s="53">
        <f t="shared" si="11"/>
        <v>-5.8821488624378566E-3</v>
      </c>
    </row>
    <row r="141" spans="1:7" x14ac:dyDescent="0.25">
      <c r="A141" s="58">
        <v>41113</v>
      </c>
      <c r="B141" s="55">
        <v>61.83</v>
      </c>
      <c r="C141" s="57">
        <f t="shared" si="8"/>
        <v>-8.975797403430073E-3</v>
      </c>
      <c r="D141" s="56">
        <f t="shared" si="9"/>
        <v>-8.9817974034300738E-3</v>
      </c>
      <c r="E141" s="55">
        <v>65.55</v>
      </c>
      <c r="F141" s="54">
        <f t="shared" si="10"/>
        <v>-6.5171264019400852E-3</v>
      </c>
      <c r="G141" s="53">
        <f t="shared" si="11"/>
        <v>-6.5231264019400851E-3</v>
      </c>
    </row>
    <row r="142" spans="1:7" x14ac:dyDescent="0.25">
      <c r="A142" s="58">
        <v>41114</v>
      </c>
      <c r="B142" s="55">
        <v>61.27</v>
      </c>
      <c r="C142" s="57">
        <f t="shared" si="8"/>
        <v>-9.0570920265242629E-3</v>
      </c>
      <c r="D142" s="56">
        <f t="shared" si="9"/>
        <v>-9.0630920265242637E-3</v>
      </c>
      <c r="E142" s="55">
        <v>65.34</v>
      </c>
      <c r="F142" s="54">
        <f t="shared" si="10"/>
        <v>-3.2036613272310261E-3</v>
      </c>
      <c r="G142" s="53">
        <f t="shared" si="11"/>
        <v>-3.2096613272310261E-3</v>
      </c>
    </row>
    <row r="143" spans="1:7" x14ac:dyDescent="0.25">
      <c r="A143" s="58">
        <v>41115</v>
      </c>
      <c r="B143" s="55">
        <v>61.26</v>
      </c>
      <c r="C143" s="57">
        <f t="shared" si="8"/>
        <v>-1.6321201240419644E-4</v>
      </c>
      <c r="D143" s="56">
        <f t="shared" si="9"/>
        <v>-1.6921201240419645E-4</v>
      </c>
      <c r="E143" s="55">
        <v>65.36</v>
      </c>
      <c r="F143" s="54">
        <f t="shared" si="10"/>
        <v>3.0609121518206334E-4</v>
      </c>
      <c r="G143" s="53">
        <f t="shared" si="11"/>
        <v>3.0009121518206335E-4</v>
      </c>
    </row>
    <row r="144" spans="1:7" x14ac:dyDescent="0.25">
      <c r="A144" s="58">
        <v>41116</v>
      </c>
      <c r="B144" s="55">
        <v>62.27</v>
      </c>
      <c r="C144" s="57">
        <f t="shared" si="8"/>
        <v>1.6487104146261918E-2</v>
      </c>
      <c r="D144" s="56">
        <f t="shared" si="9"/>
        <v>1.6481104146261919E-2</v>
      </c>
      <c r="E144" s="55">
        <v>65.87</v>
      </c>
      <c r="F144" s="54">
        <f t="shared" si="10"/>
        <v>7.8029375764994665E-3</v>
      </c>
      <c r="G144" s="53">
        <f t="shared" si="11"/>
        <v>7.7969375764994665E-3</v>
      </c>
    </row>
    <row r="145" spans="1:7" x14ac:dyDescent="0.25">
      <c r="A145" s="58">
        <v>41117</v>
      </c>
      <c r="B145" s="55">
        <v>63.46</v>
      </c>
      <c r="C145" s="57">
        <f t="shared" si="8"/>
        <v>1.9110325999678782E-2</v>
      </c>
      <c r="D145" s="56">
        <f t="shared" si="9"/>
        <v>1.9104325999678783E-2</v>
      </c>
      <c r="E145" s="55">
        <v>66.599999999999994</v>
      </c>
      <c r="F145" s="54">
        <f t="shared" si="10"/>
        <v>1.1082435099438131E-2</v>
      </c>
      <c r="G145" s="53">
        <f t="shared" si="11"/>
        <v>1.107643509943813E-2</v>
      </c>
    </row>
    <row r="146" spans="1:7" x14ac:dyDescent="0.25">
      <c r="A146" s="58">
        <v>41120</v>
      </c>
      <c r="B146" s="55">
        <v>63.43</v>
      </c>
      <c r="C146" s="57">
        <f t="shared" si="8"/>
        <v>-4.7273873306021333E-4</v>
      </c>
      <c r="D146" s="56">
        <f t="shared" si="9"/>
        <v>-4.7873873306021332E-4</v>
      </c>
      <c r="E146" s="55">
        <v>66.81</v>
      </c>
      <c r="F146" s="54">
        <f t="shared" si="10"/>
        <v>3.1531531531532727E-3</v>
      </c>
      <c r="G146" s="53">
        <f t="shared" si="11"/>
        <v>3.1471531531532728E-3</v>
      </c>
    </row>
    <row r="147" spans="1:7" x14ac:dyDescent="0.25">
      <c r="A147" s="58">
        <v>41121</v>
      </c>
      <c r="B147" s="55">
        <v>63.16</v>
      </c>
      <c r="C147" s="57">
        <f t="shared" si="8"/>
        <v>-4.25666088601613E-3</v>
      </c>
      <c r="D147" s="56">
        <f t="shared" si="9"/>
        <v>-4.26266088601613E-3</v>
      </c>
      <c r="E147" s="55">
        <v>66.790000000000006</v>
      </c>
      <c r="F147" s="54">
        <f t="shared" si="10"/>
        <v>-2.9935638377482444E-4</v>
      </c>
      <c r="G147" s="53">
        <f t="shared" si="11"/>
        <v>-3.0535638377482443E-4</v>
      </c>
    </row>
    <row r="148" spans="1:7" x14ac:dyDescent="0.25">
      <c r="A148" s="58">
        <v>41122</v>
      </c>
      <c r="B148" s="55">
        <v>62.99</v>
      </c>
      <c r="C148" s="57">
        <f t="shared" si="8"/>
        <v>-2.691576947435E-3</v>
      </c>
      <c r="D148" s="56">
        <f t="shared" si="9"/>
        <v>-2.697576947435E-3</v>
      </c>
      <c r="E148" s="55">
        <v>66.53</v>
      </c>
      <c r="F148" s="54">
        <f t="shared" si="10"/>
        <v>-3.8927983231023373E-3</v>
      </c>
      <c r="G148" s="53">
        <f t="shared" si="11"/>
        <v>-3.8987983231023372E-3</v>
      </c>
    </row>
    <row r="149" spans="1:7" x14ac:dyDescent="0.25">
      <c r="A149" s="58">
        <v>41123</v>
      </c>
      <c r="B149" s="55">
        <v>62.52</v>
      </c>
      <c r="C149" s="57">
        <f t="shared" si="8"/>
        <v>-7.4615018256865987E-3</v>
      </c>
      <c r="D149" s="56">
        <f t="shared" si="9"/>
        <v>-7.4675018256865986E-3</v>
      </c>
      <c r="E149" s="55">
        <v>66.62</v>
      </c>
      <c r="F149" s="54">
        <f t="shared" si="10"/>
        <v>1.3527731850293612E-3</v>
      </c>
      <c r="G149" s="53">
        <f t="shared" si="11"/>
        <v>1.3467731850293613E-3</v>
      </c>
    </row>
    <row r="150" spans="1:7" x14ac:dyDescent="0.25">
      <c r="A150" s="58">
        <v>41124</v>
      </c>
      <c r="B150" s="55">
        <v>63.72</v>
      </c>
      <c r="C150" s="57">
        <f t="shared" si="8"/>
        <v>1.9193857965450988E-2</v>
      </c>
      <c r="D150" s="56">
        <f t="shared" si="9"/>
        <v>1.9187857965450989E-2</v>
      </c>
      <c r="E150" s="55">
        <v>67.2</v>
      </c>
      <c r="F150" s="54">
        <f t="shared" si="10"/>
        <v>8.7060942659861647E-3</v>
      </c>
      <c r="G150" s="53">
        <f t="shared" si="11"/>
        <v>8.7000942659861639E-3</v>
      </c>
    </row>
    <row r="151" spans="1:7" x14ac:dyDescent="0.25">
      <c r="A151" s="58">
        <v>41127</v>
      </c>
      <c r="B151" s="55">
        <v>63.87</v>
      </c>
      <c r="C151" s="57">
        <f t="shared" si="8"/>
        <v>2.3540489642184335E-3</v>
      </c>
      <c r="D151" s="56">
        <f t="shared" si="9"/>
        <v>2.3480489642184335E-3</v>
      </c>
      <c r="E151" s="55">
        <v>67.069999999999993</v>
      </c>
      <c r="F151" s="54">
        <f t="shared" si="10"/>
        <v>-1.9345238095239531E-3</v>
      </c>
      <c r="G151" s="53">
        <f t="shared" si="11"/>
        <v>-1.9405238095239531E-3</v>
      </c>
    </row>
    <row r="152" spans="1:7" x14ac:dyDescent="0.25">
      <c r="A152" s="58">
        <v>41128</v>
      </c>
      <c r="B152" s="55">
        <v>64.2</v>
      </c>
      <c r="C152" s="57">
        <f t="shared" si="8"/>
        <v>5.1667449506811554E-3</v>
      </c>
      <c r="D152" s="56">
        <f t="shared" si="9"/>
        <v>5.1607449506811554E-3</v>
      </c>
      <c r="E152" s="55">
        <v>66.31</v>
      </c>
      <c r="F152" s="54">
        <f t="shared" si="10"/>
        <v>-1.1331444759206664E-2</v>
      </c>
      <c r="G152" s="53">
        <f t="shared" si="11"/>
        <v>-1.1337444759206665E-2</v>
      </c>
    </row>
    <row r="153" spans="1:7" x14ac:dyDescent="0.25">
      <c r="A153" s="58">
        <v>41129</v>
      </c>
      <c r="B153" s="55">
        <v>64.260000000000005</v>
      </c>
      <c r="C153" s="57">
        <f t="shared" si="8"/>
        <v>9.3457943925237183E-4</v>
      </c>
      <c r="D153" s="56">
        <f t="shared" si="9"/>
        <v>9.2857943925237179E-4</v>
      </c>
      <c r="E153" s="55">
        <v>65.77</v>
      </c>
      <c r="F153" s="54">
        <f t="shared" si="10"/>
        <v>-8.1435680892777296E-3</v>
      </c>
      <c r="G153" s="53">
        <f t="shared" si="11"/>
        <v>-8.1495680892777304E-3</v>
      </c>
    </row>
    <row r="154" spans="1:7" x14ac:dyDescent="0.25">
      <c r="A154" s="58">
        <v>41130</v>
      </c>
      <c r="B154" s="55">
        <v>64.31</v>
      </c>
      <c r="C154" s="57">
        <f t="shared" si="8"/>
        <v>7.7808901338308678E-4</v>
      </c>
      <c r="D154" s="56">
        <f t="shared" si="9"/>
        <v>7.7208901338308674E-4</v>
      </c>
      <c r="E154" s="55">
        <v>65.55</v>
      </c>
      <c r="F154" s="54">
        <f t="shared" si="10"/>
        <v>-3.3449901170746368E-3</v>
      </c>
      <c r="G154" s="53">
        <f t="shared" si="11"/>
        <v>-3.3509901170746367E-3</v>
      </c>
    </row>
    <row r="155" spans="1:7" x14ac:dyDescent="0.25">
      <c r="A155" s="58">
        <v>41131</v>
      </c>
      <c r="B155" s="55">
        <v>64.45</v>
      </c>
      <c r="C155" s="57">
        <f t="shared" si="8"/>
        <v>2.1769553724148741E-3</v>
      </c>
      <c r="D155" s="56">
        <f t="shared" si="9"/>
        <v>2.1709553724148741E-3</v>
      </c>
      <c r="E155" s="55">
        <v>65.64</v>
      </c>
      <c r="F155" s="54">
        <f t="shared" si="10"/>
        <v>1.3729977116705326E-3</v>
      </c>
      <c r="G155" s="53">
        <f t="shared" si="11"/>
        <v>1.3669977116705326E-3</v>
      </c>
    </row>
    <row r="156" spans="1:7" x14ac:dyDescent="0.25">
      <c r="A156" s="58">
        <v>41134</v>
      </c>
      <c r="B156" s="55">
        <v>64.38</v>
      </c>
      <c r="C156" s="57">
        <f t="shared" si="8"/>
        <v>-1.0861132660978648E-3</v>
      </c>
      <c r="D156" s="56">
        <f t="shared" si="9"/>
        <v>-1.0921132660978647E-3</v>
      </c>
      <c r="E156" s="55">
        <v>65.59</v>
      </c>
      <c r="F156" s="54">
        <f t="shared" si="10"/>
        <v>-7.6173065204139479E-4</v>
      </c>
      <c r="G156" s="53">
        <f t="shared" si="11"/>
        <v>-7.6773065204139483E-4</v>
      </c>
    </row>
    <row r="157" spans="1:7" x14ac:dyDescent="0.25">
      <c r="A157" s="58">
        <v>41135</v>
      </c>
      <c r="B157" s="55">
        <v>64.39</v>
      </c>
      <c r="C157" s="57">
        <f t="shared" si="8"/>
        <v>1.5532774153471755E-4</v>
      </c>
      <c r="D157" s="56">
        <f t="shared" si="9"/>
        <v>1.4932774153471754E-4</v>
      </c>
      <c r="E157" s="55">
        <v>65.489999999999995</v>
      </c>
      <c r="F157" s="54">
        <f t="shared" si="10"/>
        <v>-1.5246226558927965E-3</v>
      </c>
      <c r="G157" s="53">
        <f t="shared" si="11"/>
        <v>-1.5306226558927964E-3</v>
      </c>
    </row>
    <row r="158" spans="1:7" x14ac:dyDescent="0.25">
      <c r="A158" s="58">
        <v>41136</v>
      </c>
      <c r="B158" s="55">
        <v>64.48</v>
      </c>
      <c r="C158" s="57">
        <f t="shared" si="8"/>
        <v>1.3977325671688679E-3</v>
      </c>
      <c r="D158" s="56">
        <f t="shared" si="9"/>
        <v>1.391732567168868E-3</v>
      </c>
      <c r="E158" s="55">
        <v>65.819999999999993</v>
      </c>
      <c r="F158" s="54">
        <f t="shared" si="10"/>
        <v>5.0389372423270476E-3</v>
      </c>
      <c r="G158" s="53">
        <f t="shared" si="11"/>
        <v>5.0329372423270477E-3</v>
      </c>
    </row>
    <row r="159" spans="1:7" x14ac:dyDescent="0.25">
      <c r="A159" s="58">
        <v>41137</v>
      </c>
      <c r="B159" s="55">
        <v>64.95</v>
      </c>
      <c r="C159" s="57">
        <f t="shared" si="8"/>
        <v>7.2890818858560615E-3</v>
      </c>
      <c r="D159" s="56">
        <f t="shared" si="9"/>
        <v>7.2830818858560615E-3</v>
      </c>
      <c r="E159" s="55">
        <v>66.260000000000005</v>
      </c>
      <c r="F159" s="54">
        <f t="shared" si="10"/>
        <v>6.6848982072320266E-3</v>
      </c>
      <c r="G159" s="53">
        <f t="shared" si="11"/>
        <v>6.6788982072320266E-3</v>
      </c>
    </row>
    <row r="160" spans="1:7" x14ac:dyDescent="0.25">
      <c r="A160" s="58">
        <v>41138</v>
      </c>
      <c r="B160" s="55">
        <v>65.069999999999993</v>
      </c>
      <c r="C160" s="57">
        <f t="shared" si="8"/>
        <v>1.8475750577365718E-3</v>
      </c>
      <c r="D160" s="56">
        <f t="shared" si="9"/>
        <v>1.8415750577365718E-3</v>
      </c>
      <c r="E160" s="55">
        <v>66.38</v>
      </c>
      <c r="F160" s="54">
        <f t="shared" si="10"/>
        <v>1.8110473890732015E-3</v>
      </c>
      <c r="G160" s="53">
        <f t="shared" si="11"/>
        <v>1.8050473890732016E-3</v>
      </c>
    </row>
    <row r="161" spans="1:7" x14ac:dyDescent="0.25">
      <c r="A161" s="58">
        <v>41141</v>
      </c>
      <c r="B161" s="55">
        <v>65.069999999999993</v>
      </c>
      <c r="C161" s="57">
        <f t="shared" si="8"/>
        <v>0</v>
      </c>
      <c r="D161" s="56">
        <f t="shared" si="9"/>
        <v>-6.0000000000000002E-6</v>
      </c>
      <c r="E161" s="55">
        <v>66.16</v>
      </c>
      <c r="F161" s="54">
        <f t="shared" si="10"/>
        <v>-3.3142512805061598E-3</v>
      </c>
      <c r="G161" s="53">
        <f t="shared" si="11"/>
        <v>-3.3202512805061597E-3</v>
      </c>
    </row>
    <row r="162" spans="1:7" x14ac:dyDescent="0.25">
      <c r="A162" s="58">
        <v>41142</v>
      </c>
      <c r="B162" s="55">
        <v>64.84</v>
      </c>
      <c r="C162" s="57">
        <f t="shared" si="8"/>
        <v>-3.5346549869369878E-3</v>
      </c>
      <c r="D162" s="56">
        <f t="shared" si="9"/>
        <v>-3.5406549869369877E-3</v>
      </c>
      <c r="E162" s="55">
        <v>66.23</v>
      </c>
      <c r="F162" s="54">
        <f t="shared" si="10"/>
        <v>1.0580411124547671E-3</v>
      </c>
      <c r="G162" s="53">
        <f t="shared" si="11"/>
        <v>1.0520411124547672E-3</v>
      </c>
    </row>
    <row r="163" spans="1:7" x14ac:dyDescent="0.25">
      <c r="A163" s="58">
        <v>41143</v>
      </c>
      <c r="B163" s="55">
        <v>64.86</v>
      </c>
      <c r="C163" s="57">
        <f t="shared" si="8"/>
        <v>3.0845157310296147E-4</v>
      </c>
      <c r="D163" s="56">
        <f t="shared" si="9"/>
        <v>3.0245157310296149E-4</v>
      </c>
      <c r="E163" s="55">
        <v>66.22</v>
      </c>
      <c r="F163" s="54">
        <f t="shared" si="10"/>
        <v>-1.5098897780469749E-4</v>
      </c>
      <c r="G163" s="53">
        <f t="shared" si="11"/>
        <v>-1.569889778046975E-4</v>
      </c>
    </row>
    <row r="164" spans="1:7" x14ac:dyDescent="0.25">
      <c r="A164" s="58">
        <v>41144</v>
      </c>
      <c r="B164" s="55">
        <v>64.34</v>
      </c>
      <c r="C164" s="57">
        <f t="shared" si="8"/>
        <v>-8.0172679617637379E-3</v>
      </c>
      <c r="D164" s="56">
        <f t="shared" si="9"/>
        <v>-8.0232679617637387E-3</v>
      </c>
      <c r="E164" s="55">
        <v>65.97</v>
      </c>
      <c r="F164" s="54">
        <f t="shared" si="10"/>
        <v>-3.7752944729688917E-3</v>
      </c>
      <c r="G164" s="53">
        <f t="shared" si="11"/>
        <v>-3.7812944729688916E-3</v>
      </c>
    </row>
    <row r="165" spans="1:7" x14ac:dyDescent="0.25">
      <c r="A165" s="58">
        <v>41145</v>
      </c>
      <c r="B165" s="55">
        <v>64.760000000000005</v>
      </c>
      <c r="C165" s="57">
        <f t="shared" si="8"/>
        <v>6.5278209511967934E-3</v>
      </c>
      <c r="D165" s="56">
        <f t="shared" si="9"/>
        <v>6.5218209511967934E-3</v>
      </c>
      <c r="E165" s="55">
        <v>66.28</v>
      </c>
      <c r="F165" s="54">
        <f t="shared" si="10"/>
        <v>4.6991056540852246E-3</v>
      </c>
      <c r="G165" s="53">
        <f t="shared" si="11"/>
        <v>4.6931056540852247E-3</v>
      </c>
    </row>
    <row r="166" spans="1:7" x14ac:dyDescent="0.25">
      <c r="A166" s="58">
        <v>41148</v>
      </c>
      <c r="B166" s="55">
        <v>64.73</v>
      </c>
      <c r="C166" s="57">
        <f t="shared" si="8"/>
        <v>-4.6324891908587298E-4</v>
      </c>
      <c r="D166" s="56">
        <f t="shared" si="9"/>
        <v>-4.6924891908587296E-4</v>
      </c>
      <c r="E166" s="55">
        <v>66.459999999999994</v>
      </c>
      <c r="F166" s="54">
        <f t="shared" si="10"/>
        <v>2.7157513578755675E-3</v>
      </c>
      <c r="G166" s="53">
        <f t="shared" si="11"/>
        <v>2.7097513578755675E-3</v>
      </c>
    </row>
    <row r="167" spans="1:7" x14ac:dyDescent="0.25">
      <c r="A167" s="58">
        <v>41149</v>
      </c>
      <c r="B167" s="55">
        <v>64.680000000000007</v>
      </c>
      <c r="C167" s="57">
        <f t="shared" si="8"/>
        <v>-7.724393635099205E-4</v>
      </c>
      <c r="D167" s="56">
        <f t="shared" si="9"/>
        <v>-7.7843936350992053E-4</v>
      </c>
      <c r="E167" s="55">
        <v>66.67</v>
      </c>
      <c r="F167" s="54">
        <f t="shared" si="10"/>
        <v>3.1597953656335837E-3</v>
      </c>
      <c r="G167" s="53">
        <f t="shared" si="11"/>
        <v>3.1537953656335838E-3</v>
      </c>
    </row>
    <row r="168" spans="1:7" x14ac:dyDescent="0.25">
      <c r="A168" s="58">
        <v>41150</v>
      </c>
      <c r="B168" s="55">
        <v>64.75</v>
      </c>
      <c r="C168" s="57">
        <f t="shared" si="8"/>
        <v>1.0822510822509766E-3</v>
      </c>
      <c r="D168" s="56">
        <f t="shared" si="9"/>
        <v>1.0762510822509767E-3</v>
      </c>
      <c r="E168" s="55">
        <v>66.69</v>
      </c>
      <c r="F168" s="54">
        <f t="shared" si="10"/>
        <v>2.9998500074990281E-4</v>
      </c>
      <c r="G168" s="53">
        <f t="shared" si="11"/>
        <v>2.9398500074990282E-4</v>
      </c>
    </row>
    <row r="169" spans="1:7" x14ac:dyDescent="0.25">
      <c r="A169" s="58">
        <v>41151</v>
      </c>
      <c r="B169" s="55">
        <v>64.25</v>
      </c>
      <c r="C169" s="57">
        <f t="shared" si="8"/>
        <v>-7.7220077220077222E-3</v>
      </c>
      <c r="D169" s="56">
        <f t="shared" si="9"/>
        <v>-7.7280077220077221E-3</v>
      </c>
      <c r="E169" s="55">
        <v>66.55</v>
      </c>
      <c r="F169" s="54">
        <f t="shared" si="10"/>
        <v>-2.0992652571600024E-3</v>
      </c>
      <c r="G169" s="53">
        <f t="shared" si="11"/>
        <v>-2.1052652571600023E-3</v>
      </c>
    </row>
    <row r="170" spans="1:7" x14ac:dyDescent="0.25">
      <c r="A170" s="58">
        <v>41152</v>
      </c>
      <c r="B170" s="55">
        <v>64.58</v>
      </c>
      <c r="C170" s="57">
        <f t="shared" si="8"/>
        <v>5.1361867704279888E-3</v>
      </c>
      <c r="D170" s="56">
        <f t="shared" si="9"/>
        <v>5.1301867704279889E-3</v>
      </c>
      <c r="E170" s="55">
        <v>66.72</v>
      </c>
      <c r="F170" s="54">
        <f t="shared" si="10"/>
        <v>2.5544703230653901E-3</v>
      </c>
      <c r="G170" s="53">
        <f t="shared" si="11"/>
        <v>2.5484703230653901E-3</v>
      </c>
    </row>
    <row r="171" spans="1:7" x14ac:dyDescent="0.25">
      <c r="A171" s="58">
        <v>41156</v>
      </c>
      <c r="B171" s="55">
        <v>64.510000000000005</v>
      </c>
      <c r="C171" s="57">
        <f t="shared" si="8"/>
        <v>-1.0839269123566612E-3</v>
      </c>
      <c r="D171" s="56">
        <f t="shared" si="9"/>
        <v>-1.0899269123566611E-3</v>
      </c>
      <c r="E171" s="55">
        <v>67.239999999999995</v>
      </c>
      <c r="F171" s="54">
        <f t="shared" si="10"/>
        <v>7.7937649880095326E-3</v>
      </c>
      <c r="G171" s="53">
        <f t="shared" si="11"/>
        <v>7.7877649880095327E-3</v>
      </c>
    </row>
    <row r="172" spans="1:7" x14ac:dyDescent="0.25">
      <c r="A172" s="58">
        <v>41157</v>
      </c>
      <c r="B172" s="55">
        <v>64.459999999999994</v>
      </c>
      <c r="C172" s="57">
        <f t="shared" si="8"/>
        <v>-7.7507363199521575E-4</v>
      </c>
      <c r="D172" s="56">
        <f t="shared" si="9"/>
        <v>-7.8107363199521578E-4</v>
      </c>
      <c r="E172" s="55">
        <v>67.09</v>
      </c>
      <c r="F172" s="54">
        <f t="shared" si="10"/>
        <v>-2.2308149910766134E-3</v>
      </c>
      <c r="G172" s="53">
        <f t="shared" si="11"/>
        <v>-2.2368149910766133E-3</v>
      </c>
    </row>
    <row r="173" spans="1:7" x14ac:dyDescent="0.25">
      <c r="A173" s="58">
        <v>41158</v>
      </c>
      <c r="B173" s="55">
        <v>65.78</v>
      </c>
      <c r="C173" s="57">
        <f t="shared" si="8"/>
        <v>2.047781569965882E-2</v>
      </c>
      <c r="D173" s="56">
        <f t="shared" si="9"/>
        <v>2.0471815699658821E-2</v>
      </c>
      <c r="E173" s="55">
        <v>67.66</v>
      </c>
      <c r="F173" s="54">
        <f t="shared" si="10"/>
        <v>8.4960500819793294E-3</v>
      </c>
      <c r="G173" s="53">
        <f t="shared" si="11"/>
        <v>8.4900500819793286E-3</v>
      </c>
    </row>
    <row r="174" spans="1:7" x14ac:dyDescent="0.25">
      <c r="A174" s="58">
        <v>41159</v>
      </c>
      <c r="B174" s="55">
        <v>66.05</v>
      </c>
      <c r="C174" s="57">
        <f t="shared" si="8"/>
        <v>4.1045910611127393E-3</v>
      </c>
      <c r="D174" s="56">
        <f t="shared" si="9"/>
        <v>4.0985910611127394E-3</v>
      </c>
      <c r="E174" s="55">
        <v>67.709999999999994</v>
      </c>
      <c r="F174" s="54">
        <f t="shared" si="10"/>
        <v>7.3898906296182619E-4</v>
      </c>
      <c r="G174" s="53">
        <f t="shared" si="11"/>
        <v>7.3298906296182615E-4</v>
      </c>
    </row>
    <row r="175" spans="1:7" x14ac:dyDescent="0.25">
      <c r="A175" s="58">
        <v>41162</v>
      </c>
      <c r="B175" s="55">
        <v>65.650000000000006</v>
      </c>
      <c r="C175" s="57">
        <f t="shared" si="8"/>
        <v>-6.0560181680543749E-3</v>
      </c>
      <c r="D175" s="56">
        <f t="shared" si="9"/>
        <v>-6.0620181680543749E-3</v>
      </c>
      <c r="E175" s="55">
        <v>67.13</v>
      </c>
      <c r="F175" s="54">
        <f t="shared" si="10"/>
        <v>-8.5659429921724761E-3</v>
      </c>
      <c r="G175" s="53">
        <f t="shared" si="11"/>
        <v>-8.5719429921724769E-3</v>
      </c>
    </row>
    <row r="176" spans="1:7" x14ac:dyDescent="0.25">
      <c r="A176" s="58">
        <v>41163</v>
      </c>
      <c r="B176" s="55">
        <v>65.849999999999994</v>
      </c>
      <c r="C176" s="57">
        <f t="shared" si="8"/>
        <v>3.0464584920028731E-3</v>
      </c>
      <c r="D176" s="56">
        <f t="shared" si="9"/>
        <v>3.0404584920028731E-3</v>
      </c>
      <c r="E176" s="55">
        <v>67.37</v>
      </c>
      <c r="F176" s="54">
        <f t="shared" si="10"/>
        <v>3.5751526888128872E-3</v>
      </c>
      <c r="G176" s="53">
        <f t="shared" si="11"/>
        <v>3.5691526888128873E-3</v>
      </c>
    </row>
    <row r="177" spans="1:7" x14ac:dyDescent="0.25">
      <c r="A177" s="58">
        <v>41164</v>
      </c>
      <c r="B177" s="55">
        <v>66.010000000000005</v>
      </c>
      <c r="C177" s="57">
        <f t="shared" si="8"/>
        <v>2.4297646165529355E-3</v>
      </c>
      <c r="D177" s="56">
        <f t="shared" si="9"/>
        <v>2.4237646165529356E-3</v>
      </c>
      <c r="E177" s="55">
        <v>67.52</v>
      </c>
      <c r="F177" s="54">
        <f t="shared" si="10"/>
        <v>2.2265103161643383E-3</v>
      </c>
      <c r="G177" s="53">
        <f t="shared" si="11"/>
        <v>2.2205103161643384E-3</v>
      </c>
    </row>
    <row r="178" spans="1:7" x14ac:dyDescent="0.25">
      <c r="A178" s="58">
        <v>41165</v>
      </c>
      <c r="B178" s="55">
        <v>67.099999999999994</v>
      </c>
      <c r="C178" s="57">
        <f t="shared" si="8"/>
        <v>1.6512649598545509E-2</v>
      </c>
      <c r="D178" s="56">
        <f t="shared" si="9"/>
        <v>1.650664959854551E-2</v>
      </c>
      <c r="E178" s="55">
        <v>68.400000000000006</v>
      </c>
      <c r="F178" s="54">
        <f t="shared" si="10"/>
        <v>1.303317535545038E-2</v>
      </c>
      <c r="G178" s="53">
        <f t="shared" si="11"/>
        <v>1.3027175355450379E-2</v>
      </c>
    </row>
    <row r="179" spans="1:7" x14ac:dyDescent="0.25">
      <c r="A179" s="58">
        <v>41166</v>
      </c>
      <c r="B179" s="55">
        <v>67.36</v>
      </c>
      <c r="C179" s="57">
        <f t="shared" si="8"/>
        <v>3.8748137108793614E-3</v>
      </c>
      <c r="D179" s="56">
        <f t="shared" si="9"/>
        <v>3.8688137108793615E-3</v>
      </c>
      <c r="E179" s="55">
        <v>68.760000000000005</v>
      </c>
      <c r="F179" s="54">
        <f t="shared" si="10"/>
        <v>5.2631578947368333E-3</v>
      </c>
      <c r="G179" s="53">
        <f t="shared" si="11"/>
        <v>5.2571578947368334E-3</v>
      </c>
    </row>
    <row r="180" spans="1:7" x14ac:dyDescent="0.25">
      <c r="A180" s="58">
        <v>41169</v>
      </c>
      <c r="B180" s="55">
        <v>67.150000000000006</v>
      </c>
      <c r="C180" s="57">
        <f t="shared" si="8"/>
        <v>-3.1175771971495509E-3</v>
      </c>
      <c r="D180" s="56">
        <f t="shared" si="9"/>
        <v>-3.1235771971495508E-3</v>
      </c>
      <c r="E180" s="55">
        <v>68.540000000000006</v>
      </c>
      <c r="F180" s="54">
        <f t="shared" si="10"/>
        <v>-3.1995346131471619E-3</v>
      </c>
      <c r="G180" s="53">
        <f t="shared" si="11"/>
        <v>-3.2055346131471619E-3</v>
      </c>
    </row>
    <row r="181" spans="1:7" x14ac:dyDescent="0.25">
      <c r="A181" s="58">
        <v>41170</v>
      </c>
      <c r="B181" s="55">
        <v>67.069999999999993</v>
      </c>
      <c r="C181" s="57">
        <f t="shared" si="8"/>
        <v>-1.1913626209979523E-3</v>
      </c>
      <c r="D181" s="56">
        <f t="shared" si="9"/>
        <v>-1.1973626209979523E-3</v>
      </c>
      <c r="E181" s="55">
        <v>67.86</v>
      </c>
      <c r="F181" s="54">
        <f t="shared" si="10"/>
        <v>-9.9212138896995448E-3</v>
      </c>
      <c r="G181" s="53">
        <f t="shared" si="11"/>
        <v>-9.9272138896995456E-3</v>
      </c>
    </row>
    <row r="182" spans="1:7" x14ac:dyDescent="0.25">
      <c r="A182" s="58">
        <v>41171</v>
      </c>
      <c r="B182" s="55">
        <v>67.150000000000006</v>
      </c>
      <c r="C182" s="57">
        <f t="shared" si="8"/>
        <v>1.1927836588640601E-3</v>
      </c>
      <c r="D182" s="56">
        <f t="shared" si="9"/>
        <v>1.1867836588640602E-3</v>
      </c>
      <c r="E182" s="55">
        <v>67.5</v>
      </c>
      <c r="F182" s="54">
        <f t="shared" si="10"/>
        <v>-5.3050397877984004E-3</v>
      </c>
      <c r="G182" s="53">
        <f t="shared" si="11"/>
        <v>-5.3110397877984003E-3</v>
      </c>
    </row>
    <row r="183" spans="1:7" x14ac:dyDescent="0.25">
      <c r="A183" s="58">
        <v>41172</v>
      </c>
      <c r="B183" s="55">
        <v>67.12</v>
      </c>
      <c r="C183" s="57">
        <f t="shared" si="8"/>
        <v>-4.4676098287417922E-4</v>
      </c>
      <c r="D183" s="56">
        <f t="shared" si="9"/>
        <v>-4.527609828741792E-4</v>
      </c>
      <c r="E183" s="55">
        <v>66.459999999999994</v>
      </c>
      <c r="F183" s="54">
        <f t="shared" si="10"/>
        <v>-1.54074074074075E-2</v>
      </c>
      <c r="G183" s="53">
        <f t="shared" si="11"/>
        <v>-1.5413407407407501E-2</v>
      </c>
    </row>
    <row r="184" spans="1:7" x14ac:dyDescent="0.25">
      <c r="A184" s="58">
        <v>41173</v>
      </c>
      <c r="B184" s="55">
        <v>67.12</v>
      </c>
      <c r="C184" s="57">
        <f t="shared" si="8"/>
        <v>0</v>
      </c>
      <c r="D184" s="56">
        <f t="shared" si="9"/>
        <v>-6.0000000000000002E-6</v>
      </c>
      <c r="E184" s="55">
        <v>66.47</v>
      </c>
      <c r="F184" s="54">
        <f t="shared" si="10"/>
        <v>1.5046644598262288E-4</v>
      </c>
      <c r="G184" s="53">
        <f t="shared" si="11"/>
        <v>1.4446644598262287E-4</v>
      </c>
    </row>
    <row r="185" spans="1:7" x14ac:dyDescent="0.25">
      <c r="A185" s="58">
        <v>41176</v>
      </c>
      <c r="B185" s="55">
        <v>66.63</v>
      </c>
      <c r="C185" s="57">
        <f t="shared" si="8"/>
        <v>-7.3003575685341038E-3</v>
      </c>
      <c r="D185" s="56">
        <f t="shared" si="9"/>
        <v>-7.3063575685341038E-3</v>
      </c>
      <c r="E185" s="55">
        <v>65.78</v>
      </c>
      <c r="F185" s="54">
        <f t="shared" si="10"/>
        <v>-1.0380622837370209E-2</v>
      </c>
      <c r="G185" s="53">
        <f t="shared" si="11"/>
        <v>-1.0386622837370209E-2</v>
      </c>
    </row>
    <row r="186" spans="1:7" x14ac:dyDescent="0.25">
      <c r="A186" s="58">
        <v>41177</v>
      </c>
      <c r="B186" s="55">
        <v>65.930000000000007</v>
      </c>
      <c r="C186" s="57">
        <f t="shared" si="8"/>
        <v>-1.050577817799773E-2</v>
      </c>
      <c r="D186" s="56">
        <f t="shared" si="9"/>
        <v>-1.0511778177997731E-2</v>
      </c>
      <c r="E186" s="55">
        <v>64.78</v>
      </c>
      <c r="F186" s="54">
        <f t="shared" si="10"/>
        <v>-1.5202189115232594E-2</v>
      </c>
      <c r="G186" s="53">
        <f t="shared" si="11"/>
        <v>-1.5208189115232595E-2</v>
      </c>
    </row>
    <row r="187" spans="1:7" x14ac:dyDescent="0.25">
      <c r="A187" s="58">
        <v>41178</v>
      </c>
      <c r="B187" s="55">
        <v>65.569999999999993</v>
      </c>
      <c r="C187" s="57">
        <f t="shared" si="8"/>
        <v>-5.4603367207646534E-3</v>
      </c>
      <c r="D187" s="56">
        <f t="shared" si="9"/>
        <v>-5.4663367207646533E-3</v>
      </c>
      <c r="E187" s="55">
        <v>64.75</v>
      </c>
      <c r="F187" s="54">
        <f t="shared" si="10"/>
        <v>-4.6310589688177117E-4</v>
      </c>
      <c r="G187" s="53">
        <f t="shared" si="11"/>
        <v>-4.6910589688177115E-4</v>
      </c>
    </row>
    <row r="188" spans="1:7" x14ac:dyDescent="0.25">
      <c r="A188" s="58">
        <v>41179</v>
      </c>
      <c r="B188" s="55">
        <v>66.209999999999994</v>
      </c>
      <c r="C188" s="57">
        <f t="shared" si="8"/>
        <v>9.7605612322708649E-3</v>
      </c>
      <c r="D188" s="56">
        <f t="shared" si="9"/>
        <v>9.7545612322708641E-3</v>
      </c>
      <c r="E188" s="55">
        <v>65.069999999999993</v>
      </c>
      <c r="F188" s="54">
        <f t="shared" si="10"/>
        <v>4.9420849420848366E-3</v>
      </c>
      <c r="G188" s="53">
        <f t="shared" si="11"/>
        <v>4.9360849420848367E-3</v>
      </c>
    </row>
    <row r="189" spans="1:7" x14ac:dyDescent="0.25">
      <c r="A189" s="58">
        <v>41180</v>
      </c>
      <c r="B189" s="55">
        <v>65.91</v>
      </c>
      <c r="C189" s="57">
        <f t="shared" si="8"/>
        <v>-4.5310376076121003E-3</v>
      </c>
      <c r="D189" s="56">
        <f t="shared" si="9"/>
        <v>-4.5370376076121002E-3</v>
      </c>
      <c r="E189" s="55">
        <v>64.97</v>
      </c>
      <c r="F189" s="54">
        <f t="shared" si="10"/>
        <v>-1.536806516059541E-3</v>
      </c>
      <c r="G189" s="53">
        <f t="shared" si="11"/>
        <v>-1.5428065160595409E-3</v>
      </c>
    </row>
    <row r="190" spans="1:7" x14ac:dyDescent="0.25">
      <c r="A190" s="58">
        <v>41183</v>
      </c>
      <c r="B190" s="55">
        <v>66.09</v>
      </c>
      <c r="C190" s="57">
        <f t="shared" si="8"/>
        <v>2.7309968138371542E-3</v>
      </c>
      <c r="D190" s="56">
        <f t="shared" si="9"/>
        <v>2.7249968138371543E-3</v>
      </c>
      <c r="E190" s="55">
        <v>64.5</v>
      </c>
      <c r="F190" s="54">
        <f t="shared" si="10"/>
        <v>-7.2341080498691526E-3</v>
      </c>
      <c r="G190" s="53">
        <f t="shared" si="11"/>
        <v>-7.2401080498691525E-3</v>
      </c>
    </row>
    <row r="191" spans="1:7" x14ac:dyDescent="0.25">
      <c r="A191" s="58">
        <v>41184</v>
      </c>
      <c r="B191" s="55">
        <v>66.150000000000006</v>
      </c>
      <c r="C191" s="57">
        <f t="shared" si="8"/>
        <v>9.0785292782572663E-4</v>
      </c>
      <c r="D191" s="56">
        <f t="shared" si="9"/>
        <v>9.0185292782572659E-4</v>
      </c>
      <c r="E191" s="55">
        <v>64.95</v>
      </c>
      <c r="F191" s="54">
        <f t="shared" si="10"/>
        <v>6.9767441860465558E-3</v>
      </c>
      <c r="G191" s="53">
        <f t="shared" si="11"/>
        <v>6.9707441860465558E-3</v>
      </c>
    </row>
    <row r="192" spans="1:7" x14ac:dyDescent="0.25">
      <c r="A192" s="58">
        <v>41185</v>
      </c>
      <c r="B192" s="55">
        <v>66.400000000000006</v>
      </c>
      <c r="C192" s="57">
        <f t="shared" si="8"/>
        <v>3.7792894935752075E-3</v>
      </c>
      <c r="D192" s="56">
        <f t="shared" si="9"/>
        <v>3.7732894935752076E-3</v>
      </c>
      <c r="E192" s="55">
        <v>65.16</v>
      </c>
      <c r="F192" s="54">
        <f t="shared" si="10"/>
        <v>3.2332563510391646E-3</v>
      </c>
      <c r="G192" s="53">
        <f t="shared" si="11"/>
        <v>3.2272563510391647E-3</v>
      </c>
    </row>
    <row r="193" spans="1:7" x14ac:dyDescent="0.25">
      <c r="A193" s="58">
        <v>41186</v>
      </c>
      <c r="B193" s="55">
        <v>66.88</v>
      </c>
      <c r="C193" s="57">
        <f t="shared" si="8"/>
        <v>7.2289156626504474E-3</v>
      </c>
      <c r="D193" s="56">
        <f t="shared" si="9"/>
        <v>7.2229156626504474E-3</v>
      </c>
      <c r="E193" s="55">
        <v>65.02</v>
      </c>
      <c r="F193" s="54">
        <f t="shared" si="10"/>
        <v>-2.1485573971761905E-3</v>
      </c>
      <c r="G193" s="53">
        <f t="shared" si="11"/>
        <v>-2.1545573971761905E-3</v>
      </c>
    </row>
    <row r="194" spans="1:7" x14ac:dyDescent="0.25">
      <c r="A194" s="58">
        <v>41187</v>
      </c>
      <c r="B194" s="55">
        <v>66.88</v>
      </c>
      <c r="C194" s="57">
        <f t="shared" si="8"/>
        <v>0</v>
      </c>
      <c r="D194" s="56">
        <f t="shared" si="9"/>
        <v>-6.0000000000000002E-6</v>
      </c>
      <c r="E194" s="55">
        <v>65.150000000000006</v>
      </c>
      <c r="F194" s="54">
        <f t="shared" si="10"/>
        <v>1.9993848046756333E-3</v>
      </c>
      <c r="G194" s="53">
        <f t="shared" si="11"/>
        <v>1.9933848046756334E-3</v>
      </c>
    </row>
    <row r="195" spans="1:7" x14ac:dyDescent="0.25">
      <c r="A195" s="58">
        <v>41190</v>
      </c>
      <c r="B195" s="55">
        <v>66.650000000000006</v>
      </c>
      <c r="C195" s="57">
        <f t="shared" ref="C195:C207" si="12">(B195-B194)/B194</f>
        <v>-3.4389952153108519E-3</v>
      </c>
      <c r="D195" s="56">
        <f t="shared" ref="D195:D207" si="13">C195-$H$2</f>
        <v>-3.4449952153108518E-3</v>
      </c>
      <c r="E195" s="55">
        <v>64.989999999999995</v>
      </c>
      <c r="F195" s="54">
        <f t="shared" ref="F195:F207" si="14">(E195-E194)/E194</f>
        <v>-2.4558710667691602E-3</v>
      </c>
      <c r="G195" s="53">
        <f t="shared" ref="G195:G207" si="15">F195-$H$2</f>
        <v>-2.4618710667691601E-3</v>
      </c>
    </row>
    <row r="196" spans="1:7" x14ac:dyDescent="0.25">
      <c r="A196" s="58">
        <v>41191</v>
      </c>
      <c r="B196" s="55">
        <v>65.989999999999995</v>
      </c>
      <c r="C196" s="57">
        <f t="shared" si="12"/>
        <v>-9.9024756189048865E-3</v>
      </c>
      <c r="D196" s="56">
        <f t="shared" si="13"/>
        <v>-9.9084756189048873E-3</v>
      </c>
      <c r="E196" s="55">
        <v>64.790000000000006</v>
      </c>
      <c r="F196" s="54">
        <f t="shared" si="14"/>
        <v>-3.0773965225417547E-3</v>
      </c>
      <c r="G196" s="53">
        <f t="shared" si="15"/>
        <v>-3.0833965225417546E-3</v>
      </c>
    </row>
    <row r="197" spans="1:7" x14ac:dyDescent="0.25">
      <c r="A197" s="58">
        <v>41192</v>
      </c>
      <c r="B197" s="55">
        <v>65.59</v>
      </c>
      <c r="C197" s="57">
        <f t="shared" si="12"/>
        <v>-6.0615244734049329E-3</v>
      </c>
      <c r="D197" s="56">
        <f t="shared" si="13"/>
        <v>-6.0675244734049328E-3</v>
      </c>
      <c r="E197" s="55">
        <v>65.069999999999993</v>
      </c>
      <c r="F197" s="54">
        <f t="shared" si="14"/>
        <v>4.3216545763233045E-3</v>
      </c>
      <c r="G197" s="53">
        <f t="shared" si="15"/>
        <v>4.3156545763233045E-3</v>
      </c>
    </row>
    <row r="198" spans="1:7" x14ac:dyDescent="0.25">
      <c r="A198" s="58">
        <v>41193</v>
      </c>
      <c r="B198" s="55">
        <v>65.61</v>
      </c>
      <c r="C198" s="57">
        <f t="shared" si="12"/>
        <v>3.0492453117847261E-4</v>
      </c>
      <c r="D198" s="56">
        <f t="shared" si="13"/>
        <v>2.9892453117847263E-4</v>
      </c>
      <c r="E198" s="55">
        <v>65.040000000000006</v>
      </c>
      <c r="F198" s="54">
        <f t="shared" si="14"/>
        <v>-4.6104195481768757E-4</v>
      </c>
      <c r="G198" s="53">
        <f t="shared" si="15"/>
        <v>-4.6704195481768755E-4</v>
      </c>
    </row>
    <row r="199" spans="1:7" x14ac:dyDescent="0.25">
      <c r="A199" s="58">
        <v>41194</v>
      </c>
      <c r="B199" s="55">
        <v>65.42</v>
      </c>
      <c r="C199" s="57">
        <f t="shared" si="12"/>
        <v>-2.8959000152415444E-3</v>
      </c>
      <c r="D199" s="56">
        <f t="shared" si="13"/>
        <v>-2.9019000152415444E-3</v>
      </c>
      <c r="E199" s="55">
        <v>64.739999999999995</v>
      </c>
      <c r="F199" s="54">
        <f t="shared" si="14"/>
        <v>-4.6125461254614289E-3</v>
      </c>
      <c r="G199" s="53">
        <f t="shared" si="15"/>
        <v>-4.6185461254614289E-3</v>
      </c>
    </row>
    <row r="200" spans="1:7" x14ac:dyDescent="0.25">
      <c r="A200" s="58">
        <v>41197</v>
      </c>
      <c r="B200" s="55">
        <v>65.95</v>
      </c>
      <c r="C200" s="57">
        <f t="shared" si="12"/>
        <v>8.1014980128401269E-3</v>
      </c>
      <c r="D200" s="56">
        <f t="shared" si="13"/>
        <v>8.0954980128401261E-3</v>
      </c>
      <c r="E200" s="55">
        <v>65.23</v>
      </c>
      <c r="F200" s="54">
        <f t="shared" si="14"/>
        <v>7.5687364843992763E-3</v>
      </c>
      <c r="G200" s="53">
        <f t="shared" si="15"/>
        <v>7.5627364843992764E-3</v>
      </c>
    </row>
    <row r="201" spans="1:7" x14ac:dyDescent="0.25">
      <c r="A201" s="58">
        <v>41198</v>
      </c>
      <c r="B201" s="55">
        <v>66.63</v>
      </c>
      <c r="C201" s="57">
        <f t="shared" si="12"/>
        <v>1.0310841546626119E-2</v>
      </c>
      <c r="D201" s="56">
        <f t="shared" si="13"/>
        <v>1.0304841546626118E-2</v>
      </c>
      <c r="E201" s="55">
        <v>65.58</v>
      </c>
      <c r="F201" s="54">
        <f t="shared" si="14"/>
        <v>5.3656293116663241E-3</v>
      </c>
      <c r="G201" s="53">
        <f t="shared" si="15"/>
        <v>5.3596293116663241E-3</v>
      </c>
    </row>
    <row r="202" spans="1:7" x14ac:dyDescent="0.25">
      <c r="A202" s="58">
        <v>41199</v>
      </c>
      <c r="B202" s="55">
        <v>66.91</v>
      </c>
      <c r="C202" s="57">
        <f t="shared" si="12"/>
        <v>4.2023112711991771E-3</v>
      </c>
      <c r="D202" s="56">
        <f t="shared" si="13"/>
        <v>4.1963112711991771E-3</v>
      </c>
      <c r="E202" s="55">
        <v>65.38</v>
      </c>
      <c r="F202" s="54">
        <f t="shared" si="14"/>
        <v>-3.0497102775236787E-3</v>
      </c>
      <c r="G202" s="53">
        <f t="shared" si="15"/>
        <v>-3.0557102775236786E-3</v>
      </c>
    </row>
    <row r="203" spans="1:7" x14ac:dyDescent="0.25">
      <c r="A203" s="58">
        <v>41200</v>
      </c>
      <c r="B203" s="55">
        <v>66.75</v>
      </c>
      <c r="C203" s="57">
        <f t="shared" si="12"/>
        <v>-2.3912718577192736E-3</v>
      </c>
      <c r="D203" s="56">
        <f t="shared" si="13"/>
        <v>-2.3972718577192735E-3</v>
      </c>
      <c r="E203" s="55">
        <v>66.05</v>
      </c>
      <c r="F203" s="54">
        <f t="shared" si="14"/>
        <v>1.0247782196390361E-2</v>
      </c>
      <c r="G203" s="53">
        <f t="shared" si="15"/>
        <v>1.024178219639036E-2</v>
      </c>
    </row>
    <row r="204" spans="1:7" x14ac:dyDescent="0.25">
      <c r="A204" s="58">
        <v>41201</v>
      </c>
      <c r="B204" s="55">
        <v>65.64</v>
      </c>
      <c r="C204" s="57">
        <f t="shared" si="12"/>
        <v>-1.6629213483146058E-2</v>
      </c>
      <c r="D204" s="56">
        <f t="shared" si="13"/>
        <v>-1.6635213483146057E-2</v>
      </c>
      <c r="E204" s="55">
        <v>65.56</v>
      </c>
      <c r="F204" s="54">
        <f t="shared" si="14"/>
        <v>-7.4186222558666904E-3</v>
      </c>
      <c r="G204" s="53">
        <f t="shared" si="15"/>
        <v>-7.4246222558666903E-3</v>
      </c>
    </row>
    <row r="205" spans="1:7" x14ac:dyDescent="0.25">
      <c r="A205" s="58">
        <v>41204</v>
      </c>
      <c r="B205" s="55">
        <v>65.67</v>
      </c>
      <c r="C205" s="57">
        <f t="shared" si="12"/>
        <v>4.5703839122488018E-4</v>
      </c>
      <c r="D205" s="56">
        <f t="shared" si="13"/>
        <v>4.510383912248802E-4</v>
      </c>
      <c r="E205" s="55">
        <v>65.2</v>
      </c>
      <c r="F205" s="54">
        <f t="shared" si="14"/>
        <v>-5.491153142159845E-3</v>
      </c>
      <c r="G205" s="53">
        <f t="shared" si="15"/>
        <v>-5.4971531421598449E-3</v>
      </c>
    </row>
    <row r="206" spans="1:7" x14ac:dyDescent="0.25">
      <c r="A206" s="58">
        <v>41205</v>
      </c>
      <c r="B206" s="55">
        <v>64.72</v>
      </c>
      <c r="C206" s="57">
        <f t="shared" si="12"/>
        <v>-1.4466270747677826E-2</v>
      </c>
      <c r="D206" s="56">
        <f t="shared" si="13"/>
        <v>-1.4472270747677827E-2</v>
      </c>
      <c r="E206" s="55">
        <v>64.58</v>
      </c>
      <c r="F206" s="54">
        <f t="shared" si="14"/>
        <v>-9.5092024539878001E-3</v>
      </c>
      <c r="G206" s="53">
        <f t="shared" si="15"/>
        <v>-9.5152024539878009E-3</v>
      </c>
    </row>
    <row r="207" spans="1:7" x14ac:dyDescent="0.25">
      <c r="A207" s="58">
        <v>41206</v>
      </c>
      <c r="B207" s="55">
        <v>64.53</v>
      </c>
      <c r="C207" s="57">
        <f t="shared" si="12"/>
        <v>-2.9357231149567016E-3</v>
      </c>
      <c r="D207" s="56">
        <f t="shared" si="13"/>
        <v>-2.9417231149567015E-3</v>
      </c>
      <c r="E207" s="55">
        <v>64.569999999999993</v>
      </c>
      <c r="F207" s="54">
        <f t="shared" si="14"/>
        <v>-1.5484670176533162E-4</v>
      </c>
      <c r="G207" s="53">
        <f t="shared" si="15"/>
        <v>-1.6084670176533163E-4</v>
      </c>
    </row>
    <row r="208" spans="1:7" x14ac:dyDescent="0.25">
      <c r="A208" s="52"/>
      <c r="B208" s="52"/>
    </row>
    <row r="209" spans="1:2" x14ac:dyDescent="0.25">
      <c r="A209" s="52"/>
      <c r="B209" s="52"/>
    </row>
    <row r="210" spans="1:2" x14ac:dyDescent="0.25">
      <c r="A210" s="52"/>
      <c r="B210" s="52"/>
    </row>
    <row r="211" spans="1:2" x14ac:dyDescent="0.25">
      <c r="A211" s="52"/>
      <c r="B211" s="52"/>
    </row>
    <row r="212" spans="1:2" x14ac:dyDescent="0.25">
      <c r="A212" s="52"/>
      <c r="B212" s="52"/>
    </row>
    <row r="213" spans="1:2" x14ac:dyDescent="0.25">
      <c r="A213" s="52"/>
      <c r="B213" s="52"/>
    </row>
    <row r="214" spans="1:2" x14ac:dyDescent="0.25">
      <c r="A214" s="52"/>
      <c r="B214" s="52"/>
    </row>
    <row r="215" spans="1:2" x14ac:dyDescent="0.25">
      <c r="A215" s="52"/>
      <c r="B215" s="52"/>
    </row>
    <row r="216" spans="1:2" x14ac:dyDescent="0.25">
      <c r="A216" s="52"/>
      <c r="B216" s="52"/>
    </row>
    <row r="217" spans="1:2" x14ac:dyDescent="0.25">
      <c r="A217" s="52"/>
      <c r="B217" s="5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</vt:lpstr>
      <vt:lpstr>Mortgage</vt:lpstr>
      <vt:lpstr>Beta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2013-12-02T21:03:22Z</dcterms:created>
  <dcterms:modified xsi:type="dcterms:W3CDTF">2019-07-16T21:46:23Z</dcterms:modified>
</cp:coreProperties>
</file>