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15600" windowHeight="8190"/>
  </bookViews>
  <sheets>
    <sheet name="Forecast" sheetId="1" r:id="rId1"/>
    <sheet name="Mortgage" sheetId="2" r:id="rId2"/>
    <sheet name="MLS Sheet" sheetId="4" r:id="rId3"/>
    <sheet name="Sheet1" sheetId="5" r:id="rId4"/>
  </sheets>
  <calcPr calcId="145621"/>
</workbook>
</file>

<file path=xl/calcChain.xml><?xml version="1.0" encoding="utf-8"?>
<calcChain xmlns="http://schemas.openxmlformats.org/spreadsheetml/2006/main">
  <c r="E69" i="1" l="1"/>
  <c r="X9" i="1"/>
  <c r="I6" i="2"/>
  <c r="E36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R141" i="1"/>
  <c r="V47" i="1"/>
  <c r="J23" i="1"/>
  <c r="I130" i="1"/>
  <c r="K23" i="1"/>
  <c r="L23" i="1"/>
  <c r="M23" i="1"/>
  <c r="N23" i="1"/>
  <c r="M130" i="1"/>
  <c r="O23" i="1"/>
  <c r="P23" i="1"/>
  <c r="Q23" i="1"/>
  <c r="R23" i="1"/>
  <c r="Q130" i="1"/>
  <c r="S23" i="1"/>
  <c r="I23" i="1"/>
  <c r="E130" i="1"/>
  <c r="F130" i="1"/>
  <c r="G130" i="1"/>
  <c r="H130" i="1"/>
  <c r="J130" i="1"/>
  <c r="K130" i="1"/>
  <c r="L130" i="1"/>
  <c r="N130" i="1"/>
  <c r="O130" i="1"/>
  <c r="P130" i="1"/>
  <c r="R130" i="1"/>
  <c r="D130" i="1"/>
  <c r="C139" i="1"/>
  <c r="D80" i="1"/>
  <c r="E64" i="1"/>
  <c r="E63" i="1"/>
  <c r="M38" i="1"/>
  <c r="K38" i="1"/>
  <c r="L38" i="1"/>
  <c r="J38" i="1"/>
  <c r="D119" i="1"/>
  <c r="D118" i="1"/>
  <c r="D102" i="1"/>
  <c r="D110" i="1"/>
  <c r="D101" i="1"/>
  <c r="D89" i="1"/>
  <c r="D77" i="1"/>
  <c r="U34" i="1"/>
  <c r="G38" i="1"/>
  <c r="H38" i="1"/>
  <c r="F38" i="1"/>
  <c r="F23" i="1"/>
  <c r="G23" i="1"/>
  <c r="H23" i="1"/>
  <c r="E23" i="1"/>
  <c r="E39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F12" i="1"/>
  <c r="G12" i="1"/>
  <c r="J5" i="1"/>
  <c r="I5" i="1"/>
  <c r="Y7" i="1"/>
  <c r="I7" i="1"/>
  <c r="Y6" i="1"/>
  <c r="Z6" i="1"/>
  <c r="S35" i="1"/>
  <c r="R35" i="1"/>
  <c r="Q35" i="1"/>
  <c r="P35" i="1"/>
  <c r="O35" i="1"/>
  <c r="N35" i="1"/>
  <c r="M35" i="1"/>
  <c r="L35" i="1"/>
  <c r="K35" i="1"/>
  <c r="J35" i="1"/>
  <c r="I35" i="1"/>
  <c r="S25" i="1"/>
  <c r="R25" i="1"/>
  <c r="Q25" i="1"/>
  <c r="P25" i="1"/>
  <c r="O25" i="1"/>
  <c r="N25" i="1"/>
  <c r="M25" i="1"/>
  <c r="L25" i="1"/>
  <c r="K25" i="1"/>
  <c r="J25" i="1"/>
  <c r="I25" i="1"/>
  <c r="S17" i="1"/>
  <c r="R17" i="1"/>
  <c r="Q17" i="1"/>
  <c r="P17" i="1"/>
  <c r="O17" i="1"/>
  <c r="N17" i="1"/>
  <c r="M17" i="1"/>
  <c r="L17" i="1"/>
  <c r="K17" i="1"/>
  <c r="J17" i="1"/>
  <c r="I17" i="1"/>
  <c r="S8" i="1"/>
  <c r="R8" i="1"/>
  <c r="Q8" i="1"/>
  <c r="P8" i="1"/>
  <c r="O8" i="1"/>
  <c r="N8" i="1"/>
  <c r="M8" i="1"/>
  <c r="L8" i="1"/>
  <c r="K8" i="1"/>
  <c r="J8" i="1"/>
  <c r="I8" i="1"/>
  <c r="S5" i="1"/>
  <c r="S9" i="1"/>
  <c r="S20" i="1"/>
  <c r="R5" i="1"/>
  <c r="R9" i="1"/>
  <c r="R20" i="1"/>
  <c r="Q5" i="1"/>
  <c r="P5" i="1"/>
  <c r="O5" i="1"/>
  <c r="O9" i="1"/>
  <c r="O20" i="1"/>
  <c r="N5" i="1"/>
  <c r="M5" i="1"/>
  <c r="L5" i="1"/>
  <c r="K5" i="1"/>
  <c r="K34" i="1"/>
  <c r="H35" i="1"/>
  <c r="G35" i="1"/>
  <c r="F35" i="1"/>
  <c r="F17" i="1"/>
  <c r="G17" i="1"/>
  <c r="H17" i="1"/>
  <c r="E17" i="1"/>
  <c r="K47" i="1"/>
  <c r="H5" i="1"/>
  <c r="F8" i="1"/>
  <c r="G8" i="1"/>
  <c r="H8" i="1"/>
  <c r="E8" i="1"/>
  <c r="H6" i="1"/>
  <c r="H7" i="1"/>
  <c r="G6" i="1"/>
  <c r="G34" i="1"/>
  <c r="G40" i="1"/>
  <c r="G7" i="1"/>
  <c r="G5" i="1"/>
  <c r="F6" i="1"/>
  <c r="F7" i="1"/>
  <c r="F5" i="1"/>
  <c r="E6" i="1"/>
  <c r="E7" i="1"/>
  <c r="E5" i="1"/>
  <c r="E34" i="1"/>
  <c r="D146" i="1"/>
  <c r="F25" i="1"/>
  <c r="G25" i="1"/>
  <c r="H25" i="1"/>
  <c r="B2" i="2"/>
  <c r="D2" i="2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I2" i="2"/>
  <c r="I4" i="2"/>
  <c r="I8" i="2"/>
  <c r="E235" i="2"/>
  <c r="E47" i="1"/>
  <c r="D92" i="1"/>
  <c r="L47" i="1"/>
  <c r="O47" i="1"/>
  <c r="F47" i="1"/>
  <c r="E22" i="1"/>
  <c r="E37" i="1"/>
  <c r="E40" i="1"/>
  <c r="I47" i="1"/>
  <c r="H47" i="1"/>
  <c r="P47" i="1"/>
  <c r="N47" i="1"/>
  <c r="R47" i="1"/>
  <c r="G47" i="1"/>
  <c r="S47" i="1"/>
  <c r="J47" i="1"/>
  <c r="M47" i="1"/>
  <c r="Q47" i="1"/>
  <c r="Z7" i="1"/>
  <c r="F34" i="1"/>
  <c r="F40" i="1"/>
  <c r="H9" i="1"/>
  <c r="AA6" i="1"/>
  <c r="J6" i="1"/>
  <c r="I6" i="1"/>
  <c r="I34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H34" i="1"/>
  <c r="H36" i="1"/>
  <c r="H22" i="1"/>
  <c r="G129" i="1"/>
  <c r="G134" i="1"/>
  <c r="G36" i="1"/>
  <c r="G22" i="1"/>
  <c r="F129" i="1"/>
  <c r="F134" i="1"/>
  <c r="I36" i="1"/>
  <c r="I22" i="1"/>
  <c r="H129" i="1"/>
  <c r="H134" i="1"/>
  <c r="K36" i="1"/>
  <c r="K22" i="1"/>
  <c r="J129" i="1"/>
  <c r="J134" i="1"/>
  <c r="M36" i="1"/>
  <c r="M22" i="1"/>
  <c r="L129" i="1"/>
  <c r="L134" i="1"/>
  <c r="O36" i="1"/>
  <c r="O22" i="1"/>
  <c r="N129" i="1"/>
  <c r="N134" i="1"/>
  <c r="Q36" i="1"/>
  <c r="Q22" i="1"/>
  <c r="P129" i="1"/>
  <c r="P134" i="1"/>
  <c r="S36" i="1"/>
  <c r="S22" i="1"/>
  <c r="R129" i="1"/>
  <c r="R134" i="1"/>
  <c r="C138" i="1"/>
  <c r="C153" i="1"/>
  <c r="J36" i="1"/>
  <c r="J22" i="1"/>
  <c r="I129" i="1"/>
  <c r="I134" i="1"/>
  <c r="L36" i="1"/>
  <c r="L22" i="1"/>
  <c r="K129" i="1"/>
  <c r="K134" i="1"/>
  <c r="N36" i="1"/>
  <c r="N22" i="1"/>
  <c r="M129" i="1"/>
  <c r="M134" i="1"/>
  <c r="P36" i="1"/>
  <c r="P22" i="1"/>
  <c r="O129" i="1"/>
  <c r="O134" i="1"/>
  <c r="R36" i="1"/>
  <c r="R22" i="1"/>
  <c r="Q129" i="1"/>
  <c r="Q134" i="1"/>
  <c r="F36" i="1"/>
  <c r="F22" i="1"/>
  <c r="E129" i="1"/>
  <c r="E134" i="1"/>
  <c r="U26" i="1"/>
  <c r="F16" i="1"/>
  <c r="F19" i="1"/>
  <c r="H12" i="1"/>
  <c r="E9" i="1"/>
  <c r="E65" i="1"/>
  <c r="E66" i="1"/>
  <c r="E67" i="1"/>
  <c r="N38" i="1"/>
  <c r="O38" i="1"/>
  <c r="P38" i="1"/>
  <c r="J7" i="1"/>
  <c r="AA7" i="1"/>
  <c r="K6" i="1"/>
  <c r="AB6" i="1"/>
  <c r="J16" i="1"/>
  <c r="J19" i="1"/>
  <c r="H16" i="1"/>
  <c r="H19" i="1"/>
  <c r="H20" i="1"/>
  <c r="H27" i="1"/>
  <c r="G128" i="1"/>
  <c r="G131" i="1"/>
  <c r="G132" i="1"/>
  <c r="O16" i="1"/>
  <c r="O19" i="1"/>
  <c r="N16" i="1"/>
  <c r="Q16" i="1"/>
  <c r="Q19" i="1"/>
  <c r="F146" i="1"/>
  <c r="I12" i="1"/>
  <c r="K7" i="1"/>
  <c r="AB7" i="1"/>
  <c r="L6" i="1"/>
  <c r="L34" i="1"/>
  <c r="AC6" i="1"/>
  <c r="J12" i="1"/>
  <c r="L7" i="1"/>
  <c r="AC7" i="1"/>
  <c r="M6" i="1"/>
  <c r="AD6" i="1"/>
  <c r="K12" i="1"/>
  <c r="M7" i="1"/>
  <c r="AD7" i="1"/>
  <c r="AE6" i="1"/>
  <c r="N6" i="1"/>
  <c r="L12" i="1"/>
  <c r="N7" i="1"/>
  <c r="N9" i="1"/>
  <c r="N20" i="1"/>
  <c r="AE7" i="1"/>
  <c r="AF6" i="1"/>
  <c r="O6" i="1"/>
  <c r="O34" i="1"/>
  <c r="O40" i="1"/>
  <c r="M12" i="1"/>
  <c r="AF7" i="1"/>
  <c r="O7" i="1"/>
  <c r="P6" i="1"/>
  <c r="P34" i="1"/>
  <c r="O146" i="1"/>
  <c r="AG6" i="1"/>
  <c r="N12" i="1"/>
  <c r="P7" i="1"/>
  <c r="AG7" i="1"/>
  <c r="AH6" i="1"/>
  <c r="Q6" i="1"/>
  <c r="Q9" i="1"/>
  <c r="Q20" i="1"/>
  <c r="P128" i="1"/>
  <c r="P131" i="1"/>
  <c r="P132" i="1"/>
  <c r="P147" i="1"/>
  <c r="O12" i="1"/>
  <c r="N19" i="1"/>
  <c r="Q7" i="1"/>
  <c r="Q34" i="1"/>
  <c r="P146" i="1"/>
  <c r="AH7" i="1"/>
  <c r="R6" i="1"/>
  <c r="R34" i="1"/>
  <c r="AI6" i="1"/>
  <c r="S6" i="1"/>
  <c r="P12" i="1"/>
  <c r="S34" i="1"/>
  <c r="R150" i="1"/>
  <c r="AI7" i="1"/>
  <c r="S7" i="1"/>
  <c r="R7" i="1"/>
  <c r="Q12" i="1"/>
  <c r="R12" i="1"/>
  <c r="S12" i="1"/>
  <c r="P9" i="1"/>
  <c r="P20" i="1"/>
  <c r="P27" i="1"/>
  <c r="L9" i="1"/>
  <c r="R16" i="1"/>
  <c r="R19" i="1"/>
  <c r="Q128" i="1"/>
  <c r="Q131" i="1"/>
  <c r="E4" i="2"/>
  <c r="E13" i="2"/>
  <c r="D129" i="1"/>
  <c r="D134" i="1"/>
  <c r="E41" i="2"/>
  <c r="E2" i="2"/>
  <c r="C2" i="2"/>
  <c r="E21" i="2"/>
  <c r="E39" i="2"/>
  <c r="E3" i="2"/>
  <c r="E30" i="2"/>
  <c r="E27" i="2"/>
  <c r="E36" i="2"/>
  <c r="E9" i="2"/>
  <c r="E16" i="1"/>
  <c r="E19" i="1"/>
  <c r="P16" i="1"/>
  <c r="P19" i="1"/>
  <c r="O128" i="1"/>
  <c r="K16" i="1"/>
  <c r="K19" i="1"/>
  <c r="L16" i="1"/>
  <c r="L19" i="1"/>
  <c r="L20" i="1"/>
  <c r="L27" i="1"/>
  <c r="L28" i="1"/>
  <c r="I16" i="1"/>
  <c r="I19" i="1"/>
  <c r="S16" i="1"/>
  <c r="S19" i="1"/>
  <c r="M16" i="1"/>
  <c r="M19" i="1"/>
  <c r="G16" i="1"/>
  <c r="G19" i="1"/>
  <c r="O131" i="1"/>
  <c r="O132" i="1"/>
  <c r="F37" i="1"/>
  <c r="E12" i="2"/>
  <c r="E17" i="2"/>
  <c r="E35" i="2"/>
  <c r="E31" i="2"/>
  <c r="E19" i="2"/>
  <c r="E6" i="2"/>
  <c r="E32" i="2"/>
  <c r="E25" i="2"/>
  <c r="E18" i="2"/>
  <c r="E16" i="2"/>
  <c r="F2" i="2"/>
  <c r="B3" i="2"/>
  <c r="E37" i="2"/>
  <c r="E26" i="2"/>
  <c r="E5" i="2"/>
  <c r="E20" i="2"/>
  <c r="E24" i="2"/>
  <c r="E8" i="2"/>
  <c r="E47" i="2"/>
  <c r="E51" i="2"/>
  <c r="E55" i="2"/>
  <c r="E60" i="2"/>
  <c r="E64" i="2"/>
  <c r="E68" i="2"/>
  <c r="E73" i="2"/>
  <c r="E77" i="2"/>
  <c r="E81" i="2"/>
  <c r="E86" i="2"/>
  <c r="E90" i="2"/>
  <c r="E94" i="2"/>
  <c r="E103" i="2"/>
  <c r="E107" i="2"/>
  <c r="E111" i="2"/>
  <c r="E116" i="2"/>
  <c r="E120" i="2"/>
  <c r="E124" i="2"/>
  <c r="E129" i="2"/>
  <c r="E133" i="2"/>
  <c r="E137" i="2"/>
  <c r="E142" i="2"/>
  <c r="E146" i="2"/>
  <c r="E150" i="2"/>
  <c r="E159" i="2"/>
  <c r="E163" i="2"/>
  <c r="E167" i="2"/>
  <c r="E172" i="2"/>
  <c r="E176" i="2"/>
  <c r="E180" i="2"/>
  <c r="E185" i="2"/>
  <c r="E189" i="2"/>
  <c r="E193" i="2"/>
  <c r="E198" i="2"/>
  <c r="E202" i="2"/>
  <c r="E206" i="2"/>
  <c r="E215" i="2"/>
  <c r="E219" i="2"/>
  <c r="E223" i="2"/>
  <c r="E228" i="2"/>
  <c r="E232" i="2"/>
  <c r="E236" i="2"/>
  <c r="E33" i="2"/>
  <c r="E7" i="2"/>
  <c r="E38" i="2"/>
  <c r="E23" i="2"/>
  <c r="E11" i="2"/>
  <c r="E22" i="2"/>
  <c r="E40" i="2"/>
  <c r="E34" i="2"/>
  <c r="E10" i="2"/>
  <c r="E44" i="2"/>
  <c r="E48" i="2"/>
  <c r="E52" i="2"/>
  <c r="E61" i="2"/>
  <c r="E65" i="2"/>
  <c r="E69" i="2"/>
  <c r="E74" i="2"/>
  <c r="E78" i="2"/>
  <c r="E82" i="2"/>
  <c r="E87" i="2"/>
  <c r="E91" i="2"/>
  <c r="E95" i="2"/>
  <c r="E100" i="2"/>
  <c r="E104" i="2"/>
  <c r="E108" i="2"/>
  <c r="E117" i="2"/>
  <c r="E121" i="2"/>
  <c r="E125" i="2"/>
  <c r="E130" i="2"/>
  <c r="E134" i="2"/>
  <c r="E138" i="2"/>
  <c r="E143" i="2"/>
  <c r="E147" i="2"/>
  <c r="E151" i="2"/>
  <c r="E156" i="2"/>
  <c r="E160" i="2"/>
  <c r="E164" i="2"/>
  <c r="E173" i="2"/>
  <c r="E177" i="2"/>
  <c r="E181" i="2"/>
  <c r="E186" i="2"/>
  <c r="E190" i="2"/>
  <c r="E194" i="2"/>
  <c r="E199" i="2"/>
  <c r="E203" i="2"/>
  <c r="E207" i="2"/>
  <c r="E212" i="2"/>
  <c r="E216" i="2"/>
  <c r="E220" i="2"/>
  <c r="E229" i="2"/>
  <c r="E233" i="2"/>
  <c r="E237" i="2"/>
  <c r="E80" i="1"/>
  <c r="E45" i="2"/>
  <c r="E49" i="2"/>
  <c r="E53" i="2"/>
  <c r="E58" i="2"/>
  <c r="E62" i="2"/>
  <c r="E66" i="2"/>
  <c r="E75" i="2"/>
  <c r="E79" i="2"/>
  <c r="E83" i="2"/>
  <c r="E88" i="2"/>
  <c r="E92" i="2"/>
  <c r="E96" i="2"/>
  <c r="E101" i="2"/>
  <c r="E105" i="2"/>
  <c r="E109" i="2"/>
  <c r="E114" i="2"/>
  <c r="E118" i="2"/>
  <c r="E122" i="2"/>
  <c r="E131" i="2"/>
  <c r="E135" i="2"/>
  <c r="E139" i="2"/>
  <c r="E144" i="2"/>
  <c r="E148" i="2"/>
  <c r="E152" i="2"/>
  <c r="E157" i="2"/>
  <c r="E161" i="2"/>
  <c r="E165" i="2"/>
  <c r="E170" i="2"/>
  <c r="E174" i="2"/>
  <c r="E178" i="2"/>
  <c r="E187" i="2"/>
  <c r="E191" i="2"/>
  <c r="E195" i="2"/>
  <c r="E200" i="2"/>
  <c r="E204" i="2"/>
  <c r="E208" i="2"/>
  <c r="E213" i="2"/>
  <c r="E217" i="2"/>
  <c r="E221" i="2"/>
  <c r="E226" i="2"/>
  <c r="E230" i="2"/>
  <c r="E234" i="2"/>
  <c r="E46" i="2"/>
  <c r="E50" i="2"/>
  <c r="E54" i="2"/>
  <c r="E59" i="2"/>
  <c r="E63" i="2"/>
  <c r="E67" i="2"/>
  <c r="E72" i="2"/>
  <c r="E76" i="2"/>
  <c r="E80" i="2"/>
  <c r="E89" i="2"/>
  <c r="E93" i="2"/>
  <c r="E97" i="2"/>
  <c r="E102" i="2"/>
  <c r="E106" i="2"/>
  <c r="E110" i="2"/>
  <c r="E115" i="2"/>
  <c r="E119" i="2"/>
  <c r="E123" i="2"/>
  <c r="E128" i="2"/>
  <c r="E132" i="2"/>
  <c r="E136" i="2"/>
  <c r="E145" i="2"/>
  <c r="E149" i="2"/>
  <c r="E153" i="2"/>
  <c r="E158" i="2"/>
  <c r="E162" i="2"/>
  <c r="E166" i="2"/>
  <c r="E171" i="2"/>
  <c r="E175" i="2"/>
  <c r="E179" i="2"/>
  <c r="E184" i="2"/>
  <c r="E188" i="2"/>
  <c r="E192" i="2"/>
  <c r="E201" i="2"/>
  <c r="E205" i="2"/>
  <c r="E209" i="2"/>
  <c r="E214" i="2"/>
  <c r="E218" i="2"/>
  <c r="E222" i="2"/>
  <c r="E227" i="2"/>
  <c r="E231" i="2"/>
  <c r="G37" i="1"/>
  <c r="P135" i="1"/>
  <c r="P153" i="1"/>
  <c r="F3" i="2"/>
  <c r="B4" i="2"/>
  <c r="D4" i="2"/>
  <c r="C4" i="2"/>
  <c r="D3" i="2"/>
  <c r="C3" i="2"/>
  <c r="F80" i="1"/>
  <c r="D88" i="1"/>
  <c r="F81" i="1"/>
  <c r="H37" i="1"/>
  <c r="F4" i="2"/>
  <c r="B5" i="2"/>
  <c r="D82" i="1"/>
  <c r="I37" i="1"/>
  <c r="D5" i="2"/>
  <c r="J37" i="1"/>
  <c r="C5" i="2"/>
  <c r="K37" i="1"/>
  <c r="F5" i="2"/>
  <c r="B6" i="2"/>
  <c r="L37" i="1"/>
  <c r="K40" i="1"/>
  <c r="D6" i="2"/>
  <c r="M37" i="1"/>
  <c r="C6" i="2"/>
  <c r="N37" i="1"/>
  <c r="F6" i="2"/>
  <c r="B7" i="2"/>
  <c r="O37" i="1"/>
  <c r="D7" i="2"/>
  <c r="P37" i="1"/>
  <c r="C7" i="2"/>
  <c r="Q37" i="1"/>
  <c r="F7" i="2"/>
  <c r="B8" i="2"/>
  <c r="R37" i="1"/>
  <c r="D8" i="2"/>
  <c r="S37" i="1"/>
  <c r="R40" i="1"/>
  <c r="C8" i="2"/>
  <c r="T140" i="1"/>
  <c r="R140" i="1"/>
  <c r="F8" i="2"/>
  <c r="B9" i="2"/>
  <c r="T141" i="1"/>
  <c r="R142" i="1"/>
  <c r="D9" i="2"/>
  <c r="C9" i="2"/>
  <c r="F9" i="2"/>
  <c r="B10" i="2"/>
  <c r="D10" i="2"/>
  <c r="C10" i="2"/>
  <c r="F10" i="2"/>
  <c r="B11" i="2"/>
  <c r="D11" i="2"/>
  <c r="C11" i="2"/>
  <c r="F11" i="2"/>
  <c r="B12" i="2"/>
  <c r="D12" i="2"/>
  <c r="C12" i="2"/>
  <c r="F12" i="2"/>
  <c r="B13" i="2"/>
  <c r="D13" i="2"/>
  <c r="C13" i="2"/>
  <c r="D14" i="2"/>
  <c r="E24" i="1"/>
  <c r="E62" i="1"/>
  <c r="C14" i="2"/>
  <c r="F13" i="2"/>
  <c r="E44" i="1"/>
  <c r="B16" i="2"/>
  <c r="D16" i="2"/>
  <c r="C16" i="2"/>
  <c r="F16" i="2"/>
  <c r="B17" i="2"/>
  <c r="D17" i="2"/>
  <c r="C17" i="2"/>
  <c r="F17" i="2"/>
  <c r="B18" i="2"/>
  <c r="D18" i="2"/>
  <c r="C18" i="2"/>
  <c r="F18" i="2"/>
  <c r="B19" i="2"/>
  <c r="D19" i="2"/>
  <c r="C19" i="2"/>
  <c r="F19" i="2"/>
  <c r="B20" i="2"/>
  <c r="D20" i="2"/>
  <c r="C20" i="2"/>
  <c r="F20" i="2"/>
  <c r="B21" i="2"/>
  <c r="D21" i="2"/>
  <c r="C21" i="2"/>
  <c r="F21" i="2"/>
  <c r="B22" i="2"/>
  <c r="D22" i="2"/>
  <c r="C22" i="2"/>
  <c r="F22" i="2"/>
  <c r="B23" i="2"/>
  <c r="D23" i="2"/>
  <c r="C23" i="2"/>
  <c r="F23" i="2"/>
  <c r="B24" i="2"/>
  <c r="D24" i="2"/>
  <c r="C24" i="2"/>
  <c r="F24" i="2"/>
  <c r="B25" i="2"/>
  <c r="D25" i="2"/>
  <c r="C25" i="2"/>
  <c r="F25" i="2"/>
  <c r="B26" i="2"/>
  <c r="D26" i="2"/>
  <c r="C26" i="2"/>
  <c r="F26" i="2"/>
  <c r="B27" i="2"/>
  <c r="D27" i="2"/>
  <c r="C27" i="2"/>
  <c r="D28" i="2"/>
  <c r="F24" i="1"/>
  <c r="C28" i="2"/>
  <c r="F27" i="2"/>
  <c r="F44" i="1"/>
  <c r="B30" i="2"/>
  <c r="D30" i="2"/>
  <c r="C30" i="2"/>
  <c r="F30" i="2"/>
  <c r="B31" i="2"/>
  <c r="D31" i="2"/>
  <c r="C31" i="2"/>
  <c r="F31" i="2"/>
  <c r="B32" i="2"/>
  <c r="D32" i="2"/>
  <c r="C32" i="2"/>
  <c r="F32" i="2"/>
  <c r="B33" i="2"/>
  <c r="D33" i="2"/>
  <c r="C33" i="2"/>
  <c r="F33" i="2"/>
  <c r="B34" i="2"/>
  <c r="D34" i="2"/>
  <c r="C34" i="2"/>
  <c r="F34" i="2"/>
  <c r="B35" i="2"/>
  <c r="D35" i="2"/>
  <c r="C35" i="2"/>
  <c r="F35" i="2"/>
  <c r="B36" i="2"/>
  <c r="D36" i="2"/>
  <c r="C36" i="2"/>
  <c r="F36" i="2"/>
  <c r="B37" i="2"/>
  <c r="D37" i="2"/>
  <c r="C37" i="2"/>
  <c r="F37" i="2"/>
  <c r="B38" i="2"/>
  <c r="D38" i="2"/>
  <c r="C38" i="2"/>
  <c r="F38" i="2"/>
  <c r="B39" i="2"/>
  <c r="D39" i="2"/>
  <c r="C39" i="2"/>
  <c r="F39" i="2"/>
  <c r="B40" i="2"/>
  <c r="D40" i="2"/>
  <c r="C40" i="2"/>
  <c r="F40" i="2"/>
  <c r="B41" i="2"/>
  <c r="D41" i="2"/>
  <c r="C41" i="2"/>
  <c r="D42" i="2"/>
  <c r="G24" i="1"/>
  <c r="C42" i="2"/>
  <c r="F41" i="2"/>
  <c r="B44" i="2"/>
  <c r="G44" i="1"/>
  <c r="D44" i="2"/>
  <c r="C44" i="2"/>
  <c r="F44" i="2"/>
  <c r="B45" i="2"/>
  <c r="D45" i="2"/>
  <c r="C45" i="2"/>
  <c r="F45" i="2"/>
  <c r="B46" i="2"/>
  <c r="D46" i="2"/>
  <c r="C46" i="2"/>
  <c r="F46" i="2"/>
  <c r="B47" i="2"/>
  <c r="D47" i="2"/>
  <c r="C47" i="2"/>
  <c r="F47" i="2"/>
  <c r="B48" i="2"/>
  <c r="D48" i="2"/>
  <c r="C48" i="2"/>
  <c r="F48" i="2"/>
  <c r="B49" i="2"/>
  <c r="D49" i="2"/>
  <c r="C49" i="2"/>
  <c r="F49" i="2"/>
  <c r="B50" i="2"/>
  <c r="D50" i="2"/>
  <c r="C50" i="2"/>
  <c r="F50" i="2"/>
  <c r="B51" i="2"/>
  <c r="D51" i="2"/>
  <c r="C51" i="2"/>
  <c r="F51" i="2"/>
  <c r="B52" i="2"/>
  <c r="D52" i="2"/>
  <c r="C52" i="2"/>
  <c r="F52" i="2"/>
  <c r="B53" i="2"/>
  <c r="D53" i="2"/>
  <c r="C53" i="2"/>
  <c r="F53" i="2"/>
  <c r="B54" i="2"/>
  <c r="D54" i="2"/>
  <c r="C54" i="2"/>
  <c r="F54" i="2"/>
  <c r="B55" i="2"/>
  <c r="D55" i="2"/>
  <c r="C55" i="2"/>
  <c r="D56" i="2"/>
  <c r="H24" i="1"/>
  <c r="H28" i="1"/>
  <c r="H43" i="1"/>
  <c r="C56" i="2"/>
  <c r="F55" i="2"/>
  <c r="H44" i="1"/>
  <c r="B58" i="2"/>
  <c r="D58" i="2"/>
  <c r="C58" i="2"/>
  <c r="F58" i="2"/>
  <c r="B59" i="2"/>
  <c r="D59" i="2"/>
  <c r="C59" i="2"/>
  <c r="F59" i="2"/>
  <c r="B60" i="2"/>
  <c r="D60" i="2"/>
  <c r="C60" i="2"/>
  <c r="F60" i="2"/>
  <c r="B61" i="2"/>
  <c r="D61" i="2"/>
  <c r="C61" i="2"/>
  <c r="F61" i="2"/>
  <c r="B62" i="2"/>
  <c r="D62" i="2"/>
  <c r="C62" i="2"/>
  <c r="F62" i="2"/>
  <c r="B63" i="2"/>
  <c r="D63" i="2"/>
  <c r="C63" i="2"/>
  <c r="F63" i="2"/>
  <c r="B64" i="2"/>
  <c r="D64" i="2"/>
  <c r="C64" i="2"/>
  <c r="F64" i="2"/>
  <c r="B65" i="2"/>
  <c r="D65" i="2"/>
  <c r="C65" i="2"/>
  <c r="F65" i="2"/>
  <c r="B66" i="2"/>
  <c r="D66" i="2"/>
  <c r="C66" i="2"/>
  <c r="F66" i="2"/>
  <c r="B67" i="2"/>
  <c r="D67" i="2"/>
  <c r="C67" i="2"/>
  <c r="F67" i="2"/>
  <c r="B68" i="2"/>
  <c r="D68" i="2"/>
  <c r="C68" i="2"/>
  <c r="F68" i="2"/>
  <c r="B69" i="2"/>
  <c r="D69" i="2"/>
  <c r="C69" i="2"/>
  <c r="D70" i="2"/>
  <c r="I24" i="1"/>
  <c r="C70" i="2"/>
  <c r="F69" i="2"/>
  <c r="I44" i="1"/>
  <c r="B72" i="2"/>
  <c r="D72" i="2"/>
  <c r="C72" i="2"/>
  <c r="F72" i="2"/>
  <c r="B73" i="2"/>
  <c r="D73" i="2"/>
  <c r="C73" i="2"/>
  <c r="F73" i="2"/>
  <c r="B74" i="2"/>
  <c r="D74" i="2"/>
  <c r="C74" i="2"/>
  <c r="F74" i="2"/>
  <c r="B75" i="2"/>
  <c r="D75" i="2"/>
  <c r="C75" i="2"/>
  <c r="F75" i="2"/>
  <c r="B76" i="2"/>
  <c r="D76" i="2"/>
  <c r="C76" i="2"/>
  <c r="F76" i="2"/>
  <c r="B77" i="2"/>
  <c r="D77" i="2"/>
  <c r="C77" i="2"/>
  <c r="F77" i="2"/>
  <c r="B78" i="2"/>
  <c r="D78" i="2"/>
  <c r="C78" i="2"/>
  <c r="F78" i="2"/>
  <c r="B79" i="2"/>
  <c r="D79" i="2"/>
  <c r="C79" i="2"/>
  <c r="F79" i="2"/>
  <c r="B80" i="2"/>
  <c r="D80" i="2"/>
  <c r="C80" i="2"/>
  <c r="F80" i="2"/>
  <c r="B81" i="2"/>
  <c r="D81" i="2"/>
  <c r="C81" i="2"/>
  <c r="F81" i="2"/>
  <c r="B82" i="2"/>
  <c r="D82" i="2"/>
  <c r="C82" i="2"/>
  <c r="F82" i="2"/>
  <c r="B83" i="2"/>
  <c r="D83" i="2"/>
  <c r="C83" i="2"/>
  <c r="D84" i="2"/>
  <c r="J24" i="1"/>
  <c r="C84" i="2"/>
  <c r="F83" i="2"/>
  <c r="B86" i="2"/>
  <c r="J44" i="1"/>
  <c r="D86" i="2"/>
  <c r="C86" i="2"/>
  <c r="F86" i="2"/>
  <c r="B87" i="2"/>
  <c r="D87" i="2"/>
  <c r="C87" i="2"/>
  <c r="F87" i="2"/>
  <c r="B88" i="2"/>
  <c r="D88" i="2"/>
  <c r="C88" i="2"/>
  <c r="F88" i="2"/>
  <c r="B89" i="2"/>
  <c r="D89" i="2"/>
  <c r="C89" i="2"/>
  <c r="F89" i="2"/>
  <c r="B90" i="2"/>
  <c r="D90" i="2"/>
  <c r="C90" i="2"/>
  <c r="F90" i="2"/>
  <c r="B91" i="2"/>
  <c r="D91" i="2"/>
  <c r="C91" i="2"/>
  <c r="F91" i="2"/>
  <c r="B92" i="2"/>
  <c r="D92" i="2"/>
  <c r="C92" i="2"/>
  <c r="F92" i="2"/>
  <c r="B93" i="2"/>
  <c r="D93" i="2"/>
  <c r="C93" i="2"/>
  <c r="F93" i="2"/>
  <c r="B94" i="2"/>
  <c r="D94" i="2"/>
  <c r="C94" i="2"/>
  <c r="F94" i="2"/>
  <c r="B95" i="2"/>
  <c r="D95" i="2"/>
  <c r="C95" i="2"/>
  <c r="F95" i="2"/>
  <c r="B96" i="2"/>
  <c r="D96" i="2"/>
  <c r="C96" i="2"/>
  <c r="F96" i="2"/>
  <c r="B97" i="2"/>
  <c r="D97" i="2"/>
  <c r="C97" i="2"/>
  <c r="D98" i="2"/>
  <c r="K24" i="1"/>
  <c r="C98" i="2"/>
  <c r="F97" i="2"/>
  <c r="K44" i="1"/>
  <c r="B100" i="2"/>
  <c r="D100" i="2"/>
  <c r="C100" i="2"/>
  <c r="F100" i="2"/>
  <c r="B101" i="2"/>
  <c r="D101" i="2"/>
  <c r="C101" i="2"/>
  <c r="F101" i="2"/>
  <c r="B102" i="2"/>
  <c r="D102" i="2"/>
  <c r="C102" i="2"/>
  <c r="F102" i="2"/>
  <c r="B103" i="2"/>
  <c r="D103" i="2"/>
  <c r="C103" i="2"/>
  <c r="F103" i="2"/>
  <c r="B104" i="2"/>
  <c r="D104" i="2"/>
  <c r="C104" i="2"/>
  <c r="F104" i="2"/>
  <c r="B105" i="2"/>
  <c r="D105" i="2"/>
  <c r="C105" i="2"/>
  <c r="F105" i="2"/>
  <c r="B106" i="2"/>
  <c r="D106" i="2"/>
  <c r="C106" i="2"/>
  <c r="F106" i="2"/>
  <c r="B107" i="2"/>
  <c r="D107" i="2"/>
  <c r="C107" i="2"/>
  <c r="F107" i="2"/>
  <c r="B108" i="2"/>
  <c r="D108" i="2"/>
  <c r="C108" i="2"/>
  <c r="F108" i="2"/>
  <c r="B109" i="2"/>
  <c r="D109" i="2"/>
  <c r="C109" i="2"/>
  <c r="F109" i="2"/>
  <c r="B110" i="2"/>
  <c r="D110" i="2"/>
  <c r="C110" i="2"/>
  <c r="F110" i="2"/>
  <c r="B111" i="2"/>
  <c r="D111" i="2"/>
  <c r="C111" i="2"/>
  <c r="D112" i="2"/>
  <c r="L24" i="1"/>
  <c r="L43" i="1"/>
  <c r="C112" i="2"/>
  <c r="F111" i="2"/>
  <c r="L44" i="1"/>
  <c r="B114" i="2"/>
  <c r="D114" i="2"/>
  <c r="C114" i="2"/>
  <c r="F114" i="2"/>
  <c r="B115" i="2"/>
  <c r="D115" i="2"/>
  <c r="C115" i="2"/>
  <c r="F115" i="2"/>
  <c r="B116" i="2"/>
  <c r="D116" i="2"/>
  <c r="C116" i="2"/>
  <c r="F116" i="2"/>
  <c r="B117" i="2"/>
  <c r="D117" i="2"/>
  <c r="C117" i="2"/>
  <c r="F117" i="2"/>
  <c r="B118" i="2"/>
  <c r="D118" i="2"/>
  <c r="C118" i="2"/>
  <c r="F118" i="2"/>
  <c r="B119" i="2"/>
  <c r="D119" i="2"/>
  <c r="C119" i="2"/>
  <c r="F119" i="2"/>
  <c r="B120" i="2"/>
  <c r="D120" i="2"/>
  <c r="C120" i="2"/>
  <c r="F120" i="2"/>
  <c r="B121" i="2"/>
  <c r="D121" i="2"/>
  <c r="C121" i="2"/>
  <c r="F121" i="2"/>
  <c r="B122" i="2"/>
  <c r="D122" i="2"/>
  <c r="C122" i="2"/>
  <c r="F122" i="2"/>
  <c r="B123" i="2"/>
  <c r="D123" i="2"/>
  <c r="C123" i="2"/>
  <c r="F123" i="2"/>
  <c r="B124" i="2"/>
  <c r="D124" i="2"/>
  <c r="C124" i="2"/>
  <c r="F124" i="2"/>
  <c r="B125" i="2"/>
  <c r="D125" i="2"/>
  <c r="C125" i="2"/>
  <c r="D126" i="2"/>
  <c r="M24" i="1"/>
  <c r="C126" i="2"/>
  <c r="F125" i="2"/>
  <c r="M44" i="1"/>
  <c r="B128" i="2"/>
  <c r="D128" i="2"/>
  <c r="C128" i="2"/>
  <c r="F128" i="2"/>
  <c r="B129" i="2"/>
  <c r="D129" i="2"/>
  <c r="C129" i="2"/>
  <c r="F129" i="2"/>
  <c r="B130" i="2"/>
  <c r="D130" i="2"/>
  <c r="C130" i="2"/>
  <c r="F130" i="2"/>
  <c r="B131" i="2"/>
  <c r="D131" i="2"/>
  <c r="C131" i="2"/>
  <c r="F131" i="2"/>
  <c r="B132" i="2"/>
  <c r="D132" i="2"/>
  <c r="C132" i="2"/>
  <c r="F132" i="2"/>
  <c r="B133" i="2"/>
  <c r="D133" i="2"/>
  <c r="C133" i="2"/>
  <c r="F133" i="2"/>
  <c r="B134" i="2"/>
  <c r="D134" i="2"/>
  <c r="C134" i="2"/>
  <c r="F134" i="2"/>
  <c r="B135" i="2"/>
  <c r="D135" i="2"/>
  <c r="C135" i="2"/>
  <c r="F135" i="2"/>
  <c r="B136" i="2"/>
  <c r="D136" i="2"/>
  <c r="C136" i="2"/>
  <c r="F136" i="2"/>
  <c r="B137" i="2"/>
  <c r="D137" i="2"/>
  <c r="C137" i="2"/>
  <c r="F137" i="2"/>
  <c r="B138" i="2"/>
  <c r="D138" i="2"/>
  <c r="C138" i="2"/>
  <c r="F138" i="2"/>
  <c r="B139" i="2"/>
  <c r="D139" i="2"/>
  <c r="C139" i="2"/>
  <c r="D140" i="2"/>
  <c r="N24" i="1"/>
  <c r="C140" i="2"/>
  <c r="F139" i="2"/>
  <c r="B142" i="2"/>
  <c r="N44" i="1"/>
  <c r="D142" i="2"/>
  <c r="C142" i="2"/>
  <c r="F142" i="2"/>
  <c r="B143" i="2"/>
  <c r="D143" i="2"/>
  <c r="C143" i="2"/>
  <c r="F143" i="2"/>
  <c r="B144" i="2"/>
  <c r="D144" i="2"/>
  <c r="C144" i="2"/>
  <c r="F144" i="2"/>
  <c r="B145" i="2"/>
  <c r="D145" i="2"/>
  <c r="C145" i="2"/>
  <c r="F145" i="2"/>
  <c r="B146" i="2"/>
  <c r="D146" i="2"/>
  <c r="C146" i="2"/>
  <c r="F146" i="2"/>
  <c r="B147" i="2"/>
  <c r="D147" i="2"/>
  <c r="C147" i="2"/>
  <c r="F147" i="2"/>
  <c r="B148" i="2"/>
  <c r="D148" i="2"/>
  <c r="C148" i="2"/>
  <c r="F148" i="2"/>
  <c r="B149" i="2"/>
  <c r="D149" i="2"/>
  <c r="C149" i="2"/>
  <c r="F149" i="2"/>
  <c r="B150" i="2"/>
  <c r="D150" i="2"/>
  <c r="C150" i="2"/>
  <c r="F150" i="2"/>
  <c r="B151" i="2"/>
  <c r="D151" i="2"/>
  <c r="C151" i="2"/>
  <c r="F151" i="2"/>
  <c r="B152" i="2"/>
  <c r="D152" i="2"/>
  <c r="C152" i="2"/>
  <c r="F152" i="2"/>
  <c r="B153" i="2"/>
  <c r="D153" i="2"/>
  <c r="C153" i="2"/>
  <c r="D154" i="2"/>
  <c r="O24" i="1"/>
  <c r="C154" i="2"/>
  <c r="F153" i="2"/>
  <c r="O44" i="1"/>
  <c r="B156" i="2"/>
  <c r="D156" i="2"/>
  <c r="C156" i="2"/>
  <c r="F156" i="2"/>
  <c r="B157" i="2"/>
  <c r="D157" i="2"/>
  <c r="C157" i="2"/>
  <c r="F157" i="2"/>
  <c r="B158" i="2"/>
  <c r="D158" i="2"/>
  <c r="C158" i="2"/>
  <c r="F158" i="2"/>
  <c r="B159" i="2"/>
  <c r="D159" i="2"/>
  <c r="C159" i="2"/>
  <c r="F159" i="2"/>
  <c r="B160" i="2"/>
  <c r="D160" i="2"/>
  <c r="C160" i="2"/>
  <c r="F160" i="2"/>
  <c r="B161" i="2"/>
  <c r="D161" i="2"/>
  <c r="C161" i="2"/>
  <c r="F161" i="2"/>
  <c r="B162" i="2"/>
  <c r="D162" i="2"/>
  <c r="C162" i="2"/>
  <c r="F162" i="2"/>
  <c r="B163" i="2"/>
  <c r="D163" i="2"/>
  <c r="C163" i="2"/>
  <c r="F163" i="2"/>
  <c r="B164" i="2"/>
  <c r="D164" i="2"/>
  <c r="C164" i="2"/>
  <c r="F164" i="2"/>
  <c r="B165" i="2"/>
  <c r="D165" i="2"/>
  <c r="C165" i="2"/>
  <c r="F165" i="2"/>
  <c r="B166" i="2"/>
  <c r="D166" i="2"/>
  <c r="C166" i="2"/>
  <c r="F166" i="2"/>
  <c r="B167" i="2"/>
  <c r="D167" i="2"/>
  <c r="C167" i="2"/>
  <c r="D168" i="2"/>
  <c r="P24" i="1"/>
  <c r="P28" i="1"/>
  <c r="P43" i="1"/>
  <c r="C168" i="2"/>
  <c r="F167" i="2"/>
  <c r="P29" i="1"/>
  <c r="P44" i="1"/>
  <c r="B170" i="2"/>
  <c r="D170" i="2"/>
  <c r="C170" i="2"/>
  <c r="F170" i="2"/>
  <c r="B171" i="2"/>
  <c r="D171" i="2"/>
  <c r="C171" i="2"/>
  <c r="F171" i="2"/>
  <c r="B172" i="2"/>
  <c r="D172" i="2"/>
  <c r="C172" i="2"/>
  <c r="F172" i="2"/>
  <c r="B173" i="2"/>
  <c r="D173" i="2"/>
  <c r="C173" i="2"/>
  <c r="F173" i="2"/>
  <c r="B174" i="2"/>
  <c r="D174" i="2"/>
  <c r="C174" i="2"/>
  <c r="F174" i="2"/>
  <c r="B175" i="2"/>
  <c r="D175" i="2"/>
  <c r="C175" i="2"/>
  <c r="F175" i="2"/>
  <c r="B176" i="2"/>
  <c r="D176" i="2"/>
  <c r="C176" i="2"/>
  <c r="F176" i="2"/>
  <c r="B177" i="2"/>
  <c r="D177" i="2"/>
  <c r="C177" i="2"/>
  <c r="F177" i="2"/>
  <c r="B178" i="2"/>
  <c r="D178" i="2"/>
  <c r="C178" i="2"/>
  <c r="F178" i="2"/>
  <c r="B179" i="2"/>
  <c r="D179" i="2"/>
  <c r="C179" i="2"/>
  <c r="F179" i="2"/>
  <c r="B180" i="2"/>
  <c r="D180" i="2"/>
  <c r="C180" i="2"/>
  <c r="F180" i="2"/>
  <c r="B181" i="2"/>
  <c r="D181" i="2"/>
  <c r="C181" i="2"/>
  <c r="D182" i="2"/>
  <c r="Q24" i="1"/>
  <c r="C182" i="2"/>
  <c r="F181" i="2"/>
  <c r="Q44" i="1"/>
  <c r="B184" i="2"/>
  <c r="D184" i="2"/>
  <c r="C184" i="2"/>
  <c r="F184" i="2"/>
  <c r="B185" i="2"/>
  <c r="D185" i="2"/>
  <c r="C185" i="2"/>
  <c r="F185" i="2"/>
  <c r="B186" i="2"/>
  <c r="D186" i="2"/>
  <c r="C186" i="2"/>
  <c r="F186" i="2"/>
  <c r="B187" i="2"/>
  <c r="D187" i="2"/>
  <c r="C187" i="2"/>
  <c r="F187" i="2"/>
  <c r="B188" i="2"/>
  <c r="D188" i="2"/>
  <c r="C188" i="2"/>
  <c r="F188" i="2"/>
  <c r="B189" i="2"/>
  <c r="D189" i="2"/>
  <c r="C189" i="2"/>
  <c r="F189" i="2"/>
  <c r="B190" i="2"/>
  <c r="D190" i="2"/>
  <c r="C190" i="2"/>
  <c r="F190" i="2"/>
  <c r="B191" i="2"/>
  <c r="D191" i="2"/>
  <c r="C191" i="2"/>
  <c r="F191" i="2"/>
  <c r="B192" i="2"/>
  <c r="D192" i="2"/>
  <c r="C192" i="2"/>
  <c r="F192" i="2"/>
  <c r="B193" i="2"/>
  <c r="D193" i="2"/>
  <c r="C193" i="2"/>
  <c r="F193" i="2"/>
  <c r="B194" i="2"/>
  <c r="D194" i="2"/>
  <c r="C194" i="2"/>
  <c r="F194" i="2"/>
  <c r="B195" i="2"/>
  <c r="D195" i="2"/>
  <c r="C195" i="2"/>
  <c r="D196" i="2"/>
  <c r="R24" i="1"/>
  <c r="R27" i="1"/>
  <c r="C196" i="2"/>
  <c r="F195" i="2"/>
  <c r="R44" i="1"/>
  <c r="B198" i="2"/>
  <c r="D198" i="2"/>
  <c r="C198" i="2"/>
  <c r="F198" i="2"/>
  <c r="B199" i="2"/>
  <c r="D199" i="2"/>
  <c r="C199" i="2"/>
  <c r="F199" i="2"/>
  <c r="B200" i="2"/>
  <c r="D200" i="2"/>
  <c r="C200" i="2"/>
  <c r="F200" i="2"/>
  <c r="B201" i="2"/>
  <c r="D201" i="2"/>
  <c r="C201" i="2"/>
  <c r="F201" i="2"/>
  <c r="B202" i="2"/>
  <c r="D202" i="2"/>
  <c r="C202" i="2"/>
  <c r="F202" i="2"/>
  <c r="B203" i="2"/>
  <c r="D203" i="2"/>
  <c r="C203" i="2"/>
  <c r="F203" i="2"/>
  <c r="B204" i="2"/>
  <c r="D204" i="2"/>
  <c r="C204" i="2"/>
  <c r="F204" i="2"/>
  <c r="B205" i="2"/>
  <c r="D205" i="2"/>
  <c r="C205" i="2"/>
  <c r="F205" i="2"/>
  <c r="B206" i="2"/>
  <c r="D206" i="2"/>
  <c r="C206" i="2"/>
  <c r="F206" i="2"/>
  <c r="B207" i="2"/>
  <c r="D207" i="2"/>
  <c r="C207" i="2"/>
  <c r="F207" i="2"/>
  <c r="B208" i="2"/>
  <c r="D208" i="2"/>
  <c r="C208" i="2"/>
  <c r="F208" i="2"/>
  <c r="B209" i="2"/>
  <c r="D209" i="2"/>
  <c r="C209" i="2"/>
  <c r="D210" i="2"/>
  <c r="S24" i="1"/>
  <c r="C210" i="2"/>
  <c r="F209" i="2"/>
  <c r="S44" i="1"/>
  <c r="B212" i="2"/>
  <c r="D212" i="2"/>
  <c r="C212" i="2"/>
  <c r="F212" i="2"/>
  <c r="B213" i="2"/>
  <c r="D213" i="2"/>
  <c r="C213" i="2"/>
  <c r="F213" i="2"/>
  <c r="B214" i="2"/>
  <c r="D214" i="2"/>
  <c r="C214" i="2"/>
  <c r="F214" i="2"/>
  <c r="B215" i="2"/>
  <c r="D215" i="2"/>
  <c r="C215" i="2"/>
  <c r="F215" i="2"/>
  <c r="B216" i="2"/>
  <c r="D216" i="2"/>
  <c r="C216" i="2"/>
  <c r="F216" i="2"/>
  <c r="B217" i="2"/>
  <c r="D217" i="2"/>
  <c r="C217" i="2"/>
  <c r="F217" i="2"/>
  <c r="B218" i="2"/>
  <c r="D218" i="2"/>
  <c r="C218" i="2"/>
  <c r="F218" i="2"/>
  <c r="B219" i="2"/>
  <c r="D219" i="2"/>
  <c r="C219" i="2"/>
  <c r="F219" i="2"/>
  <c r="B220" i="2"/>
  <c r="D220" i="2"/>
  <c r="C220" i="2"/>
  <c r="F220" i="2"/>
  <c r="B221" i="2"/>
  <c r="D221" i="2"/>
  <c r="C221" i="2"/>
  <c r="F221" i="2"/>
  <c r="B222" i="2"/>
  <c r="D222" i="2"/>
  <c r="C222" i="2"/>
  <c r="F222" i="2"/>
  <c r="B223" i="2"/>
  <c r="D223" i="2"/>
  <c r="C223" i="2"/>
  <c r="D224" i="2"/>
  <c r="C224" i="2"/>
  <c r="F223" i="2"/>
  <c r="B226" i="2"/>
  <c r="D226" i="2"/>
  <c r="C226" i="2"/>
  <c r="F226" i="2"/>
  <c r="B227" i="2"/>
  <c r="D227" i="2"/>
  <c r="C227" i="2"/>
  <c r="F227" i="2"/>
  <c r="B228" i="2"/>
  <c r="D228" i="2"/>
  <c r="C228" i="2"/>
  <c r="F228" i="2"/>
  <c r="B229" i="2"/>
  <c r="D229" i="2"/>
  <c r="C229" i="2"/>
  <c r="F229" i="2"/>
  <c r="B230" i="2"/>
  <c r="D230" i="2"/>
  <c r="C230" i="2"/>
  <c r="F230" i="2"/>
  <c r="B231" i="2"/>
  <c r="D231" i="2"/>
  <c r="C231" i="2"/>
  <c r="F231" i="2"/>
  <c r="B232" i="2"/>
  <c r="D232" i="2"/>
  <c r="C232" i="2"/>
  <c r="F232" i="2"/>
  <c r="B233" i="2"/>
  <c r="D233" i="2"/>
  <c r="C233" i="2"/>
  <c r="F233" i="2"/>
  <c r="B234" i="2"/>
  <c r="D234" i="2"/>
  <c r="C234" i="2"/>
  <c r="F234" i="2"/>
  <c r="B235" i="2"/>
  <c r="D235" i="2"/>
  <c r="C235" i="2"/>
  <c r="F235" i="2"/>
  <c r="B236" i="2"/>
  <c r="D236" i="2"/>
  <c r="C236" i="2"/>
  <c r="F236" i="2"/>
  <c r="B237" i="2"/>
  <c r="D237" i="2"/>
  <c r="C237" i="2"/>
  <c r="D238" i="2"/>
  <c r="C238" i="2"/>
  <c r="F237" i="2"/>
  <c r="E25" i="1"/>
  <c r="R28" i="1"/>
  <c r="R43" i="1"/>
  <c r="R29" i="1"/>
  <c r="N128" i="1"/>
  <c r="N131" i="1"/>
  <c r="O27" i="1"/>
  <c r="Q132" i="1"/>
  <c r="Q147" i="1"/>
  <c r="N27" i="1"/>
  <c r="M128" i="1"/>
  <c r="M131" i="1"/>
  <c r="J146" i="1"/>
  <c r="S27" i="1"/>
  <c r="R128" i="1"/>
  <c r="R131" i="1"/>
  <c r="E68" i="1"/>
  <c r="Q146" i="1"/>
  <c r="E20" i="1"/>
  <c r="K146" i="1"/>
  <c r="I9" i="1"/>
  <c r="I20" i="1"/>
  <c r="Q27" i="1"/>
  <c r="S40" i="1"/>
  <c r="Q40" i="1"/>
  <c r="P40" i="1"/>
  <c r="P58" i="1"/>
  <c r="G135" i="1"/>
  <c r="G9" i="1"/>
  <c r="G20" i="1"/>
  <c r="F9" i="1"/>
  <c r="F20" i="1"/>
  <c r="N34" i="1"/>
  <c r="H146" i="1"/>
  <c r="I40" i="1"/>
  <c r="L29" i="1"/>
  <c r="L40" i="1"/>
  <c r="O135" i="1"/>
  <c r="K128" i="1"/>
  <c r="K131" i="1"/>
  <c r="R146" i="1"/>
  <c r="M9" i="1"/>
  <c r="M20" i="1"/>
  <c r="M34" i="1"/>
  <c r="K9" i="1"/>
  <c r="K20" i="1"/>
  <c r="H29" i="1"/>
  <c r="E146" i="1"/>
  <c r="G146" i="1"/>
  <c r="H40" i="1"/>
  <c r="J34" i="1"/>
  <c r="J9" i="1"/>
  <c r="J20" i="1"/>
  <c r="K27" i="1"/>
  <c r="J128" i="1"/>
  <c r="J131" i="1"/>
  <c r="K132" i="1"/>
  <c r="K135" i="1"/>
  <c r="N40" i="1"/>
  <c r="M146" i="1"/>
  <c r="H128" i="1"/>
  <c r="H131" i="1"/>
  <c r="I27" i="1"/>
  <c r="S28" i="1"/>
  <c r="S43" i="1"/>
  <c r="S29" i="1"/>
  <c r="M132" i="1"/>
  <c r="N132" i="1"/>
  <c r="N135" i="1"/>
  <c r="M40" i="1"/>
  <c r="L146" i="1"/>
  <c r="E128" i="1"/>
  <c r="E131" i="1"/>
  <c r="F27" i="1"/>
  <c r="N28" i="1"/>
  <c r="N43" i="1"/>
  <c r="N29" i="1"/>
  <c r="R58" i="1"/>
  <c r="I128" i="1"/>
  <c r="I131" i="1"/>
  <c r="J27" i="1"/>
  <c r="L128" i="1"/>
  <c r="L131" i="1"/>
  <c r="M27" i="1"/>
  <c r="G27" i="1"/>
  <c r="F128" i="1"/>
  <c r="F131" i="1"/>
  <c r="E27" i="1"/>
  <c r="D128" i="1"/>
  <c r="D131" i="1"/>
  <c r="I146" i="1"/>
  <c r="J40" i="1"/>
  <c r="H58" i="1"/>
  <c r="L58" i="1"/>
  <c r="N146" i="1"/>
  <c r="Q28" i="1"/>
  <c r="Q43" i="1"/>
  <c r="R132" i="1"/>
  <c r="Q135" i="1"/>
  <c r="Q153" i="1"/>
  <c r="O28" i="1"/>
  <c r="O43" i="1"/>
  <c r="O29" i="1"/>
  <c r="H132" i="1"/>
  <c r="H147" i="1"/>
  <c r="H135" i="1"/>
  <c r="H153" i="1"/>
  <c r="R151" i="1"/>
  <c r="R147" i="1"/>
  <c r="D132" i="1"/>
  <c r="D147" i="1"/>
  <c r="G28" i="1"/>
  <c r="G43" i="1"/>
  <c r="J28" i="1"/>
  <c r="J43" i="1"/>
  <c r="F28" i="1"/>
  <c r="F43" i="1"/>
  <c r="I28" i="1"/>
  <c r="I43" i="1"/>
  <c r="O58" i="1"/>
  <c r="R135" i="1"/>
  <c r="E29" i="1"/>
  <c r="E28" i="1"/>
  <c r="E43" i="1"/>
  <c r="I132" i="1"/>
  <c r="I147" i="1"/>
  <c r="N58" i="1"/>
  <c r="E132" i="1"/>
  <c r="E135" i="1"/>
  <c r="M135" i="1"/>
  <c r="M28" i="1"/>
  <c r="M43" i="1"/>
  <c r="M29" i="1"/>
  <c r="S58" i="1"/>
  <c r="J132" i="1"/>
  <c r="J135" i="1"/>
  <c r="Q29" i="1"/>
  <c r="F132" i="1"/>
  <c r="L132" i="1"/>
  <c r="L147" i="1"/>
  <c r="N147" i="1"/>
  <c r="N153" i="1"/>
  <c r="O147" i="1"/>
  <c r="O153" i="1"/>
  <c r="K28" i="1"/>
  <c r="K43" i="1"/>
  <c r="K29" i="1"/>
  <c r="M58" i="1"/>
  <c r="E48" i="1"/>
  <c r="D93" i="1"/>
  <c r="E58" i="1"/>
  <c r="F147" i="1"/>
  <c r="G147" i="1"/>
  <c r="G153" i="1"/>
  <c r="L135" i="1"/>
  <c r="L153" i="1"/>
  <c r="Q58" i="1"/>
  <c r="E50" i="1"/>
  <c r="E52" i="1"/>
  <c r="I29" i="1"/>
  <c r="J29" i="1"/>
  <c r="D135" i="1"/>
  <c r="D153" i="1"/>
  <c r="K58" i="1"/>
  <c r="E153" i="1"/>
  <c r="M147" i="1"/>
  <c r="M153" i="1"/>
  <c r="F135" i="1"/>
  <c r="F153" i="1"/>
  <c r="J147" i="1"/>
  <c r="J153" i="1"/>
  <c r="E147" i="1"/>
  <c r="I135" i="1"/>
  <c r="I153" i="1"/>
  <c r="R153" i="1"/>
  <c r="K147" i="1"/>
  <c r="K153" i="1"/>
  <c r="F29" i="1"/>
  <c r="G29" i="1"/>
  <c r="G58" i="1"/>
  <c r="G48" i="1"/>
  <c r="G59" i="1"/>
  <c r="S147" i="1"/>
  <c r="F48" i="1"/>
  <c r="F58" i="1"/>
  <c r="F59" i="1"/>
  <c r="J58" i="1"/>
  <c r="I58" i="1"/>
  <c r="E59" i="1"/>
  <c r="E57" i="1"/>
  <c r="C155" i="1"/>
  <c r="D95" i="1"/>
  <c r="E88" i="1"/>
  <c r="D111" i="1"/>
  <c r="D103" i="1"/>
  <c r="H48" i="1"/>
  <c r="G57" i="1"/>
  <c r="G50" i="1"/>
  <c r="G52" i="1"/>
  <c r="E92" i="1"/>
  <c r="F57" i="1"/>
  <c r="F50" i="1"/>
  <c r="F52" i="1"/>
  <c r="H50" i="1"/>
  <c r="H52" i="1"/>
  <c r="H57" i="1"/>
  <c r="H59" i="1"/>
  <c r="I48" i="1"/>
  <c r="D104" i="1"/>
  <c r="D106" i="1"/>
  <c r="D109" i="1"/>
  <c r="D114" i="1"/>
  <c r="D117" i="1"/>
  <c r="D121" i="1"/>
  <c r="D112" i="1"/>
  <c r="D98" i="1"/>
  <c r="D123" i="1"/>
  <c r="C156" i="1"/>
  <c r="I57" i="1"/>
  <c r="I50" i="1"/>
  <c r="I52" i="1"/>
  <c r="J48" i="1"/>
  <c r="I59" i="1"/>
  <c r="O158" i="1"/>
  <c r="F158" i="1"/>
  <c r="H158" i="1"/>
  <c r="G158" i="1"/>
  <c r="D158" i="1"/>
  <c r="N158" i="1"/>
  <c r="M158" i="1"/>
  <c r="L158" i="1"/>
  <c r="J158" i="1"/>
  <c r="E158" i="1"/>
  <c r="C158" i="1"/>
  <c r="Q158" i="1"/>
  <c r="P158" i="1"/>
  <c r="R158" i="1"/>
  <c r="I158" i="1"/>
  <c r="K158" i="1"/>
  <c r="K48" i="1"/>
  <c r="J57" i="1"/>
  <c r="J50" i="1"/>
  <c r="J52" i="1"/>
  <c r="J59" i="1"/>
  <c r="C159" i="1"/>
  <c r="L48" i="1"/>
  <c r="K50" i="1"/>
  <c r="K52" i="1"/>
  <c r="K57" i="1"/>
  <c r="K59" i="1"/>
  <c r="L57" i="1"/>
  <c r="L50" i="1"/>
  <c r="L52" i="1"/>
  <c r="L59" i="1"/>
  <c r="M48" i="1"/>
  <c r="N48" i="1"/>
  <c r="M50" i="1"/>
  <c r="M52" i="1"/>
  <c r="M59" i="1"/>
  <c r="M57" i="1"/>
  <c r="O48" i="1"/>
  <c r="N57" i="1"/>
  <c r="N59" i="1"/>
  <c r="N50" i="1"/>
  <c r="N52" i="1"/>
  <c r="P48" i="1"/>
  <c r="O57" i="1"/>
  <c r="O59" i="1"/>
  <c r="O50" i="1"/>
  <c r="O52" i="1"/>
  <c r="P50" i="1"/>
  <c r="P52" i="1"/>
  <c r="P57" i="1"/>
  <c r="P59" i="1"/>
  <c r="Q48" i="1"/>
  <c r="R48" i="1"/>
  <c r="Q57" i="1"/>
  <c r="Q50" i="1"/>
  <c r="Q52" i="1"/>
  <c r="Q59" i="1"/>
  <c r="R57" i="1"/>
  <c r="R59" i="1"/>
  <c r="R50" i="1"/>
  <c r="R52" i="1"/>
  <c r="S48" i="1"/>
  <c r="S59" i="1"/>
  <c r="S57" i="1"/>
  <c r="S50" i="1"/>
  <c r="S52" i="1"/>
</calcChain>
</file>

<file path=xl/sharedStrings.xml><?xml version="1.0" encoding="utf-8"?>
<sst xmlns="http://schemas.openxmlformats.org/spreadsheetml/2006/main" count="380" uniqueCount="177">
  <si>
    <t>FORECAST</t>
  </si>
  <si>
    <t>INCOME STATEMENT</t>
  </si>
  <si>
    <t>Operating Expenses</t>
  </si>
  <si>
    <t>Total Operating Expenses</t>
  </si>
  <si>
    <t>Operating Profit</t>
  </si>
  <si>
    <t>Depreciation</t>
  </si>
  <si>
    <t>Year Depreciation</t>
  </si>
  <si>
    <t>Mortgage Interest Expense</t>
  </si>
  <si>
    <t>Interest rate</t>
  </si>
  <si>
    <t>Bank Loan Interest Expense</t>
  </si>
  <si>
    <t>Profit Before Taxes</t>
  </si>
  <si>
    <t>Taxes</t>
  </si>
  <si>
    <t>Tax rate, but only if Profit Before Taxes is positive; $0 taxes if it is not positive</t>
  </si>
  <si>
    <t>Net Profit After Taxes</t>
  </si>
  <si>
    <t>BALANCE SHEET</t>
  </si>
  <si>
    <t>Assets</t>
  </si>
  <si>
    <t>Cash</t>
  </si>
  <si>
    <t>Buildings</t>
  </si>
  <si>
    <t>Less:  Accumulated Depreciation</t>
  </si>
  <si>
    <t>Total Assets</t>
  </si>
  <si>
    <t>Liabilities and Equity</t>
  </si>
  <si>
    <t>Income Tax Payable</t>
  </si>
  <si>
    <t>Current years income taxes (not paid until next April)</t>
  </si>
  <si>
    <t>Mortgage on Buildings</t>
  </si>
  <si>
    <t>Bank Loans</t>
  </si>
  <si>
    <t>Retained Earnings</t>
  </si>
  <si>
    <t>Total Liabilities and Equity</t>
  </si>
  <si>
    <t>Beg Balance</t>
  </si>
  <si>
    <t>Principal</t>
  </si>
  <si>
    <t xml:space="preserve">Interest </t>
  </si>
  <si>
    <t>Payment</t>
  </si>
  <si>
    <t>End Balance</t>
  </si>
  <si>
    <t>Rate</t>
  </si>
  <si>
    <t>January 2012</t>
  </si>
  <si>
    <t>Per Rate</t>
  </si>
  <si>
    <t>February 2012</t>
  </si>
  <si>
    <t>FV</t>
  </si>
  <si>
    <t>March 2012</t>
  </si>
  <si>
    <t>Per</t>
  </si>
  <si>
    <t>April 2012</t>
  </si>
  <si>
    <t>Type</t>
  </si>
  <si>
    <t>May 2012</t>
  </si>
  <si>
    <t>PV</t>
  </si>
  <si>
    <t>June 2012</t>
  </si>
  <si>
    <t>July 2012</t>
  </si>
  <si>
    <t>August 2012</t>
  </si>
  <si>
    <t>September 2012</t>
  </si>
  <si>
    <t>October 2012</t>
  </si>
  <si>
    <t>November 2012</t>
  </si>
  <si>
    <t>December 2012</t>
  </si>
  <si>
    <t>TOTALS</t>
  </si>
  <si>
    <t>January 2013</t>
  </si>
  <si>
    <t>February 2013</t>
  </si>
  <si>
    <t>March 2013</t>
  </si>
  <si>
    <t>April 2013</t>
  </si>
  <si>
    <t>May 2013</t>
  </si>
  <si>
    <t>June 2013</t>
  </si>
  <si>
    <t>July 2013</t>
  </si>
  <si>
    <t>August 2013</t>
  </si>
  <si>
    <t>September 2013</t>
  </si>
  <si>
    <t>October 2013</t>
  </si>
  <si>
    <t>November 2013</t>
  </si>
  <si>
    <t>December 2013</t>
  </si>
  <si>
    <t>January 2014</t>
  </si>
  <si>
    <t>February 2014</t>
  </si>
  <si>
    <t>March 2014</t>
  </si>
  <si>
    <t>April 2014</t>
  </si>
  <si>
    <t>May 2014</t>
  </si>
  <si>
    <t>June 2014</t>
  </si>
  <si>
    <t>July 2014</t>
  </si>
  <si>
    <t>August 2014</t>
  </si>
  <si>
    <t>September 2014</t>
  </si>
  <si>
    <t>October 2014</t>
  </si>
  <si>
    <t>November 2014</t>
  </si>
  <si>
    <t>December 2014</t>
  </si>
  <si>
    <t>Utilities</t>
  </si>
  <si>
    <t>Ratios</t>
  </si>
  <si>
    <t>ROA</t>
  </si>
  <si>
    <t>Debt to Equity</t>
  </si>
  <si>
    <t>ROE</t>
  </si>
  <si>
    <t>Rent First Floor</t>
  </si>
  <si>
    <t>Rent Second Floor</t>
  </si>
  <si>
    <t>Rent Third Floor</t>
  </si>
  <si>
    <t>Insurance</t>
  </si>
  <si>
    <t>Given</t>
  </si>
  <si>
    <t>Repairs</t>
  </si>
  <si>
    <t>Property Taxes</t>
  </si>
  <si>
    <t>Snow Removal</t>
  </si>
  <si>
    <t>Maintainence</t>
  </si>
  <si>
    <t>Electric</t>
  </si>
  <si>
    <t>Parking</t>
  </si>
  <si>
    <t>monthly</t>
  </si>
  <si>
    <t>Equity</t>
  </si>
  <si>
    <t>61-63 Brook Street</t>
  </si>
  <si>
    <t>Fixed Expenses</t>
  </si>
  <si>
    <t>Months</t>
  </si>
  <si>
    <t>Total Revenue</t>
  </si>
  <si>
    <t>25% downpayment</t>
  </si>
  <si>
    <t>Assumptions and Givens</t>
  </si>
  <si>
    <t>Monthly  - Includes lawn care, etc…</t>
  </si>
  <si>
    <t>Land</t>
  </si>
  <si>
    <t>Breakeven</t>
  </si>
  <si>
    <t>Fixed Cost</t>
  </si>
  <si>
    <t>Snow Storms</t>
  </si>
  <si>
    <t>Per Unit</t>
  </si>
  <si>
    <t>Variable</t>
  </si>
  <si>
    <t>Total Sales</t>
  </si>
  <si>
    <t>CM ratio</t>
  </si>
  <si>
    <t>Breakeven in $</t>
  </si>
  <si>
    <t>Inflation on Utilities</t>
  </si>
  <si>
    <t>Property Tax Rate</t>
  </si>
  <si>
    <t>Cap Exp Dep.</t>
  </si>
  <si>
    <t>Renovations/Cap Expendiatures</t>
  </si>
  <si>
    <t>Less: Depreciation</t>
  </si>
  <si>
    <t>DFN</t>
  </si>
  <si>
    <t>Utilities paid for: Flood lighting/Hall Lighting</t>
  </si>
  <si>
    <t>Flood/Hall Lighting</t>
  </si>
  <si>
    <t>AR (Late Rent)</t>
  </si>
  <si>
    <t>AR Assuming late rent of one payment per month per tenant</t>
  </si>
  <si>
    <t>% of time not earning rent or rent that is uncollectable</t>
  </si>
  <si>
    <t>Utilities $ found through Google research</t>
  </si>
  <si>
    <t>CAPM for the return equity holders want</t>
  </si>
  <si>
    <t>Beta</t>
  </si>
  <si>
    <t>T-Bill rate</t>
  </si>
  <si>
    <t>S&amp;P 500 rate</t>
  </si>
  <si>
    <t>Return equity holders want</t>
  </si>
  <si>
    <t>Return debt holders want</t>
  </si>
  <si>
    <t>Debt in 2015</t>
  </si>
  <si>
    <t>Proportion in 2015</t>
  </si>
  <si>
    <t>Rixed rate of Mortgage debt</t>
  </si>
  <si>
    <t xml:space="preserve"> </t>
  </si>
  <si>
    <t>Fixed rate of Bank Loan debt</t>
  </si>
  <si>
    <t>Combined rate of all debt</t>
  </si>
  <si>
    <t>Tax Rate of Company</t>
  </si>
  <si>
    <t>Debt Investors</t>
  </si>
  <si>
    <t>Bank Loan</t>
  </si>
  <si>
    <t>Equity Investors (Including Retained Earnings)</t>
  </si>
  <si>
    <t>Shareholder Contributions</t>
  </si>
  <si>
    <t>Total Debt and Equity Investors</t>
  </si>
  <si>
    <t>WACC projected for 2015</t>
  </si>
  <si>
    <t>Unlevered Beta</t>
  </si>
  <si>
    <t>Original Beta</t>
  </si>
  <si>
    <t>Tax rate</t>
  </si>
  <si>
    <t>Debt percentage</t>
  </si>
  <si>
    <t>Equity percentage</t>
  </si>
  <si>
    <t>Relevered Beta</t>
  </si>
  <si>
    <t>Re-levered Beta</t>
  </si>
  <si>
    <t>WACC projected for 2015 (new beta)</t>
  </si>
  <si>
    <t>http://people.stern.nyu.edu/adamodar/New_Home_Page/datafile/Betas.html</t>
  </si>
  <si>
    <t>http://pages.stern.nyu.edu/~adamodar/New_Home_Page/datafile/histretSP.html</t>
  </si>
  <si>
    <t>FCF, NPV, IRR</t>
  </si>
  <si>
    <t>Cash from Operations</t>
  </si>
  <si>
    <t>Taxes on Operations ONLY (=Payable)</t>
  </si>
  <si>
    <t>Add: Depreciation</t>
  </si>
  <si>
    <t>TOTAL CASH FROM OPERATIONS</t>
  </si>
  <si>
    <t>Cash In/Out from Capital Expenditures</t>
  </si>
  <si>
    <t>Buy Buildings</t>
  </si>
  <si>
    <t>Sell Buildings</t>
  </si>
  <si>
    <t>Book Val</t>
  </si>
  <si>
    <t>Pay Taxes on the Sale</t>
  </si>
  <si>
    <t>Gain</t>
  </si>
  <si>
    <t>Cash In/Out from Working Capital CHANGES</t>
  </si>
  <si>
    <t>-</t>
  </si>
  <si>
    <t>Accounts Receivable</t>
  </si>
  <si>
    <t>+</t>
  </si>
  <si>
    <t>Income Tax Payable (OPERATIONS ONLY)</t>
  </si>
  <si>
    <t>Cash In/Out from Liquidating Working Capital</t>
  </si>
  <si>
    <t>TOTAL FREE CASH FLOWS FROM OP</t>
  </si>
  <si>
    <t>IRR</t>
  </si>
  <si>
    <t>WACC</t>
  </si>
  <si>
    <t>PV of FCFs</t>
  </si>
  <si>
    <t>NPV</t>
  </si>
  <si>
    <t>Buy Land</t>
  </si>
  <si>
    <t>Sell Land</t>
  </si>
  <si>
    <t>Refurbishments</t>
  </si>
  <si>
    <t>Lsss: Depreciation on Refurbishments</t>
  </si>
  <si>
    <t>Breakeven % occupancy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</si>
</sst>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(* #,##0.00_);_(* \(#,##0.00\);_(* \-??_);_(@_)"/>
    <numFmt numFmtId="165" formatCode="_(\$* #,##0.00_);_(\$* \(#,##0.00\);_(\$* \-??_);_(@_)"/>
    <numFmt numFmtId="166" formatCode="_(* #,##0.000000_);_(* \(#,##0.000000\);_(* \-??_);_(@_)"/>
    <numFmt numFmtId="167" formatCode="_(\$* #,##0_);_(\$* \(#,##0\);_(\$* \-??_);_(@_)"/>
    <numFmt numFmtId="168" formatCode="0.0"/>
    <numFmt numFmtId="169" formatCode="0.0%"/>
    <numFmt numFmtId="170" formatCode="[$$-409]#,##0.00;[Red]\-[$$-409]#,##0.00"/>
    <numFmt numFmtId="171" formatCode="0.000"/>
    <numFmt numFmtId="172" formatCode="0.0000%"/>
  </numFmts>
  <fonts count="5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0"/>
      <name val="Arial"/>
      <family val="2"/>
    </font>
    <font>
      <b/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/>
    <xf numFmtId="165" fontId="1" fillId="0" borderId="0"/>
    <xf numFmtId="0" fontId="1" fillId="0" borderId="0"/>
    <xf numFmtId="9" fontId="1" fillId="0" borderId="0"/>
  </cellStyleXfs>
  <cellXfs count="127">
    <xf numFmtId="0" fontId="0" fillId="0" borderId="0" xfId="0"/>
    <xf numFmtId="0" fontId="1" fillId="0" borderId="0" xfId="3"/>
    <xf numFmtId="0" fontId="2" fillId="0" borderId="1" xfId="3" applyFont="1" applyBorder="1"/>
    <xf numFmtId="0" fontId="1" fillId="0" borderId="1" xfId="3" applyBorder="1"/>
    <xf numFmtId="0" fontId="2" fillId="0" borderId="0" xfId="3" applyFont="1"/>
    <xf numFmtId="9" fontId="1" fillId="0" borderId="0" xfId="4"/>
    <xf numFmtId="165" fontId="1" fillId="0" borderId="0" xfId="2"/>
    <xf numFmtId="164" fontId="1" fillId="0" borderId="0" xfId="1"/>
    <xf numFmtId="166" fontId="1" fillId="0" borderId="0" xfId="3" applyNumberFormat="1"/>
    <xf numFmtId="167" fontId="1" fillId="0" borderId="0" xfId="2" applyNumberFormat="1"/>
    <xf numFmtId="168" fontId="1" fillId="0" borderId="0" xfId="3" applyNumberFormat="1"/>
    <xf numFmtId="167" fontId="1" fillId="0" borderId="0" xfId="2" applyNumberFormat="1" applyFont="1" applyFill="1" applyBorder="1" applyAlignment="1" applyProtection="1"/>
    <xf numFmtId="10" fontId="1" fillId="0" borderId="0" xfId="4" applyNumberFormat="1"/>
    <xf numFmtId="167" fontId="1" fillId="0" borderId="0" xfId="3" applyNumberFormat="1"/>
    <xf numFmtId="0" fontId="1" fillId="0" borderId="0" xfId="3" applyFill="1"/>
    <xf numFmtId="10" fontId="0" fillId="0" borderId="0" xfId="0" applyNumberFormat="1"/>
    <xf numFmtId="0" fontId="0" fillId="0" borderId="0" xfId="0" applyFont="1" applyAlignment="1">
      <alignment wrapText="1"/>
    </xf>
    <xf numFmtId="170" fontId="0" fillId="0" borderId="0" xfId="0" applyNumberFormat="1" applyFont="1" applyAlignment="1">
      <alignment wrapText="1"/>
    </xf>
    <xf numFmtId="170" fontId="0" fillId="0" borderId="0" xfId="0" applyNumberFormat="1"/>
    <xf numFmtId="0" fontId="0" fillId="0" borderId="0" xfId="0" applyNumberFormat="1"/>
    <xf numFmtId="170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1" fillId="0" borderId="0" xfId="3" applyBorder="1"/>
    <xf numFmtId="9" fontId="1" fillId="0" borderId="0" xfId="3" applyNumberFormat="1"/>
    <xf numFmtId="169" fontId="1" fillId="0" borderId="0" xfId="4" applyNumberFormat="1"/>
    <xf numFmtId="172" fontId="1" fillId="0" borderId="0" xfId="4" applyNumberFormat="1"/>
    <xf numFmtId="0" fontId="1" fillId="2" borderId="0" xfId="3" applyFill="1"/>
    <xf numFmtId="167" fontId="1" fillId="2" borderId="0" xfId="3" applyNumberFormat="1" applyFill="1"/>
    <xf numFmtId="165" fontId="1" fillId="2" borderId="0" xfId="2" applyFill="1"/>
    <xf numFmtId="167" fontId="1" fillId="2" borderId="0" xfId="2" applyNumberFormat="1" applyFont="1" applyFill="1" applyBorder="1" applyAlignment="1" applyProtection="1"/>
    <xf numFmtId="2" fontId="1" fillId="2" borderId="0" xfId="3" applyNumberFormat="1" applyFill="1"/>
    <xf numFmtId="9" fontId="1" fillId="0" borderId="0" xfId="4" applyFill="1"/>
    <xf numFmtId="0" fontId="2" fillId="3" borderId="0" xfId="3" applyFont="1" applyFill="1"/>
    <xf numFmtId="0" fontId="1" fillId="3" borderId="0" xfId="3" applyFill="1"/>
    <xf numFmtId="0" fontId="1" fillId="3" borderId="0" xfId="3" applyFont="1" applyFill="1"/>
    <xf numFmtId="167" fontId="1" fillId="3" borderId="2" xfId="2" applyNumberFormat="1" applyFill="1" applyBorder="1"/>
    <xf numFmtId="167" fontId="1" fillId="3" borderId="3" xfId="2" applyNumberFormat="1" applyFill="1" applyBorder="1"/>
    <xf numFmtId="167" fontId="1" fillId="3" borderId="4" xfId="2" applyNumberFormat="1" applyFill="1" applyBorder="1"/>
    <xf numFmtId="167" fontId="1" fillId="3" borderId="5" xfId="2" applyNumberFormat="1" applyFill="1" applyBorder="1"/>
    <xf numFmtId="167" fontId="1" fillId="3" borderId="0" xfId="2" applyNumberFormat="1" applyFill="1" applyBorder="1"/>
    <xf numFmtId="167" fontId="1" fillId="3" borderId="6" xfId="2" applyNumberFormat="1" applyFill="1" applyBorder="1"/>
    <xf numFmtId="0" fontId="4" fillId="3" borderId="0" xfId="3" applyFont="1" applyFill="1"/>
    <xf numFmtId="167" fontId="4" fillId="3" borderId="7" xfId="2" applyNumberFormat="1" applyFont="1" applyFill="1" applyBorder="1" applyAlignment="1" applyProtection="1"/>
    <xf numFmtId="167" fontId="4" fillId="3" borderId="8" xfId="2" applyNumberFormat="1" applyFont="1" applyFill="1" applyBorder="1" applyAlignment="1" applyProtection="1"/>
    <xf numFmtId="167" fontId="4" fillId="3" borderId="9" xfId="2" applyNumberFormat="1" applyFont="1" applyFill="1" applyBorder="1" applyAlignment="1" applyProtection="1"/>
    <xf numFmtId="167" fontId="1" fillId="3" borderId="0" xfId="2" applyNumberFormat="1" applyFont="1" applyFill="1" applyBorder="1" applyAlignment="1" applyProtection="1"/>
    <xf numFmtId="167" fontId="1" fillId="3" borderId="2" xfId="2" applyNumberFormat="1" applyFont="1" applyFill="1" applyBorder="1" applyAlignment="1" applyProtection="1"/>
    <xf numFmtId="167" fontId="1" fillId="3" borderId="3" xfId="2" applyNumberFormat="1" applyFont="1" applyFill="1" applyBorder="1" applyAlignment="1" applyProtection="1"/>
    <xf numFmtId="167" fontId="1" fillId="3" borderId="5" xfId="2" applyNumberFormat="1" applyFont="1" applyFill="1" applyBorder="1" applyAlignment="1" applyProtection="1"/>
    <xf numFmtId="167" fontId="1" fillId="3" borderId="6" xfId="2" applyNumberFormat="1" applyFont="1" applyFill="1" applyBorder="1" applyAlignment="1" applyProtection="1"/>
    <xf numFmtId="167" fontId="1" fillId="3" borderId="10" xfId="2" applyNumberFormat="1" applyFont="1" applyFill="1" applyBorder="1" applyAlignment="1" applyProtection="1"/>
    <xf numFmtId="167" fontId="1" fillId="3" borderId="11" xfId="2" applyNumberFormat="1" applyFont="1" applyFill="1" applyBorder="1" applyAlignment="1" applyProtection="1"/>
    <xf numFmtId="167" fontId="1" fillId="3" borderId="12" xfId="2" applyNumberFormat="1" applyFont="1" applyFill="1" applyBorder="1" applyAlignment="1" applyProtection="1"/>
    <xf numFmtId="167" fontId="1" fillId="3" borderId="7" xfId="2" applyNumberFormat="1" applyFill="1" applyBorder="1"/>
    <xf numFmtId="167" fontId="1" fillId="3" borderId="8" xfId="2" applyNumberFormat="1" applyFill="1" applyBorder="1"/>
    <xf numFmtId="167" fontId="1" fillId="3" borderId="9" xfId="2" applyNumberFormat="1" applyFill="1" applyBorder="1"/>
    <xf numFmtId="167" fontId="1" fillId="3" borderId="4" xfId="2" applyNumberFormat="1" applyFont="1" applyFill="1" applyBorder="1" applyAlignment="1" applyProtection="1"/>
    <xf numFmtId="0" fontId="2" fillId="4" borderId="0" xfId="3" applyFont="1" applyFill="1"/>
    <xf numFmtId="0" fontId="1" fillId="4" borderId="0" xfId="3" applyFill="1"/>
    <xf numFmtId="167" fontId="1" fillId="4" borderId="0" xfId="3" applyNumberFormat="1" applyFill="1"/>
    <xf numFmtId="0" fontId="2" fillId="5" borderId="0" xfId="3" applyFont="1" applyFill="1"/>
    <xf numFmtId="0" fontId="1" fillId="5" borderId="0" xfId="3" applyFill="1"/>
    <xf numFmtId="167" fontId="1" fillId="5" borderId="2" xfId="2" applyNumberFormat="1" applyFont="1" applyFill="1" applyBorder="1" applyAlignment="1" applyProtection="1"/>
    <xf numFmtId="167" fontId="1" fillId="5" borderId="3" xfId="2" applyNumberFormat="1" applyFont="1" applyFill="1" applyBorder="1" applyAlignment="1" applyProtection="1"/>
    <xf numFmtId="167" fontId="1" fillId="5" borderId="4" xfId="2" applyNumberFormat="1" applyFont="1" applyFill="1" applyBorder="1" applyAlignment="1" applyProtection="1"/>
    <xf numFmtId="43" fontId="1" fillId="5" borderId="5" xfId="3" applyNumberFormat="1" applyFill="1" applyBorder="1"/>
    <xf numFmtId="43" fontId="1" fillId="5" borderId="0" xfId="3" applyNumberFormat="1" applyFill="1" applyBorder="1"/>
    <xf numFmtId="43" fontId="1" fillId="5" borderId="6" xfId="3" applyNumberFormat="1" applyFill="1" applyBorder="1"/>
    <xf numFmtId="0" fontId="1" fillId="5" borderId="5" xfId="3" applyFill="1" applyBorder="1"/>
    <xf numFmtId="0" fontId="1" fillId="5" borderId="0" xfId="3" applyFill="1" applyBorder="1"/>
    <xf numFmtId="0" fontId="1" fillId="5" borderId="6" xfId="3" applyFill="1" applyBorder="1"/>
    <xf numFmtId="167" fontId="1" fillId="5" borderId="5" xfId="2" applyNumberFormat="1" applyFont="1" applyFill="1" applyBorder="1" applyAlignment="1" applyProtection="1"/>
    <xf numFmtId="167" fontId="1" fillId="5" borderId="0" xfId="2" applyNumberFormat="1" applyFont="1" applyFill="1" applyBorder="1" applyAlignment="1" applyProtection="1"/>
    <xf numFmtId="167" fontId="1" fillId="5" borderId="6" xfId="2" applyNumberFormat="1" applyFont="1" applyFill="1" applyBorder="1" applyAlignment="1" applyProtection="1"/>
    <xf numFmtId="167" fontId="1" fillId="5" borderId="5" xfId="3" applyNumberFormat="1" applyFill="1" applyBorder="1"/>
    <xf numFmtId="167" fontId="1" fillId="5" borderId="0" xfId="3" applyNumberFormat="1" applyFill="1" applyBorder="1"/>
    <xf numFmtId="167" fontId="1" fillId="5" borderId="6" xfId="3" applyNumberFormat="1" applyFill="1" applyBorder="1"/>
    <xf numFmtId="167" fontId="4" fillId="5" borderId="7" xfId="3" applyNumberFormat="1" applyFont="1" applyFill="1" applyBorder="1"/>
    <xf numFmtId="167" fontId="4" fillId="5" borderId="8" xfId="3" applyNumberFormat="1" applyFont="1" applyFill="1" applyBorder="1"/>
    <xf numFmtId="167" fontId="4" fillId="5" borderId="9" xfId="3" applyNumberFormat="1" applyFont="1" applyFill="1" applyBorder="1"/>
    <xf numFmtId="167" fontId="1" fillId="5" borderId="5" xfId="2" applyNumberFormat="1" applyFill="1" applyBorder="1"/>
    <xf numFmtId="167" fontId="1" fillId="5" borderId="10" xfId="2" applyNumberFormat="1" applyFont="1" applyFill="1" applyBorder="1" applyAlignment="1" applyProtection="1"/>
    <xf numFmtId="167" fontId="1" fillId="5" borderId="11" xfId="2" applyNumberFormat="1" applyFont="1" applyFill="1" applyBorder="1" applyAlignment="1" applyProtection="1"/>
    <xf numFmtId="167" fontId="1" fillId="5" borderId="12" xfId="2" applyNumberFormat="1" applyFont="1" applyFill="1" applyBorder="1" applyAlignment="1" applyProtection="1"/>
    <xf numFmtId="167" fontId="4" fillId="5" borderId="7" xfId="2" applyNumberFormat="1" applyFont="1" applyFill="1" applyBorder="1" applyAlignment="1" applyProtection="1"/>
    <xf numFmtId="167" fontId="4" fillId="5" borderId="8" xfId="2" applyNumberFormat="1" applyFont="1" applyFill="1" applyBorder="1" applyAlignment="1" applyProtection="1"/>
    <xf numFmtId="167" fontId="4" fillId="5" borderId="9" xfId="2" applyNumberFormat="1" applyFont="1" applyFill="1" applyBorder="1" applyAlignment="1" applyProtection="1"/>
    <xf numFmtId="167" fontId="1" fillId="5" borderId="0" xfId="3" applyNumberFormat="1" applyFill="1"/>
    <xf numFmtId="0" fontId="4" fillId="2" borderId="0" xfId="3" applyFont="1" applyFill="1"/>
    <xf numFmtId="0" fontId="2" fillId="2" borderId="0" xfId="3" applyFont="1" applyFill="1"/>
    <xf numFmtId="0" fontId="1" fillId="2" borderId="0" xfId="3" applyFont="1" applyFill="1"/>
    <xf numFmtId="10" fontId="1" fillId="2" borderId="0" xfId="4" applyNumberFormat="1" applyFill="1"/>
    <xf numFmtId="0" fontId="0" fillId="2" borderId="0" xfId="0" applyFill="1"/>
    <xf numFmtId="0" fontId="4" fillId="4" borderId="0" xfId="3" applyFont="1" applyFill="1"/>
    <xf numFmtId="0" fontId="0" fillId="4" borderId="0" xfId="0" applyFill="1"/>
    <xf numFmtId="10" fontId="1" fillId="4" borderId="0" xfId="3" applyNumberFormat="1" applyFill="1"/>
    <xf numFmtId="9" fontId="1" fillId="4" borderId="0" xfId="3" applyNumberFormat="1" applyFill="1"/>
    <xf numFmtId="0" fontId="1" fillId="4" borderId="0" xfId="3" applyFont="1" applyFill="1"/>
    <xf numFmtId="10" fontId="1" fillId="4" borderId="0" xfId="4" applyNumberFormat="1" applyFill="1"/>
    <xf numFmtId="169" fontId="1" fillId="4" borderId="0" xfId="3" applyNumberFormat="1" applyFill="1"/>
    <xf numFmtId="171" fontId="1" fillId="4" borderId="0" xfId="3" applyNumberFormat="1" applyFill="1"/>
    <xf numFmtId="9" fontId="1" fillId="4" borderId="0" xfId="4" applyFill="1"/>
    <xf numFmtId="43" fontId="1" fillId="4" borderId="0" xfId="3" applyNumberFormat="1" applyFill="1"/>
    <xf numFmtId="169" fontId="1" fillId="4" borderId="0" xfId="4" applyNumberFormat="1" applyFill="1"/>
    <xf numFmtId="0" fontId="1" fillId="6" borderId="0" xfId="3" applyFill="1"/>
    <xf numFmtId="167" fontId="1" fillId="6" borderId="0" xfId="2" applyNumberFormat="1" applyFill="1"/>
    <xf numFmtId="167" fontId="1" fillId="6" borderId="0" xfId="3" applyNumberFormat="1" applyFill="1"/>
    <xf numFmtId="0" fontId="4" fillId="6" borderId="0" xfId="3" applyFont="1" applyFill="1"/>
    <xf numFmtId="0" fontId="1" fillId="6" borderId="0" xfId="3" quotePrefix="1" applyFill="1"/>
    <xf numFmtId="10" fontId="1" fillId="6" borderId="0" xfId="3" applyNumberFormat="1" applyFill="1"/>
    <xf numFmtId="6" fontId="1" fillId="6" borderId="0" xfId="3" applyNumberFormat="1" applyFill="1"/>
    <xf numFmtId="0" fontId="2" fillId="6" borderId="0" xfId="3" applyFont="1" applyFill="1" applyBorder="1"/>
    <xf numFmtId="0" fontId="1" fillId="6" borderId="0" xfId="3" applyFill="1" applyBorder="1"/>
    <xf numFmtId="167" fontId="1" fillId="6" borderId="11" xfId="3" applyNumberFormat="1" applyFill="1" applyBorder="1"/>
    <xf numFmtId="9" fontId="1" fillId="6" borderId="0" xfId="3" applyNumberFormat="1" applyFill="1"/>
    <xf numFmtId="43" fontId="1" fillId="6" borderId="0" xfId="2" applyNumberFormat="1" applyFill="1"/>
    <xf numFmtId="167" fontId="4" fillId="6" borderId="3" xfId="2" applyNumberFormat="1" applyFont="1" applyFill="1" applyBorder="1"/>
    <xf numFmtId="167" fontId="1" fillId="6" borderId="0" xfId="3" applyNumberFormat="1" applyFill="1" applyBorder="1"/>
    <xf numFmtId="167" fontId="1" fillId="0" borderId="0" xfId="3" applyNumberFormat="1" applyBorder="1"/>
    <xf numFmtId="167" fontId="1" fillId="6" borderId="3" xfId="3" applyNumberFormat="1" applyFill="1" applyBorder="1"/>
    <xf numFmtId="8" fontId="1" fillId="6" borderId="0" xfId="3" applyNumberFormat="1" applyFill="1"/>
    <xf numFmtId="0" fontId="1" fillId="0" borderId="0" xfId="3" applyAlignment="1">
      <alignment horizontal="center" wrapText="1"/>
    </xf>
    <xf numFmtId="0" fontId="4" fillId="0" borderId="7" xfId="3" applyFont="1" applyBorder="1" applyAlignment="1">
      <alignment horizontal="center"/>
    </xf>
    <xf numFmtId="0" fontId="4" fillId="0" borderId="8" xfId="3" applyFont="1" applyBorder="1" applyAlignment="1">
      <alignment horizontal="center"/>
    </xf>
    <xf numFmtId="0" fontId="4" fillId="0" borderId="9" xfId="3" applyFont="1" applyBorder="1" applyAlignment="1">
      <alignment horizontal="center"/>
    </xf>
    <xf numFmtId="0" fontId="2" fillId="3" borderId="0" xfId="3" applyFont="1" applyFill="1" applyAlignment="1">
      <alignment horizontal="center"/>
    </xf>
    <xf numFmtId="0" fontId="2" fillId="5" borderId="0" xfId="3" applyFont="1" applyFill="1" applyAlignment="1">
      <alignment horizontal="center"/>
    </xf>
  </cellXfs>
  <cellStyles count="5">
    <cellStyle name="Comma" xfId="1" builtinId="3"/>
    <cellStyle name="Currency" xfId="2" builtinId="4"/>
    <cellStyle name="Excel Built-in Normal" xfId="3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7"/>
  <sheetViews>
    <sheetView tabSelected="1" zoomScale="70" zoomScaleNormal="70" workbookViewId="0">
      <selection activeCell="M64" sqref="M64"/>
    </sheetView>
  </sheetViews>
  <sheetFormatPr defaultColWidth="9.42578125" defaultRowHeight="15" x14ac:dyDescent="0.25"/>
  <cols>
    <col min="1" max="1" width="4.85546875" style="1" customWidth="1"/>
    <col min="2" max="2" width="36.7109375" style="1" bestFit="1" customWidth="1"/>
    <col min="3" max="3" width="12.28515625" style="1" bestFit="1" customWidth="1"/>
    <col min="4" max="4" width="10.5703125" style="1" bestFit="1" customWidth="1"/>
    <col min="5" max="5" width="14.42578125" style="1" bestFit="1" customWidth="1"/>
    <col min="6" max="6" width="12" style="1" customWidth="1"/>
    <col min="7" max="7" width="12.42578125" style="1" customWidth="1"/>
    <col min="8" max="8" width="14.140625" style="1" customWidth="1"/>
    <col min="9" max="9" width="10.7109375" style="1" bestFit="1" customWidth="1"/>
    <col min="10" max="12" width="10.7109375" bestFit="1" customWidth="1"/>
    <col min="13" max="15" width="13" bestFit="1" customWidth="1"/>
    <col min="16" max="17" width="13" style="1" bestFit="1" customWidth="1"/>
    <col min="18" max="18" width="15.28515625" style="1" bestFit="1" customWidth="1"/>
    <col min="19" max="19" width="13.7109375" style="1" bestFit="1" customWidth="1"/>
    <col min="20" max="20" width="9.5703125" style="1" customWidth="1"/>
    <col min="21" max="21" width="12.7109375" style="1" customWidth="1"/>
    <col min="22" max="22" width="11" style="1" customWidth="1"/>
    <col min="23" max="23" width="10.140625" style="1" bestFit="1" customWidth="1"/>
    <col min="24" max="24" width="10.28515625" style="1" bestFit="1" customWidth="1"/>
    <col min="25" max="25" width="8.5703125" style="1" bestFit="1" customWidth="1"/>
    <col min="26" max="16384" width="9.42578125" style="1"/>
  </cols>
  <sheetData>
    <row r="1" spans="1:36" s="3" customFormat="1" x14ac:dyDescent="0.25">
      <c r="A1" s="2" t="s">
        <v>93</v>
      </c>
      <c r="E1" s="122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4"/>
      <c r="T1" s="22"/>
      <c r="U1" s="122" t="s">
        <v>98</v>
      </c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4"/>
    </row>
    <row r="2" spans="1:36" x14ac:dyDescent="0.25">
      <c r="A2" s="4" t="s">
        <v>0</v>
      </c>
      <c r="E2" s="1">
        <v>2013</v>
      </c>
      <c r="F2" s="1">
        <v>2014</v>
      </c>
      <c r="G2" s="1">
        <v>2015</v>
      </c>
      <c r="H2" s="1">
        <v>2016</v>
      </c>
      <c r="I2" s="1">
        <v>2017</v>
      </c>
      <c r="J2" s="1">
        <v>2018</v>
      </c>
      <c r="K2" s="1">
        <v>2019</v>
      </c>
      <c r="L2" s="1">
        <v>2020</v>
      </c>
      <c r="M2" s="1">
        <v>2021</v>
      </c>
      <c r="N2" s="1">
        <v>2022</v>
      </c>
      <c r="O2" s="1">
        <v>2023</v>
      </c>
      <c r="P2" s="1">
        <v>2024</v>
      </c>
      <c r="Q2" s="1">
        <v>2025</v>
      </c>
      <c r="R2" s="1">
        <v>2026</v>
      </c>
      <c r="S2" s="1">
        <v>2027</v>
      </c>
      <c r="U2" s="1">
        <v>2013</v>
      </c>
      <c r="V2" s="1">
        <v>2014</v>
      </c>
      <c r="W2" s="1">
        <v>2015</v>
      </c>
      <c r="X2" s="1">
        <v>2016</v>
      </c>
      <c r="Y2" s="1">
        <v>2017</v>
      </c>
      <c r="Z2" s="1">
        <v>2018</v>
      </c>
      <c r="AA2" s="1">
        <v>2019</v>
      </c>
      <c r="AB2" s="1">
        <v>2020</v>
      </c>
      <c r="AC2" s="1">
        <v>2021</v>
      </c>
      <c r="AD2" s="1">
        <v>2022</v>
      </c>
      <c r="AE2" s="1">
        <v>2023</v>
      </c>
      <c r="AF2" s="1">
        <v>2024</v>
      </c>
      <c r="AG2" s="1">
        <v>2025</v>
      </c>
      <c r="AH2" s="1">
        <v>2026</v>
      </c>
      <c r="AI2" s="1">
        <v>2027</v>
      </c>
    </row>
    <row r="3" spans="1:36" x14ac:dyDescent="0.25">
      <c r="E3" s="8"/>
    </row>
    <row r="4" spans="1:36" x14ac:dyDescent="0.25">
      <c r="A4" s="125" t="s">
        <v>1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</row>
    <row r="5" spans="1:36" x14ac:dyDescent="0.25">
      <c r="A5" s="33"/>
      <c r="B5" s="34" t="s">
        <v>80</v>
      </c>
      <c r="C5" s="34"/>
      <c r="D5" s="33"/>
      <c r="E5" s="35">
        <f t="shared" ref="E5:S7" si="0">U5*$V$35*(1-$V$36)</f>
        <v>11880</v>
      </c>
      <c r="F5" s="36">
        <f t="shared" si="0"/>
        <v>11880</v>
      </c>
      <c r="G5" s="36">
        <f t="shared" si="0"/>
        <v>12420</v>
      </c>
      <c r="H5" s="36">
        <f t="shared" si="0"/>
        <v>12420</v>
      </c>
      <c r="I5" s="36">
        <f t="shared" si="0"/>
        <v>12960</v>
      </c>
      <c r="J5" s="36">
        <f t="shared" si="0"/>
        <v>12960</v>
      </c>
      <c r="K5" s="36">
        <f t="shared" si="0"/>
        <v>13500</v>
      </c>
      <c r="L5" s="36">
        <f t="shared" si="0"/>
        <v>13500</v>
      </c>
      <c r="M5" s="36">
        <f t="shared" si="0"/>
        <v>14040</v>
      </c>
      <c r="N5" s="36">
        <f t="shared" si="0"/>
        <v>14040</v>
      </c>
      <c r="O5" s="36">
        <f t="shared" si="0"/>
        <v>14580</v>
      </c>
      <c r="P5" s="36">
        <f t="shared" si="0"/>
        <v>14580</v>
      </c>
      <c r="Q5" s="36">
        <f t="shared" si="0"/>
        <v>15120</v>
      </c>
      <c r="R5" s="36">
        <f t="shared" si="0"/>
        <v>15120</v>
      </c>
      <c r="S5" s="37">
        <f t="shared" si="0"/>
        <v>15660</v>
      </c>
      <c r="U5" s="9">
        <v>1100</v>
      </c>
      <c r="V5" s="9">
        <v>1100</v>
      </c>
      <c r="W5" s="9">
        <v>1150</v>
      </c>
      <c r="X5" s="9">
        <v>1150</v>
      </c>
      <c r="Y5" s="1">
        <v>1200</v>
      </c>
      <c r="Z5" s="1">
        <v>1200</v>
      </c>
      <c r="AA5" s="1">
        <v>1250</v>
      </c>
      <c r="AB5" s="1">
        <v>1250</v>
      </c>
      <c r="AC5" s="1">
        <v>1300</v>
      </c>
      <c r="AD5" s="1">
        <v>1300</v>
      </c>
      <c r="AE5" s="1">
        <v>1350</v>
      </c>
      <c r="AF5" s="1">
        <v>1350</v>
      </c>
      <c r="AG5" s="1">
        <v>1400</v>
      </c>
      <c r="AH5" s="1">
        <v>1400</v>
      </c>
      <c r="AI5" s="1">
        <v>1450</v>
      </c>
    </row>
    <row r="6" spans="1:36" x14ac:dyDescent="0.25">
      <c r="A6" s="33"/>
      <c r="B6" s="34" t="s">
        <v>81</v>
      </c>
      <c r="C6" s="34"/>
      <c r="D6" s="33"/>
      <c r="E6" s="38">
        <f t="shared" si="0"/>
        <v>10800</v>
      </c>
      <c r="F6" s="39">
        <f t="shared" si="0"/>
        <v>10800</v>
      </c>
      <c r="G6" s="39">
        <f t="shared" si="0"/>
        <v>11340</v>
      </c>
      <c r="H6" s="39">
        <f t="shared" si="0"/>
        <v>11340</v>
      </c>
      <c r="I6" s="39">
        <f t="shared" si="0"/>
        <v>11880</v>
      </c>
      <c r="J6" s="39">
        <f t="shared" si="0"/>
        <v>11880</v>
      </c>
      <c r="K6" s="39">
        <f t="shared" si="0"/>
        <v>12420</v>
      </c>
      <c r="L6" s="39">
        <f t="shared" si="0"/>
        <v>12420</v>
      </c>
      <c r="M6" s="39">
        <f t="shared" si="0"/>
        <v>12960</v>
      </c>
      <c r="N6" s="39">
        <f t="shared" si="0"/>
        <v>12960</v>
      </c>
      <c r="O6" s="39">
        <f t="shared" si="0"/>
        <v>13500</v>
      </c>
      <c r="P6" s="39">
        <f t="shared" si="0"/>
        <v>13500</v>
      </c>
      <c r="Q6" s="39">
        <f t="shared" si="0"/>
        <v>14040</v>
      </c>
      <c r="R6" s="39">
        <f t="shared" si="0"/>
        <v>14040</v>
      </c>
      <c r="S6" s="40">
        <f t="shared" si="0"/>
        <v>14580</v>
      </c>
      <c r="U6" s="9">
        <v>1000</v>
      </c>
      <c r="V6" s="9">
        <v>1000</v>
      </c>
      <c r="W6" s="9">
        <v>1050</v>
      </c>
      <c r="X6" s="9">
        <v>1050</v>
      </c>
      <c r="Y6" s="13">
        <f>X6+50</f>
        <v>1100</v>
      </c>
      <c r="Z6" s="13">
        <f>Y6</f>
        <v>1100</v>
      </c>
      <c r="AA6" s="13">
        <f>Z6+50</f>
        <v>1150</v>
      </c>
      <c r="AB6" s="13">
        <f>AA6</f>
        <v>1150</v>
      </c>
      <c r="AC6" s="13">
        <f>AB6+50</f>
        <v>1200</v>
      </c>
      <c r="AD6" s="13">
        <f>AC6</f>
        <v>1200</v>
      </c>
      <c r="AE6" s="13">
        <f>AD6+50</f>
        <v>1250</v>
      </c>
      <c r="AF6" s="13">
        <f>AE6</f>
        <v>1250</v>
      </c>
      <c r="AG6" s="13">
        <f>AF6+50</f>
        <v>1300</v>
      </c>
      <c r="AH6" s="13">
        <f>AG6</f>
        <v>1300</v>
      </c>
      <c r="AI6" s="13">
        <f>AH6+50</f>
        <v>1350</v>
      </c>
      <c r="AJ6" s="13"/>
    </row>
    <row r="7" spans="1:36" x14ac:dyDescent="0.25">
      <c r="A7" s="33"/>
      <c r="B7" s="34" t="s">
        <v>82</v>
      </c>
      <c r="C7" s="34"/>
      <c r="D7" s="33"/>
      <c r="E7" s="38">
        <f t="shared" si="0"/>
        <v>10260</v>
      </c>
      <c r="F7" s="39">
        <f t="shared" si="0"/>
        <v>10260</v>
      </c>
      <c r="G7" s="39">
        <f t="shared" si="0"/>
        <v>10800</v>
      </c>
      <c r="H7" s="39">
        <f t="shared" si="0"/>
        <v>10800</v>
      </c>
      <c r="I7" s="39">
        <f t="shared" si="0"/>
        <v>11340</v>
      </c>
      <c r="J7" s="39">
        <f t="shared" si="0"/>
        <v>11340</v>
      </c>
      <c r="K7" s="39">
        <f t="shared" si="0"/>
        <v>11880</v>
      </c>
      <c r="L7" s="39">
        <f t="shared" si="0"/>
        <v>11880</v>
      </c>
      <c r="M7" s="39">
        <f t="shared" si="0"/>
        <v>12420</v>
      </c>
      <c r="N7" s="39">
        <f t="shared" si="0"/>
        <v>12420</v>
      </c>
      <c r="O7" s="39">
        <f t="shared" si="0"/>
        <v>12960</v>
      </c>
      <c r="P7" s="39">
        <f t="shared" si="0"/>
        <v>12960</v>
      </c>
      <c r="Q7" s="39">
        <f t="shared" si="0"/>
        <v>13500</v>
      </c>
      <c r="R7" s="39">
        <f t="shared" si="0"/>
        <v>13500</v>
      </c>
      <c r="S7" s="40">
        <f t="shared" si="0"/>
        <v>14040</v>
      </c>
      <c r="U7" s="9">
        <v>950</v>
      </c>
      <c r="V7" s="9">
        <v>950</v>
      </c>
      <c r="W7" s="9">
        <v>1000</v>
      </c>
      <c r="X7" s="9">
        <v>1000</v>
      </c>
      <c r="Y7" s="13">
        <f>X7+50</f>
        <v>1050</v>
      </c>
      <c r="Z7" s="13">
        <f>Y7</f>
        <v>1050</v>
      </c>
      <c r="AA7" s="13">
        <f>Z7+50</f>
        <v>1100</v>
      </c>
      <c r="AB7" s="13">
        <f>AA7</f>
        <v>1100</v>
      </c>
      <c r="AC7" s="13">
        <f>AB7+50</f>
        <v>1150</v>
      </c>
      <c r="AD7" s="13">
        <f>AC7</f>
        <v>1150</v>
      </c>
      <c r="AE7" s="13">
        <f>AD7+50</f>
        <v>1200</v>
      </c>
      <c r="AF7" s="13">
        <f>AE7</f>
        <v>1200</v>
      </c>
      <c r="AG7" s="13">
        <f>AF7+50</f>
        <v>1250</v>
      </c>
      <c r="AH7" s="13">
        <f>AG7</f>
        <v>1250</v>
      </c>
      <c r="AI7" s="13">
        <f>AH7+50</f>
        <v>1300</v>
      </c>
      <c r="AJ7" s="13"/>
    </row>
    <row r="8" spans="1:36" x14ac:dyDescent="0.25">
      <c r="A8" s="33"/>
      <c r="B8" s="34" t="s">
        <v>90</v>
      </c>
      <c r="C8" s="34"/>
      <c r="D8" s="33"/>
      <c r="E8" s="38">
        <f t="shared" ref="E8:S8" si="1">($U$8*12)*(1-$V$36)</f>
        <v>1620</v>
      </c>
      <c r="F8" s="39">
        <f t="shared" si="1"/>
        <v>1620</v>
      </c>
      <c r="G8" s="39">
        <f t="shared" si="1"/>
        <v>1620</v>
      </c>
      <c r="H8" s="39">
        <f t="shared" si="1"/>
        <v>1620</v>
      </c>
      <c r="I8" s="39">
        <f t="shared" si="1"/>
        <v>1620</v>
      </c>
      <c r="J8" s="39">
        <f t="shared" si="1"/>
        <v>1620</v>
      </c>
      <c r="K8" s="39">
        <f t="shared" si="1"/>
        <v>1620</v>
      </c>
      <c r="L8" s="39">
        <f t="shared" si="1"/>
        <v>1620</v>
      </c>
      <c r="M8" s="39">
        <f t="shared" si="1"/>
        <v>1620</v>
      </c>
      <c r="N8" s="39">
        <f t="shared" si="1"/>
        <v>1620</v>
      </c>
      <c r="O8" s="39">
        <f t="shared" si="1"/>
        <v>1620</v>
      </c>
      <c r="P8" s="39">
        <f t="shared" si="1"/>
        <v>1620</v>
      </c>
      <c r="Q8" s="39">
        <f t="shared" si="1"/>
        <v>1620</v>
      </c>
      <c r="R8" s="39">
        <f t="shared" si="1"/>
        <v>1620</v>
      </c>
      <c r="S8" s="40">
        <f t="shared" si="1"/>
        <v>1620</v>
      </c>
      <c r="U8" s="6">
        <v>150</v>
      </c>
      <c r="V8" s="1" t="s">
        <v>91</v>
      </c>
    </row>
    <row r="9" spans="1:36" x14ac:dyDescent="0.25">
      <c r="A9" s="41" t="s">
        <v>96</v>
      </c>
      <c r="B9" s="41"/>
      <c r="C9" s="41"/>
      <c r="D9" s="41"/>
      <c r="E9" s="42">
        <f t="shared" ref="E9:S9" si="2">SUM(E5:E8)</f>
        <v>34560</v>
      </c>
      <c r="F9" s="43">
        <f t="shared" si="2"/>
        <v>34560</v>
      </c>
      <c r="G9" s="43">
        <f t="shared" si="2"/>
        <v>36180</v>
      </c>
      <c r="H9" s="43">
        <f t="shared" si="2"/>
        <v>36180</v>
      </c>
      <c r="I9" s="43">
        <f t="shared" si="2"/>
        <v>37800</v>
      </c>
      <c r="J9" s="43">
        <f t="shared" si="2"/>
        <v>37800</v>
      </c>
      <c r="K9" s="43">
        <f t="shared" si="2"/>
        <v>39420</v>
      </c>
      <c r="L9" s="43">
        <f t="shared" si="2"/>
        <v>39420</v>
      </c>
      <c r="M9" s="43">
        <f t="shared" si="2"/>
        <v>41040</v>
      </c>
      <c r="N9" s="43">
        <f t="shared" si="2"/>
        <v>41040</v>
      </c>
      <c r="O9" s="43">
        <f t="shared" si="2"/>
        <v>42660</v>
      </c>
      <c r="P9" s="43">
        <f t="shared" si="2"/>
        <v>42660</v>
      </c>
      <c r="Q9" s="43">
        <f t="shared" si="2"/>
        <v>44280</v>
      </c>
      <c r="R9" s="43">
        <f t="shared" si="2"/>
        <v>44280</v>
      </c>
      <c r="S9" s="44">
        <f t="shared" si="2"/>
        <v>45900</v>
      </c>
      <c r="U9" s="10"/>
      <c r="X9" s="1">
        <f>(U5+U6+U7+U8)*12</f>
        <v>38400</v>
      </c>
    </row>
    <row r="10" spans="1:36" x14ac:dyDescent="0.25">
      <c r="A10" s="34"/>
      <c r="B10" s="33"/>
      <c r="C10" s="33"/>
      <c r="D10" s="33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U10" s="1" t="s">
        <v>120</v>
      </c>
    </row>
    <row r="11" spans="1:36" x14ac:dyDescent="0.25">
      <c r="A11" s="33" t="s">
        <v>2</v>
      </c>
      <c r="B11" s="33"/>
      <c r="C11" s="33"/>
      <c r="D11" s="33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U11" s="1" t="s">
        <v>109</v>
      </c>
      <c r="V11" s="23">
        <v>0.04</v>
      </c>
    </row>
    <row r="12" spans="1:36" x14ac:dyDescent="0.25">
      <c r="A12" s="33"/>
      <c r="B12" s="33" t="s">
        <v>75</v>
      </c>
      <c r="C12" s="33"/>
      <c r="D12" s="33"/>
      <c r="E12" s="46">
        <v>2000</v>
      </c>
      <c r="F12" s="47">
        <f t="shared" ref="F12:S12" si="3">E12+(E12*$V$11)</f>
        <v>2080</v>
      </c>
      <c r="G12" s="47">
        <f t="shared" si="3"/>
        <v>2163.1999999999998</v>
      </c>
      <c r="H12" s="47">
        <f t="shared" si="3"/>
        <v>2249.7279999999996</v>
      </c>
      <c r="I12" s="47">
        <f t="shared" si="3"/>
        <v>2339.7171199999998</v>
      </c>
      <c r="J12" s="47">
        <f t="shared" si="3"/>
        <v>2433.3058047999998</v>
      </c>
      <c r="K12" s="47">
        <f t="shared" si="3"/>
        <v>2530.6380369919998</v>
      </c>
      <c r="L12" s="47">
        <f t="shared" si="3"/>
        <v>2631.8635584716799</v>
      </c>
      <c r="M12" s="47">
        <f t="shared" si="3"/>
        <v>2737.1381008105473</v>
      </c>
      <c r="N12" s="47">
        <f t="shared" si="3"/>
        <v>2846.6236248429691</v>
      </c>
      <c r="O12" s="47">
        <f t="shared" si="3"/>
        <v>2960.4885698366879</v>
      </c>
      <c r="P12" s="47">
        <f t="shared" si="3"/>
        <v>3078.9081126301553</v>
      </c>
      <c r="Q12" s="47">
        <f t="shared" si="3"/>
        <v>3202.0644371353615</v>
      </c>
      <c r="R12" s="47">
        <f t="shared" si="3"/>
        <v>3330.1470146207757</v>
      </c>
      <c r="S12" s="56">
        <f t="shared" si="3"/>
        <v>3463.3528952056067</v>
      </c>
      <c r="U12" s="1" t="s">
        <v>115</v>
      </c>
    </row>
    <row r="13" spans="1:36" x14ac:dyDescent="0.25">
      <c r="A13" s="33"/>
      <c r="B13" s="33" t="s">
        <v>89</v>
      </c>
      <c r="C13" s="33"/>
      <c r="D13" s="33"/>
      <c r="E13" s="48">
        <f>$V$13*12</f>
        <v>360</v>
      </c>
      <c r="F13" s="45">
        <f t="shared" ref="F13:S13" si="4">E13+(E13*$V$11)</f>
        <v>374.4</v>
      </c>
      <c r="G13" s="45">
        <f t="shared" si="4"/>
        <v>389.37599999999998</v>
      </c>
      <c r="H13" s="45">
        <f t="shared" si="4"/>
        <v>404.95103999999998</v>
      </c>
      <c r="I13" s="45">
        <f t="shared" si="4"/>
        <v>421.14908159999999</v>
      </c>
      <c r="J13" s="45">
        <f t="shared" si="4"/>
        <v>437.99504486399996</v>
      </c>
      <c r="K13" s="45">
        <f t="shared" si="4"/>
        <v>455.51484665855997</v>
      </c>
      <c r="L13" s="45">
        <f t="shared" si="4"/>
        <v>473.7354405249024</v>
      </c>
      <c r="M13" s="45">
        <f t="shared" si="4"/>
        <v>492.68485814589849</v>
      </c>
      <c r="N13" s="45">
        <f t="shared" si="4"/>
        <v>512.39225247173442</v>
      </c>
      <c r="O13" s="45">
        <f t="shared" si="4"/>
        <v>532.88794257060385</v>
      </c>
      <c r="P13" s="45">
        <f t="shared" si="4"/>
        <v>554.20346027342805</v>
      </c>
      <c r="Q13" s="45">
        <f t="shared" si="4"/>
        <v>576.37159868436515</v>
      </c>
      <c r="R13" s="45">
        <f t="shared" si="4"/>
        <v>599.42646263173981</v>
      </c>
      <c r="S13" s="49">
        <f t="shared" si="4"/>
        <v>623.40352113700942</v>
      </c>
      <c r="U13" s="1" t="s">
        <v>116</v>
      </c>
      <c r="V13" s="7">
        <v>30</v>
      </c>
      <c r="W13" s="1" t="s">
        <v>91</v>
      </c>
    </row>
    <row r="14" spans="1:36" x14ac:dyDescent="0.25">
      <c r="A14" s="33"/>
      <c r="B14" s="33" t="s">
        <v>83</v>
      </c>
      <c r="C14" s="33"/>
      <c r="D14" s="33"/>
      <c r="E14" s="48">
        <v>2100</v>
      </c>
      <c r="F14" s="45">
        <f t="shared" ref="F14:S14" si="5">E14+(E14*$V$11)</f>
        <v>2184</v>
      </c>
      <c r="G14" s="45">
        <f t="shared" si="5"/>
        <v>2271.36</v>
      </c>
      <c r="H14" s="45">
        <f t="shared" si="5"/>
        <v>2362.2144000000003</v>
      </c>
      <c r="I14" s="45">
        <f t="shared" si="5"/>
        <v>2456.7029760000005</v>
      </c>
      <c r="J14" s="45">
        <f t="shared" si="5"/>
        <v>2554.9710950400004</v>
      </c>
      <c r="K14" s="45">
        <f t="shared" si="5"/>
        <v>2657.1699388416005</v>
      </c>
      <c r="L14" s="45">
        <f t="shared" si="5"/>
        <v>2763.4567363952647</v>
      </c>
      <c r="M14" s="45">
        <f t="shared" si="5"/>
        <v>2873.9950058510753</v>
      </c>
      <c r="N14" s="45">
        <f t="shared" si="5"/>
        <v>2988.9548060851184</v>
      </c>
      <c r="O14" s="45">
        <f t="shared" si="5"/>
        <v>3108.5129983285233</v>
      </c>
      <c r="P14" s="45">
        <f t="shared" si="5"/>
        <v>3232.8535182616642</v>
      </c>
      <c r="Q14" s="45">
        <f t="shared" si="5"/>
        <v>3362.1676589921308</v>
      </c>
      <c r="R14" s="45">
        <f t="shared" si="5"/>
        <v>3496.6543653518161</v>
      </c>
      <c r="S14" s="49">
        <f t="shared" si="5"/>
        <v>3636.5205399658889</v>
      </c>
      <c r="U14" s="5" t="s">
        <v>84</v>
      </c>
    </row>
    <row r="15" spans="1:36" x14ac:dyDescent="0.25">
      <c r="A15" s="33"/>
      <c r="B15" s="33" t="s">
        <v>85</v>
      </c>
      <c r="C15" s="33"/>
      <c r="D15" s="33"/>
      <c r="E15" s="48">
        <v>2000</v>
      </c>
      <c r="F15" s="45">
        <f t="shared" ref="F15:S15" si="6">E15+(E15*$V$11)</f>
        <v>2080</v>
      </c>
      <c r="G15" s="45">
        <f t="shared" si="6"/>
        <v>2163.1999999999998</v>
      </c>
      <c r="H15" s="45">
        <f t="shared" si="6"/>
        <v>2249.7279999999996</v>
      </c>
      <c r="I15" s="45">
        <f t="shared" si="6"/>
        <v>2339.7171199999998</v>
      </c>
      <c r="J15" s="45">
        <f t="shared" si="6"/>
        <v>2433.3058047999998</v>
      </c>
      <c r="K15" s="45">
        <f t="shared" si="6"/>
        <v>2530.6380369919998</v>
      </c>
      <c r="L15" s="45">
        <f t="shared" si="6"/>
        <v>2631.8635584716799</v>
      </c>
      <c r="M15" s="45">
        <f t="shared" si="6"/>
        <v>2737.1381008105473</v>
      </c>
      <c r="N15" s="45">
        <f t="shared" si="6"/>
        <v>2846.6236248429691</v>
      </c>
      <c r="O15" s="45">
        <f t="shared" si="6"/>
        <v>2960.4885698366879</v>
      </c>
      <c r="P15" s="45">
        <f t="shared" si="6"/>
        <v>3078.9081126301553</v>
      </c>
      <c r="Q15" s="45">
        <f t="shared" si="6"/>
        <v>3202.0644371353615</v>
      </c>
      <c r="R15" s="45">
        <f t="shared" si="6"/>
        <v>3330.1470146207757</v>
      </c>
      <c r="S15" s="49">
        <f t="shared" si="6"/>
        <v>3463.3528952056067</v>
      </c>
      <c r="U15" s="5" t="s">
        <v>84</v>
      </c>
    </row>
    <row r="16" spans="1:36" x14ac:dyDescent="0.25">
      <c r="A16" s="33"/>
      <c r="B16" s="33" t="s">
        <v>86</v>
      </c>
      <c r="C16" s="33"/>
      <c r="D16" s="33"/>
      <c r="E16" s="48">
        <f t="shared" ref="E16:S16" si="7">$U$26*SUM($E$35:$E$36)</f>
        <v>2321</v>
      </c>
      <c r="F16" s="45">
        <f t="shared" si="7"/>
        <v>2321</v>
      </c>
      <c r="G16" s="45">
        <f t="shared" si="7"/>
        <v>2321</v>
      </c>
      <c r="H16" s="45">
        <f t="shared" si="7"/>
        <v>2321</v>
      </c>
      <c r="I16" s="45">
        <f t="shared" si="7"/>
        <v>2321</v>
      </c>
      <c r="J16" s="45">
        <f t="shared" si="7"/>
        <v>2321</v>
      </c>
      <c r="K16" s="45">
        <f t="shared" si="7"/>
        <v>2321</v>
      </c>
      <c r="L16" s="45">
        <f t="shared" si="7"/>
        <v>2321</v>
      </c>
      <c r="M16" s="45">
        <f t="shared" si="7"/>
        <v>2321</v>
      </c>
      <c r="N16" s="45">
        <f t="shared" si="7"/>
        <v>2321</v>
      </c>
      <c r="O16" s="45">
        <f t="shared" si="7"/>
        <v>2321</v>
      </c>
      <c r="P16" s="45">
        <f t="shared" si="7"/>
        <v>2321</v>
      </c>
      <c r="Q16" s="45">
        <f t="shared" si="7"/>
        <v>2321</v>
      </c>
      <c r="R16" s="45">
        <f t="shared" si="7"/>
        <v>2321</v>
      </c>
      <c r="S16" s="49">
        <f t="shared" si="7"/>
        <v>2321</v>
      </c>
      <c r="U16" s="5"/>
    </row>
    <row r="17" spans="1:23" x14ac:dyDescent="0.25">
      <c r="A17" s="33"/>
      <c r="B17" s="33" t="s">
        <v>87</v>
      </c>
      <c r="C17" s="33"/>
      <c r="D17" s="33"/>
      <c r="E17" s="48">
        <f t="shared" ref="E17:S17" si="8">$U$17*$V$17</f>
        <v>500</v>
      </c>
      <c r="F17" s="45">
        <f t="shared" si="8"/>
        <v>500</v>
      </c>
      <c r="G17" s="45">
        <f t="shared" si="8"/>
        <v>500</v>
      </c>
      <c r="H17" s="45">
        <f t="shared" si="8"/>
        <v>500</v>
      </c>
      <c r="I17" s="45">
        <f t="shared" si="8"/>
        <v>500</v>
      </c>
      <c r="J17" s="45">
        <f t="shared" si="8"/>
        <v>500</v>
      </c>
      <c r="K17" s="45">
        <f t="shared" si="8"/>
        <v>500</v>
      </c>
      <c r="L17" s="45">
        <f t="shared" si="8"/>
        <v>500</v>
      </c>
      <c r="M17" s="45">
        <f t="shared" si="8"/>
        <v>500</v>
      </c>
      <c r="N17" s="45">
        <f t="shared" si="8"/>
        <v>500</v>
      </c>
      <c r="O17" s="45">
        <f t="shared" si="8"/>
        <v>500</v>
      </c>
      <c r="P17" s="45">
        <f t="shared" si="8"/>
        <v>500</v>
      </c>
      <c r="Q17" s="45">
        <f t="shared" si="8"/>
        <v>500</v>
      </c>
      <c r="R17" s="45">
        <f t="shared" si="8"/>
        <v>500</v>
      </c>
      <c r="S17" s="49">
        <f t="shared" si="8"/>
        <v>500</v>
      </c>
      <c r="U17" s="6">
        <v>50</v>
      </c>
      <c r="V17" s="1">
        <v>10</v>
      </c>
      <c r="W17" s="1" t="s">
        <v>103</v>
      </c>
    </row>
    <row r="18" spans="1:23" x14ac:dyDescent="0.25">
      <c r="A18" s="33"/>
      <c r="B18" s="33" t="s">
        <v>88</v>
      </c>
      <c r="C18" s="33"/>
      <c r="D18" s="33"/>
      <c r="E18" s="48">
        <v>1200</v>
      </c>
      <c r="F18" s="45">
        <v>1200</v>
      </c>
      <c r="G18" s="45">
        <v>1200</v>
      </c>
      <c r="H18" s="45">
        <v>1200</v>
      </c>
      <c r="I18" s="45">
        <v>1200</v>
      </c>
      <c r="J18" s="45">
        <v>1200</v>
      </c>
      <c r="K18" s="45">
        <v>1200</v>
      </c>
      <c r="L18" s="45">
        <v>1350</v>
      </c>
      <c r="M18" s="45">
        <v>1350</v>
      </c>
      <c r="N18" s="45">
        <v>1350</v>
      </c>
      <c r="O18" s="45">
        <v>1350</v>
      </c>
      <c r="P18" s="45">
        <v>1350</v>
      </c>
      <c r="Q18" s="45">
        <v>1350</v>
      </c>
      <c r="R18" s="45">
        <v>1350</v>
      </c>
      <c r="S18" s="49">
        <v>1350</v>
      </c>
      <c r="U18" s="7">
        <v>100</v>
      </c>
      <c r="V18" s="1" t="s">
        <v>99</v>
      </c>
    </row>
    <row r="19" spans="1:23" x14ac:dyDescent="0.25">
      <c r="A19" s="33"/>
      <c r="B19" s="41" t="s">
        <v>3</v>
      </c>
      <c r="C19" s="33"/>
      <c r="D19" s="33"/>
      <c r="E19" s="48">
        <f t="shared" ref="E19:S19" si="9">SUM(E12:E18)</f>
        <v>10481</v>
      </c>
      <c r="F19" s="45">
        <f t="shared" si="9"/>
        <v>10739.4</v>
      </c>
      <c r="G19" s="45">
        <f t="shared" si="9"/>
        <v>11008.135999999999</v>
      </c>
      <c r="H19" s="45">
        <f t="shared" si="9"/>
        <v>11287.621439999999</v>
      </c>
      <c r="I19" s="45">
        <f t="shared" si="9"/>
        <v>11578.2862976</v>
      </c>
      <c r="J19" s="45">
        <f t="shared" si="9"/>
        <v>11880.577749504</v>
      </c>
      <c r="K19" s="45">
        <f t="shared" si="9"/>
        <v>12194.960859484159</v>
      </c>
      <c r="L19" s="45">
        <f t="shared" si="9"/>
        <v>12671.919293863526</v>
      </c>
      <c r="M19" s="45">
        <f t="shared" si="9"/>
        <v>13011.956065618069</v>
      </c>
      <c r="N19" s="45">
        <f t="shared" si="9"/>
        <v>13365.594308242791</v>
      </c>
      <c r="O19" s="45">
        <f t="shared" si="9"/>
        <v>13733.378080572504</v>
      </c>
      <c r="P19" s="45">
        <f t="shared" si="9"/>
        <v>14115.873203795403</v>
      </c>
      <c r="Q19" s="45">
        <f t="shared" si="9"/>
        <v>14513.668131947219</v>
      </c>
      <c r="R19" s="45">
        <f t="shared" si="9"/>
        <v>14927.374857225108</v>
      </c>
      <c r="S19" s="49">
        <f t="shared" si="9"/>
        <v>15357.629851514112</v>
      </c>
    </row>
    <row r="20" spans="1:23" x14ac:dyDescent="0.25">
      <c r="A20" s="41" t="s">
        <v>4</v>
      </c>
      <c r="B20" s="41"/>
      <c r="C20" s="41"/>
      <c r="D20" s="41"/>
      <c r="E20" s="42">
        <f t="shared" ref="E20:S20" si="10">+E9-E19</f>
        <v>24079</v>
      </c>
      <c r="F20" s="43">
        <f t="shared" si="10"/>
        <v>23820.6</v>
      </c>
      <c r="G20" s="43">
        <f t="shared" si="10"/>
        <v>25171.864000000001</v>
      </c>
      <c r="H20" s="43">
        <f t="shared" si="10"/>
        <v>24892.378560000001</v>
      </c>
      <c r="I20" s="43">
        <f t="shared" si="10"/>
        <v>26221.7137024</v>
      </c>
      <c r="J20" s="43">
        <f t="shared" si="10"/>
        <v>25919.422250495998</v>
      </c>
      <c r="K20" s="43">
        <f t="shared" si="10"/>
        <v>27225.039140515841</v>
      </c>
      <c r="L20" s="43">
        <f t="shared" si="10"/>
        <v>26748.080706136476</v>
      </c>
      <c r="M20" s="43">
        <f t="shared" si="10"/>
        <v>28028.043934381931</v>
      </c>
      <c r="N20" s="43">
        <f t="shared" si="10"/>
        <v>27674.405691757209</v>
      </c>
      <c r="O20" s="43">
        <f t="shared" si="10"/>
        <v>28926.621919427496</v>
      </c>
      <c r="P20" s="43">
        <f t="shared" si="10"/>
        <v>28544.126796204597</v>
      </c>
      <c r="Q20" s="43">
        <f t="shared" si="10"/>
        <v>29766.331868052781</v>
      </c>
      <c r="R20" s="43">
        <f t="shared" si="10"/>
        <v>29352.625142774894</v>
      </c>
      <c r="S20" s="44">
        <f t="shared" si="10"/>
        <v>30542.37014848589</v>
      </c>
    </row>
    <row r="21" spans="1:23" x14ac:dyDescent="0.25">
      <c r="A21" s="33" t="s">
        <v>94</v>
      </c>
      <c r="B21" s="33"/>
      <c r="C21" s="33"/>
      <c r="D21" s="33"/>
      <c r="E21" s="33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</row>
    <row r="22" spans="1:23" x14ac:dyDescent="0.25">
      <c r="A22" s="33"/>
      <c r="B22" s="33" t="s">
        <v>5</v>
      </c>
      <c r="C22" s="33"/>
      <c r="D22" s="33"/>
      <c r="E22" s="35">
        <f t="shared" ref="E22:S22" si="11">E36/$U22</f>
        <v>6166.666666666667</v>
      </c>
      <c r="F22" s="36">
        <f t="shared" si="11"/>
        <v>6166.666666666667</v>
      </c>
      <c r="G22" s="36">
        <f t="shared" si="11"/>
        <v>6166.666666666667</v>
      </c>
      <c r="H22" s="36">
        <f t="shared" si="11"/>
        <v>6166.666666666667</v>
      </c>
      <c r="I22" s="36">
        <f t="shared" si="11"/>
        <v>6166.666666666667</v>
      </c>
      <c r="J22" s="36">
        <f t="shared" si="11"/>
        <v>6166.666666666667</v>
      </c>
      <c r="K22" s="36">
        <f t="shared" si="11"/>
        <v>6166.666666666667</v>
      </c>
      <c r="L22" s="36">
        <f t="shared" si="11"/>
        <v>6166.666666666667</v>
      </c>
      <c r="M22" s="36">
        <f t="shared" si="11"/>
        <v>6166.666666666667</v>
      </c>
      <c r="N22" s="36">
        <f t="shared" si="11"/>
        <v>6166.666666666667</v>
      </c>
      <c r="O22" s="36">
        <f t="shared" si="11"/>
        <v>6166.666666666667</v>
      </c>
      <c r="P22" s="36">
        <f t="shared" si="11"/>
        <v>6166.666666666667</v>
      </c>
      <c r="Q22" s="36">
        <f t="shared" si="11"/>
        <v>6166.666666666667</v>
      </c>
      <c r="R22" s="36">
        <f t="shared" si="11"/>
        <v>6166.666666666667</v>
      </c>
      <c r="S22" s="37">
        <f t="shared" si="11"/>
        <v>6166.666666666667</v>
      </c>
      <c r="U22" s="1">
        <v>30</v>
      </c>
      <c r="V22" s="1" t="s">
        <v>6</v>
      </c>
    </row>
    <row r="23" spans="1:23" x14ac:dyDescent="0.25">
      <c r="A23" s="33"/>
      <c r="B23" s="33" t="s">
        <v>111</v>
      </c>
      <c r="C23" s="33"/>
      <c r="D23" s="33"/>
      <c r="E23" s="48">
        <f>$E$38/4</f>
        <v>1875</v>
      </c>
      <c r="F23" s="45">
        <f>$E$38/4</f>
        <v>1875</v>
      </c>
      <c r="G23" s="45">
        <f>$E$38/4</f>
        <v>1875</v>
      </c>
      <c r="H23" s="45">
        <f>$E$38/4</f>
        <v>1875</v>
      </c>
      <c r="I23" s="45">
        <f>$E$38/4</f>
        <v>1875</v>
      </c>
      <c r="J23" s="45">
        <f t="shared" ref="J23:S23" si="12">$E$38/4</f>
        <v>1875</v>
      </c>
      <c r="K23" s="45">
        <f t="shared" si="12"/>
        <v>1875</v>
      </c>
      <c r="L23" s="45">
        <f t="shared" si="12"/>
        <v>1875</v>
      </c>
      <c r="M23" s="45">
        <f t="shared" si="12"/>
        <v>1875</v>
      </c>
      <c r="N23" s="45">
        <f t="shared" si="12"/>
        <v>1875</v>
      </c>
      <c r="O23" s="45">
        <f t="shared" si="12"/>
        <v>1875</v>
      </c>
      <c r="P23" s="45">
        <f t="shared" si="12"/>
        <v>1875</v>
      </c>
      <c r="Q23" s="45">
        <f t="shared" si="12"/>
        <v>1875</v>
      </c>
      <c r="R23" s="45">
        <f t="shared" si="12"/>
        <v>1875</v>
      </c>
      <c r="S23" s="45">
        <f t="shared" si="12"/>
        <v>1875</v>
      </c>
      <c r="U23" s="11"/>
    </row>
    <row r="24" spans="1:23" x14ac:dyDescent="0.25">
      <c r="A24" s="33"/>
      <c r="B24" s="33" t="s">
        <v>7</v>
      </c>
      <c r="C24" s="33"/>
      <c r="D24" s="33"/>
      <c r="E24" s="48">
        <f>Mortgage!D14</f>
        <v>6841.7328084409637</v>
      </c>
      <c r="F24" s="45">
        <f>Mortgage!D28</f>
        <v>6718.0224549826116</v>
      </c>
      <c r="G24" s="45">
        <f>Mortgage!D42</f>
        <v>6589.2719508492128</v>
      </c>
      <c r="H24" s="45">
        <f>Mortgage!D56</f>
        <v>6455.2759525257197</v>
      </c>
      <c r="I24" s="45">
        <f>Mortgage!D70</f>
        <v>6315.820750485449</v>
      </c>
      <c r="J24" s="45">
        <f>Mortgage!D84</f>
        <v>6170.6839283458658</v>
      </c>
      <c r="K24" s="45">
        <f>Mortgage!D98</f>
        <v>6019.6340081378403</v>
      </c>
      <c r="L24" s="45">
        <f>Mortgage!D112</f>
        <v>5862.4300811226303</v>
      </c>
      <c r="M24" s="45">
        <f>Mortgage!D126</f>
        <v>5698.8214235677724</v>
      </c>
      <c r="N24" s="45">
        <f>Mortgage!D140</f>
        <v>5528.5470968690897</v>
      </c>
      <c r="O24" s="45">
        <f>Mortgage!D154</f>
        <v>5351.3355313810771</v>
      </c>
      <c r="P24" s="45">
        <f>Mortgage!D168</f>
        <v>5166.9040932918524</v>
      </c>
      <c r="Q24" s="45">
        <f>Mortgage!D182</f>
        <v>4974.9586338519566</v>
      </c>
      <c r="R24" s="45">
        <f>Mortgage!D196</f>
        <v>4775.1930202380299</v>
      </c>
      <c r="S24" s="49">
        <f>Mortgage!D210</f>
        <v>4567.2886473031558</v>
      </c>
      <c r="U24" s="12"/>
    </row>
    <row r="25" spans="1:23" x14ac:dyDescent="0.25">
      <c r="A25" s="33"/>
      <c r="B25" s="33" t="s">
        <v>9</v>
      </c>
      <c r="C25" s="33"/>
      <c r="D25" s="33"/>
      <c r="E25" s="50">
        <f>E45*$U25</f>
        <v>0</v>
      </c>
      <c r="F25" s="51">
        <f t="shared" ref="F25:S25" si="13">F45*0.1</f>
        <v>0</v>
      </c>
      <c r="G25" s="51">
        <f t="shared" si="13"/>
        <v>0</v>
      </c>
      <c r="H25" s="51">
        <f t="shared" si="13"/>
        <v>0</v>
      </c>
      <c r="I25" s="51">
        <f t="shared" si="13"/>
        <v>0</v>
      </c>
      <c r="J25" s="51">
        <f t="shared" si="13"/>
        <v>0</v>
      </c>
      <c r="K25" s="51">
        <f t="shared" si="13"/>
        <v>0</v>
      </c>
      <c r="L25" s="51">
        <f t="shared" si="13"/>
        <v>0</v>
      </c>
      <c r="M25" s="51">
        <f t="shared" si="13"/>
        <v>0</v>
      </c>
      <c r="N25" s="51">
        <f t="shared" si="13"/>
        <v>0</v>
      </c>
      <c r="O25" s="51">
        <f t="shared" si="13"/>
        <v>0</v>
      </c>
      <c r="P25" s="51">
        <f t="shared" si="13"/>
        <v>0</v>
      </c>
      <c r="Q25" s="51">
        <f t="shared" si="13"/>
        <v>0</v>
      </c>
      <c r="R25" s="51">
        <f t="shared" si="13"/>
        <v>0</v>
      </c>
      <c r="S25" s="52">
        <f t="shared" si="13"/>
        <v>0</v>
      </c>
      <c r="U25" s="12">
        <v>0.12</v>
      </c>
      <c r="V25" s="1" t="s">
        <v>8</v>
      </c>
    </row>
    <row r="26" spans="1:23" x14ac:dyDescent="0.25">
      <c r="A26" s="33"/>
      <c r="B26" s="33"/>
      <c r="C26" s="33"/>
      <c r="D26" s="33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U26" s="25">
        <f>2321/SUM(E35:E36)</f>
        <v>1.0095693779904305E-2</v>
      </c>
      <c r="V26" s="1" t="s">
        <v>110</v>
      </c>
    </row>
    <row r="27" spans="1:23" x14ac:dyDescent="0.25">
      <c r="A27" s="41" t="s">
        <v>10</v>
      </c>
      <c r="B27" s="41"/>
      <c r="C27" s="41"/>
      <c r="D27" s="41"/>
      <c r="E27" s="42">
        <f t="shared" ref="E27:S27" si="14">E20-E22-E24-E25-E23</f>
        <v>9195.6005248923684</v>
      </c>
      <c r="F27" s="43">
        <f t="shared" si="14"/>
        <v>9060.9108783507181</v>
      </c>
      <c r="G27" s="43">
        <f t="shared" si="14"/>
        <v>10540.925382484122</v>
      </c>
      <c r="H27" s="43">
        <f t="shared" si="14"/>
        <v>10395.435940807612</v>
      </c>
      <c r="I27" s="43">
        <f t="shared" si="14"/>
        <v>11864.226285247883</v>
      </c>
      <c r="J27" s="43">
        <f t="shared" si="14"/>
        <v>11707.071655483465</v>
      </c>
      <c r="K27" s="43">
        <f t="shared" si="14"/>
        <v>13163.738465711333</v>
      </c>
      <c r="L27" s="43">
        <f t="shared" si="14"/>
        <v>12843.983958347177</v>
      </c>
      <c r="M27" s="43">
        <f t="shared" si="14"/>
        <v>14287.55584414749</v>
      </c>
      <c r="N27" s="43">
        <f t="shared" si="14"/>
        <v>14104.191928221451</v>
      </c>
      <c r="O27" s="43">
        <f t="shared" si="14"/>
        <v>15533.61972137975</v>
      </c>
      <c r="P27" s="43">
        <f t="shared" si="14"/>
        <v>15335.556036246075</v>
      </c>
      <c r="Q27" s="43">
        <f t="shared" si="14"/>
        <v>16749.706567534158</v>
      </c>
      <c r="R27" s="43">
        <f t="shared" si="14"/>
        <v>16535.765455870198</v>
      </c>
      <c r="S27" s="44">
        <f t="shared" si="14"/>
        <v>17933.414834516065</v>
      </c>
    </row>
    <row r="28" spans="1:23" x14ac:dyDescent="0.25">
      <c r="A28" s="33" t="s">
        <v>11</v>
      </c>
      <c r="B28" s="33"/>
      <c r="C28" s="33"/>
      <c r="D28" s="33"/>
      <c r="E28" s="53">
        <f t="shared" ref="E28:S28" si="15">IF(E27&lt;0,0,$U29*E27)</f>
        <v>3218.4601837123287</v>
      </c>
      <c r="F28" s="54">
        <f t="shared" si="15"/>
        <v>3171.318807422751</v>
      </c>
      <c r="G28" s="54">
        <f t="shared" si="15"/>
        <v>3689.3238838694424</v>
      </c>
      <c r="H28" s="54">
        <f t="shared" si="15"/>
        <v>3638.4025792826642</v>
      </c>
      <c r="I28" s="54">
        <f t="shared" si="15"/>
        <v>4152.4791998367591</v>
      </c>
      <c r="J28" s="54">
        <f t="shared" si="15"/>
        <v>4097.4750794192123</v>
      </c>
      <c r="K28" s="54">
        <f t="shared" si="15"/>
        <v>4607.3084629989662</v>
      </c>
      <c r="L28" s="54">
        <f t="shared" si="15"/>
        <v>4495.3943854215113</v>
      </c>
      <c r="M28" s="54">
        <f t="shared" si="15"/>
        <v>5000.6445454516206</v>
      </c>
      <c r="N28" s="54">
        <f t="shared" si="15"/>
        <v>4936.4671748775072</v>
      </c>
      <c r="O28" s="54">
        <f t="shared" si="15"/>
        <v>5436.766902482912</v>
      </c>
      <c r="P28" s="54">
        <f t="shared" si="15"/>
        <v>5367.4446126861258</v>
      </c>
      <c r="Q28" s="54">
        <f t="shared" si="15"/>
        <v>5862.3972986369554</v>
      </c>
      <c r="R28" s="54">
        <f t="shared" si="15"/>
        <v>5787.5179095545691</v>
      </c>
      <c r="S28" s="55">
        <f t="shared" si="15"/>
        <v>6276.6951920806223</v>
      </c>
    </row>
    <row r="29" spans="1:23" x14ac:dyDescent="0.25">
      <c r="A29" s="32" t="s">
        <v>13</v>
      </c>
      <c r="B29" s="33"/>
      <c r="C29" s="33"/>
      <c r="D29" s="33"/>
      <c r="E29" s="42">
        <f t="shared" ref="E29:S29" si="16">E27-E28</f>
        <v>5977.1403411800402</v>
      </c>
      <c r="F29" s="43">
        <f t="shared" si="16"/>
        <v>5889.5920709279671</v>
      </c>
      <c r="G29" s="43">
        <f t="shared" si="16"/>
        <v>6851.6014986146793</v>
      </c>
      <c r="H29" s="43">
        <f t="shared" si="16"/>
        <v>6757.0333615249483</v>
      </c>
      <c r="I29" s="43">
        <f t="shared" si="16"/>
        <v>7711.7470854111243</v>
      </c>
      <c r="J29" s="43">
        <f t="shared" si="16"/>
        <v>7609.596576064253</v>
      </c>
      <c r="K29" s="43">
        <f t="shared" si="16"/>
        <v>8556.4300027123663</v>
      </c>
      <c r="L29" s="43">
        <f t="shared" si="16"/>
        <v>8348.5895729256663</v>
      </c>
      <c r="M29" s="43">
        <f t="shared" si="16"/>
        <v>9286.911298695868</v>
      </c>
      <c r="N29" s="43">
        <f t="shared" si="16"/>
        <v>9167.724753343944</v>
      </c>
      <c r="O29" s="43">
        <f t="shared" si="16"/>
        <v>10096.852818896838</v>
      </c>
      <c r="P29" s="43">
        <f t="shared" si="16"/>
        <v>9968.1114235599489</v>
      </c>
      <c r="Q29" s="43">
        <f t="shared" si="16"/>
        <v>10887.309268897203</v>
      </c>
      <c r="R29" s="43">
        <f t="shared" si="16"/>
        <v>10748.24754631563</v>
      </c>
      <c r="S29" s="44">
        <f t="shared" si="16"/>
        <v>11656.719642435442</v>
      </c>
      <c r="U29" s="5">
        <v>0.35</v>
      </c>
      <c r="V29" s="1" t="s">
        <v>12</v>
      </c>
    </row>
    <row r="30" spans="1:23" x14ac:dyDescent="0.25">
      <c r="J30" s="1"/>
      <c r="K30" s="1"/>
      <c r="L30" s="1"/>
      <c r="M30" s="1"/>
      <c r="N30" s="1"/>
      <c r="O30" s="1"/>
    </row>
    <row r="31" spans="1:23" x14ac:dyDescent="0.25">
      <c r="A31" s="126" t="s">
        <v>14</v>
      </c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</row>
    <row r="32" spans="1:23" x14ac:dyDescent="0.25">
      <c r="A32" s="60" t="s">
        <v>15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</row>
    <row r="33" spans="1:22" x14ac:dyDescent="0.25">
      <c r="A33" s="61"/>
      <c r="B33" s="61" t="s">
        <v>16</v>
      </c>
      <c r="C33" s="61"/>
      <c r="D33" s="61"/>
      <c r="E33" s="62">
        <f>-E54</f>
        <v>3955.8001215241675</v>
      </c>
      <c r="F33" s="62">
        <f t="shared" ref="F33:S33" si="17">-F54</f>
        <v>14679.740059336065</v>
      </c>
      <c r="G33" s="62">
        <f t="shared" si="17"/>
        <v>26667.085373437527</v>
      </c>
      <c r="H33" s="62">
        <f t="shared" si="17"/>
        <v>37991.940171092196</v>
      </c>
      <c r="I33" s="62">
        <f t="shared" si="17"/>
        <v>43062.051415733731</v>
      </c>
      <c r="J33" s="62">
        <f t="shared" si="17"/>
        <v>54950.79458791716</v>
      </c>
      <c r="K33" s="62">
        <f t="shared" si="17"/>
        <v>68065.158770537935</v>
      </c>
      <c r="L33" s="62">
        <f t="shared" si="17"/>
        <v>80327.731135199603</v>
      </c>
      <c r="M33" s="62">
        <f t="shared" si="17"/>
        <v>86347.180805684242</v>
      </c>
      <c r="N33" s="62">
        <f t="shared" si="17"/>
        <v>99142.742073513946</v>
      </c>
      <c r="O33" s="62">
        <f t="shared" si="17"/>
        <v>113119.69693958818</v>
      </c>
      <c r="P33" s="62">
        <f t="shared" si="17"/>
        <v>126348.85695483402</v>
      </c>
      <c r="Q33" s="62">
        <f t="shared" si="17"/>
        <v>133234.54433172493</v>
      </c>
      <c r="R33" s="62">
        <f t="shared" si="17"/>
        <v>146846.57229738703</v>
      </c>
      <c r="S33" s="62">
        <f t="shared" si="17"/>
        <v>161588.22465784254</v>
      </c>
      <c r="U33" s="9"/>
    </row>
    <row r="34" spans="1:22" x14ac:dyDescent="0.25">
      <c r="A34" s="61"/>
      <c r="B34" s="61" t="s">
        <v>117</v>
      </c>
      <c r="C34" s="61"/>
      <c r="D34" s="61"/>
      <c r="E34" s="65">
        <f t="shared" ref="E34:S34" si="18">$U$34*SUM(E5:E7)</f>
        <v>2745</v>
      </c>
      <c r="F34" s="66">
        <f t="shared" si="18"/>
        <v>2745</v>
      </c>
      <c r="G34" s="66">
        <f t="shared" si="18"/>
        <v>2880</v>
      </c>
      <c r="H34" s="66">
        <f t="shared" si="18"/>
        <v>2880</v>
      </c>
      <c r="I34" s="66">
        <f t="shared" si="18"/>
        <v>3015</v>
      </c>
      <c r="J34" s="66">
        <f t="shared" si="18"/>
        <v>3015</v>
      </c>
      <c r="K34" s="66">
        <f t="shared" si="18"/>
        <v>3150</v>
      </c>
      <c r="L34" s="66">
        <f t="shared" si="18"/>
        <v>3150</v>
      </c>
      <c r="M34" s="66">
        <f t="shared" si="18"/>
        <v>3285</v>
      </c>
      <c r="N34" s="66">
        <f t="shared" si="18"/>
        <v>3285</v>
      </c>
      <c r="O34" s="66">
        <f t="shared" si="18"/>
        <v>3420</v>
      </c>
      <c r="P34" s="66">
        <f t="shared" si="18"/>
        <v>3420</v>
      </c>
      <c r="Q34" s="66">
        <f t="shared" si="18"/>
        <v>3555</v>
      </c>
      <c r="R34" s="66">
        <f t="shared" si="18"/>
        <v>3555</v>
      </c>
      <c r="S34" s="67">
        <f t="shared" si="18"/>
        <v>3690</v>
      </c>
      <c r="U34" s="24">
        <f>1/12</f>
        <v>8.3333333333333329E-2</v>
      </c>
      <c r="V34" s="1" t="s">
        <v>118</v>
      </c>
    </row>
    <row r="35" spans="1:22" x14ac:dyDescent="0.25">
      <c r="A35" s="61"/>
      <c r="B35" s="61" t="s">
        <v>100</v>
      </c>
      <c r="C35" s="61"/>
      <c r="D35" s="61"/>
      <c r="E35" s="68">
        <v>44900</v>
      </c>
      <c r="F35" s="69">
        <f t="shared" ref="F35:S35" si="19">$E$35</f>
        <v>44900</v>
      </c>
      <c r="G35" s="69">
        <f t="shared" si="19"/>
        <v>44900</v>
      </c>
      <c r="H35" s="69">
        <f t="shared" si="19"/>
        <v>44900</v>
      </c>
      <c r="I35" s="69">
        <f t="shared" si="19"/>
        <v>44900</v>
      </c>
      <c r="J35" s="69">
        <f t="shared" si="19"/>
        <v>44900</v>
      </c>
      <c r="K35" s="69">
        <f t="shared" si="19"/>
        <v>44900</v>
      </c>
      <c r="L35" s="69">
        <f t="shared" si="19"/>
        <v>44900</v>
      </c>
      <c r="M35" s="69">
        <f t="shared" si="19"/>
        <v>44900</v>
      </c>
      <c r="N35" s="69">
        <f t="shared" si="19"/>
        <v>44900</v>
      </c>
      <c r="O35" s="69">
        <f t="shared" si="19"/>
        <v>44900</v>
      </c>
      <c r="P35" s="69">
        <f t="shared" si="19"/>
        <v>44900</v>
      </c>
      <c r="Q35" s="69">
        <f t="shared" si="19"/>
        <v>44900</v>
      </c>
      <c r="R35" s="69">
        <f t="shared" si="19"/>
        <v>44900</v>
      </c>
      <c r="S35" s="70">
        <f t="shared" si="19"/>
        <v>44900</v>
      </c>
      <c r="U35" s="1" t="s">
        <v>95</v>
      </c>
      <c r="V35" s="1">
        <v>12</v>
      </c>
    </row>
    <row r="36" spans="1:22" x14ac:dyDescent="0.25">
      <c r="A36" s="61"/>
      <c r="B36" s="61" t="s">
        <v>17</v>
      </c>
      <c r="C36" s="61"/>
      <c r="D36" s="61"/>
      <c r="E36" s="71">
        <f>229900-E35</f>
        <v>185000</v>
      </c>
      <c r="F36" s="72">
        <f t="shared" ref="F36:S36" si="20">+$E$36</f>
        <v>185000</v>
      </c>
      <c r="G36" s="72">
        <f t="shared" si="20"/>
        <v>185000</v>
      </c>
      <c r="H36" s="72">
        <f t="shared" si="20"/>
        <v>185000</v>
      </c>
      <c r="I36" s="72">
        <f t="shared" si="20"/>
        <v>185000</v>
      </c>
      <c r="J36" s="72">
        <f t="shared" si="20"/>
        <v>185000</v>
      </c>
      <c r="K36" s="72">
        <f t="shared" si="20"/>
        <v>185000</v>
      </c>
      <c r="L36" s="72">
        <f t="shared" si="20"/>
        <v>185000</v>
      </c>
      <c r="M36" s="72">
        <f t="shared" si="20"/>
        <v>185000</v>
      </c>
      <c r="N36" s="72">
        <f t="shared" si="20"/>
        <v>185000</v>
      </c>
      <c r="O36" s="72">
        <f t="shared" si="20"/>
        <v>185000</v>
      </c>
      <c r="P36" s="72">
        <f t="shared" si="20"/>
        <v>185000</v>
      </c>
      <c r="Q36" s="72">
        <f t="shared" si="20"/>
        <v>185000</v>
      </c>
      <c r="R36" s="72">
        <f t="shared" si="20"/>
        <v>185000</v>
      </c>
      <c r="S36" s="73">
        <f t="shared" si="20"/>
        <v>185000</v>
      </c>
      <c r="U36" s="121" t="s">
        <v>119</v>
      </c>
      <c r="V36" s="5">
        <v>0.1</v>
      </c>
    </row>
    <row r="37" spans="1:22" x14ac:dyDescent="0.25">
      <c r="A37" s="61"/>
      <c r="B37" s="61" t="s">
        <v>18</v>
      </c>
      <c r="C37" s="61"/>
      <c r="D37" s="61"/>
      <c r="E37" s="71">
        <f>E22</f>
        <v>6166.666666666667</v>
      </c>
      <c r="F37" s="72">
        <f t="shared" ref="F37:S37" si="21">E37+F22</f>
        <v>12333.333333333334</v>
      </c>
      <c r="G37" s="72">
        <f t="shared" si="21"/>
        <v>18500</v>
      </c>
      <c r="H37" s="72">
        <f t="shared" si="21"/>
        <v>24666.666666666668</v>
      </c>
      <c r="I37" s="72">
        <f t="shared" si="21"/>
        <v>30833.333333333336</v>
      </c>
      <c r="J37" s="72">
        <f t="shared" si="21"/>
        <v>37000</v>
      </c>
      <c r="K37" s="72">
        <f t="shared" si="21"/>
        <v>43166.666666666664</v>
      </c>
      <c r="L37" s="72">
        <f t="shared" si="21"/>
        <v>49333.333333333328</v>
      </c>
      <c r="M37" s="72">
        <f t="shared" si="21"/>
        <v>55499.999999999993</v>
      </c>
      <c r="N37" s="72">
        <f t="shared" si="21"/>
        <v>61666.666666666657</v>
      </c>
      <c r="O37" s="72">
        <f t="shared" si="21"/>
        <v>67833.333333333328</v>
      </c>
      <c r="P37" s="72">
        <f t="shared" si="21"/>
        <v>74000</v>
      </c>
      <c r="Q37" s="72">
        <f t="shared" si="21"/>
        <v>80166.666666666672</v>
      </c>
      <c r="R37" s="72">
        <f t="shared" si="21"/>
        <v>86333.333333333343</v>
      </c>
      <c r="S37" s="73">
        <f t="shared" si="21"/>
        <v>92500.000000000015</v>
      </c>
      <c r="U37" s="121"/>
    </row>
    <row r="38" spans="1:22" s="14" customFormat="1" x14ac:dyDescent="0.25">
      <c r="A38" s="61"/>
      <c r="B38" s="61" t="s">
        <v>112</v>
      </c>
      <c r="C38" s="61"/>
      <c r="D38" s="61"/>
      <c r="E38" s="71">
        <v>7500</v>
      </c>
      <c r="F38" s="72">
        <f>$E$38</f>
        <v>7500</v>
      </c>
      <c r="G38" s="72">
        <f>$E$38</f>
        <v>7500</v>
      </c>
      <c r="H38" s="72">
        <f>$E$38</f>
        <v>7500</v>
      </c>
      <c r="I38" s="72">
        <v>15000</v>
      </c>
      <c r="J38" s="72">
        <f>$I$38</f>
        <v>15000</v>
      </c>
      <c r="K38" s="72">
        <f>$I$38</f>
        <v>15000</v>
      </c>
      <c r="L38" s="72">
        <f>$I$38</f>
        <v>15000</v>
      </c>
      <c r="M38" s="72">
        <f>22500</f>
        <v>22500</v>
      </c>
      <c r="N38" s="72">
        <f>$M$38</f>
        <v>22500</v>
      </c>
      <c r="O38" s="72">
        <f>N38</f>
        <v>22500</v>
      </c>
      <c r="P38" s="72">
        <f>O38</f>
        <v>22500</v>
      </c>
      <c r="Q38" s="72">
        <v>30000</v>
      </c>
      <c r="R38" s="72">
        <v>30000</v>
      </c>
      <c r="S38" s="73">
        <v>30000</v>
      </c>
      <c r="V38" s="31"/>
    </row>
    <row r="39" spans="1:22" s="14" customFormat="1" x14ac:dyDescent="0.25">
      <c r="A39" s="61"/>
      <c r="B39" s="61" t="s">
        <v>113</v>
      </c>
      <c r="C39" s="61"/>
      <c r="D39" s="61"/>
      <c r="E39" s="74">
        <f>E23</f>
        <v>1875</v>
      </c>
      <c r="F39" s="75">
        <f>E39+F23</f>
        <v>3750</v>
      </c>
      <c r="G39" s="75">
        <f>F39+G23</f>
        <v>5625</v>
      </c>
      <c r="H39" s="75">
        <f>G39+H23</f>
        <v>7500</v>
      </c>
      <c r="I39" s="75">
        <f>H39+$E$39</f>
        <v>9375</v>
      </c>
      <c r="J39" s="75">
        <f>I39+$E$39</f>
        <v>11250</v>
      </c>
      <c r="K39" s="75">
        <f>J39+$E$39</f>
        <v>13125</v>
      </c>
      <c r="L39" s="75">
        <f>K39+$E$39</f>
        <v>15000</v>
      </c>
      <c r="M39" s="75">
        <f t="shared" ref="M39:S39" si="22">L39+$E$39</f>
        <v>16875</v>
      </c>
      <c r="N39" s="75">
        <f t="shared" si="22"/>
        <v>18750</v>
      </c>
      <c r="O39" s="75">
        <f t="shared" si="22"/>
        <v>20625</v>
      </c>
      <c r="P39" s="75">
        <f t="shared" si="22"/>
        <v>22500</v>
      </c>
      <c r="Q39" s="75">
        <f t="shared" si="22"/>
        <v>24375</v>
      </c>
      <c r="R39" s="75">
        <f t="shared" si="22"/>
        <v>26250</v>
      </c>
      <c r="S39" s="76">
        <f t="shared" si="22"/>
        <v>28125</v>
      </c>
    </row>
    <row r="40" spans="1:22" x14ac:dyDescent="0.25">
      <c r="A40" s="60" t="s">
        <v>19</v>
      </c>
      <c r="B40" s="61"/>
      <c r="C40" s="61"/>
      <c r="D40" s="61"/>
      <c r="E40" s="77">
        <f t="shared" ref="E40:S40" si="23">E33+E34+E35+E36-E37+E38-E39</f>
        <v>236059.13345485751</v>
      </c>
      <c r="F40" s="78">
        <f t="shared" si="23"/>
        <v>238741.40672600272</v>
      </c>
      <c r="G40" s="78">
        <f t="shared" si="23"/>
        <v>242822.08537343753</v>
      </c>
      <c r="H40" s="78">
        <f t="shared" si="23"/>
        <v>246105.27350442551</v>
      </c>
      <c r="I40" s="78">
        <f t="shared" si="23"/>
        <v>250768.71808240042</v>
      </c>
      <c r="J40" s="78">
        <f t="shared" si="23"/>
        <v>254615.79458791716</v>
      </c>
      <c r="K40" s="78">
        <f t="shared" si="23"/>
        <v>259823.49210387131</v>
      </c>
      <c r="L40" s="78">
        <f t="shared" si="23"/>
        <v>264044.39780186629</v>
      </c>
      <c r="M40" s="78">
        <f t="shared" si="23"/>
        <v>269657.18080568424</v>
      </c>
      <c r="N40" s="78">
        <f t="shared" si="23"/>
        <v>274411.07540684729</v>
      </c>
      <c r="O40" s="78">
        <f t="shared" si="23"/>
        <v>280481.36360625486</v>
      </c>
      <c r="P40" s="78">
        <f t="shared" si="23"/>
        <v>285668.85695483402</v>
      </c>
      <c r="Q40" s="78">
        <f t="shared" si="23"/>
        <v>292147.87766505824</v>
      </c>
      <c r="R40" s="78">
        <f t="shared" si="23"/>
        <v>297718.23896405369</v>
      </c>
      <c r="S40" s="79">
        <f t="shared" si="23"/>
        <v>304553.22465784254</v>
      </c>
    </row>
    <row r="41" spans="1:22" x14ac:dyDescent="0.25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</row>
    <row r="42" spans="1:22" x14ac:dyDescent="0.25">
      <c r="A42" s="60" t="s">
        <v>20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</row>
    <row r="43" spans="1:22" x14ac:dyDescent="0.25">
      <c r="A43" s="61" t="s">
        <v>21</v>
      </c>
      <c r="B43" s="61"/>
      <c r="C43" s="61"/>
      <c r="D43" s="61"/>
      <c r="E43" s="62">
        <f t="shared" ref="E43:S43" si="24">E28</f>
        <v>3218.4601837123287</v>
      </c>
      <c r="F43" s="63">
        <f t="shared" si="24"/>
        <v>3171.318807422751</v>
      </c>
      <c r="G43" s="63">
        <f t="shared" si="24"/>
        <v>3689.3238838694424</v>
      </c>
      <c r="H43" s="63">
        <f t="shared" si="24"/>
        <v>3638.4025792826642</v>
      </c>
      <c r="I43" s="63">
        <f t="shared" si="24"/>
        <v>4152.4791998367591</v>
      </c>
      <c r="J43" s="63">
        <f t="shared" si="24"/>
        <v>4097.4750794192123</v>
      </c>
      <c r="K43" s="63">
        <f t="shared" si="24"/>
        <v>4607.3084629989662</v>
      </c>
      <c r="L43" s="63">
        <f t="shared" si="24"/>
        <v>4495.3943854215113</v>
      </c>
      <c r="M43" s="63">
        <f t="shared" si="24"/>
        <v>5000.6445454516206</v>
      </c>
      <c r="N43" s="63">
        <f t="shared" si="24"/>
        <v>4936.4671748775072</v>
      </c>
      <c r="O43" s="63">
        <f t="shared" si="24"/>
        <v>5436.766902482912</v>
      </c>
      <c r="P43" s="63">
        <f t="shared" si="24"/>
        <v>5367.4446126861258</v>
      </c>
      <c r="Q43" s="63">
        <f t="shared" si="24"/>
        <v>5862.3972986369554</v>
      </c>
      <c r="R43" s="63">
        <f t="shared" si="24"/>
        <v>5787.5179095545691</v>
      </c>
      <c r="S43" s="64">
        <f t="shared" si="24"/>
        <v>6276.6951920806223</v>
      </c>
      <c r="U43" s="1" t="s">
        <v>22</v>
      </c>
    </row>
    <row r="44" spans="1:22" x14ac:dyDescent="0.25">
      <c r="A44" s="61" t="s">
        <v>23</v>
      </c>
      <c r="B44" s="61"/>
      <c r="C44" s="61"/>
      <c r="D44" s="61"/>
      <c r="E44" s="80">
        <f>Mortgage!F13</f>
        <v>169388.53292996515</v>
      </c>
      <c r="F44" s="72">
        <f>Mortgage!F27</f>
        <v>166228.35550647197</v>
      </c>
      <c r="G44" s="72">
        <f>Mortgage!F41</f>
        <v>162939.42757884538</v>
      </c>
      <c r="H44" s="72">
        <f>Mortgage!$F55</f>
        <v>159516.50365289525</v>
      </c>
      <c r="I44" s="72">
        <f>Mortgage!$F69</f>
        <v>155954.12452490488</v>
      </c>
      <c r="J44" s="72">
        <f>Mortgage!$F83</f>
        <v>152246.60857477493</v>
      </c>
      <c r="K44" s="72">
        <f>Mortgage!$F97</f>
        <v>148388.04270443693</v>
      </c>
      <c r="L44" s="72">
        <f>Mortgage!$F111</f>
        <v>144372.27290708377</v>
      </c>
      <c r="M44" s="72">
        <f>Mortgage!$F125</f>
        <v>140192.89445217571</v>
      </c>
      <c r="N44" s="72">
        <f>Mortgage!$F139</f>
        <v>135843.24167056897</v>
      </c>
      <c r="O44" s="72">
        <f>Mortgage!$F153</f>
        <v>131316.37732347424</v>
      </c>
      <c r="P44" s="72">
        <f>Mortgage!$F167</f>
        <v>126605.08153829028</v>
      </c>
      <c r="Q44" s="72">
        <f>Mortgage!$F181</f>
        <v>121701.84029366644</v>
      </c>
      <c r="R44" s="72">
        <f>Mortgage!$F195</f>
        <v>116598.83343542866</v>
      </c>
      <c r="S44" s="73">
        <f>Mortgage!$F209</f>
        <v>111287.922204256</v>
      </c>
    </row>
    <row r="45" spans="1:22" x14ac:dyDescent="0.25">
      <c r="A45" s="61" t="s">
        <v>24</v>
      </c>
      <c r="B45" s="61"/>
      <c r="C45" s="61"/>
      <c r="D45" s="61"/>
      <c r="E45" s="81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3"/>
    </row>
    <row r="46" spans="1:22" x14ac:dyDescent="0.25">
      <c r="A46" s="61"/>
      <c r="B46" s="61"/>
      <c r="C46" s="61"/>
      <c r="D46" s="61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</row>
    <row r="47" spans="1:22" x14ac:dyDescent="0.25">
      <c r="A47" s="61" t="s">
        <v>92</v>
      </c>
      <c r="B47" s="61"/>
      <c r="C47" s="61"/>
      <c r="D47" s="61"/>
      <c r="E47" s="62">
        <f t="shared" ref="E47:S47" si="25">$V$47</f>
        <v>57475</v>
      </c>
      <c r="F47" s="63">
        <f t="shared" si="25"/>
        <v>57475</v>
      </c>
      <c r="G47" s="63">
        <f t="shared" si="25"/>
        <v>57475</v>
      </c>
      <c r="H47" s="63">
        <f t="shared" si="25"/>
        <v>57475</v>
      </c>
      <c r="I47" s="63">
        <f t="shared" si="25"/>
        <v>57475</v>
      </c>
      <c r="J47" s="63">
        <f t="shared" si="25"/>
        <v>57475</v>
      </c>
      <c r="K47" s="63">
        <f t="shared" si="25"/>
        <v>57475</v>
      </c>
      <c r="L47" s="63">
        <f t="shared" si="25"/>
        <v>57475</v>
      </c>
      <c r="M47" s="63">
        <f t="shared" si="25"/>
        <v>57475</v>
      </c>
      <c r="N47" s="63">
        <f t="shared" si="25"/>
        <v>57475</v>
      </c>
      <c r="O47" s="63">
        <f t="shared" si="25"/>
        <v>57475</v>
      </c>
      <c r="P47" s="63">
        <f t="shared" si="25"/>
        <v>57475</v>
      </c>
      <c r="Q47" s="63">
        <f t="shared" si="25"/>
        <v>57475</v>
      </c>
      <c r="R47" s="63">
        <f t="shared" si="25"/>
        <v>57475</v>
      </c>
      <c r="S47" s="64">
        <f t="shared" si="25"/>
        <v>57475</v>
      </c>
      <c r="U47" s="1" t="s">
        <v>97</v>
      </c>
      <c r="V47" s="9">
        <f>229900*0.25</f>
        <v>57475</v>
      </c>
    </row>
    <row r="48" spans="1:22" x14ac:dyDescent="0.25">
      <c r="A48" s="61" t="s">
        <v>25</v>
      </c>
      <c r="B48" s="72"/>
      <c r="C48" s="72"/>
      <c r="D48" s="72"/>
      <c r="E48" s="81">
        <f>E29</f>
        <v>5977.1403411800402</v>
      </c>
      <c r="F48" s="82">
        <f t="shared" ref="F48:S48" si="26">F29+E48</f>
        <v>11866.732412108007</v>
      </c>
      <c r="G48" s="82">
        <f t="shared" si="26"/>
        <v>18718.333910722686</v>
      </c>
      <c r="H48" s="82">
        <f t="shared" si="26"/>
        <v>25475.367272247633</v>
      </c>
      <c r="I48" s="82">
        <f t="shared" si="26"/>
        <v>33187.114357658756</v>
      </c>
      <c r="J48" s="82">
        <f t="shared" si="26"/>
        <v>40796.710933723007</v>
      </c>
      <c r="K48" s="82">
        <f t="shared" si="26"/>
        <v>49353.140936435375</v>
      </c>
      <c r="L48" s="82">
        <f t="shared" si="26"/>
        <v>57701.730509361041</v>
      </c>
      <c r="M48" s="82">
        <f t="shared" si="26"/>
        <v>66988.641808056913</v>
      </c>
      <c r="N48" s="82">
        <f t="shared" si="26"/>
        <v>76156.36656140085</v>
      </c>
      <c r="O48" s="82">
        <f t="shared" si="26"/>
        <v>86253.219380297684</v>
      </c>
      <c r="P48" s="82">
        <f t="shared" si="26"/>
        <v>96221.330803857636</v>
      </c>
      <c r="Q48" s="82">
        <f t="shared" si="26"/>
        <v>107108.64007275485</v>
      </c>
      <c r="R48" s="82">
        <f t="shared" si="26"/>
        <v>117856.88761907048</v>
      </c>
      <c r="S48" s="83">
        <f t="shared" si="26"/>
        <v>129513.60726150592</v>
      </c>
    </row>
    <row r="49" spans="1:19" x14ac:dyDescent="0.25">
      <c r="A49" s="61"/>
      <c r="B49" s="61"/>
      <c r="C49" s="61"/>
      <c r="D49" s="61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</row>
    <row r="50" spans="1:19" x14ac:dyDescent="0.25">
      <c r="A50" s="60" t="s">
        <v>26</v>
      </c>
      <c r="B50" s="61"/>
      <c r="C50" s="61"/>
      <c r="D50" s="61"/>
      <c r="E50" s="84">
        <f t="shared" ref="E50:S50" si="27">SUM(E43:E48)</f>
        <v>236059.13345485751</v>
      </c>
      <c r="F50" s="85">
        <f t="shared" si="27"/>
        <v>238741.40672600272</v>
      </c>
      <c r="G50" s="85">
        <f t="shared" si="27"/>
        <v>242822.08537343753</v>
      </c>
      <c r="H50" s="85">
        <f t="shared" si="27"/>
        <v>246105.27350442554</v>
      </c>
      <c r="I50" s="85">
        <f t="shared" si="27"/>
        <v>250768.71808240039</v>
      </c>
      <c r="J50" s="85">
        <f t="shared" si="27"/>
        <v>254615.79458791716</v>
      </c>
      <c r="K50" s="85">
        <f t="shared" si="27"/>
        <v>259823.49210387128</v>
      </c>
      <c r="L50" s="85">
        <f t="shared" si="27"/>
        <v>264044.39780186629</v>
      </c>
      <c r="M50" s="85">
        <f t="shared" si="27"/>
        <v>269657.18080568424</v>
      </c>
      <c r="N50" s="85">
        <f t="shared" si="27"/>
        <v>274411.07540684729</v>
      </c>
      <c r="O50" s="85">
        <f t="shared" si="27"/>
        <v>280481.36360625486</v>
      </c>
      <c r="P50" s="85">
        <f t="shared" si="27"/>
        <v>285668.85695483402</v>
      </c>
      <c r="Q50" s="85">
        <f t="shared" si="27"/>
        <v>292147.87766505824</v>
      </c>
      <c r="R50" s="85">
        <f t="shared" si="27"/>
        <v>297718.23896405369</v>
      </c>
      <c r="S50" s="86">
        <f t="shared" si="27"/>
        <v>304553.22465784254</v>
      </c>
    </row>
    <row r="51" spans="1:19" x14ac:dyDescent="0.25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</row>
    <row r="52" spans="1:19" x14ac:dyDescent="0.25">
      <c r="A52" s="61" t="s">
        <v>114</v>
      </c>
      <c r="B52" s="61"/>
      <c r="C52" s="61"/>
      <c r="D52" s="61"/>
      <c r="E52" s="87">
        <f t="shared" ref="E52:S52" si="28">+E40-E50</f>
        <v>0</v>
      </c>
      <c r="F52" s="87">
        <f t="shared" si="28"/>
        <v>0</v>
      </c>
      <c r="G52" s="87">
        <f t="shared" si="28"/>
        <v>0</v>
      </c>
      <c r="H52" s="87">
        <f t="shared" si="28"/>
        <v>0</v>
      </c>
      <c r="I52" s="87">
        <f t="shared" si="28"/>
        <v>0</v>
      </c>
      <c r="J52" s="87">
        <f t="shared" si="28"/>
        <v>0</v>
      </c>
      <c r="K52" s="87">
        <f t="shared" si="28"/>
        <v>0</v>
      </c>
      <c r="L52" s="87">
        <f t="shared" si="28"/>
        <v>0</v>
      </c>
      <c r="M52" s="87">
        <f t="shared" si="28"/>
        <v>0</v>
      </c>
      <c r="N52" s="87">
        <f t="shared" si="28"/>
        <v>0</v>
      </c>
      <c r="O52" s="87">
        <f t="shared" si="28"/>
        <v>0</v>
      </c>
      <c r="P52" s="87">
        <f t="shared" si="28"/>
        <v>0</v>
      </c>
      <c r="Q52" s="87">
        <f t="shared" si="28"/>
        <v>0</v>
      </c>
      <c r="R52" s="87">
        <f t="shared" si="28"/>
        <v>0</v>
      </c>
      <c r="S52" s="87">
        <f t="shared" si="28"/>
        <v>0</v>
      </c>
    </row>
    <row r="53" spans="1:19" s="3" customFormat="1" hidden="1" x14ac:dyDescent="0.25">
      <c r="E53" s="3">
        <v>-3955.8001215241675</v>
      </c>
      <c r="F53" s="3">
        <v>-14679.740059336065</v>
      </c>
      <c r="G53" s="3">
        <v>-26667.085373437527</v>
      </c>
      <c r="H53" s="3">
        <v>-37991.940171092196</v>
      </c>
      <c r="I53" s="3">
        <v>-41187.051415733731</v>
      </c>
      <c r="J53" s="3">
        <v>-51857.04458791716</v>
      </c>
      <c r="K53" s="3">
        <v>-63752.658770537935</v>
      </c>
      <c r="L53" s="3">
        <v>-74796.481135199632</v>
      </c>
      <c r="M53" s="3">
        <v>-77722.180805684242</v>
      </c>
      <c r="N53" s="3">
        <v>-88080.242073513946</v>
      </c>
      <c r="O53" s="3">
        <v>-99619.696939588175</v>
      </c>
      <c r="P53" s="3">
        <v>-110411.35695483407</v>
      </c>
      <c r="Q53" s="3">
        <v>-112984.54433172493</v>
      </c>
      <c r="R53" s="3">
        <v>-122940.32229738703</v>
      </c>
      <c r="S53" s="3">
        <v>-134025.72465784254</v>
      </c>
    </row>
    <row r="54" spans="1:19" s="22" customFormat="1" x14ac:dyDescent="0.25">
      <c r="E54" s="22">
        <v>-3955.8001215241675</v>
      </c>
      <c r="F54" s="22">
        <v>-14679.740059336065</v>
      </c>
      <c r="G54" s="22">
        <v>-26667.085373437527</v>
      </c>
      <c r="H54" s="22">
        <v>-37991.940171092196</v>
      </c>
      <c r="I54" s="22">
        <v>-43062.051415733731</v>
      </c>
      <c r="J54" s="22">
        <v>-54950.79458791716</v>
      </c>
      <c r="K54" s="22">
        <v>-68065.158770537935</v>
      </c>
      <c r="L54" s="22">
        <v>-80327.731135199603</v>
      </c>
      <c r="M54" s="22">
        <v>-86347.180805684242</v>
      </c>
      <c r="N54" s="22">
        <v>-99142.742073513946</v>
      </c>
      <c r="O54" s="22">
        <v>-113119.69693958818</v>
      </c>
      <c r="P54" s="22">
        <v>-126348.85695483402</v>
      </c>
      <c r="Q54" s="22">
        <v>-133234.54433172493</v>
      </c>
      <c r="R54" s="22">
        <v>-146846.57229738703</v>
      </c>
      <c r="S54" s="22">
        <v>-161588.22465784254</v>
      </c>
    </row>
    <row r="55" spans="1:19" x14ac:dyDescent="0.25">
      <c r="A55" s="89" t="s">
        <v>76</v>
      </c>
      <c r="B55" s="26"/>
      <c r="C55" s="26"/>
      <c r="D55" s="26"/>
      <c r="E55" s="26">
        <v>2013</v>
      </c>
      <c r="F55" s="26">
        <v>2014</v>
      </c>
      <c r="G55" s="26">
        <v>2015</v>
      </c>
      <c r="H55" s="26">
        <v>2016</v>
      </c>
      <c r="I55" s="26">
        <v>2016</v>
      </c>
      <c r="J55" s="26">
        <v>2016</v>
      </c>
      <c r="K55" s="26">
        <v>2016</v>
      </c>
      <c r="L55" s="26">
        <v>2016</v>
      </c>
      <c r="M55" s="26">
        <v>2016</v>
      </c>
      <c r="N55" s="26">
        <v>2016</v>
      </c>
      <c r="O55" s="26">
        <v>2016</v>
      </c>
      <c r="P55" s="26">
        <v>2016</v>
      </c>
      <c r="Q55" s="26">
        <v>2016</v>
      </c>
      <c r="R55" s="26">
        <v>2016</v>
      </c>
      <c r="S55" s="26">
        <v>2016</v>
      </c>
    </row>
    <row r="56" spans="1:19" x14ac:dyDescent="0.25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</row>
    <row r="57" spans="1:19" x14ac:dyDescent="0.25">
      <c r="A57" s="26" t="s">
        <v>78</v>
      </c>
      <c r="B57" s="26"/>
      <c r="C57" s="26"/>
      <c r="D57" s="26"/>
      <c r="E57" s="26">
        <f t="shared" ref="E57:S57" si="29">SUM(E43:E45)/SUM(E47:E48)</f>
        <v>2.7202706194869934</v>
      </c>
      <c r="F57" s="26">
        <f t="shared" si="29"/>
        <v>2.4429685907921623</v>
      </c>
      <c r="G57" s="26">
        <f t="shared" si="29"/>
        <v>2.186920336862503</v>
      </c>
      <c r="H57" s="26">
        <f t="shared" si="29"/>
        <v>1.9668979366504142</v>
      </c>
      <c r="I57" s="26">
        <f t="shared" si="29"/>
        <v>1.7659703268459734</v>
      </c>
      <c r="J57" s="26">
        <f t="shared" si="29"/>
        <v>1.5909368237176276</v>
      </c>
      <c r="K57" s="26">
        <f t="shared" si="29"/>
        <v>1.4321633777982792</v>
      </c>
      <c r="L57" s="26">
        <f t="shared" si="29"/>
        <v>1.2925151342128607</v>
      </c>
      <c r="M57" s="26">
        <f t="shared" si="29"/>
        <v>1.1665538376382982</v>
      </c>
      <c r="N57" s="26">
        <f t="shared" si="29"/>
        <v>1.0534929969511395</v>
      </c>
      <c r="O57" s="26">
        <f t="shared" si="29"/>
        <v>0.95147038497788083</v>
      </c>
      <c r="P57" s="26">
        <f t="shared" si="29"/>
        <v>0.85865762351474428</v>
      </c>
      <c r="Q57" s="26">
        <f t="shared" si="29"/>
        <v>0.7750724041339293</v>
      </c>
      <c r="R57" s="26">
        <f t="shared" si="29"/>
        <v>0.6980267708682989</v>
      </c>
      <c r="S57" s="26">
        <f t="shared" si="29"/>
        <v>0.62872609790563883</v>
      </c>
    </row>
    <row r="58" spans="1:19" x14ac:dyDescent="0.25">
      <c r="A58" s="26" t="s">
        <v>77</v>
      </c>
      <c r="B58" s="26"/>
      <c r="C58" s="26"/>
      <c r="D58" s="26"/>
      <c r="E58" s="91">
        <f t="shared" ref="E58:S58" si="30">E29/E40</f>
        <v>2.5320521403689181E-2</v>
      </c>
      <c r="F58" s="91">
        <f t="shared" si="30"/>
        <v>2.466933638238673E-2</v>
      </c>
      <c r="G58" s="91">
        <f t="shared" si="30"/>
        <v>2.8216549940577113E-2</v>
      </c>
      <c r="H58" s="91">
        <f t="shared" si="30"/>
        <v>2.7455865798029892E-2</v>
      </c>
      <c r="I58" s="91">
        <f t="shared" si="30"/>
        <v>3.0752428550027962E-2</v>
      </c>
      <c r="J58" s="91">
        <f t="shared" si="30"/>
        <v>2.9886584955894042E-2</v>
      </c>
      <c r="K58" s="91">
        <f t="shared" si="30"/>
        <v>3.2931702724138999E-2</v>
      </c>
      <c r="L58" s="91">
        <f t="shared" si="30"/>
        <v>3.1618128020993966E-2</v>
      </c>
      <c r="M58" s="91">
        <f t="shared" si="30"/>
        <v>3.4439695879591815E-2</v>
      </c>
      <c r="N58" s="91">
        <f t="shared" si="30"/>
        <v>3.3408727179658086E-2</v>
      </c>
      <c r="O58" s="91">
        <f t="shared" si="30"/>
        <v>3.5998301951608427E-2</v>
      </c>
      <c r="P58" s="91">
        <f t="shared" si="30"/>
        <v>3.4893938141587366E-2</v>
      </c>
      <c r="Q58" s="91">
        <f t="shared" si="30"/>
        <v>3.7266432862398842E-2</v>
      </c>
      <c r="R58" s="91">
        <f t="shared" si="30"/>
        <v>3.6102079549158443E-2</v>
      </c>
      <c r="S58" s="91">
        <f t="shared" si="30"/>
        <v>3.8274819304676404E-2</v>
      </c>
    </row>
    <row r="59" spans="1:19" x14ac:dyDescent="0.25">
      <c r="A59" s="26" t="s">
        <v>79</v>
      </c>
      <c r="B59" s="26"/>
      <c r="C59" s="26"/>
      <c r="D59" s="26"/>
      <c r="E59" s="91">
        <f t="shared" ref="E59:S59" si="31">E29/SUM(E47:E48)</f>
        <v>9.4199191848236413E-2</v>
      </c>
      <c r="F59" s="91">
        <f t="shared" si="31"/>
        <v>8.4935750320243877E-2</v>
      </c>
      <c r="G59" s="91">
        <f t="shared" si="31"/>
        <v>8.9923896841721654E-2</v>
      </c>
      <c r="H59" s="91">
        <f t="shared" si="31"/>
        <v>8.1458751585125555E-2</v>
      </c>
      <c r="I59" s="91">
        <f t="shared" si="31"/>
        <v>8.5060304847828297E-2</v>
      </c>
      <c r="J59" s="91">
        <f t="shared" si="31"/>
        <v>7.7434253497391151E-2</v>
      </c>
      <c r="K59" s="91">
        <f t="shared" si="31"/>
        <v>8.0095281334190707E-2</v>
      </c>
      <c r="L59" s="91">
        <f t="shared" si="31"/>
        <v>7.248503700360838E-2</v>
      </c>
      <c r="M59" s="91">
        <f t="shared" si="31"/>
        <v>7.4615455275025527E-2</v>
      </c>
      <c r="N59" s="91">
        <f t="shared" si="31"/>
        <v>6.8604587300479067E-2</v>
      </c>
      <c r="O59" s="91">
        <f t="shared" si="31"/>
        <v>7.0249620168055305E-2</v>
      </c>
      <c r="P59" s="91">
        <f t="shared" si="31"/>
        <v>6.4855884141313269E-2</v>
      </c>
      <c r="Q59" s="91">
        <f t="shared" si="31"/>
        <v>6.6150616574553983E-2</v>
      </c>
      <c r="R59" s="91">
        <f t="shared" si="31"/>
        <v>6.1302297558487963E-2</v>
      </c>
      <c r="S59" s="91">
        <f t="shared" si="31"/>
        <v>6.2339197094149028E-2</v>
      </c>
    </row>
    <row r="60" spans="1:19" x14ac:dyDescent="0.25">
      <c r="A60" s="26"/>
      <c r="B60" s="26"/>
      <c r="C60" s="26"/>
      <c r="D60" s="26"/>
      <c r="E60" s="28"/>
      <c r="F60" s="28"/>
      <c r="G60" s="91"/>
      <c r="H60" s="26"/>
      <c r="I60" s="26"/>
      <c r="J60" s="92"/>
      <c r="K60" s="92"/>
      <c r="L60" s="92"/>
      <c r="M60" s="92"/>
      <c r="N60" s="92"/>
      <c r="O60" s="92"/>
      <c r="P60" s="26"/>
      <c r="Q60" s="26"/>
      <c r="R60" s="26"/>
      <c r="S60" s="26"/>
    </row>
    <row r="61" spans="1:19" x14ac:dyDescent="0.25">
      <c r="A61" s="88" t="s">
        <v>101</v>
      </c>
      <c r="B61" s="26"/>
      <c r="C61" s="26"/>
      <c r="D61" s="26"/>
      <c r="E61" s="28">
        <v>38400</v>
      </c>
      <c r="F61" s="6"/>
      <c r="H61" s="14"/>
    </row>
    <row r="62" spans="1:19" x14ac:dyDescent="0.25">
      <c r="A62" s="26"/>
      <c r="B62" s="26" t="s">
        <v>102</v>
      </c>
      <c r="C62" s="26"/>
      <c r="D62" s="26"/>
      <c r="E62" s="28">
        <f>SUM(E13:E18)+E22+E23+E24</f>
        <v>23364.399475107632</v>
      </c>
      <c r="F62" s="6"/>
      <c r="H62" s="14"/>
    </row>
    <row r="63" spans="1:19" x14ac:dyDescent="0.25">
      <c r="A63" s="89"/>
      <c r="B63" s="26" t="s">
        <v>104</v>
      </c>
      <c r="C63" s="26"/>
      <c r="D63" s="26"/>
      <c r="E63" s="27">
        <f>AVERAGE(U5:U7)</f>
        <v>1016.6666666666666</v>
      </c>
      <c r="F63" s="6"/>
      <c r="H63" s="14"/>
    </row>
    <row r="64" spans="1:19" x14ac:dyDescent="0.25">
      <c r="A64" s="90"/>
      <c r="B64" s="26" t="s">
        <v>105</v>
      </c>
      <c r="C64" s="26"/>
      <c r="D64" s="26"/>
      <c r="E64" s="29">
        <f>E12</f>
        <v>2000</v>
      </c>
      <c r="F64" s="6"/>
      <c r="H64" s="14"/>
    </row>
    <row r="65" spans="1:15" x14ac:dyDescent="0.25">
      <c r="A65" s="26"/>
      <c r="B65" s="26" t="s">
        <v>106</v>
      </c>
      <c r="C65" s="26"/>
      <c r="D65" s="26"/>
      <c r="E65" s="27">
        <f>E9</f>
        <v>34560</v>
      </c>
    </row>
    <row r="66" spans="1:15" x14ac:dyDescent="0.25">
      <c r="A66" s="90"/>
      <c r="B66" s="26"/>
      <c r="C66" s="26"/>
      <c r="D66" s="26"/>
      <c r="E66" s="27">
        <f>E65-E64</f>
        <v>32560</v>
      </c>
      <c r="F66" s="6"/>
    </row>
    <row r="67" spans="1:15" x14ac:dyDescent="0.25">
      <c r="A67" s="90"/>
      <c r="B67" s="26" t="s">
        <v>107</v>
      </c>
      <c r="C67" s="26"/>
      <c r="D67" s="26"/>
      <c r="E67" s="30">
        <f>E66/E65</f>
        <v>0.94212962962962965</v>
      </c>
      <c r="F67" s="6"/>
    </row>
    <row r="68" spans="1:15" x14ac:dyDescent="0.25">
      <c r="A68" s="90"/>
      <c r="B68" s="26" t="s">
        <v>108</v>
      </c>
      <c r="C68" s="26"/>
      <c r="D68" s="26"/>
      <c r="E68" s="28">
        <f>E62/E67</f>
        <v>24799.55914802579</v>
      </c>
      <c r="F68" s="6"/>
      <c r="G68" s="14"/>
    </row>
    <row r="69" spans="1:15" x14ac:dyDescent="0.25">
      <c r="A69" s="90"/>
      <c r="B69" s="26" t="s">
        <v>176</v>
      </c>
      <c r="C69" s="26"/>
      <c r="D69" s="26"/>
      <c r="E69" s="91">
        <f>E68/E61</f>
        <v>0.64582185281317162</v>
      </c>
      <c r="F69" s="6"/>
      <c r="G69" s="14"/>
    </row>
    <row r="70" spans="1:15" x14ac:dyDescent="0.25">
      <c r="E70" s="11"/>
      <c r="F70" s="14"/>
      <c r="G70" s="14"/>
    </row>
    <row r="71" spans="1:15" x14ac:dyDescent="0.25">
      <c r="J71" s="1"/>
      <c r="K71" s="1"/>
      <c r="L71" s="1"/>
      <c r="M71" s="1"/>
      <c r="N71" s="1"/>
      <c r="O71" s="1"/>
    </row>
    <row r="72" spans="1:15" x14ac:dyDescent="0.25">
      <c r="A72" s="93" t="s">
        <v>121</v>
      </c>
      <c r="B72" s="94"/>
      <c r="C72" s="94"/>
      <c r="D72" s="58"/>
      <c r="J72" s="1"/>
      <c r="K72" s="1"/>
      <c r="L72" s="1"/>
      <c r="M72" s="1"/>
      <c r="N72" s="1"/>
      <c r="O72" s="1"/>
    </row>
    <row r="73" spans="1:15" x14ac:dyDescent="0.25">
      <c r="A73" s="94"/>
      <c r="B73" s="58" t="s">
        <v>122</v>
      </c>
      <c r="C73" s="58"/>
      <c r="D73" s="58">
        <v>1.1299999999999999</v>
      </c>
      <c r="F73" s="1" t="s">
        <v>148</v>
      </c>
      <c r="J73" s="1"/>
      <c r="K73" s="1"/>
      <c r="L73" s="1"/>
      <c r="M73" s="1"/>
      <c r="N73" s="1"/>
      <c r="O73" s="1"/>
    </row>
    <row r="74" spans="1:15" x14ac:dyDescent="0.25">
      <c r="A74" s="94"/>
      <c r="B74" s="58" t="s">
        <v>123</v>
      </c>
      <c r="C74" s="58"/>
      <c r="D74" s="95">
        <v>3.6600000000000001E-2</v>
      </c>
      <c r="F74" s="1" t="s">
        <v>149</v>
      </c>
      <c r="J74" s="1"/>
      <c r="K74" s="1"/>
      <c r="L74" s="1"/>
      <c r="M74" s="1"/>
      <c r="N74" s="1"/>
      <c r="O74" s="1"/>
    </row>
    <row r="75" spans="1:15" x14ac:dyDescent="0.25">
      <c r="A75" s="94"/>
      <c r="B75" s="58" t="s">
        <v>124</v>
      </c>
      <c r="C75" s="58"/>
      <c r="D75" s="96">
        <v>0.112</v>
      </c>
      <c r="J75" s="1"/>
      <c r="K75" s="1"/>
      <c r="L75" s="1"/>
      <c r="M75" s="1"/>
      <c r="N75" s="1"/>
      <c r="O75" s="1"/>
    </row>
    <row r="76" spans="1:15" x14ac:dyDescent="0.25">
      <c r="A76" s="94"/>
      <c r="B76" s="94"/>
      <c r="C76" s="94"/>
      <c r="D76" s="58"/>
      <c r="J76" s="1"/>
      <c r="K76" s="1"/>
      <c r="L76" s="1"/>
      <c r="M76" s="1"/>
      <c r="N76" s="1"/>
      <c r="O76" s="1"/>
    </row>
    <row r="77" spans="1:15" x14ac:dyDescent="0.25">
      <c r="A77" s="94"/>
      <c r="B77" s="97" t="s">
        <v>125</v>
      </c>
      <c r="C77" s="97"/>
      <c r="D77" s="98">
        <f>D74+D73*(D75-D74)</f>
        <v>0.12180199999999999</v>
      </c>
      <c r="J77" s="1"/>
      <c r="K77" s="1"/>
      <c r="L77" s="1"/>
      <c r="M77" s="1"/>
      <c r="N77" s="1"/>
      <c r="O77" s="1"/>
    </row>
    <row r="78" spans="1:15" x14ac:dyDescent="0.25">
      <c r="A78" s="94"/>
      <c r="B78" s="94"/>
      <c r="C78" s="94"/>
      <c r="D78" s="58"/>
      <c r="J78" s="1"/>
      <c r="K78" s="1"/>
      <c r="L78" s="1"/>
      <c r="M78" s="1"/>
      <c r="N78" s="1"/>
      <c r="O78" s="1"/>
    </row>
    <row r="79" spans="1:15" x14ac:dyDescent="0.25">
      <c r="A79" s="93" t="s">
        <v>126</v>
      </c>
      <c r="B79" s="94"/>
      <c r="C79" s="94"/>
      <c r="D79" s="58"/>
      <c r="E79" s="58" t="s">
        <v>127</v>
      </c>
      <c r="F79" s="58" t="s">
        <v>128</v>
      </c>
      <c r="G79"/>
      <c r="I79"/>
      <c r="J79" s="1"/>
      <c r="K79" s="1"/>
      <c r="L79" s="1"/>
      <c r="M79" s="1"/>
      <c r="N79" s="1"/>
      <c r="O79" s="1"/>
    </row>
    <row r="80" spans="1:15" x14ac:dyDescent="0.25">
      <c r="A80" s="94"/>
      <c r="B80" s="58" t="s">
        <v>129</v>
      </c>
      <c r="C80" s="58"/>
      <c r="D80" s="96">
        <f>Mortgage!I1</f>
        <v>0.04</v>
      </c>
      <c r="E80" s="59">
        <f>Mortgage!B2</f>
        <v>172425</v>
      </c>
      <c r="F80" s="101">
        <f>E80/(SUM(E80:E81))</f>
        <v>1</v>
      </c>
      <c r="G80"/>
      <c r="I80"/>
      <c r="J80" s="1"/>
      <c r="K80" s="1"/>
      <c r="L80" s="1"/>
      <c r="M80" s="1"/>
      <c r="N80" s="1"/>
      <c r="O80" s="1"/>
    </row>
    <row r="81" spans="1:15" x14ac:dyDescent="0.25">
      <c r="A81" s="58" t="s">
        <v>130</v>
      </c>
      <c r="B81" s="58" t="s">
        <v>131</v>
      </c>
      <c r="C81" s="58"/>
      <c r="D81" s="96">
        <v>0.1</v>
      </c>
      <c r="E81" s="59">
        <v>0</v>
      </c>
      <c r="F81" s="102">
        <f>E81/SUM(E80:E81)</f>
        <v>0</v>
      </c>
      <c r="G81"/>
      <c r="I81"/>
      <c r="J81" s="1"/>
      <c r="K81" s="1"/>
      <c r="L81" s="1"/>
      <c r="M81" s="1"/>
      <c r="N81" s="1"/>
      <c r="O81" s="1"/>
    </row>
    <row r="82" spans="1:15" x14ac:dyDescent="0.25">
      <c r="A82" s="94"/>
      <c r="B82" s="58" t="s">
        <v>132</v>
      </c>
      <c r="C82" s="58"/>
      <c r="D82" s="98">
        <f>+D80*F80+D81*F81</f>
        <v>0.04</v>
      </c>
      <c r="J82" s="1"/>
      <c r="K82" s="1"/>
      <c r="L82" s="1"/>
      <c r="M82" s="1"/>
      <c r="N82" s="1"/>
      <c r="O82" s="1"/>
    </row>
    <row r="83" spans="1:15" x14ac:dyDescent="0.25">
      <c r="A83" s="94"/>
      <c r="B83" s="94"/>
      <c r="C83" s="94"/>
      <c r="D83" s="58"/>
      <c r="J83" s="1"/>
      <c r="K83" s="1"/>
      <c r="L83" s="1"/>
      <c r="M83" s="1"/>
      <c r="N83" s="1"/>
      <c r="O83" s="1"/>
    </row>
    <row r="84" spans="1:15" x14ac:dyDescent="0.25">
      <c r="A84" s="93" t="s">
        <v>133</v>
      </c>
      <c r="B84" s="94"/>
      <c r="C84" s="94"/>
      <c r="D84" s="96">
        <v>0.35</v>
      </c>
      <c r="J84" s="1"/>
      <c r="K84" s="1"/>
      <c r="L84" s="1"/>
      <c r="M84" s="1"/>
      <c r="N84" s="1"/>
      <c r="O84" s="1"/>
    </row>
    <row r="85" spans="1:15" x14ac:dyDescent="0.25">
      <c r="A85" s="94"/>
      <c r="B85" s="94"/>
      <c r="C85" s="94"/>
      <c r="D85" s="58"/>
      <c r="J85" s="1"/>
      <c r="K85" s="1"/>
      <c r="L85" s="1"/>
      <c r="M85" s="1"/>
      <c r="N85" s="1"/>
      <c r="O85" s="1"/>
    </row>
    <row r="86" spans="1:15" x14ac:dyDescent="0.25">
      <c r="A86" s="94"/>
      <c r="B86" s="94"/>
      <c r="C86" s="94"/>
      <c r="D86" s="58"/>
      <c r="J86" s="1"/>
      <c r="K86" s="1"/>
      <c r="L86" s="1"/>
      <c r="M86" s="1"/>
      <c r="N86" s="1"/>
      <c r="O86" s="1"/>
    </row>
    <row r="87" spans="1:15" x14ac:dyDescent="0.25">
      <c r="A87" s="57" t="s">
        <v>134</v>
      </c>
      <c r="B87" s="94"/>
      <c r="C87" s="94"/>
      <c r="D87" s="58"/>
      <c r="J87" s="1"/>
      <c r="K87" s="1"/>
      <c r="L87" s="1"/>
      <c r="M87" s="1"/>
      <c r="N87" s="1"/>
      <c r="O87" s="1"/>
    </row>
    <row r="88" spans="1:15" x14ac:dyDescent="0.25">
      <c r="A88" s="58" t="s">
        <v>23</v>
      </c>
      <c r="B88" s="94"/>
      <c r="C88" s="94"/>
      <c r="D88" s="59">
        <f>E80</f>
        <v>172425</v>
      </c>
      <c r="E88" s="103">
        <f>+(D88+D89)/D95</f>
        <v>0.7309949567414592</v>
      </c>
      <c r="J88" s="1"/>
      <c r="K88" s="1"/>
      <c r="L88" s="1"/>
      <c r="M88" s="1"/>
      <c r="N88" s="1"/>
      <c r="O88" s="1"/>
    </row>
    <row r="89" spans="1:15" x14ac:dyDescent="0.25">
      <c r="A89" s="58" t="s">
        <v>135</v>
      </c>
      <c r="B89" s="94"/>
      <c r="C89" s="94"/>
      <c r="D89" s="59">
        <f>E81</f>
        <v>0</v>
      </c>
      <c r="J89" s="1"/>
      <c r="K89" s="1"/>
      <c r="L89" s="1"/>
      <c r="M89" s="1"/>
      <c r="N89" s="1"/>
      <c r="O89" s="1"/>
    </row>
    <row r="90" spans="1:15" x14ac:dyDescent="0.25">
      <c r="A90" s="94"/>
      <c r="B90" s="94"/>
      <c r="C90" s="94"/>
      <c r="D90" s="58"/>
      <c r="J90" s="1"/>
      <c r="K90" s="1"/>
      <c r="L90" s="1"/>
      <c r="M90" s="1"/>
      <c r="N90" s="1"/>
      <c r="O90" s="1"/>
    </row>
    <row r="91" spans="1:15" x14ac:dyDescent="0.25">
      <c r="A91" s="57" t="s">
        <v>136</v>
      </c>
      <c r="B91" s="94"/>
      <c r="C91" s="94"/>
      <c r="D91" s="58"/>
      <c r="J91" s="1"/>
      <c r="K91" s="1"/>
      <c r="L91" s="1"/>
      <c r="M91" s="1"/>
      <c r="N91" s="1"/>
      <c r="O91" s="1"/>
    </row>
    <row r="92" spans="1:15" x14ac:dyDescent="0.25">
      <c r="A92" s="58" t="s">
        <v>137</v>
      </c>
      <c r="B92" s="94"/>
      <c r="C92" s="94"/>
      <c r="D92" s="59">
        <f>E47</f>
        <v>57475</v>
      </c>
      <c r="E92" s="98">
        <f>(+D92+D93)/D95</f>
        <v>0.26900504325854085</v>
      </c>
      <c r="J92" s="1"/>
      <c r="K92" s="1"/>
      <c r="L92" s="1"/>
      <c r="M92" s="1"/>
      <c r="N92" s="1"/>
      <c r="O92" s="1"/>
    </row>
    <row r="93" spans="1:15" x14ac:dyDescent="0.25">
      <c r="A93" s="58" t="s">
        <v>25</v>
      </c>
      <c r="B93" s="94"/>
      <c r="C93" s="94"/>
      <c r="D93" s="59">
        <f>E48</f>
        <v>5977.1403411800402</v>
      </c>
      <c r="J93" s="1"/>
      <c r="K93" s="1"/>
      <c r="L93" s="1"/>
      <c r="M93" s="1"/>
      <c r="N93" s="1"/>
      <c r="O93" s="1"/>
    </row>
    <row r="94" spans="1:15" x14ac:dyDescent="0.25">
      <c r="A94" s="94"/>
      <c r="B94" s="94"/>
      <c r="C94" s="94"/>
      <c r="D94" s="58"/>
      <c r="J94" s="1"/>
      <c r="K94" s="1"/>
      <c r="L94" s="1"/>
      <c r="M94" s="1"/>
      <c r="N94" s="1"/>
      <c r="O94" s="1"/>
    </row>
    <row r="95" spans="1:15" x14ac:dyDescent="0.25">
      <c r="A95" s="57" t="s">
        <v>138</v>
      </c>
      <c r="B95" s="94"/>
      <c r="C95" s="94"/>
      <c r="D95" s="59">
        <f>SUM(D88:D93)</f>
        <v>235877.14034118003</v>
      </c>
      <c r="J95" s="1"/>
      <c r="K95" s="1"/>
      <c r="L95" s="1"/>
      <c r="M95" s="1"/>
      <c r="N95" s="1"/>
      <c r="O95" s="1"/>
    </row>
    <row r="96" spans="1:15" x14ac:dyDescent="0.25">
      <c r="A96" s="58"/>
      <c r="B96" s="58"/>
      <c r="C96" s="58"/>
      <c r="D96" s="58"/>
      <c r="J96" s="1"/>
      <c r="K96" s="1"/>
      <c r="L96" s="1"/>
      <c r="M96" s="1"/>
      <c r="N96" s="1"/>
      <c r="O96" s="1"/>
    </row>
    <row r="97" spans="1:15" x14ac:dyDescent="0.25">
      <c r="A97" s="94"/>
      <c r="B97" s="94"/>
      <c r="C97" s="94"/>
      <c r="D97" s="58"/>
      <c r="J97" s="1"/>
      <c r="K97" s="1"/>
      <c r="L97" s="1"/>
      <c r="M97" s="1"/>
      <c r="N97" s="1"/>
      <c r="O97" s="1"/>
    </row>
    <row r="98" spans="1:15" x14ac:dyDescent="0.25">
      <c r="A98" s="57" t="s">
        <v>139</v>
      </c>
      <c r="B98" s="94"/>
      <c r="C98" s="94"/>
      <c r="D98" s="98">
        <f>+E88*(1-D84)*D82+E92*D77</f>
        <v>5.1771221154254726E-2</v>
      </c>
      <c r="J98" s="1"/>
      <c r="K98" s="1"/>
      <c r="L98" s="1"/>
      <c r="M98" s="1"/>
      <c r="N98" s="1"/>
      <c r="O98" s="1"/>
    </row>
    <row r="99" spans="1:15" x14ac:dyDescent="0.25">
      <c r="A99" s="57"/>
      <c r="B99" s="94"/>
      <c r="C99" s="94"/>
      <c r="D99" s="58"/>
      <c r="J99" s="1"/>
      <c r="K99" s="1"/>
      <c r="L99" s="1"/>
      <c r="M99" s="1"/>
      <c r="N99" s="1"/>
      <c r="O99" s="1"/>
    </row>
    <row r="100" spans="1:15" x14ac:dyDescent="0.25">
      <c r="A100" s="57" t="s">
        <v>140</v>
      </c>
      <c r="B100" s="94"/>
      <c r="C100" s="94"/>
      <c r="D100" s="58"/>
      <c r="J100" s="1"/>
      <c r="K100" s="1"/>
      <c r="L100" s="1"/>
      <c r="M100" s="1"/>
      <c r="N100" s="1"/>
      <c r="O100" s="1"/>
    </row>
    <row r="101" spans="1:15" x14ac:dyDescent="0.25">
      <c r="A101" s="57"/>
      <c r="B101" s="58" t="s">
        <v>141</v>
      </c>
      <c r="C101" s="58"/>
      <c r="D101" s="58">
        <f>D73</f>
        <v>1.1299999999999999</v>
      </c>
      <c r="J101" s="1"/>
      <c r="K101" s="1"/>
      <c r="L101" s="1"/>
      <c r="M101" s="1"/>
      <c r="N101" s="1"/>
      <c r="O101" s="1"/>
    </row>
    <row r="102" spans="1:15" x14ac:dyDescent="0.25">
      <c r="A102" s="57"/>
      <c r="B102" s="58" t="s">
        <v>142</v>
      </c>
      <c r="C102" s="58"/>
      <c r="D102" s="96">
        <f>D84</f>
        <v>0.35</v>
      </c>
      <c r="J102" s="1"/>
      <c r="K102" s="1"/>
      <c r="L102" s="1"/>
      <c r="M102" s="1"/>
      <c r="N102" s="1"/>
      <c r="O102" s="1"/>
    </row>
    <row r="103" spans="1:15" x14ac:dyDescent="0.25">
      <c r="A103" s="57"/>
      <c r="B103" s="58" t="s">
        <v>143</v>
      </c>
      <c r="C103" s="58"/>
      <c r="D103" s="99">
        <f>E88</f>
        <v>0.7309949567414592</v>
      </c>
      <c r="J103" s="1"/>
      <c r="K103" s="1"/>
      <c r="L103" s="1"/>
      <c r="M103" s="1"/>
      <c r="N103" s="1"/>
      <c r="O103" s="1"/>
    </row>
    <row r="104" spans="1:15" x14ac:dyDescent="0.25">
      <c r="A104" s="57"/>
      <c r="B104" s="58" t="s">
        <v>144</v>
      </c>
      <c r="C104" s="58"/>
      <c r="D104" s="95">
        <f>E92</f>
        <v>0.26900504325854085</v>
      </c>
      <c r="J104" s="1"/>
      <c r="K104" s="1"/>
      <c r="L104" s="1"/>
      <c r="M104" s="1"/>
      <c r="N104" s="1"/>
      <c r="O104" s="1"/>
    </row>
    <row r="105" spans="1:15" x14ac:dyDescent="0.25">
      <c r="A105" s="57"/>
      <c r="B105" s="94"/>
      <c r="C105" s="94"/>
      <c r="D105" s="58"/>
      <c r="J105" s="1"/>
      <c r="K105" s="1"/>
      <c r="L105" s="1"/>
      <c r="M105" s="1"/>
      <c r="N105" s="1"/>
      <c r="O105" s="1"/>
    </row>
    <row r="106" spans="1:15" x14ac:dyDescent="0.25">
      <c r="A106" s="57"/>
      <c r="B106" s="58" t="s">
        <v>140</v>
      </c>
      <c r="C106" s="58"/>
      <c r="D106" s="100">
        <f>D101/(1+(1-D102)*(D103/D104))</f>
        <v>0.40848616252998227</v>
      </c>
      <c r="J106" s="1"/>
      <c r="K106" s="1"/>
      <c r="L106" s="1"/>
      <c r="M106" s="1"/>
      <c r="N106" s="1"/>
      <c r="O106" s="1"/>
    </row>
    <row r="107" spans="1:15" x14ac:dyDescent="0.25">
      <c r="A107" s="57"/>
      <c r="B107" s="94"/>
      <c r="C107" s="94"/>
      <c r="D107" s="58"/>
      <c r="J107" s="1"/>
      <c r="K107" s="1"/>
      <c r="L107" s="1"/>
      <c r="M107" s="1"/>
      <c r="N107" s="1"/>
      <c r="O107" s="1"/>
    </row>
    <row r="108" spans="1:15" x14ac:dyDescent="0.25">
      <c r="A108" s="57" t="s">
        <v>145</v>
      </c>
      <c r="B108" s="94"/>
      <c r="C108" s="94"/>
      <c r="D108" s="58"/>
      <c r="J108" s="1"/>
      <c r="K108" s="1"/>
      <c r="L108" s="1"/>
      <c r="M108" s="1"/>
      <c r="N108" s="1"/>
      <c r="O108" s="1"/>
    </row>
    <row r="109" spans="1:15" x14ac:dyDescent="0.25">
      <c r="A109" s="57"/>
      <c r="B109" s="58" t="s">
        <v>140</v>
      </c>
      <c r="C109" s="58"/>
      <c r="D109" s="100">
        <f>D106</f>
        <v>0.40848616252998227</v>
      </c>
      <c r="J109" s="1"/>
      <c r="K109" s="1"/>
      <c r="L109" s="1"/>
      <c r="M109" s="1"/>
      <c r="N109" s="1"/>
      <c r="O109" s="1"/>
    </row>
    <row r="110" spans="1:15" x14ac:dyDescent="0.25">
      <c r="A110" s="57"/>
      <c r="B110" s="58" t="s">
        <v>142</v>
      </c>
      <c r="C110" s="58"/>
      <c r="D110" s="96">
        <f>D102</f>
        <v>0.35</v>
      </c>
      <c r="J110" s="1"/>
      <c r="K110" s="1"/>
      <c r="L110" s="1"/>
      <c r="M110" s="1"/>
      <c r="N110" s="1"/>
      <c r="O110" s="1"/>
    </row>
    <row r="111" spans="1:15" x14ac:dyDescent="0.25">
      <c r="A111" s="57"/>
      <c r="B111" s="58" t="s">
        <v>143</v>
      </c>
      <c r="C111" s="58"/>
      <c r="D111" s="96">
        <f>E88</f>
        <v>0.7309949567414592</v>
      </c>
      <c r="J111" s="1"/>
      <c r="K111" s="1"/>
      <c r="L111" s="1"/>
      <c r="M111" s="1"/>
      <c r="N111" s="1"/>
      <c r="O111" s="1"/>
    </row>
    <row r="112" spans="1:15" x14ac:dyDescent="0.25">
      <c r="A112" s="94"/>
      <c r="B112" s="58" t="s">
        <v>144</v>
      </c>
      <c r="C112" s="58"/>
      <c r="D112" s="96">
        <f>E92</f>
        <v>0.26900504325854085</v>
      </c>
      <c r="J112" s="1"/>
      <c r="K112" s="1"/>
      <c r="L112" s="1"/>
      <c r="M112" s="1"/>
      <c r="N112" s="1"/>
      <c r="O112" s="1"/>
    </row>
    <row r="113" spans="1:19" x14ac:dyDescent="0.25">
      <c r="A113" s="94"/>
      <c r="B113" s="94"/>
      <c r="C113" s="94"/>
      <c r="D113" s="58"/>
      <c r="J113" s="1"/>
      <c r="K113" s="1"/>
      <c r="L113" s="1"/>
      <c r="M113" s="1"/>
      <c r="N113" s="1"/>
      <c r="O113" s="1"/>
    </row>
    <row r="114" spans="1:19" x14ac:dyDescent="0.25">
      <c r="A114" s="94"/>
      <c r="B114" s="58" t="s">
        <v>146</v>
      </c>
      <c r="C114" s="58"/>
      <c r="D114" s="100">
        <f>D109*(1+(1-D110)*(D111/D112))</f>
        <v>1.1299999999999999</v>
      </c>
      <c r="J114" s="1"/>
      <c r="K114" s="1"/>
      <c r="L114" s="1"/>
      <c r="M114" s="1"/>
      <c r="N114" s="1"/>
      <c r="O114" s="1"/>
    </row>
    <row r="115" spans="1:19" x14ac:dyDescent="0.25">
      <c r="A115" s="94"/>
      <c r="B115" s="94"/>
      <c r="C115" s="94"/>
      <c r="D115" s="58"/>
      <c r="J115" s="1"/>
      <c r="K115" s="1"/>
      <c r="L115" s="1"/>
      <c r="M115" s="1"/>
      <c r="N115" s="1"/>
      <c r="O115" s="1"/>
    </row>
    <row r="116" spans="1:19" x14ac:dyDescent="0.25">
      <c r="A116" s="93" t="s">
        <v>121</v>
      </c>
      <c r="B116" s="94"/>
      <c r="C116" s="94"/>
      <c r="D116" s="58"/>
      <c r="J116" s="1"/>
      <c r="K116" s="1"/>
      <c r="L116" s="1"/>
      <c r="M116" s="1"/>
      <c r="N116" s="1"/>
      <c r="O116" s="1"/>
    </row>
    <row r="117" spans="1:19" x14ac:dyDescent="0.25">
      <c r="A117" s="94"/>
      <c r="B117" s="58" t="s">
        <v>122</v>
      </c>
      <c r="C117" s="58"/>
      <c r="D117" s="100">
        <f>D114</f>
        <v>1.1299999999999999</v>
      </c>
      <c r="J117" s="1"/>
      <c r="K117" s="1"/>
      <c r="L117" s="1"/>
      <c r="M117" s="1"/>
      <c r="N117" s="1"/>
      <c r="O117" s="1"/>
    </row>
    <row r="118" spans="1:19" x14ac:dyDescent="0.25">
      <c r="A118" s="94"/>
      <c r="B118" s="58" t="s">
        <v>123</v>
      </c>
      <c r="C118" s="58"/>
      <c r="D118" s="95">
        <f>D74</f>
        <v>3.6600000000000001E-2</v>
      </c>
      <c r="J118" s="1"/>
      <c r="K118" s="1"/>
      <c r="L118" s="1"/>
      <c r="M118" s="1"/>
      <c r="N118" s="1"/>
      <c r="O118" s="1"/>
    </row>
    <row r="119" spans="1:19" x14ac:dyDescent="0.25">
      <c r="A119" s="94"/>
      <c r="B119" s="58" t="s">
        <v>124</v>
      </c>
      <c r="C119" s="58"/>
      <c r="D119" s="96">
        <f>D75</f>
        <v>0.112</v>
      </c>
      <c r="J119" s="1"/>
      <c r="K119" s="1"/>
      <c r="L119" s="1"/>
      <c r="M119" s="1"/>
      <c r="N119" s="1"/>
      <c r="O119" s="1"/>
    </row>
    <row r="120" spans="1:19" x14ac:dyDescent="0.25">
      <c r="A120" s="94"/>
      <c r="B120" s="94"/>
      <c r="C120" s="94"/>
      <c r="D120" s="58"/>
      <c r="J120" s="1"/>
      <c r="K120" s="1"/>
      <c r="L120" s="1"/>
      <c r="M120" s="1"/>
      <c r="N120" s="1"/>
      <c r="O120" s="1"/>
    </row>
    <row r="121" spans="1:19" x14ac:dyDescent="0.25">
      <c r="A121" s="94"/>
      <c r="B121" s="97" t="s">
        <v>125</v>
      </c>
      <c r="C121" s="97"/>
      <c r="D121" s="98">
        <f>D118+D117*(D119-D118)</f>
        <v>0.12180199999999999</v>
      </c>
      <c r="J121" s="1"/>
      <c r="K121" s="1"/>
      <c r="L121" s="1"/>
      <c r="M121" s="1"/>
      <c r="N121" s="1"/>
      <c r="O121" s="1"/>
    </row>
    <row r="122" spans="1:19" x14ac:dyDescent="0.25">
      <c r="A122" s="94"/>
      <c r="B122" s="94"/>
      <c r="C122" s="94"/>
      <c r="D122" s="58"/>
      <c r="J122" s="1"/>
      <c r="K122" s="1"/>
      <c r="L122" s="1"/>
      <c r="M122" s="1"/>
      <c r="N122" s="1"/>
      <c r="O122" s="1"/>
    </row>
    <row r="123" spans="1:19" x14ac:dyDescent="0.25">
      <c r="A123" s="57" t="s">
        <v>147</v>
      </c>
      <c r="B123" s="94"/>
      <c r="C123" s="94"/>
      <c r="D123" s="98">
        <f>D111*D82*(1-D110)+D112*D121</f>
        <v>5.1771221154254726E-2</v>
      </c>
      <c r="J123" s="1"/>
      <c r="K123" s="1"/>
      <c r="L123" s="1"/>
      <c r="M123" s="1"/>
      <c r="N123" s="1"/>
      <c r="O123" s="1"/>
    </row>
    <row r="125" spans="1:19" s="22" customFormat="1" x14ac:dyDescent="0.25">
      <c r="A125" s="111" t="s">
        <v>150</v>
      </c>
      <c r="B125" s="112"/>
      <c r="C125" s="112"/>
      <c r="D125" s="112">
        <v>2013</v>
      </c>
      <c r="E125" s="112">
        <v>2014</v>
      </c>
      <c r="F125" s="112">
        <v>2015</v>
      </c>
      <c r="G125" s="112">
        <v>2016</v>
      </c>
      <c r="H125" s="112">
        <v>2017</v>
      </c>
      <c r="I125" s="112">
        <v>2018</v>
      </c>
      <c r="J125" s="112">
        <v>2019</v>
      </c>
      <c r="K125" s="112">
        <v>2020</v>
      </c>
      <c r="L125" s="112">
        <v>2021</v>
      </c>
      <c r="M125" s="112">
        <v>2022</v>
      </c>
      <c r="N125" s="112">
        <v>2023</v>
      </c>
      <c r="O125" s="112">
        <v>2024</v>
      </c>
      <c r="P125" s="112">
        <v>2025</v>
      </c>
      <c r="Q125" s="112">
        <v>2026</v>
      </c>
      <c r="R125" s="112">
        <v>2027</v>
      </c>
    </row>
    <row r="126" spans="1:19" x14ac:dyDescent="0.25">
      <c r="A126" s="104"/>
      <c r="B126" s="104"/>
      <c r="C126" s="104">
        <v>0</v>
      </c>
      <c r="D126" s="104">
        <v>1</v>
      </c>
      <c r="E126" s="104">
        <v>2</v>
      </c>
      <c r="F126" s="104">
        <v>3</v>
      </c>
      <c r="G126" s="104">
        <v>4</v>
      </c>
      <c r="H126" s="104">
        <v>5</v>
      </c>
      <c r="I126" s="104">
        <v>6</v>
      </c>
      <c r="J126" s="104">
        <v>7</v>
      </c>
      <c r="K126" s="104">
        <v>8</v>
      </c>
      <c r="L126" s="104">
        <v>9</v>
      </c>
      <c r="M126" s="104">
        <v>10</v>
      </c>
      <c r="N126" s="104">
        <v>11</v>
      </c>
      <c r="O126" s="104">
        <v>12</v>
      </c>
      <c r="P126" s="104">
        <v>13</v>
      </c>
      <c r="Q126" s="104">
        <v>14</v>
      </c>
      <c r="R126" s="104">
        <v>15</v>
      </c>
    </row>
    <row r="127" spans="1:19" x14ac:dyDescent="0.25">
      <c r="A127" s="104" t="s">
        <v>151</v>
      </c>
      <c r="B127" s="104"/>
      <c r="C127" s="104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</row>
    <row r="128" spans="1:19" x14ac:dyDescent="0.25">
      <c r="A128" s="104"/>
      <c r="B128" s="104" t="s">
        <v>4</v>
      </c>
      <c r="C128" s="104"/>
      <c r="D128" s="106">
        <f t="shared" ref="D128:R128" si="32">E20</f>
        <v>24079</v>
      </c>
      <c r="E128" s="106">
        <f t="shared" si="32"/>
        <v>23820.6</v>
      </c>
      <c r="F128" s="106">
        <f t="shared" si="32"/>
        <v>25171.864000000001</v>
      </c>
      <c r="G128" s="106">
        <f t="shared" si="32"/>
        <v>24892.378560000001</v>
      </c>
      <c r="H128" s="106">
        <f t="shared" si="32"/>
        <v>26221.7137024</v>
      </c>
      <c r="I128" s="106">
        <f t="shared" si="32"/>
        <v>25919.422250495998</v>
      </c>
      <c r="J128" s="106">
        <f t="shared" si="32"/>
        <v>27225.039140515841</v>
      </c>
      <c r="K128" s="106">
        <f t="shared" si="32"/>
        <v>26748.080706136476</v>
      </c>
      <c r="L128" s="106">
        <f t="shared" si="32"/>
        <v>28028.043934381931</v>
      </c>
      <c r="M128" s="106">
        <f t="shared" si="32"/>
        <v>27674.405691757209</v>
      </c>
      <c r="N128" s="106">
        <f t="shared" si="32"/>
        <v>28926.621919427496</v>
      </c>
      <c r="O128" s="106">
        <f t="shared" si="32"/>
        <v>28544.126796204597</v>
      </c>
      <c r="P128" s="106">
        <f t="shared" si="32"/>
        <v>29766.331868052781</v>
      </c>
      <c r="Q128" s="106">
        <f t="shared" si="32"/>
        <v>29352.625142774894</v>
      </c>
      <c r="R128" s="106">
        <f t="shared" si="32"/>
        <v>30542.37014848589</v>
      </c>
      <c r="S128" s="13"/>
    </row>
    <row r="129" spans="1:20" x14ac:dyDescent="0.25">
      <c r="A129" s="104"/>
      <c r="B129" s="104" t="s">
        <v>113</v>
      </c>
      <c r="C129" s="104"/>
      <c r="D129" s="117">
        <f t="shared" ref="D129:R129" si="33">E22</f>
        <v>6166.666666666667</v>
      </c>
      <c r="E129" s="117">
        <f t="shared" si="33"/>
        <v>6166.666666666667</v>
      </c>
      <c r="F129" s="117">
        <f t="shared" si="33"/>
        <v>6166.666666666667</v>
      </c>
      <c r="G129" s="117">
        <f t="shared" si="33"/>
        <v>6166.666666666667</v>
      </c>
      <c r="H129" s="117">
        <f t="shared" si="33"/>
        <v>6166.666666666667</v>
      </c>
      <c r="I129" s="117">
        <f t="shared" si="33"/>
        <v>6166.666666666667</v>
      </c>
      <c r="J129" s="117">
        <f t="shared" si="33"/>
        <v>6166.666666666667</v>
      </c>
      <c r="K129" s="117">
        <f t="shared" si="33"/>
        <v>6166.666666666667</v>
      </c>
      <c r="L129" s="117">
        <f t="shared" si="33"/>
        <v>6166.666666666667</v>
      </c>
      <c r="M129" s="117">
        <f t="shared" si="33"/>
        <v>6166.666666666667</v>
      </c>
      <c r="N129" s="117">
        <f t="shared" si="33"/>
        <v>6166.666666666667</v>
      </c>
      <c r="O129" s="117">
        <f t="shared" si="33"/>
        <v>6166.666666666667</v>
      </c>
      <c r="P129" s="117">
        <f t="shared" si="33"/>
        <v>6166.666666666667</v>
      </c>
      <c r="Q129" s="117">
        <f t="shared" si="33"/>
        <v>6166.666666666667</v>
      </c>
      <c r="R129" s="117">
        <f t="shared" si="33"/>
        <v>6166.666666666667</v>
      </c>
      <c r="S129" s="118"/>
    </row>
    <row r="130" spans="1:20" x14ac:dyDescent="0.25">
      <c r="A130" s="104"/>
      <c r="B130" s="104" t="s">
        <v>175</v>
      </c>
      <c r="C130" s="104"/>
      <c r="D130" s="117">
        <f>E23</f>
        <v>1875</v>
      </c>
      <c r="E130" s="117">
        <f t="shared" ref="E130:R130" si="34">F23</f>
        <v>1875</v>
      </c>
      <c r="F130" s="117">
        <f t="shared" si="34"/>
        <v>1875</v>
      </c>
      <c r="G130" s="117">
        <f t="shared" si="34"/>
        <v>1875</v>
      </c>
      <c r="H130" s="117">
        <f t="shared" si="34"/>
        <v>1875</v>
      </c>
      <c r="I130" s="117">
        <f t="shared" si="34"/>
        <v>1875</v>
      </c>
      <c r="J130" s="117">
        <f t="shared" si="34"/>
        <v>1875</v>
      </c>
      <c r="K130" s="117">
        <f t="shared" si="34"/>
        <v>1875</v>
      </c>
      <c r="L130" s="117">
        <f t="shared" si="34"/>
        <v>1875</v>
      </c>
      <c r="M130" s="117">
        <f t="shared" si="34"/>
        <v>1875</v>
      </c>
      <c r="N130" s="117">
        <f t="shared" si="34"/>
        <v>1875</v>
      </c>
      <c r="O130" s="117">
        <f t="shared" si="34"/>
        <v>1875</v>
      </c>
      <c r="P130" s="117">
        <f t="shared" si="34"/>
        <v>1875</v>
      </c>
      <c r="Q130" s="117">
        <f t="shared" si="34"/>
        <v>1875</v>
      </c>
      <c r="R130" s="117">
        <f t="shared" si="34"/>
        <v>1875</v>
      </c>
      <c r="S130" s="118"/>
    </row>
    <row r="131" spans="1:20" x14ac:dyDescent="0.25">
      <c r="A131" s="104"/>
      <c r="B131" s="104"/>
      <c r="C131" s="104"/>
      <c r="D131" s="119">
        <f>D128-D129-D130</f>
        <v>16037.333333333332</v>
      </c>
      <c r="E131" s="119">
        <f t="shared" ref="E131:R131" si="35">E128-E129-E130</f>
        <v>15778.933333333331</v>
      </c>
      <c r="F131" s="119">
        <f t="shared" si="35"/>
        <v>17130.197333333334</v>
      </c>
      <c r="G131" s="119">
        <f t="shared" si="35"/>
        <v>16850.711893333333</v>
      </c>
      <c r="H131" s="119">
        <f t="shared" si="35"/>
        <v>18180.047035733332</v>
      </c>
      <c r="I131" s="119">
        <f t="shared" si="35"/>
        <v>17877.75558382933</v>
      </c>
      <c r="J131" s="119">
        <f t="shared" si="35"/>
        <v>19183.372473849173</v>
      </c>
      <c r="K131" s="119">
        <f t="shared" si="35"/>
        <v>18706.414039469808</v>
      </c>
      <c r="L131" s="119">
        <f t="shared" si="35"/>
        <v>19986.377267715263</v>
      </c>
      <c r="M131" s="119">
        <f t="shared" si="35"/>
        <v>19632.739025090541</v>
      </c>
      <c r="N131" s="119">
        <f t="shared" si="35"/>
        <v>20884.955252760828</v>
      </c>
      <c r="O131" s="119">
        <f t="shared" si="35"/>
        <v>20502.460129537929</v>
      </c>
      <c r="P131" s="119">
        <f t="shared" si="35"/>
        <v>21724.665201386113</v>
      </c>
      <c r="Q131" s="119">
        <f t="shared" si="35"/>
        <v>21310.958476108226</v>
      </c>
      <c r="R131" s="119">
        <f t="shared" si="35"/>
        <v>22500.703481819222</v>
      </c>
    </row>
    <row r="132" spans="1:20" x14ac:dyDescent="0.25">
      <c r="A132" s="104"/>
      <c r="B132" s="104" t="s">
        <v>152</v>
      </c>
      <c r="C132" s="114">
        <v>0.35</v>
      </c>
      <c r="D132" s="115">
        <f>D131*$C$132</f>
        <v>5613.0666666666657</v>
      </c>
      <c r="E132" s="115">
        <f t="shared" ref="E132:R132" si="36">E131*$C$132</f>
        <v>5522.6266666666652</v>
      </c>
      <c r="F132" s="115">
        <f t="shared" si="36"/>
        <v>5995.569066666666</v>
      </c>
      <c r="G132" s="115">
        <f t="shared" si="36"/>
        <v>5897.7491626666661</v>
      </c>
      <c r="H132" s="115">
        <f t="shared" si="36"/>
        <v>6363.0164625066664</v>
      </c>
      <c r="I132" s="115">
        <f t="shared" si="36"/>
        <v>6257.2144543402655</v>
      </c>
      <c r="J132" s="115">
        <f t="shared" si="36"/>
        <v>6714.1803658472099</v>
      </c>
      <c r="K132" s="115">
        <f t="shared" si="36"/>
        <v>6547.244913814432</v>
      </c>
      <c r="L132" s="115">
        <f t="shared" si="36"/>
        <v>6995.2320437003418</v>
      </c>
      <c r="M132" s="115">
        <f t="shared" si="36"/>
        <v>6871.4586587816893</v>
      </c>
      <c r="N132" s="115">
        <f t="shared" si="36"/>
        <v>7309.734338466289</v>
      </c>
      <c r="O132" s="115">
        <f t="shared" si="36"/>
        <v>7175.8610453382744</v>
      </c>
      <c r="P132" s="115">
        <f t="shared" si="36"/>
        <v>7603.6328204851388</v>
      </c>
      <c r="Q132" s="115">
        <f t="shared" si="36"/>
        <v>7458.8354666378782</v>
      </c>
      <c r="R132" s="115">
        <f t="shared" si="36"/>
        <v>7875.2462186367275</v>
      </c>
    </row>
    <row r="133" spans="1:20" x14ac:dyDescent="0.25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</row>
    <row r="134" spans="1:20" x14ac:dyDescent="0.25">
      <c r="A134" s="104"/>
      <c r="B134" s="104" t="s">
        <v>153</v>
      </c>
      <c r="C134" s="104"/>
      <c r="D134" s="113">
        <f>D129</f>
        <v>6166.666666666667</v>
      </c>
      <c r="E134" s="113">
        <f t="shared" ref="E134:R134" si="37">E129</f>
        <v>6166.666666666667</v>
      </c>
      <c r="F134" s="113">
        <f t="shared" si="37"/>
        <v>6166.666666666667</v>
      </c>
      <c r="G134" s="113">
        <f t="shared" si="37"/>
        <v>6166.666666666667</v>
      </c>
      <c r="H134" s="113">
        <f t="shared" si="37"/>
        <v>6166.666666666667</v>
      </c>
      <c r="I134" s="113">
        <f t="shared" si="37"/>
        <v>6166.666666666667</v>
      </c>
      <c r="J134" s="113">
        <f t="shared" si="37"/>
        <v>6166.666666666667</v>
      </c>
      <c r="K134" s="113">
        <f t="shared" si="37"/>
        <v>6166.666666666667</v>
      </c>
      <c r="L134" s="113">
        <f t="shared" si="37"/>
        <v>6166.666666666667</v>
      </c>
      <c r="M134" s="113">
        <f t="shared" si="37"/>
        <v>6166.666666666667</v>
      </c>
      <c r="N134" s="113">
        <f t="shared" si="37"/>
        <v>6166.666666666667</v>
      </c>
      <c r="O134" s="113">
        <f t="shared" si="37"/>
        <v>6166.666666666667</v>
      </c>
      <c r="P134" s="113">
        <f t="shared" si="37"/>
        <v>6166.666666666667</v>
      </c>
      <c r="Q134" s="113">
        <f t="shared" si="37"/>
        <v>6166.666666666667</v>
      </c>
      <c r="R134" s="113">
        <f t="shared" si="37"/>
        <v>6166.666666666667</v>
      </c>
    </row>
    <row r="135" spans="1:20" x14ac:dyDescent="0.25">
      <c r="A135" s="104"/>
      <c r="B135" s="104" t="s">
        <v>154</v>
      </c>
      <c r="C135" s="104"/>
      <c r="D135" s="106">
        <f>D131-D132+D134</f>
        <v>16590.933333333334</v>
      </c>
      <c r="E135" s="106">
        <f t="shared" ref="E135:R135" si="38">E131-E132+E134</f>
        <v>16422.973333333332</v>
      </c>
      <c r="F135" s="106">
        <f t="shared" si="38"/>
        <v>17301.294933333334</v>
      </c>
      <c r="G135" s="106">
        <f t="shared" si="38"/>
        <v>17119.629397333334</v>
      </c>
      <c r="H135" s="106">
        <f t="shared" si="38"/>
        <v>17983.697239893332</v>
      </c>
      <c r="I135" s="106">
        <f t="shared" si="38"/>
        <v>17787.207796155733</v>
      </c>
      <c r="J135" s="106">
        <f t="shared" si="38"/>
        <v>18635.858774668632</v>
      </c>
      <c r="K135" s="106">
        <f t="shared" si="38"/>
        <v>18325.835792322043</v>
      </c>
      <c r="L135" s="106">
        <f t="shared" si="38"/>
        <v>19157.811890681587</v>
      </c>
      <c r="M135" s="106">
        <f t="shared" si="38"/>
        <v>18927.94703297552</v>
      </c>
      <c r="N135" s="106">
        <f t="shared" si="38"/>
        <v>19741.887580961207</v>
      </c>
      <c r="O135" s="106">
        <f t="shared" si="38"/>
        <v>19493.265750866321</v>
      </c>
      <c r="P135" s="106">
        <f t="shared" si="38"/>
        <v>20287.699047567643</v>
      </c>
      <c r="Q135" s="106">
        <f t="shared" si="38"/>
        <v>20018.789676137014</v>
      </c>
      <c r="R135" s="106">
        <f t="shared" si="38"/>
        <v>20792.123929849164</v>
      </c>
    </row>
    <row r="136" spans="1:20" x14ac:dyDescent="0.25">
      <c r="A136" s="104"/>
      <c r="B136" s="104"/>
      <c r="C136" s="104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  <c r="R136" s="104"/>
    </row>
    <row r="137" spans="1:20" x14ac:dyDescent="0.25">
      <c r="A137" s="107" t="s">
        <v>155</v>
      </c>
      <c r="B137" s="104"/>
      <c r="C137" s="104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  <c r="R137" s="104"/>
    </row>
    <row r="138" spans="1:20" x14ac:dyDescent="0.25">
      <c r="A138" s="104"/>
      <c r="B138" s="104" t="s">
        <v>156</v>
      </c>
      <c r="C138" s="106">
        <f>-E36</f>
        <v>-185000</v>
      </c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  <c r="R138" s="104"/>
    </row>
    <row r="139" spans="1:20" x14ac:dyDescent="0.25">
      <c r="A139" s="104"/>
      <c r="B139" s="104" t="s">
        <v>172</v>
      </c>
      <c r="C139" s="106">
        <f>-E35</f>
        <v>-44900</v>
      </c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  <c r="R139" s="104"/>
    </row>
    <row r="140" spans="1:20" x14ac:dyDescent="0.25">
      <c r="A140" s="104"/>
      <c r="B140" s="104" t="s">
        <v>157</v>
      </c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  <c r="R140" s="105">
        <f>T140*2</f>
        <v>184999.99999999997</v>
      </c>
      <c r="S140" s="104" t="s">
        <v>158</v>
      </c>
      <c r="T140" s="106">
        <f>S36-S37</f>
        <v>92499.999999999985</v>
      </c>
    </row>
    <row r="141" spans="1:20" x14ac:dyDescent="0.25">
      <c r="A141" s="104"/>
      <c r="B141" s="104" t="s">
        <v>173</v>
      </c>
      <c r="C141" s="104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  <c r="R141" s="105">
        <f>-C139</f>
        <v>44900</v>
      </c>
      <c r="S141" s="104" t="s">
        <v>160</v>
      </c>
      <c r="T141" s="106">
        <f>R140-T140</f>
        <v>92499.999999999985</v>
      </c>
    </row>
    <row r="142" spans="1:20" x14ac:dyDescent="0.25">
      <c r="A142" s="104"/>
      <c r="B142" s="104" t="s">
        <v>159</v>
      </c>
      <c r="C142" s="104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  <c r="R142" s="106">
        <f>-T141*10%</f>
        <v>-9249.9999999999982</v>
      </c>
    </row>
    <row r="143" spans="1:20" s="9" customFormat="1" x14ac:dyDescent="0.25">
      <c r="A143" s="104"/>
      <c r="B143" s="104" t="s">
        <v>174</v>
      </c>
      <c r="C143" s="104"/>
      <c r="D143" s="104">
        <v>-7500</v>
      </c>
      <c r="E143" s="104"/>
      <c r="F143" s="104"/>
      <c r="G143" s="104"/>
      <c r="H143" s="104">
        <v>-7500</v>
      </c>
      <c r="I143" s="104"/>
      <c r="J143" s="104"/>
      <c r="K143" s="104"/>
      <c r="L143" s="104">
        <v>-7500</v>
      </c>
      <c r="M143" s="104"/>
      <c r="N143" s="104"/>
      <c r="O143" s="104"/>
      <c r="P143" s="104">
        <v>-7500</v>
      </c>
      <c r="Q143" s="104"/>
      <c r="R143" s="104"/>
    </row>
    <row r="144" spans="1:20" x14ac:dyDescent="0.25">
      <c r="A144" s="104"/>
      <c r="B144" s="104"/>
      <c r="C144" s="104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  <c r="R144" s="104"/>
    </row>
    <row r="145" spans="1:19" x14ac:dyDescent="0.25">
      <c r="A145" s="107" t="s">
        <v>161</v>
      </c>
      <c r="B145" s="104"/>
      <c r="C145" s="104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  <c r="R145" s="104"/>
    </row>
    <row r="146" spans="1:19" x14ac:dyDescent="0.25">
      <c r="A146" s="108" t="s">
        <v>162</v>
      </c>
      <c r="B146" s="104" t="s">
        <v>163</v>
      </c>
      <c r="C146" s="104"/>
      <c r="D146" s="106">
        <f t="shared" ref="D146:R146" si="39">-(E34-D34)</f>
        <v>-2745</v>
      </c>
      <c r="E146" s="106">
        <f t="shared" si="39"/>
        <v>0</v>
      </c>
      <c r="F146" s="106">
        <f t="shared" si="39"/>
        <v>-135</v>
      </c>
      <c r="G146" s="106">
        <f t="shared" si="39"/>
        <v>0</v>
      </c>
      <c r="H146" s="106">
        <f t="shared" si="39"/>
        <v>-135</v>
      </c>
      <c r="I146" s="106">
        <f t="shared" si="39"/>
        <v>0</v>
      </c>
      <c r="J146" s="106">
        <f t="shared" si="39"/>
        <v>-135</v>
      </c>
      <c r="K146" s="106">
        <f t="shared" si="39"/>
        <v>0</v>
      </c>
      <c r="L146" s="106">
        <f t="shared" si="39"/>
        <v>-135</v>
      </c>
      <c r="M146" s="106">
        <f t="shared" si="39"/>
        <v>0</v>
      </c>
      <c r="N146" s="106">
        <f t="shared" si="39"/>
        <v>-135</v>
      </c>
      <c r="O146" s="106">
        <f t="shared" si="39"/>
        <v>0</v>
      </c>
      <c r="P146" s="106">
        <f t="shared" si="39"/>
        <v>-135</v>
      </c>
      <c r="Q146" s="106">
        <f t="shared" si="39"/>
        <v>0</v>
      </c>
      <c r="R146" s="106">
        <f t="shared" si="39"/>
        <v>-135</v>
      </c>
    </row>
    <row r="147" spans="1:19" x14ac:dyDescent="0.25">
      <c r="A147" s="108" t="s">
        <v>164</v>
      </c>
      <c r="B147" s="104" t="s">
        <v>165</v>
      </c>
      <c r="C147" s="104"/>
      <c r="D147" s="106">
        <f>D132</f>
        <v>5613.0666666666657</v>
      </c>
      <c r="E147" s="106">
        <f>E132-D132</f>
        <v>-90.440000000000509</v>
      </c>
      <c r="F147" s="106">
        <f t="shared" ref="F147:R147" si="40">F132-E132</f>
        <v>472.94240000000082</v>
      </c>
      <c r="G147" s="106">
        <f t="shared" si="40"/>
        <v>-97.819903999999951</v>
      </c>
      <c r="H147" s="106">
        <f t="shared" si="40"/>
        <v>465.26729984000031</v>
      </c>
      <c r="I147" s="106">
        <f t="shared" si="40"/>
        <v>-105.80200816640081</v>
      </c>
      <c r="J147" s="106">
        <f t="shared" si="40"/>
        <v>456.96591150694439</v>
      </c>
      <c r="K147" s="106">
        <f t="shared" si="40"/>
        <v>-166.9354520327779</v>
      </c>
      <c r="L147" s="106">
        <f t="shared" si="40"/>
        <v>447.98712988590978</v>
      </c>
      <c r="M147" s="106">
        <f t="shared" si="40"/>
        <v>-123.77338491865248</v>
      </c>
      <c r="N147" s="106">
        <f t="shared" si="40"/>
        <v>438.27567968459971</v>
      </c>
      <c r="O147" s="106">
        <f t="shared" si="40"/>
        <v>-133.87329312801467</v>
      </c>
      <c r="P147" s="106">
        <f t="shared" si="40"/>
        <v>427.77177514686446</v>
      </c>
      <c r="Q147" s="106">
        <f t="shared" si="40"/>
        <v>-144.79735384726064</v>
      </c>
      <c r="R147" s="106">
        <f t="shared" si="40"/>
        <v>416.41075199884926</v>
      </c>
      <c r="S147" s="13">
        <f>SUM(D147:R147)</f>
        <v>7875.2462186367275</v>
      </c>
    </row>
    <row r="148" spans="1:19" x14ac:dyDescent="0.25">
      <c r="A148" s="104"/>
      <c r="B148" s="104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</row>
    <row r="149" spans="1:19" x14ac:dyDescent="0.25">
      <c r="A149" s="107" t="s">
        <v>166</v>
      </c>
      <c r="B149" s="104"/>
      <c r="C149" s="104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  <c r="R149" s="104"/>
    </row>
    <row r="150" spans="1:19" x14ac:dyDescent="0.25">
      <c r="A150" s="104"/>
      <c r="B150" s="104" t="s">
        <v>163</v>
      </c>
      <c r="C150" s="104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  <c r="R150" s="106">
        <f>S34</f>
        <v>3690</v>
      </c>
    </row>
    <row r="151" spans="1:19" x14ac:dyDescent="0.25">
      <c r="A151" s="104"/>
      <c r="B151" s="104" t="s">
        <v>165</v>
      </c>
      <c r="C151" s="104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  <c r="R151" s="106">
        <f>-R132</f>
        <v>-7875.2462186367275</v>
      </c>
    </row>
    <row r="152" spans="1:19" x14ac:dyDescent="0.25">
      <c r="A152" s="104"/>
      <c r="B152" s="104"/>
      <c r="C152" s="104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  <c r="R152" s="104"/>
    </row>
    <row r="153" spans="1:19" x14ac:dyDescent="0.25">
      <c r="A153" s="107" t="s">
        <v>167</v>
      </c>
      <c r="B153" s="107"/>
      <c r="C153" s="116">
        <f t="shared" ref="C153:R153" si="41">SUM(C135:C152)</f>
        <v>-229900</v>
      </c>
      <c r="D153" s="116">
        <f t="shared" si="41"/>
        <v>11959</v>
      </c>
      <c r="E153" s="116">
        <f t="shared" si="41"/>
        <v>16332.533333333331</v>
      </c>
      <c r="F153" s="116">
        <f t="shared" si="41"/>
        <v>17639.237333333334</v>
      </c>
      <c r="G153" s="116">
        <f t="shared" si="41"/>
        <v>17021.809493333334</v>
      </c>
      <c r="H153" s="116">
        <f t="shared" si="41"/>
        <v>10813.964539733333</v>
      </c>
      <c r="I153" s="116">
        <f t="shared" si="41"/>
        <v>17681.405787989333</v>
      </c>
      <c r="J153" s="116">
        <f t="shared" si="41"/>
        <v>18957.824686175576</v>
      </c>
      <c r="K153" s="116">
        <f t="shared" si="41"/>
        <v>18158.900340289263</v>
      </c>
      <c r="L153" s="116">
        <f t="shared" si="41"/>
        <v>11970.799020567498</v>
      </c>
      <c r="M153" s="116">
        <f t="shared" si="41"/>
        <v>18804.173648056869</v>
      </c>
      <c r="N153" s="116">
        <f t="shared" si="41"/>
        <v>20045.163260645808</v>
      </c>
      <c r="O153" s="116">
        <f t="shared" si="41"/>
        <v>19359.392457738308</v>
      </c>
      <c r="P153" s="116">
        <f t="shared" si="41"/>
        <v>13080.470822714507</v>
      </c>
      <c r="Q153" s="116">
        <f t="shared" si="41"/>
        <v>19873.992322289752</v>
      </c>
      <c r="R153" s="116">
        <f t="shared" si="41"/>
        <v>237538.28846321127</v>
      </c>
    </row>
    <row r="154" spans="1:19" x14ac:dyDescent="0.25">
      <c r="A154" s="104"/>
      <c r="B154" s="104"/>
      <c r="C154" s="104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  <c r="R154" s="104"/>
    </row>
    <row r="155" spans="1:19" x14ac:dyDescent="0.25">
      <c r="A155" s="104" t="s">
        <v>168</v>
      </c>
      <c r="B155" s="104"/>
      <c r="C155" s="109">
        <f>IRR(B153:R153)</f>
        <v>6.9152299792930361E-2</v>
      </c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  <c r="R155" s="104"/>
    </row>
    <row r="156" spans="1:19" x14ac:dyDescent="0.25">
      <c r="A156" s="104" t="s">
        <v>169</v>
      </c>
      <c r="B156" s="104"/>
      <c r="C156" s="109">
        <f>D123</f>
        <v>5.1771221154254726E-2</v>
      </c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  <c r="R156" s="104"/>
    </row>
    <row r="157" spans="1:19" x14ac:dyDescent="0.25">
      <c r="A157" s="104"/>
      <c r="B157" s="104"/>
      <c r="C157" s="104">
        <v>0</v>
      </c>
      <c r="D157" s="104">
        <v>1</v>
      </c>
      <c r="E157" s="104">
        <v>2</v>
      </c>
      <c r="F157" s="104">
        <v>3</v>
      </c>
      <c r="G157" s="104">
        <v>4</v>
      </c>
      <c r="H157" s="104">
        <v>5</v>
      </c>
      <c r="I157" s="104">
        <v>6</v>
      </c>
      <c r="J157" s="104">
        <v>7</v>
      </c>
      <c r="K157" s="104">
        <v>8</v>
      </c>
      <c r="L157" s="104">
        <v>9</v>
      </c>
      <c r="M157" s="104">
        <v>10</v>
      </c>
      <c r="N157" s="104">
        <v>11</v>
      </c>
      <c r="O157" s="104">
        <v>12</v>
      </c>
      <c r="P157" s="104">
        <v>13</v>
      </c>
      <c r="Q157" s="104">
        <v>14</v>
      </c>
      <c r="R157" s="104">
        <v>15</v>
      </c>
    </row>
    <row r="158" spans="1:19" x14ac:dyDescent="0.25">
      <c r="A158" s="104" t="s">
        <v>170</v>
      </c>
      <c r="B158" s="104"/>
      <c r="C158" s="110">
        <f t="shared" ref="C158:R158" si="42">-PV($C$156,C157,,C153)</f>
        <v>-229900</v>
      </c>
      <c r="D158" s="110">
        <f t="shared" si="42"/>
        <v>11370.343435405779</v>
      </c>
      <c r="E158" s="110">
        <f t="shared" si="42"/>
        <v>14764.236269059802</v>
      </c>
      <c r="F158" s="110">
        <f t="shared" si="42"/>
        <v>15160.584785823621</v>
      </c>
      <c r="G158" s="110">
        <f t="shared" si="42"/>
        <v>13909.790602479665</v>
      </c>
      <c r="H158" s="110">
        <f t="shared" si="42"/>
        <v>8401.9196579507789</v>
      </c>
      <c r="I158" s="110">
        <f t="shared" si="42"/>
        <v>13061.380794697929</v>
      </c>
      <c r="J158" s="110">
        <f t="shared" si="42"/>
        <v>13314.949366865991</v>
      </c>
      <c r="K158" s="110">
        <f t="shared" si="42"/>
        <v>12126.047867523021</v>
      </c>
      <c r="L158" s="110">
        <f t="shared" si="42"/>
        <v>7600.3149464174212</v>
      </c>
      <c r="M158" s="110">
        <f t="shared" si="42"/>
        <v>11351.190689126144</v>
      </c>
      <c r="N158" s="110">
        <f t="shared" si="42"/>
        <v>11504.704833851132</v>
      </c>
      <c r="O158" s="110">
        <f t="shared" si="42"/>
        <v>10564.192924164117</v>
      </c>
      <c r="P158" s="110">
        <f t="shared" si="42"/>
        <v>6786.513115666482</v>
      </c>
      <c r="Q158" s="110">
        <f t="shared" si="42"/>
        <v>9803.6353853132041</v>
      </c>
      <c r="R158" s="110">
        <f t="shared" si="42"/>
        <v>111407.48559335725</v>
      </c>
    </row>
    <row r="159" spans="1:19" x14ac:dyDescent="0.25">
      <c r="A159" s="104" t="s">
        <v>171</v>
      </c>
      <c r="B159" s="104"/>
      <c r="C159" s="120">
        <f>SUM(C158:R158)</f>
        <v>41227.290267702367</v>
      </c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  <c r="R159" s="104"/>
    </row>
    <row r="160" spans="1:19" x14ac:dyDescent="0.25">
      <c r="I160"/>
      <c r="O160" s="1"/>
    </row>
    <row r="161" spans="9:15" x14ac:dyDescent="0.25">
      <c r="I161"/>
      <c r="O161" s="1"/>
    </row>
    <row r="162" spans="9:15" x14ac:dyDescent="0.25">
      <c r="I162"/>
      <c r="O162" s="1"/>
    </row>
    <row r="163" spans="9:15" x14ac:dyDescent="0.25">
      <c r="I163"/>
      <c r="O163" s="1"/>
    </row>
    <row r="164" spans="9:15" x14ac:dyDescent="0.25">
      <c r="I164"/>
      <c r="O164" s="1"/>
    </row>
    <row r="165" spans="9:15" x14ac:dyDescent="0.25">
      <c r="I165"/>
      <c r="O165" s="1"/>
    </row>
    <row r="166" spans="9:15" x14ac:dyDescent="0.25">
      <c r="I166"/>
      <c r="O166" s="1"/>
    </row>
    <row r="167" spans="9:15" x14ac:dyDescent="0.25">
      <c r="I167"/>
      <c r="O167" s="1"/>
    </row>
    <row r="168" spans="9:15" x14ac:dyDescent="0.25">
      <c r="I168"/>
      <c r="O168" s="1"/>
    </row>
    <row r="169" spans="9:15" x14ac:dyDescent="0.25">
      <c r="I169"/>
      <c r="O169" s="1"/>
    </row>
    <row r="170" spans="9:15" x14ac:dyDescent="0.25">
      <c r="I170"/>
      <c r="O170" s="1"/>
    </row>
    <row r="171" spans="9:15" x14ac:dyDescent="0.25">
      <c r="I171"/>
      <c r="O171" s="1"/>
    </row>
    <row r="172" spans="9:15" x14ac:dyDescent="0.25">
      <c r="I172"/>
      <c r="O172" s="1"/>
    </row>
    <row r="173" spans="9:15" x14ac:dyDescent="0.25">
      <c r="I173"/>
      <c r="O173" s="1"/>
    </row>
    <row r="174" spans="9:15" x14ac:dyDescent="0.25">
      <c r="I174"/>
      <c r="O174" s="1"/>
    </row>
    <row r="175" spans="9:15" x14ac:dyDescent="0.25">
      <c r="I175"/>
      <c r="O175" s="1"/>
    </row>
    <row r="176" spans="9:15" x14ac:dyDescent="0.25">
      <c r="I176"/>
      <c r="O176" s="1"/>
    </row>
    <row r="177" spans="9:15" x14ac:dyDescent="0.25">
      <c r="I177"/>
      <c r="O177" s="1"/>
    </row>
  </sheetData>
  <sheetProtection selectLockedCells="1" selectUnlockedCells="1"/>
  <mergeCells count="5">
    <mergeCell ref="U36:U37"/>
    <mergeCell ref="U1:AI1"/>
    <mergeCell ref="E1:S1"/>
    <mergeCell ref="A4:S4"/>
    <mergeCell ref="A31:S31"/>
  </mergeCells>
  <pageMargins left="0.7" right="0.7" top="0.75" bottom="0.75" header="0.51180555555555551" footer="0.51180555555555551"/>
  <pageSetup firstPageNumber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8"/>
  <sheetViews>
    <sheetView workbookViewId="0">
      <selection activeCell="H20" sqref="H20"/>
    </sheetView>
  </sheetViews>
  <sheetFormatPr defaultColWidth="11.5703125" defaultRowHeight="12.75" x14ac:dyDescent="0.2"/>
  <cols>
    <col min="1" max="1" width="30.140625" customWidth="1"/>
    <col min="2" max="3" width="12.7109375" customWidth="1"/>
    <col min="4" max="4" width="12.85546875" customWidth="1"/>
    <col min="5" max="5" width="13.5703125" customWidth="1"/>
    <col min="6" max="6" width="12.42578125" customWidth="1"/>
    <col min="9" max="9" width="12.7109375" bestFit="1" customWidth="1"/>
  </cols>
  <sheetData>
    <row r="1" spans="1:9" x14ac:dyDescent="0.2">
      <c r="B1" t="s">
        <v>27</v>
      </c>
      <c r="C1" t="s">
        <v>28</v>
      </c>
      <c r="D1" t="s">
        <v>29</v>
      </c>
      <c r="E1" t="s">
        <v>30</v>
      </c>
      <c r="F1" t="s">
        <v>31</v>
      </c>
      <c r="H1" t="s">
        <v>32</v>
      </c>
      <c r="I1" s="15">
        <v>0.04</v>
      </c>
    </row>
    <row r="2" spans="1:9" x14ac:dyDescent="0.2">
      <c r="A2" s="16" t="s">
        <v>33</v>
      </c>
      <c r="B2" s="17">
        <f>I6</f>
        <v>172425</v>
      </c>
      <c r="C2" s="17">
        <f t="shared" ref="C2:C13" si="0">+E2-D2</f>
        <v>248.43332320631851</v>
      </c>
      <c r="D2" s="17">
        <f t="shared" ref="D2:D13" si="1">B2*$I$2</f>
        <v>574.75</v>
      </c>
      <c r="E2" s="17">
        <f t="shared" ref="E2:E13" si="2">-$I$8</f>
        <v>823.18332320631851</v>
      </c>
      <c r="F2" s="17">
        <f t="shared" ref="F2:F13" si="3">+B2-C2</f>
        <v>172176.56667679368</v>
      </c>
      <c r="H2" t="s">
        <v>34</v>
      </c>
      <c r="I2" s="15">
        <f>+I1/12</f>
        <v>3.3333333333333335E-3</v>
      </c>
    </row>
    <row r="3" spans="1:9" x14ac:dyDescent="0.2">
      <c r="A3" s="16" t="s">
        <v>35</v>
      </c>
      <c r="B3" s="17">
        <f t="shared" ref="B3:B13" si="4">+F2</f>
        <v>172176.56667679368</v>
      </c>
      <c r="C3" s="17">
        <f t="shared" si="0"/>
        <v>249.26143428367288</v>
      </c>
      <c r="D3" s="17">
        <f t="shared" si="1"/>
        <v>573.92188892264562</v>
      </c>
      <c r="E3" s="17">
        <f t="shared" si="2"/>
        <v>823.18332320631851</v>
      </c>
      <c r="F3" s="17">
        <f t="shared" si="3"/>
        <v>171927.30524251002</v>
      </c>
      <c r="H3" t="s">
        <v>36</v>
      </c>
      <c r="I3" s="18">
        <v>0</v>
      </c>
    </row>
    <row r="4" spans="1:9" x14ac:dyDescent="0.2">
      <c r="A4" s="16" t="s">
        <v>37</v>
      </c>
      <c r="B4" s="17">
        <f t="shared" si="4"/>
        <v>171927.30524251002</v>
      </c>
      <c r="C4" s="17">
        <f t="shared" si="0"/>
        <v>250.09230573128502</v>
      </c>
      <c r="D4" s="17">
        <f t="shared" si="1"/>
        <v>573.09101747503348</v>
      </c>
      <c r="E4" s="17">
        <f t="shared" si="2"/>
        <v>823.18332320631851</v>
      </c>
      <c r="F4" s="17">
        <f t="shared" si="3"/>
        <v>171677.21293677873</v>
      </c>
      <c r="H4" t="s">
        <v>38</v>
      </c>
      <c r="I4" s="19">
        <f>12*30</f>
        <v>360</v>
      </c>
    </row>
    <row r="5" spans="1:9" x14ac:dyDescent="0.2">
      <c r="A5" s="16" t="s">
        <v>39</v>
      </c>
      <c r="B5" s="17">
        <f t="shared" si="4"/>
        <v>171677.21293677873</v>
      </c>
      <c r="C5" s="17">
        <f t="shared" si="0"/>
        <v>250.92594675038936</v>
      </c>
      <c r="D5" s="17">
        <f t="shared" si="1"/>
        <v>572.25737645592915</v>
      </c>
      <c r="E5" s="17">
        <f t="shared" si="2"/>
        <v>823.18332320631851</v>
      </c>
      <c r="F5" s="17">
        <f t="shared" si="3"/>
        <v>171426.28699002834</v>
      </c>
      <c r="H5" t="s">
        <v>40</v>
      </c>
      <c r="I5">
        <v>0</v>
      </c>
    </row>
    <row r="6" spans="1:9" x14ac:dyDescent="0.2">
      <c r="A6" s="16" t="s">
        <v>41</v>
      </c>
      <c r="B6" s="17">
        <f t="shared" si="4"/>
        <v>171426.28699002834</v>
      </c>
      <c r="C6" s="17">
        <f t="shared" si="0"/>
        <v>251.76236657289064</v>
      </c>
      <c r="D6" s="17">
        <f t="shared" si="1"/>
        <v>571.42095663342786</v>
      </c>
      <c r="E6" s="17">
        <f t="shared" si="2"/>
        <v>823.18332320631851</v>
      </c>
      <c r="F6" s="17">
        <f t="shared" si="3"/>
        <v>171174.52462345545</v>
      </c>
      <c r="H6" t="s">
        <v>42</v>
      </c>
      <c r="I6" s="18">
        <f>0.75*229900</f>
        <v>172425</v>
      </c>
    </row>
    <row r="7" spans="1:9" x14ac:dyDescent="0.2">
      <c r="A7" s="16" t="s">
        <v>43</v>
      </c>
      <c r="B7" s="17">
        <f t="shared" si="4"/>
        <v>171174.52462345545</v>
      </c>
      <c r="C7" s="17">
        <f t="shared" si="0"/>
        <v>252.60157446146695</v>
      </c>
      <c r="D7" s="17">
        <f t="shared" si="1"/>
        <v>570.58174874485155</v>
      </c>
      <c r="E7" s="17">
        <f t="shared" si="2"/>
        <v>823.18332320631851</v>
      </c>
      <c r="F7" s="17">
        <f t="shared" si="3"/>
        <v>170921.92304899398</v>
      </c>
    </row>
    <row r="8" spans="1:9" x14ac:dyDescent="0.2">
      <c r="A8" s="16" t="s">
        <v>44</v>
      </c>
      <c r="B8" s="17">
        <f t="shared" si="4"/>
        <v>170921.92304899398</v>
      </c>
      <c r="C8" s="17">
        <f t="shared" si="0"/>
        <v>253.44357970967189</v>
      </c>
      <c r="D8" s="17">
        <f t="shared" si="1"/>
        <v>569.73974349664661</v>
      </c>
      <c r="E8" s="17">
        <f t="shared" si="2"/>
        <v>823.18332320631851</v>
      </c>
      <c r="F8" s="17">
        <f t="shared" si="3"/>
        <v>170668.4794692843</v>
      </c>
      <c r="H8" t="s">
        <v>30</v>
      </c>
      <c r="I8" s="18">
        <f>PMT(I2,I4,I6,I3,I5)</f>
        <v>-823.18332320631851</v>
      </c>
    </row>
    <row r="9" spans="1:9" x14ac:dyDescent="0.2">
      <c r="A9" s="16" t="s">
        <v>45</v>
      </c>
      <c r="B9" s="17">
        <f t="shared" si="4"/>
        <v>170668.4794692843</v>
      </c>
      <c r="C9" s="17">
        <f t="shared" si="0"/>
        <v>254.28839164203748</v>
      </c>
      <c r="D9" s="17">
        <f t="shared" si="1"/>
        <v>568.89493156428102</v>
      </c>
      <c r="E9" s="17">
        <f t="shared" si="2"/>
        <v>823.18332320631851</v>
      </c>
      <c r="F9" s="17">
        <f t="shared" si="3"/>
        <v>170414.19107764226</v>
      </c>
    </row>
    <row r="10" spans="1:9" x14ac:dyDescent="0.2">
      <c r="A10" s="16" t="s">
        <v>46</v>
      </c>
      <c r="B10" s="17">
        <f t="shared" si="4"/>
        <v>170414.19107764226</v>
      </c>
      <c r="C10" s="17">
        <f t="shared" si="0"/>
        <v>255.1360196141776</v>
      </c>
      <c r="D10" s="17">
        <f t="shared" si="1"/>
        <v>568.04730359214091</v>
      </c>
      <c r="E10" s="17">
        <f t="shared" si="2"/>
        <v>823.18332320631851</v>
      </c>
      <c r="F10" s="17">
        <f t="shared" si="3"/>
        <v>170159.05505802808</v>
      </c>
    </row>
    <row r="11" spans="1:9" x14ac:dyDescent="0.2">
      <c r="A11" s="16" t="s">
        <v>47</v>
      </c>
      <c r="B11" s="17">
        <f t="shared" si="4"/>
        <v>170159.05505802808</v>
      </c>
      <c r="C11" s="17">
        <f t="shared" si="0"/>
        <v>255.98647301289157</v>
      </c>
      <c r="D11" s="17">
        <f t="shared" si="1"/>
        <v>567.19685019342694</v>
      </c>
      <c r="E11" s="17">
        <f t="shared" si="2"/>
        <v>823.18332320631851</v>
      </c>
      <c r="F11" s="17">
        <f t="shared" si="3"/>
        <v>169903.06858501519</v>
      </c>
    </row>
    <row r="12" spans="1:9" x14ac:dyDescent="0.2">
      <c r="A12" s="16" t="s">
        <v>48</v>
      </c>
      <c r="B12" s="17">
        <f t="shared" si="4"/>
        <v>169903.06858501519</v>
      </c>
      <c r="C12" s="17">
        <f t="shared" si="0"/>
        <v>256.83976125626782</v>
      </c>
      <c r="D12" s="17">
        <f t="shared" si="1"/>
        <v>566.34356195005068</v>
      </c>
      <c r="E12" s="17">
        <f t="shared" si="2"/>
        <v>823.18332320631851</v>
      </c>
      <c r="F12" s="17">
        <f t="shared" si="3"/>
        <v>169646.22882375892</v>
      </c>
    </row>
    <row r="13" spans="1:9" x14ac:dyDescent="0.2">
      <c r="A13" s="16" t="s">
        <v>49</v>
      </c>
      <c r="B13" s="17">
        <f t="shared" si="4"/>
        <v>169646.22882375892</v>
      </c>
      <c r="C13" s="17">
        <f t="shared" si="0"/>
        <v>257.69589379378874</v>
      </c>
      <c r="D13" s="17">
        <f t="shared" si="1"/>
        <v>565.48742941252976</v>
      </c>
      <c r="E13" s="17">
        <f t="shared" si="2"/>
        <v>823.18332320631851</v>
      </c>
      <c r="F13" s="20">
        <f t="shared" si="3"/>
        <v>169388.53292996515</v>
      </c>
    </row>
    <row r="14" spans="1:9" x14ac:dyDescent="0.2">
      <c r="A14" s="21" t="s">
        <v>50</v>
      </c>
      <c r="B14" s="21"/>
      <c r="C14" s="20">
        <f>SUM(C2:C13)</f>
        <v>3036.4670700348588</v>
      </c>
      <c r="D14" s="20">
        <f>SUM(D2:D13)</f>
        <v>6841.7328084409637</v>
      </c>
      <c r="E14" s="17"/>
      <c r="F14" s="17"/>
    </row>
    <row r="15" spans="1:9" x14ac:dyDescent="0.2">
      <c r="A15" s="16"/>
      <c r="B15" s="16"/>
      <c r="C15" s="17"/>
      <c r="D15" s="17"/>
      <c r="E15" s="17"/>
      <c r="F15" s="17"/>
    </row>
    <row r="16" spans="1:9" x14ac:dyDescent="0.2">
      <c r="A16" s="16" t="s">
        <v>51</v>
      </c>
      <c r="B16" s="17">
        <f>+F13</f>
        <v>169388.53292996515</v>
      </c>
      <c r="C16" s="17">
        <f t="shared" ref="C16:C27" si="5">+E16-D16</f>
        <v>258.55488010643467</v>
      </c>
      <c r="D16" s="17">
        <f t="shared" ref="D16:D27" si="6">B16*$I$2</f>
        <v>564.62844309988384</v>
      </c>
      <c r="E16" s="17">
        <f t="shared" ref="E16:E27" si="7">-$I$8</f>
        <v>823.18332320631851</v>
      </c>
      <c r="F16" s="17">
        <f t="shared" ref="F16:F27" si="8">+B16-C16</f>
        <v>169129.97804985871</v>
      </c>
    </row>
    <row r="17" spans="1:6" x14ac:dyDescent="0.2">
      <c r="A17" s="16" t="s">
        <v>52</v>
      </c>
      <c r="B17" s="17">
        <f t="shared" ref="B17:B27" si="9">+F16</f>
        <v>169129.97804985871</v>
      </c>
      <c r="C17" s="17">
        <f t="shared" si="5"/>
        <v>259.4167297067894</v>
      </c>
      <c r="D17" s="17">
        <f t="shared" si="6"/>
        <v>563.76659349952911</v>
      </c>
      <c r="E17" s="17">
        <f t="shared" si="7"/>
        <v>823.18332320631851</v>
      </c>
      <c r="F17" s="17">
        <f t="shared" si="8"/>
        <v>168870.56132015193</v>
      </c>
    </row>
    <row r="18" spans="1:6" x14ac:dyDescent="0.2">
      <c r="A18" s="16" t="s">
        <v>53</v>
      </c>
      <c r="B18" s="17">
        <f t="shared" si="9"/>
        <v>168870.56132015193</v>
      </c>
      <c r="C18" s="17">
        <f t="shared" si="5"/>
        <v>260.28145213914536</v>
      </c>
      <c r="D18" s="17">
        <f t="shared" si="6"/>
        <v>562.90187106717315</v>
      </c>
      <c r="E18" s="17">
        <f t="shared" si="7"/>
        <v>823.18332320631851</v>
      </c>
      <c r="F18" s="17">
        <f t="shared" si="8"/>
        <v>168610.27986801279</v>
      </c>
    </row>
    <row r="19" spans="1:6" x14ac:dyDescent="0.2">
      <c r="A19" s="16" t="s">
        <v>54</v>
      </c>
      <c r="B19" s="17">
        <f t="shared" si="9"/>
        <v>168610.27986801279</v>
      </c>
      <c r="C19" s="17">
        <f t="shared" si="5"/>
        <v>261.14905697960921</v>
      </c>
      <c r="D19" s="17">
        <f t="shared" si="6"/>
        <v>562.03426622670929</v>
      </c>
      <c r="E19" s="17">
        <f t="shared" si="7"/>
        <v>823.18332320631851</v>
      </c>
      <c r="F19" s="17">
        <f t="shared" si="8"/>
        <v>168349.13081103319</v>
      </c>
    </row>
    <row r="20" spans="1:6" x14ac:dyDescent="0.2">
      <c r="A20" s="16" t="s">
        <v>55</v>
      </c>
      <c r="B20" s="17">
        <f t="shared" si="9"/>
        <v>168349.13081103319</v>
      </c>
      <c r="C20" s="17">
        <f t="shared" si="5"/>
        <v>262.01955383620782</v>
      </c>
      <c r="D20" s="17">
        <f t="shared" si="6"/>
        <v>561.16376937011069</v>
      </c>
      <c r="E20" s="17">
        <f t="shared" si="7"/>
        <v>823.18332320631851</v>
      </c>
      <c r="F20" s="17">
        <f t="shared" si="8"/>
        <v>168087.11125719699</v>
      </c>
    </row>
    <row r="21" spans="1:6" x14ac:dyDescent="0.2">
      <c r="A21" s="16" t="s">
        <v>56</v>
      </c>
      <c r="B21" s="17">
        <f t="shared" si="9"/>
        <v>168087.11125719699</v>
      </c>
      <c r="C21" s="17">
        <f t="shared" si="5"/>
        <v>262.89295234899521</v>
      </c>
      <c r="D21" s="17">
        <f t="shared" si="6"/>
        <v>560.2903708573233</v>
      </c>
      <c r="E21" s="17">
        <f t="shared" si="7"/>
        <v>823.18332320631851</v>
      </c>
      <c r="F21" s="17">
        <f t="shared" si="8"/>
        <v>167824.21830484798</v>
      </c>
    </row>
    <row r="22" spans="1:6" x14ac:dyDescent="0.2">
      <c r="A22" s="16" t="s">
        <v>57</v>
      </c>
      <c r="B22" s="17">
        <f t="shared" si="9"/>
        <v>167824.21830484798</v>
      </c>
      <c r="C22" s="17">
        <f t="shared" si="5"/>
        <v>263.76926219015854</v>
      </c>
      <c r="D22" s="17">
        <f t="shared" si="6"/>
        <v>559.41406101615996</v>
      </c>
      <c r="E22" s="17">
        <f t="shared" si="7"/>
        <v>823.18332320631851</v>
      </c>
      <c r="F22" s="17">
        <f t="shared" si="8"/>
        <v>167560.44904265783</v>
      </c>
    </row>
    <row r="23" spans="1:6" x14ac:dyDescent="0.2">
      <c r="A23" s="16" t="s">
        <v>58</v>
      </c>
      <c r="B23" s="17">
        <f t="shared" si="9"/>
        <v>167560.44904265783</v>
      </c>
      <c r="C23" s="17">
        <f t="shared" si="5"/>
        <v>264.64849306412566</v>
      </c>
      <c r="D23" s="17">
        <f t="shared" si="6"/>
        <v>558.53483014219285</v>
      </c>
      <c r="E23" s="17">
        <f t="shared" si="7"/>
        <v>823.18332320631851</v>
      </c>
      <c r="F23" s="17">
        <f t="shared" si="8"/>
        <v>167295.8005495937</v>
      </c>
    </row>
    <row r="24" spans="1:6" x14ac:dyDescent="0.2">
      <c r="A24" s="16" t="s">
        <v>59</v>
      </c>
      <c r="B24" s="17">
        <f t="shared" si="9"/>
        <v>167295.8005495937</v>
      </c>
      <c r="C24" s="17">
        <f t="shared" si="5"/>
        <v>265.53065470767285</v>
      </c>
      <c r="D24" s="17">
        <f t="shared" si="6"/>
        <v>557.65266849864565</v>
      </c>
      <c r="E24" s="17">
        <f t="shared" si="7"/>
        <v>823.18332320631851</v>
      </c>
      <c r="F24" s="17">
        <f t="shared" si="8"/>
        <v>167030.26989488603</v>
      </c>
    </row>
    <row r="25" spans="1:6" x14ac:dyDescent="0.2">
      <c r="A25" s="16" t="s">
        <v>60</v>
      </c>
      <c r="B25" s="17">
        <f t="shared" si="9"/>
        <v>167030.26989488603</v>
      </c>
      <c r="C25" s="17">
        <f t="shared" si="5"/>
        <v>266.41575689003173</v>
      </c>
      <c r="D25" s="17">
        <f t="shared" si="6"/>
        <v>556.76756631628677</v>
      </c>
      <c r="E25" s="17">
        <f t="shared" si="7"/>
        <v>823.18332320631851</v>
      </c>
      <c r="F25" s="17">
        <f t="shared" si="8"/>
        <v>166763.85413799601</v>
      </c>
    </row>
    <row r="26" spans="1:6" x14ac:dyDescent="0.2">
      <c r="A26" s="16" t="s">
        <v>61</v>
      </c>
      <c r="B26" s="17">
        <f t="shared" si="9"/>
        <v>166763.85413799601</v>
      </c>
      <c r="C26" s="17">
        <f t="shared" si="5"/>
        <v>267.30380941299848</v>
      </c>
      <c r="D26" s="17">
        <f t="shared" si="6"/>
        <v>555.87951379332003</v>
      </c>
      <c r="E26" s="17">
        <f t="shared" si="7"/>
        <v>823.18332320631851</v>
      </c>
      <c r="F26" s="17">
        <f t="shared" si="8"/>
        <v>166496.55032858302</v>
      </c>
    </row>
    <row r="27" spans="1:6" x14ac:dyDescent="0.2">
      <c r="A27" s="16" t="s">
        <v>62</v>
      </c>
      <c r="B27" s="17">
        <f t="shared" si="9"/>
        <v>166496.55032858302</v>
      </c>
      <c r="C27" s="17">
        <f t="shared" si="5"/>
        <v>268.19482211104173</v>
      </c>
      <c r="D27" s="17">
        <f t="shared" si="6"/>
        <v>554.98850109527677</v>
      </c>
      <c r="E27" s="17">
        <f t="shared" si="7"/>
        <v>823.18332320631851</v>
      </c>
      <c r="F27" s="20">
        <f t="shared" si="8"/>
        <v>166228.35550647197</v>
      </c>
    </row>
    <row r="28" spans="1:6" x14ac:dyDescent="0.2">
      <c r="A28" s="21" t="s">
        <v>50</v>
      </c>
      <c r="B28" s="21"/>
      <c r="C28" s="20">
        <f>SUM(C16:C27)</f>
        <v>3160.1774234932109</v>
      </c>
      <c r="D28" s="20">
        <f>SUM(D16:D27)</f>
        <v>6718.0224549826116</v>
      </c>
      <c r="E28" s="17"/>
      <c r="F28" s="17"/>
    </row>
    <row r="29" spans="1:6" x14ac:dyDescent="0.2">
      <c r="A29" s="16"/>
      <c r="B29" s="16"/>
      <c r="C29" s="17"/>
      <c r="D29" s="17"/>
      <c r="E29" s="17"/>
      <c r="F29" s="17"/>
    </row>
    <row r="30" spans="1:6" x14ac:dyDescent="0.2">
      <c r="A30" s="16" t="s">
        <v>63</v>
      </c>
      <c r="B30" s="17">
        <f>+F27</f>
        <v>166228.35550647197</v>
      </c>
      <c r="C30" s="17">
        <f t="shared" ref="C30:C41" si="10">+E30-D30</f>
        <v>269.08880485141185</v>
      </c>
      <c r="D30" s="17">
        <f t="shared" ref="D30:D41" si="11">B30*$I$2</f>
        <v>554.09451835490665</v>
      </c>
      <c r="E30" s="17">
        <f t="shared" ref="E30:E41" si="12">-$I$8</f>
        <v>823.18332320631851</v>
      </c>
      <c r="F30" s="17">
        <f t="shared" ref="F30:F41" si="13">+B30-C30</f>
        <v>165959.26670162057</v>
      </c>
    </row>
    <row r="31" spans="1:6" x14ac:dyDescent="0.2">
      <c r="A31" s="16" t="s">
        <v>64</v>
      </c>
      <c r="B31" s="17">
        <f t="shared" ref="B31:B41" si="14">+F30</f>
        <v>165959.26670162057</v>
      </c>
      <c r="C31" s="17">
        <f t="shared" si="10"/>
        <v>269.98576753424993</v>
      </c>
      <c r="D31" s="17">
        <f t="shared" si="11"/>
        <v>553.19755567206857</v>
      </c>
      <c r="E31" s="17">
        <f t="shared" si="12"/>
        <v>823.18332320631851</v>
      </c>
      <c r="F31" s="17">
        <f t="shared" si="13"/>
        <v>165689.28093408633</v>
      </c>
    </row>
    <row r="32" spans="1:6" x14ac:dyDescent="0.2">
      <c r="A32" s="16" t="s">
        <v>65</v>
      </c>
      <c r="B32" s="17">
        <f t="shared" si="14"/>
        <v>165689.28093408633</v>
      </c>
      <c r="C32" s="17">
        <f t="shared" si="10"/>
        <v>270.8857200926974</v>
      </c>
      <c r="D32" s="17">
        <f t="shared" si="11"/>
        <v>552.29760311362111</v>
      </c>
      <c r="E32" s="17">
        <f t="shared" si="12"/>
        <v>823.18332320631851</v>
      </c>
      <c r="F32" s="17">
        <f t="shared" si="13"/>
        <v>165418.39521399364</v>
      </c>
    </row>
    <row r="33" spans="1:6" x14ac:dyDescent="0.2">
      <c r="A33" s="16" t="s">
        <v>66</v>
      </c>
      <c r="B33" s="17">
        <f t="shared" si="14"/>
        <v>165418.39521399364</v>
      </c>
      <c r="C33" s="17">
        <f t="shared" si="10"/>
        <v>271.78867249300629</v>
      </c>
      <c r="D33" s="17">
        <f t="shared" si="11"/>
        <v>551.39465071331222</v>
      </c>
      <c r="E33" s="17">
        <f t="shared" si="12"/>
        <v>823.18332320631851</v>
      </c>
      <c r="F33" s="17">
        <f t="shared" si="13"/>
        <v>165146.60654150063</v>
      </c>
    </row>
    <row r="34" spans="1:6" x14ac:dyDescent="0.2">
      <c r="A34" s="16" t="s">
        <v>67</v>
      </c>
      <c r="B34" s="17">
        <f t="shared" si="14"/>
        <v>165146.60654150063</v>
      </c>
      <c r="C34" s="17">
        <f t="shared" si="10"/>
        <v>272.69463473464975</v>
      </c>
      <c r="D34" s="17">
        <f t="shared" si="11"/>
        <v>550.48868847166875</v>
      </c>
      <c r="E34" s="17">
        <f t="shared" si="12"/>
        <v>823.18332320631851</v>
      </c>
      <c r="F34" s="17">
        <f t="shared" si="13"/>
        <v>164873.91190676598</v>
      </c>
    </row>
    <row r="35" spans="1:6" x14ac:dyDescent="0.2">
      <c r="A35" s="16" t="s">
        <v>68</v>
      </c>
      <c r="B35" s="17">
        <f t="shared" si="14"/>
        <v>164873.91190676598</v>
      </c>
      <c r="C35" s="17">
        <f t="shared" si="10"/>
        <v>273.60361685043188</v>
      </c>
      <c r="D35" s="17">
        <f t="shared" si="11"/>
        <v>549.57970635588663</v>
      </c>
      <c r="E35" s="17">
        <f t="shared" si="12"/>
        <v>823.18332320631851</v>
      </c>
      <c r="F35" s="17">
        <f t="shared" si="13"/>
        <v>164600.30828991556</v>
      </c>
    </row>
    <row r="36" spans="1:6" x14ac:dyDescent="0.2">
      <c r="A36" s="16" t="s">
        <v>69</v>
      </c>
      <c r="B36" s="17">
        <f t="shared" si="14"/>
        <v>164600.30828991556</v>
      </c>
      <c r="C36" s="17">
        <f t="shared" si="10"/>
        <v>274.5156289066</v>
      </c>
      <c r="D36" s="17">
        <f t="shared" si="11"/>
        <v>548.66769429971851</v>
      </c>
      <c r="E36" s="17">
        <f t="shared" si="12"/>
        <v>823.18332320631851</v>
      </c>
      <c r="F36" s="17">
        <f t="shared" si="13"/>
        <v>164325.79266100895</v>
      </c>
    </row>
    <row r="37" spans="1:6" x14ac:dyDescent="0.2">
      <c r="A37" s="16" t="s">
        <v>70</v>
      </c>
      <c r="B37" s="17">
        <f t="shared" si="14"/>
        <v>164325.79266100895</v>
      </c>
      <c r="C37" s="17">
        <f t="shared" si="10"/>
        <v>275.43068100295534</v>
      </c>
      <c r="D37" s="17">
        <f t="shared" si="11"/>
        <v>547.75264220336317</v>
      </c>
      <c r="E37" s="17">
        <f t="shared" si="12"/>
        <v>823.18332320631851</v>
      </c>
      <c r="F37" s="17">
        <f t="shared" si="13"/>
        <v>164050.36198000598</v>
      </c>
    </row>
    <row r="38" spans="1:6" x14ac:dyDescent="0.2">
      <c r="A38" s="16" t="s">
        <v>71</v>
      </c>
      <c r="B38" s="17">
        <f t="shared" si="14"/>
        <v>164050.36198000598</v>
      </c>
      <c r="C38" s="17">
        <f t="shared" si="10"/>
        <v>276.34878327296519</v>
      </c>
      <c r="D38" s="17">
        <f t="shared" si="11"/>
        <v>546.83453993335331</v>
      </c>
      <c r="E38" s="17">
        <f t="shared" si="12"/>
        <v>823.18332320631851</v>
      </c>
      <c r="F38" s="17">
        <f t="shared" si="13"/>
        <v>163774.01319673302</v>
      </c>
    </row>
    <row r="39" spans="1:6" x14ac:dyDescent="0.2">
      <c r="A39" s="16" t="s">
        <v>72</v>
      </c>
      <c r="B39" s="17">
        <f t="shared" si="14"/>
        <v>163774.01319673302</v>
      </c>
      <c r="C39" s="17">
        <f t="shared" si="10"/>
        <v>277.26994588387504</v>
      </c>
      <c r="D39" s="17">
        <f t="shared" si="11"/>
        <v>545.91337732244347</v>
      </c>
      <c r="E39" s="17">
        <f t="shared" si="12"/>
        <v>823.18332320631851</v>
      </c>
      <c r="F39" s="17">
        <f t="shared" si="13"/>
        <v>163496.74325084916</v>
      </c>
    </row>
    <row r="40" spans="1:6" x14ac:dyDescent="0.2">
      <c r="A40" s="16" t="s">
        <v>73</v>
      </c>
      <c r="B40" s="17">
        <f t="shared" si="14"/>
        <v>163496.74325084916</v>
      </c>
      <c r="C40" s="17">
        <f t="shared" si="10"/>
        <v>278.19417903682131</v>
      </c>
      <c r="D40" s="17">
        <f t="shared" si="11"/>
        <v>544.98914416949719</v>
      </c>
      <c r="E40" s="17">
        <f t="shared" si="12"/>
        <v>823.18332320631851</v>
      </c>
      <c r="F40" s="17">
        <f t="shared" si="13"/>
        <v>163218.54907181233</v>
      </c>
    </row>
    <row r="41" spans="1:6" x14ac:dyDescent="0.2">
      <c r="A41" s="16" t="s">
        <v>74</v>
      </c>
      <c r="B41" s="17">
        <f t="shared" si="14"/>
        <v>163218.54907181233</v>
      </c>
      <c r="C41" s="17">
        <f t="shared" si="10"/>
        <v>279.12149296694406</v>
      </c>
      <c r="D41" s="17">
        <f t="shared" si="11"/>
        <v>544.06183023937444</v>
      </c>
      <c r="E41" s="17">
        <f t="shared" si="12"/>
        <v>823.18332320631851</v>
      </c>
      <c r="F41" s="20">
        <f t="shared" si="13"/>
        <v>162939.42757884538</v>
      </c>
    </row>
    <row r="42" spans="1:6" x14ac:dyDescent="0.2">
      <c r="A42" s="21" t="s">
        <v>50</v>
      </c>
      <c r="B42" s="21"/>
      <c r="C42" s="20">
        <f>SUM(C30:C41)</f>
        <v>3288.9279276266079</v>
      </c>
      <c r="D42" s="20">
        <f>SUM(D30:D41)</f>
        <v>6589.2719508492128</v>
      </c>
      <c r="E42" s="17"/>
      <c r="F42" s="17"/>
    </row>
    <row r="43" spans="1:6" x14ac:dyDescent="0.2">
      <c r="A43" s="16"/>
      <c r="B43" s="16"/>
      <c r="C43" s="17"/>
      <c r="D43" s="17"/>
      <c r="E43" s="17"/>
      <c r="F43" s="17"/>
    </row>
    <row r="44" spans="1:6" x14ac:dyDescent="0.2">
      <c r="A44" s="16" t="s">
        <v>63</v>
      </c>
      <c r="B44" s="17">
        <f>+F41</f>
        <v>162939.42757884538</v>
      </c>
      <c r="C44" s="17">
        <f t="shared" ref="C44:C55" si="15">+E44-D44</f>
        <v>280.05189794350053</v>
      </c>
      <c r="D44" s="17">
        <f t="shared" ref="D44:D55" si="16">B44*$I$2</f>
        <v>543.13142526281797</v>
      </c>
      <c r="E44" s="17">
        <f t="shared" ref="E44:E55" si="17">-$I$8</f>
        <v>823.18332320631851</v>
      </c>
      <c r="F44" s="17">
        <f t="shared" ref="F44:F55" si="18">+B44-C44</f>
        <v>162659.37568090187</v>
      </c>
    </row>
    <row r="45" spans="1:6" x14ac:dyDescent="0.2">
      <c r="A45" s="16" t="s">
        <v>64</v>
      </c>
      <c r="B45" s="17">
        <f t="shared" ref="B45:B55" si="19">+F44</f>
        <v>162659.37568090187</v>
      </c>
      <c r="C45" s="17">
        <f t="shared" si="15"/>
        <v>280.98540426997886</v>
      </c>
      <c r="D45" s="17">
        <f t="shared" si="16"/>
        <v>542.19791893633965</v>
      </c>
      <c r="E45" s="17">
        <f t="shared" si="17"/>
        <v>823.18332320631851</v>
      </c>
      <c r="F45" s="17">
        <f t="shared" si="18"/>
        <v>162378.39027663189</v>
      </c>
    </row>
    <row r="46" spans="1:6" x14ac:dyDescent="0.2">
      <c r="A46" s="16" t="s">
        <v>65</v>
      </c>
      <c r="B46" s="17">
        <f t="shared" si="19"/>
        <v>162378.39027663189</v>
      </c>
      <c r="C46" s="17">
        <f t="shared" si="15"/>
        <v>281.92202228421218</v>
      </c>
      <c r="D46" s="17">
        <f t="shared" si="16"/>
        <v>541.26130092210633</v>
      </c>
      <c r="E46" s="17">
        <f t="shared" si="17"/>
        <v>823.18332320631851</v>
      </c>
      <c r="F46" s="17">
        <f t="shared" si="18"/>
        <v>162096.46825434768</v>
      </c>
    </row>
    <row r="47" spans="1:6" x14ac:dyDescent="0.2">
      <c r="A47" s="16" t="s">
        <v>66</v>
      </c>
      <c r="B47" s="17">
        <f t="shared" si="19"/>
        <v>162096.46825434768</v>
      </c>
      <c r="C47" s="17">
        <f t="shared" si="15"/>
        <v>282.86176235849291</v>
      </c>
      <c r="D47" s="17">
        <f t="shared" si="16"/>
        <v>540.32156084782559</v>
      </c>
      <c r="E47" s="17">
        <f t="shared" si="17"/>
        <v>823.18332320631851</v>
      </c>
      <c r="F47" s="17">
        <f t="shared" si="18"/>
        <v>161813.60649198919</v>
      </c>
    </row>
    <row r="48" spans="1:6" x14ac:dyDescent="0.2">
      <c r="A48" s="16" t="s">
        <v>67</v>
      </c>
      <c r="B48" s="17">
        <f t="shared" si="19"/>
        <v>161813.60649198919</v>
      </c>
      <c r="C48" s="17">
        <f t="shared" si="15"/>
        <v>283.80463489968781</v>
      </c>
      <c r="D48" s="17">
        <f t="shared" si="16"/>
        <v>539.37868830663069</v>
      </c>
      <c r="E48" s="17">
        <f t="shared" si="17"/>
        <v>823.18332320631851</v>
      </c>
      <c r="F48" s="17">
        <f t="shared" si="18"/>
        <v>161529.80185708951</v>
      </c>
    </row>
    <row r="49" spans="1:7" x14ac:dyDescent="0.2">
      <c r="A49" s="16" t="s">
        <v>68</v>
      </c>
      <c r="B49" s="17">
        <f t="shared" si="19"/>
        <v>161529.80185708951</v>
      </c>
      <c r="C49" s="17">
        <f t="shared" si="15"/>
        <v>284.75065034935346</v>
      </c>
      <c r="D49" s="17">
        <f t="shared" si="16"/>
        <v>538.43267285696504</v>
      </c>
      <c r="E49" s="17">
        <f t="shared" si="17"/>
        <v>823.18332320631851</v>
      </c>
      <c r="F49" s="17">
        <f t="shared" si="18"/>
        <v>161245.05120674014</v>
      </c>
    </row>
    <row r="50" spans="1:7" x14ac:dyDescent="0.2">
      <c r="A50" s="16" t="s">
        <v>69</v>
      </c>
      <c r="B50" s="17">
        <f t="shared" si="19"/>
        <v>161245.05120674014</v>
      </c>
      <c r="C50" s="17">
        <f t="shared" si="15"/>
        <v>285.69981918385133</v>
      </c>
      <c r="D50" s="17">
        <f t="shared" si="16"/>
        <v>537.48350402246717</v>
      </c>
      <c r="E50" s="17">
        <f t="shared" si="17"/>
        <v>823.18332320631851</v>
      </c>
      <c r="F50" s="17">
        <f t="shared" si="18"/>
        <v>160959.35138755629</v>
      </c>
    </row>
    <row r="51" spans="1:7" x14ac:dyDescent="0.2">
      <c r="A51" s="16" t="s">
        <v>70</v>
      </c>
      <c r="B51" s="17">
        <f t="shared" si="19"/>
        <v>160959.35138755629</v>
      </c>
      <c r="C51" s="17">
        <f t="shared" si="15"/>
        <v>286.65215191446418</v>
      </c>
      <c r="D51" s="17">
        <f t="shared" si="16"/>
        <v>536.53117129185432</v>
      </c>
      <c r="E51" s="17">
        <f t="shared" si="17"/>
        <v>823.18332320631851</v>
      </c>
      <c r="F51" s="17">
        <f t="shared" si="18"/>
        <v>160672.69923564183</v>
      </c>
    </row>
    <row r="52" spans="1:7" x14ac:dyDescent="0.2">
      <c r="A52" s="16" t="s">
        <v>71</v>
      </c>
      <c r="B52" s="17">
        <f t="shared" si="19"/>
        <v>160672.69923564183</v>
      </c>
      <c r="C52" s="17">
        <f t="shared" si="15"/>
        <v>287.60765908751239</v>
      </c>
      <c r="D52" s="17">
        <f t="shared" si="16"/>
        <v>535.57566411880612</v>
      </c>
      <c r="E52" s="17">
        <f t="shared" si="17"/>
        <v>823.18332320631851</v>
      </c>
      <c r="F52" s="17">
        <f t="shared" si="18"/>
        <v>160385.09157655432</v>
      </c>
    </row>
    <row r="53" spans="1:7" x14ac:dyDescent="0.2">
      <c r="A53" s="16" t="s">
        <v>72</v>
      </c>
      <c r="B53" s="17">
        <f t="shared" si="19"/>
        <v>160385.09157655432</v>
      </c>
      <c r="C53" s="17">
        <f t="shared" si="15"/>
        <v>288.56635128447078</v>
      </c>
      <c r="D53" s="17">
        <f t="shared" si="16"/>
        <v>534.61697192184772</v>
      </c>
      <c r="E53" s="17">
        <f t="shared" si="17"/>
        <v>823.18332320631851</v>
      </c>
      <c r="F53" s="17">
        <f t="shared" si="18"/>
        <v>160096.52522526984</v>
      </c>
    </row>
    <row r="54" spans="1:7" x14ac:dyDescent="0.2">
      <c r="A54" s="16" t="s">
        <v>73</v>
      </c>
      <c r="B54" s="17">
        <f t="shared" si="19"/>
        <v>160096.52522526984</v>
      </c>
      <c r="C54" s="17">
        <f t="shared" si="15"/>
        <v>289.52823912208567</v>
      </c>
      <c r="D54" s="17">
        <f t="shared" si="16"/>
        <v>533.65508408423284</v>
      </c>
      <c r="E54" s="17">
        <f t="shared" si="17"/>
        <v>823.18332320631851</v>
      </c>
      <c r="F54" s="17">
        <f t="shared" si="18"/>
        <v>159806.99698614774</v>
      </c>
    </row>
    <row r="55" spans="1:7" x14ac:dyDescent="0.2">
      <c r="A55" s="16" t="s">
        <v>74</v>
      </c>
      <c r="B55" s="17">
        <f t="shared" si="19"/>
        <v>159806.99698614774</v>
      </c>
      <c r="C55" s="17">
        <f t="shared" si="15"/>
        <v>290.49333325249268</v>
      </c>
      <c r="D55" s="17">
        <f t="shared" si="16"/>
        <v>532.68998995382583</v>
      </c>
      <c r="E55" s="17">
        <f t="shared" si="17"/>
        <v>823.18332320631851</v>
      </c>
      <c r="F55" s="20">
        <f t="shared" si="18"/>
        <v>159516.50365289525</v>
      </c>
      <c r="G55" s="17"/>
    </row>
    <row r="56" spans="1:7" x14ac:dyDescent="0.2">
      <c r="A56" s="21" t="s">
        <v>50</v>
      </c>
      <c r="B56" s="21"/>
      <c r="C56" s="20">
        <f>SUM(C44:C55)</f>
        <v>3422.9239259501028</v>
      </c>
      <c r="D56" s="20">
        <f>SUM(D44:D55)</f>
        <v>6455.2759525257197</v>
      </c>
      <c r="E56" s="17"/>
      <c r="F56" s="17"/>
    </row>
    <row r="58" spans="1:7" x14ac:dyDescent="0.2">
      <c r="A58" s="16" t="s">
        <v>63</v>
      </c>
      <c r="B58" s="17">
        <f>+F55</f>
        <v>159516.50365289525</v>
      </c>
      <c r="C58" s="17">
        <f t="shared" ref="C58:C69" si="20">+E58-D58</f>
        <v>291.46164436333436</v>
      </c>
      <c r="D58" s="17">
        <f t="shared" ref="D58:D69" si="21">B58*$I$2</f>
        <v>531.72167884298415</v>
      </c>
      <c r="E58" s="17">
        <f t="shared" ref="E58:E69" si="22">-$I$8</f>
        <v>823.18332320631851</v>
      </c>
      <c r="F58" s="17">
        <f t="shared" ref="F58:F69" si="23">+B58-C58</f>
        <v>159225.04200853192</v>
      </c>
    </row>
    <row r="59" spans="1:7" x14ac:dyDescent="0.2">
      <c r="A59" s="16" t="s">
        <v>64</v>
      </c>
      <c r="B59" s="17">
        <f t="shared" ref="B59:B69" si="24">+F58</f>
        <v>159225.04200853192</v>
      </c>
      <c r="C59" s="17">
        <f t="shared" si="20"/>
        <v>292.43318317787873</v>
      </c>
      <c r="D59" s="17">
        <f t="shared" si="21"/>
        <v>530.75014002843977</v>
      </c>
      <c r="E59" s="17">
        <f t="shared" si="22"/>
        <v>823.18332320631851</v>
      </c>
      <c r="F59" s="17">
        <f t="shared" si="23"/>
        <v>158932.60882535405</v>
      </c>
    </row>
    <row r="60" spans="1:7" x14ac:dyDescent="0.2">
      <c r="A60" s="16" t="s">
        <v>65</v>
      </c>
      <c r="B60" s="17">
        <f t="shared" si="24"/>
        <v>158932.60882535405</v>
      </c>
      <c r="C60" s="17">
        <f t="shared" si="20"/>
        <v>293.40796045513832</v>
      </c>
      <c r="D60" s="17">
        <f t="shared" si="21"/>
        <v>529.77536275118018</v>
      </c>
      <c r="E60" s="17">
        <f t="shared" si="22"/>
        <v>823.18332320631851</v>
      </c>
      <c r="F60" s="17">
        <f t="shared" si="23"/>
        <v>158639.20086489891</v>
      </c>
    </row>
    <row r="61" spans="1:7" x14ac:dyDescent="0.2">
      <c r="A61" s="16" t="s">
        <v>66</v>
      </c>
      <c r="B61" s="17">
        <f t="shared" si="24"/>
        <v>158639.20086489891</v>
      </c>
      <c r="C61" s="17">
        <f t="shared" si="20"/>
        <v>294.38598698998874</v>
      </c>
      <c r="D61" s="17">
        <f t="shared" si="21"/>
        <v>528.79733621632977</v>
      </c>
      <c r="E61" s="17">
        <f t="shared" si="22"/>
        <v>823.18332320631851</v>
      </c>
      <c r="F61" s="17">
        <f t="shared" si="23"/>
        <v>158344.81487790894</v>
      </c>
    </row>
    <row r="62" spans="1:7" x14ac:dyDescent="0.2">
      <c r="A62" s="16" t="s">
        <v>67</v>
      </c>
      <c r="B62" s="17">
        <f t="shared" si="24"/>
        <v>158344.81487790894</v>
      </c>
      <c r="C62" s="17">
        <f t="shared" si="20"/>
        <v>295.36727361328872</v>
      </c>
      <c r="D62" s="17">
        <f t="shared" si="21"/>
        <v>527.81604959302979</v>
      </c>
      <c r="E62" s="17">
        <f t="shared" si="22"/>
        <v>823.18332320631851</v>
      </c>
      <c r="F62" s="17">
        <f t="shared" si="23"/>
        <v>158049.44760429565</v>
      </c>
    </row>
    <row r="63" spans="1:7" x14ac:dyDescent="0.2">
      <c r="A63" s="16" t="s">
        <v>68</v>
      </c>
      <c r="B63" s="17">
        <f t="shared" si="24"/>
        <v>158049.44760429565</v>
      </c>
      <c r="C63" s="17">
        <f t="shared" si="20"/>
        <v>296.35183119199962</v>
      </c>
      <c r="D63" s="17">
        <f t="shared" si="21"/>
        <v>526.83149201431888</v>
      </c>
      <c r="E63" s="17">
        <f t="shared" si="22"/>
        <v>823.18332320631851</v>
      </c>
      <c r="F63" s="17">
        <f t="shared" si="23"/>
        <v>157753.09577310365</v>
      </c>
    </row>
    <row r="64" spans="1:7" x14ac:dyDescent="0.2">
      <c r="A64" s="16" t="s">
        <v>69</v>
      </c>
      <c r="B64" s="17">
        <f t="shared" si="24"/>
        <v>157753.09577310365</v>
      </c>
      <c r="C64" s="17">
        <f t="shared" si="20"/>
        <v>297.33967062930628</v>
      </c>
      <c r="D64" s="17">
        <f t="shared" si="21"/>
        <v>525.84365257701222</v>
      </c>
      <c r="E64" s="17">
        <f t="shared" si="22"/>
        <v>823.18332320631851</v>
      </c>
      <c r="F64" s="17">
        <f t="shared" si="23"/>
        <v>157455.75610247435</v>
      </c>
    </row>
    <row r="65" spans="1:6" x14ac:dyDescent="0.2">
      <c r="A65" s="16" t="s">
        <v>70</v>
      </c>
      <c r="B65" s="17">
        <f t="shared" si="24"/>
        <v>157455.75610247435</v>
      </c>
      <c r="C65" s="17">
        <f t="shared" si="20"/>
        <v>298.33080286473728</v>
      </c>
      <c r="D65" s="17">
        <f t="shared" si="21"/>
        <v>524.85252034158123</v>
      </c>
      <c r="E65" s="17">
        <f t="shared" si="22"/>
        <v>823.18332320631851</v>
      </c>
      <c r="F65" s="17">
        <f t="shared" si="23"/>
        <v>157157.4252996096</v>
      </c>
    </row>
    <row r="66" spans="1:6" x14ac:dyDescent="0.2">
      <c r="A66" s="16" t="s">
        <v>71</v>
      </c>
      <c r="B66" s="17">
        <f t="shared" si="24"/>
        <v>157157.4252996096</v>
      </c>
      <c r="C66" s="17">
        <f t="shared" si="20"/>
        <v>299.32523887428647</v>
      </c>
      <c r="D66" s="17">
        <f t="shared" si="21"/>
        <v>523.85808433203204</v>
      </c>
      <c r="E66" s="17">
        <f t="shared" si="22"/>
        <v>823.18332320631851</v>
      </c>
      <c r="F66" s="17">
        <f t="shared" si="23"/>
        <v>156858.10006073531</v>
      </c>
    </row>
    <row r="67" spans="1:6" x14ac:dyDescent="0.2">
      <c r="A67" s="16" t="s">
        <v>72</v>
      </c>
      <c r="B67" s="17">
        <f t="shared" si="24"/>
        <v>156858.10006073531</v>
      </c>
      <c r="C67" s="17">
        <f t="shared" si="20"/>
        <v>300.32298967053407</v>
      </c>
      <c r="D67" s="17">
        <f t="shared" si="21"/>
        <v>522.86033353578443</v>
      </c>
      <c r="E67" s="17">
        <f t="shared" si="22"/>
        <v>823.18332320631851</v>
      </c>
      <c r="F67" s="17">
        <f t="shared" si="23"/>
        <v>156557.77707106477</v>
      </c>
    </row>
    <row r="68" spans="1:6" x14ac:dyDescent="0.2">
      <c r="A68" s="16" t="s">
        <v>73</v>
      </c>
      <c r="B68" s="17">
        <f t="shared" si="24"/>
        <v>156557.77707106477</v>
      </c>
      <c r="C68" s="17">
        <f t="shared" si="20"/>
        <v>301.32406630276921</v>
      </c>
      <c r="D68" s="17">
        <f t="shared" si="21"/>
        <v>521.85925690354929</v>
      </c>
      <c r="E68" s="17">
        <f t="shared" si="22"/>
        <v>823.18332320631851</v>
      </c>
      <c r="F68" s="17">
        <f t="shared" si="23"/>
        <v>156256.45300476201</v>
      </c>
    </row>
    <row r="69" spans="1:6" x14ac:dyDescent="0.2">
      <c r="A69" s="16" t="s">
        <v>74</v>
      </c>
      <c r="B69" s="17">
        <f t="shared" si="24"/>
        <v>156256.45300476201</v>
      </c>
      <c r="C69" s="17">
        <f t="shared" si="20"/>
        <v>302.3284798571118</v>
      </c>
      <c r="D69" s="17">
        <f t="shared" si="21"/>
        <v>520.8548433492067</v>
      </c>
      <c r="E69" s="17">
        <f t="shared" si="22"/>
        <v>823.18332320631851</v>
      </c>
      <c r="F69" s="20">
        <f t="shared" si="23"/>
        <v>155954.12452490488</v>
      </c>
    </row>
    <row r="70" spans="1:6" x14ac:dyDescent="0.2">
      <c r="A70" s="21" t="s">
        <v>50</v>
      </c>
      <c r="B70" s="21"/>
      <c r="C70" s="20">
        <f>SUM(C58:C69)</f>
        <v>3562.3791279903739</v>
      </c>
      <c r="D70" s="20">
        <f>SUM(D58:D69)</f>
        <v>6315.820750485449</v>
      </c>
      <c r="E70" s="17"/>
      <c r="F70" s="17"/>
    </row>
    <row r="72" spans="1:6" x14ac:dyDescent="0.2">
      <c r="A72" s="16" t="s">
        <v>63</v>
      </c>
      <c r="B72" s="17">
        <f>+F69</f>
        <v>155954.12452490488</v>
      </c>
      <c r="C72" s="17">
        <f t="shared" ref="C72:C83" si="25">+E72-D72</f>
        <v>303.33624145663555</v>
      </c>
      <c r="D72" s="17">
        <f t="shared" ref="D72:D83" si="26">B72*$I$2</f>
        <v>519.84708174968296</v>
      </c>
      <c r="E72" s="17">
        <f t="shared" ref="E72:E83" si="27">-$I$8</f>
        <v>823.18332320631851</v>
      </c>
      <c r="F72" s="17">
        <f t="shared" ref="F72:F83" si="28">+B72-C72</f>
        <v>155650.78828344826</v>
      </c>
    </row>
    <row r="73" spans="1:6" x14ac:dyDescent="0.2">
      <c r="A73" s="16" t="s">
        <v>64</v>
      </c>
      <c r="B73" s="17">
        <f t="shared" ref="B73:B83" si="29">+F72</f>
        <v>155650.78828344826</v>
      </c>
      <c r="C73" s="17">
        <f t="shared" si="25"/>
        <v>304.34736226149096</v>
      </c>
      <c r="D73" s="17">
        <f t="shared" si="26"/>
        <v>518.83596094482755</v>
      </c>
      <c r="E73" s="17">
        <f t="shared" si="27"/>
        <v>823.18332320631851</v>
      </c>
      <c r="F73" s="17">
        <f t="shared" si="28"/>
        <v>155346.44092118676</v>
      </c>
    </row>
    <row r="74" spans="1:6" x14ac:dyDescent="0.2">
      <c r="A74" s="16" t="s">
        <v>65</v>
      </c>
      <c r="B74" s="17">
        <f t="shared" si="29"/>
        <v>155346.44092118676</v>
      </c>
      <c r="C74" s="17">
        <f t="shared" si="25"/>
        <v>305.36185346902926</v>
      </c>
      <c r="D74" s="17">
        <f t="shared" si="26"/>
        <v>517.82146973728925</v>
      </c>
      <c r="E74" s="17">
        <f t="shared" si="27"/>
        <v>823.18332320631851</v>
      </c>
      <c r="F74" s="17">
        <f t="shared" si="28"/>
        <v>155041.07906771774</v>
      </c>
    </row>
    <row r="75" spans="1:6" x14ac:dyDescent="0.2">
      <c r="A75" s="16" t="s">
        <v>66</v>
      </c>
      <c r="B75" s="17">
        <f t="shared" si="29"/>
        <v>155041.07906771774</v>
      </c>
      <c r="C75" s="17">
        <f t="shared" si="25"/>
        <v>306.37972631392597</v>
      </c>
      <c r="D75" s="17">
        <f t="shared" si="26"/>
        <v>516.80359689239253</v>
      </c>
      <c r="E75" s="17">
        <f t="shared" si="27"/>
        <v>823.18332320631851</v>
      </c>
      <c r="F75" s="17">
        <f t="shared" si="28"/>
        <v>154734.69934140382</v>
      </c>
    </row>
    <row r="76" spans="1:6" x14ac:dyDescent="0.2">
      <c r="A76" s="16" t="s">
        <v>67</v>
      </c>
      <c r="B76" s="17">
        <f t="shared" si="29"/>
        <v>154734.69934140382</v>
      </c>
      <c r="C76" s="17">
        <f t="shared" si="25"/>
        <v>307.40099206830575</v>
      </c>
      <c r="D76" s="17">
        <f t="shared" si="26"/>
        <v>515.78233113801275</v>
      </c>
      <c r="E76" s="17">
        <f t="shared" si="27"/>
        <v>823.18332320631851</v>
      </c>
      <c r="F76" s="17">
        <f t="shared" si="28"/>
        <v>154427.2983493355</v>
      </c>
    </row>
    <row r="77" spans="1:6" x14ac:dyDescent="0.2">
      <c r="A77" s="16" t="s">
        <v>68</v>
      </c>
      <c r="B77" s="17">
        <f t="shared" si="29"/>
        <v>154427.2983493355</v>
      </c>
      <c r="C77" s="17">
        <f t="shared" si="25"/>
        <v>308.42566204186676</v>
      </c>
      <c r="D77" s="17">
        <f t="shared" si="26"/>
        <v>514.75766116445175</v>
      </c>
      <c r="E77" s="17">
        <f t="shared" si="27"/>
        <v>823.18332320631851</v>
      </c>
      <c r="F77" s="17">
        <f t="shared" si="28"/>
        <v>154118.87268729362</v>
      </c>
    </row>
    <row r="78" spans="1:6" x14ac:dyDescent="0.2">
      <c r="A78" s="16" t="s">
        <v>69</v>
      </c>
      <c r="B78" s="17">
        <f t="shared" si="29"/>
        <v>154118.87268729362</v>
      </c>
      <c r="C78" s="17">
        <f t="shared" si="25"/>
        <v>309.45374758200637</v>
      </c>
      <c r="D78" s="17">
        <f t="shared" si="26"/>
        <v>513.72957562431213</v>
      </c>
      <c r="E78" s="17">
        <f t="shared" si="27"/>
        <v>823.18332320631851</v>
      </c>
      <c r="F78" s="17">
        <f t="shared" si="28"/>
        <v>153809.41893971161</v>
      </c>
    </row>
    <row r="79" spans="1:6" x14ac:dyDescent="0.2">
      <c r="A79" s="16" t="s">
        <v>70</v>
      </c>
      <c r="B79" s="17">
        <f t="shared" si="29"/>
        <v>153809.41893971161</v>
      </c>
      <c r="C79" s="17">
        <f t="shared" si="25"/>
        <v>310.48526007394639</v>
      </c>
      <c r="D79" s="17">
        <f t="shared" si="26"/>
        <v>512.69806313237211</v>
      </c>
      <c r="E79" s="17">
        <f t="shared" si="27"/>
        <v>823.18332320631851</v>
      </c>
      <c r="F79" s="17">
        <f t="shared" si="28"/>
        <v>153498.93367963767</v>
      </c>
    </row>
    <row r="80" spans="1:6" x14ac:dyDescent="0.2">
      <c r="A80" s="16" t="s">
        <v>71</v>
      </c>
      <c r="B80" s="17">
        <f t="shared" si="29"/>
        <v>153498.93367963767</v>
      </c>
      <c r="C80" s="17">
        <f t="shared" si="25"/>
        <v>311.52021094085956</v>
      </c>
      <c r="D80" s="17">
        <f t="shared" si="26"/>
        <v>511.66311226545895</v>
      </c>
      <c r="E80" s="17">
        <f t="shared" si="27"/>
        <v>823.18332320631851</v>
      </c>
      <c r="F80" s="17">
        <f t="shared" si="28"/>
        <v>153187.41346869682</v>
      </c>
    </row>
    <row r="81" spans="1:6" x14ac:dyDescent="0.2">
      <c r="A81" s="16" t="s">
        <v>72</v>
      </c>
      <c r="B81" s="17">
        <f t="shared" si="29"/>
        <v>153187.41346869682</v>
      </c>
      <c r="C81" s="17">
        <f t="shared" si="25"/>
        <v>312.55861164399573</v>
      </c>
      <c r="D81" s="17">
        <f t="shared" si="26"/>
        <v>510.62471156232277</v>
      </c>
      <c r="E81" s="17">
        <f t="shared" si="27"/>
        <v>823.18332320631851</v>
      </c>
      <c r="F81" s="17">
        <f t="shared" si="28"/>
        <v>152874.85485705282</v>
      </c>
    </row>
    <row r="82" spans="1:6" x14ac:dyDescent="0.2">
      <c r="A82" s="16" t="s">
        <v>73</v>
      </c>
      <c r="B82" s="17">
        <f t="shared" si="29"/>
        <v>152874.85485705282</v>
      </c>
      <c r="C82" s="17">
        <f t="shared" si="25"/>
        <v>313.60047368280908</v>
      </c>
      <c r="D82" s="17">
        <f t="shared" si="26"/>
        <v>509.58284952350942</v>
      </c>
      <c r="E82" s="17">
        <f t="shared" si="27"/>
        <v>823.18332320631851</v>
      </c>
      <c r="F82" s="17">
        <f t="shared" si="28"/>
        <v>152561.25438337002</v>
      </c>
    </row>
    <row r="83" spans="1:6" x14ac:dyDescent="0.2">
      <c r="A83" s="16" t="s">
        <v>74</v>
      </c>
      <c r="B83" s="17">
        <f t="shared" si="29"/>
        <v>152561.25438337002</v>
      </c>
      <c r="C83" s="17">
        <f t="shared" si="25"/>
        <v>314.6458085950851</v>
      </c>
      <c r="D83" s="17">
        <f t="shared" si="26"/>
        <v>508.53751461123341</v>
      </c>
      <c r="E83" s="17">
        <f t="shared" si="27"/>
        <v>823.18332320631851</v>
      </c>
      <c r="F83" s="20">
        <f t="shared" si="28"/>
        <v>152246.60857477493</v>
      </c>
    </row>
    <row r="84" spans="1:6" x14ac:dyDescent="0.2">
      <c r="A84" s="21" t="s">
        <v>50</v>
      </c>
      <c r="B84" s="21"/>
      <c r="C84" s="20">
        <f>SUM(C72:C83)</f>
        <v>3707.5159501299568</v>
      </c>
      <c r="D84" s="20">
        <f>SUM(D72:D83)</f>
        <v>6170.6839283458658</v>
      </c>
      <c r="E84" s="17"/>
      <c r="F84" s="17"/>
    </row>
    <row r="85" spans="1:6" x14ac:dyDescent="0.2">
      <c r="B85" s="16"/>
      <c r="C85" s="17"/>
      <c r="D85" s="17"/>
      <c r="E85" s="17"/>
      <c r="F85" s="17"/>
    </row>
    <row r="86" spans="1:6" x14ac:dyDescent="0.2">
      <c r="A86" s="16" t="s">
        <v>63</v>
      </c>
      <c r="B86" s="17">
        <f>+F83</f>
        <v>152246.60857477493</v>
      </c>
      <c r="C86" s="17">
        <f t="shared" ref="C86:C97" si="30">+E86-D86</f>
        <v>315.69462795706869</v>
      </c>
      <c r="D86" s="17">
        <f t="shared" ref="D86:D97" si="31">B86*$I$2</f>
        <v>507.48869524924982</v>
      </c>
      <c r="E86" s="17">
        <f t="shared" ref="E86:E97" si="32">-$I$8</f>
        <v>823.18332320631851</v>
      </c>
      <c r="F86" s="17">
        <f t="shared" ref="F86:F97" si="33">+B86-C86</f>
        <v>151930.91394681786</v>
      </c>
    </row>
    <row r="87" spans="1:6" x14ac:dyDescent="0.2">
      <c r="A87" s="16" t="s">
        <v>64</v>
      </c>
      <c r="B87" s="17">
        <f t="shared" ref="B87:B97" si="34">+F86</f>
        <v>151930.91394681786</v>
      </c>
      <c r="C87" s="17">
        <f t="shared" si="30"/>
        <v>316.74694338359228</v>
      </c>
      <c r="D87" s="17">
        <f t="shared" si="31"/>
        <v>506.43637982272622</v>
      </c>
      <c r="E87" s="17">
        <f t="shared" si="32"/>
        <v>823.18332320631851</v>
      </c>
      <c r="F87" s="17">
        <f t="shared" si="33"/>
        <v>151614.16700343427</v>
      </c>
    </row>
    <row r="88" spans="1:6" x14ac:dyDescent="0.2">
      <c r="A88" s="16" t="s">
        <v>65</v>
      </c>
      <c r="B88" s="17">
        <f t="shared" si="34"/>
        <v>151614.16700343427</v>
      </c>
      <c r="C88" s="17">
        <f t="shared" si="30"/>
        <v>317.80276652820424</v>
      </c>
      <c r="D88" s="17">
        <f t="shared" si="31"/>
        <v>505.38055667811426</v>
      </c>
      <c r="E88" s="17">
        <f t="shared" si="32"/>
        <v>823.18332320631851</v>
      </c>
      <c r="F88" s="17">
        <f t="shared" si="33"/>
        <v>151296.36423690605</v>
      </c>
    </row>
    <row r="89" spans="1:6" x14ac:dyDescent="0.2">
      <c r="A89" s="16" t="s">
        <v>66</v>
      </c>
      <c r="B89" s="17">
        <f t="shared" si="34"/>
        <v>151296.36423690605</v>
      </c>
      <c r="C89" s="17">
        <f t="shared" si="30"/>
        <v>318.86210908329826</v>
      </c>
      <c r="D89" s="17">
        <f t="shared" si="31"/>
        <v>504.32121412302024</v>
      </c>
      <c r="E89" s="17">
        <f t="shared" si="32"/>
        <v>823.18332320631851</v>
      </c>
      <c r="F89" s="17">
        <f t="shared" si="33"/>
        <v>150977.50212782275</v>
      </c>
    </row>
    <row r="90" spans="1:6" x14ac:dyDescent="0.2">
      <c r="A90" s="16" t="s">
        <v>67</v>
      </c>
      <c r="B90" s="17">
        <f t="shared" si="34"/>
        <v>150977.50212782275</v>
      </c>
      <c r="C90" s="17">
        <f t="shared" si="30"/>
        <v>319.92498278024266</v>
      </c>
      <c r="D90" s="17">
        <f t="shared" si="31"/>
        <v>503.25834042607585</v>
      </c>
      <c r="E90" s="17">
        <f t="shared" si="32"/>
        <v>823.18332320631851</v>
      </c>
      <c r="F90" s="17">
        <f t="shared" si="33"/>
        <v>150657.57714504251</v>
      </c>
    </row>
    <row r="91" spans="1:6" x14ac:dyDescent="0.2">
      <c r="A91" s="16" t="s">
        <v>68</v>
      </c>
      <c r="B91" s="17">
        <f t="shared" si="34"/>
        <v>150657.57714504251</v>
      </c>
      <c r="C91" s="17">
        <f t="shared" si="30"/>
        <v>320.99139938951009</v>
      </c>
      <c r="D91" s="17">
        <f t="shared" si="31"/>
        <v>502.19192381680841</v>
      </c>
      <c r="E91" s="17">
        <f t="shared" si="32"/>
        <v>823.18332320631851</v>
      </c>
      <c r="F91" s="17">
        <f t="shared" si="33"/>
        <v>150336.58574565299</v>
      </c>
    </row>
    <row r="92" spans="1:6" x14ac:dyDescent="0.2">
      <c r="A92" s="16" t="s">
        <v>69</v>
      </c>
      <c r="B92" s="17">
        <f t="shared" si="34"/>
        <v>150336.58574565299</v>
      </c>
      <c r="C92" s="17">
        <f t="shared" si="30"/>
        <v>322.0613707208085</v>
      </c>
      <c r="D92" s="17">
        <f t="shared" si="31"/>
        <v>501.12195248551001</v>
      </c>
      <c r="E92" s="17">
        <f t="shared" si="32"/>
        <v>823.18332320631851</v>
      </c>
      <c r="F92" s="17">
        <f t="shared" si="33"/>
        <v>150014.5243749322</v>
      </c>
    </row>
    <row r="93" spans="1:6" x14ac:dyDescent="0.2">
      <c r="A93" s="16" t="s">
        <v>70</v>
      </c>
      <c r="B93" s="17">
        <f t="shared" si="34"/>
        <v>150014.5243749322</v>
      </c>
      <c r="C93" s="17">
        <f t="shared" si="30"/>
        <v>323.13490862321117</v>
      </c>
      <c r="D93" s="17">
        <f t="shared" si="31"/>
        <v>500.04841458310733</v>
      </c>
      <c r="E93" s="17">
        <f t="shared" si="32"/>
        <v>823.18332320631851</v>
      </c>
      <c r="F93" s="17">
        <f t="shared" si="33"/>
        <v>149691.38946630899</v>
      </c>
    </row>
    <row r="94" spans="1:6" x14ac:dyDescent="0.2">
      <c r="A94" s="16" t="s">
        <v>71</v>
      </c>
      <c r="B94" s="17">
        <f t="shared" si="34"/>
        <v>149691.38946630899</v>
      </c>
      <c r="C94" s="17">
        <f t="shared" si="30"/>
        <v>324.21202498528851</v>
      </c>
      <c r="D94" s="17">
        <f t="shared" si="31"/>
        <v>498.97129822103</v>
      </c>
      <c r="E94" s="17">
        <f t="shared" si="32"/>
        <v>823.18332320631851</v>
      </c>
      <c r="F94" s="17">
        <f t="shared" si="33"/>
        <v>149367.1774413237</v>
      </c>
    </row>
    <row r="95" spans="1:6" x14ac:dyDescent="0.2">
      <c r="A95" s="16" t="s">
        <v>72</v>
      </c>
      <c r="B95" s="17">
        <f t="shared" si="34"/>
        <v>149367.1774413237</v>
      </c>
      <c r="C95" s="17">
        <f t="shared" si="30"/>
        <v>325.2927317352395</v>
      </c>
      <c r="D95" s="17">
        <f t="shared" si="31"/>
        <v>497.89059147107901</v>
      </c>
      <c r="E95" s="17">
        <f t="shared" si="32"/>
        <v>823.18332320631851</v>
      </c>
      <c r="F95" s="17">
        <f t="shared" si="33"/>
        <v>149041.88470958846</v>
      </c>
    </row>
    <row r="96" spans="1:6" x14ac:dyDescent="0.2">
      <c r="A96" s="16" t="s">
        <v>73</v>
      </c>
      <c r="B96" s="17">
        <f t="shared" si="34"/>
        <v>149041.88470958846</v>
      </c>
      <c r="C96" s="17">
        <f t="shared" si="30"/>
        <v>326.37704084102364</v>
      </c>
      <c r="D96" s="17">
        <f t="shared" si="31"/>
        <v>496.80628236529486</v>
      </c>
      <c r="E96" s="17">
        <f t="shared" si="32"/>
        <v>823.18332320631851</v>
      </c>
      <c r="F96" s="17">
        <f t="shared" si="33"/>
        <v>148715.50766874742</v>
      </c>
    </row>
    <row r="97" spans="1:6" x14ac:dyDescent="0.2">
      <c r="A97" s="16" t="s">
        <v>74</v>
      </c>
      <c r="B97" s="17">
        <f t="shared" si="34"/>
        <v>148715.50766874742</v>
      </c>
      <c r="C97" s="17">
        <f t="shared" si="30"/>
        <v>327.46496431049371</v>
      </c>
      <c r="D97" s="17">
        <f t="shared" si="31"/>
        <v>495.71835889582479</v>
      </c>
      <c r="E97" s="17">
        <f t="shared" si="32"/>
        <v>823.18332320631851</v>
      </c>
      <c r="F97" s="20">
        <f t="shared" si="33"/>
        <v>148388.04270443693</v>
      </c>
    </row>
    <row r="98" spans="1:6" x14ac:dyDescent="0.2">
      <c r="A98" s="21" t="s">
        <v>50</v>
      </c>
      <c r="B98" s="21"/>
      <c r="C98" s="20">
        <f>SUM(C86:C97)</f>
        <v>3858.5658703379818</v>
      </c>
      <c r="D98" s="20">
        <f>SUM(D86:D97)</f>
        <v>6019.6340081378403</v>
      </c>
      <c r="E98" s="17"/>
      <c r="F98" s="17"/>
    </row>
    <row r="99" spans="1:6" x14ac:dyDescent="0.2">
      <c r="B99" s="16"/>
      <c r="C99" s="17"/>
      <c r="D99" s="17"/>
      <c r="E99" s="17"/>
      <c r="F99" s="17"/>
    </row>
    <row r="100" spans="1:6" x14ac:dyDescent="0.2">
      <c r="A100" s="16" t="s">
        <v>63</v>
      </c>
      <c r="B100" s="17">
        <f>+F97</f>
        <v>148388.04270443693</v>
      </c>
      <c r="C100" s="17">
        <f t="shared" ref="C100:C111" si="35">+E100-D100</f>
        <v>328.55651419152872</v>
      </c>
      <c r="D100" s="17">
        <f t="shared" ref="D100:D111" si="36">B100*$I$2</f>
        <v>494.62680901478979</v>
      </c>
      <c r="E100" s="17">
        <f t="shared" ref="E100:E111" si="37">-$I$8</f>
        <v>823.18332320631851</v>
      </c>
      <c r="F100" s="17">
        <f t="shared" ref="F100:F111" si="38">+B100-C100</f>
        <v>148059.4861902454</v>
      </c>
    </row>
    <row r="101" spans="1:6" x14ac:dyDescent="0.2">
      <c r="A101" s="16" t="s">
        <v>64</v>
      </c>
      <c r="B101" s="17">
        <f t="shared" ref="B101:B111" si="39">+F100</f>
        <v>148059.4861902454</v>
      </c>
      <c r="C101" s="17">
        <f t="shared" si="35"/>
        <v>329.65170257216715</v>
      </c>
      <c r="D101" s="17">
        <f t="shared" si="36"/>
        <v>493.53162063415135</v>
      </c>
      <c r="E101" s="17">
        <f t="shared" si="37"/>
        <v>823.18332320631851</v>
      </c>
      <c r="F101" s="17">
        <f t="shared" si="38"/>
        <v>147729.83448767324</v>
      </c>
    </row>
    <row r="102" spans="1:6" x14ac:dyDescent="0.2">
      <c r="A102" s="16" t="s">
        <v>65</v>
      </c>
      <c r="B102" s="17">
        <f t="shared" si="39"/>
        <v>147729.83448767324</v>
      </c>
      <c r="C102" s="17">
        <f t="shared" si="35"/>
        <v>330.75054158074101</v>
      </c>
      <c r="D102" s="17">
        <f t="shared" si="36"/>
        <v>492.43278162557749</v>
      </c>
      <c r="E102" s="17">
        <f t="shared" si="37"/>
        <v>823.18332320631851</v>
      </c>
      <c r="F102" s="17">
        <f t="shared" si="38"/>
        <v>147399.08394609249</v>
      </c>
    </row>
    <row r="103" spans="1:6" x14ac:dyDescent="0.2">
      <c r="A103" s="16" t="s">
        <v>66</v>
      </c>
      <c r="B103" s="17">
        <f t="shared" si="39"/>
        <v>147399.08394609249</v>
      </c>
      <c r="C103" s="17">
        <f t="shared" si="35"/>
        <v>331.85304338601014</v>
      </c>
      <c r="D103" s="17">
        <f t="shared" si="36"/>
        <v>491.33027982030836</v>
      </c>
      <c r="E103" s="17">
        <f t="shared" si="37"/>
        <v>823.18332320631851</v>
      </c>
      <c r="F103" s="17">
        <f t="shared" si="38"/>
        <v>147067.23090270648</v>
      </c>
    </row>
    <row r="104" spans="1:6" x14ac:dyDescent="0.2">
      <c r="A104" s="16" t="s">
        <v>67</v>
      </c>
      <c r="B104" s="17">
        <f t="shared" si="39"/>
        <v>147067.23090270648</v>
      </c>
      <c r="C104" s="17">
        <f t="shared" si="35"/>
        <v>332.95922019729687</v>
      </c>
      <c r="D104" s="17">
        <f t="shared" si="36"/>
        <v>490.22410300902163</v>
      </c>
      <c r="E104" s="17">
        <f t="shared" si="37"/>
        <v>823.18332320631851</v>
      </c>
      <c r="F104" s="17">
        <f t="shared" si="38"/>
        <v>146734.27168250919</v>
      </c>
    </row>
    <row r="105" spans="1:6" x14ac:dyDescent="0.2">
      <c r="A105" s="16" t="s">
        <v>68</v>
      </c>
      <c r="B105" s="17">
        <f t="shared" si="39"/>
        <v>146734.27168250919</v>
      </c>
      <c r="C105" s="17">
        <f t="shared" si="35"/>
        <v>334.06908426462115</v>
      </c>
      <c r="D105" s="17">
        <f t="shared" si="36"/>
        <v>489.11423894169735</v>
      </c>
      <c r="E105" s="17">
        <f t="shared" si="37"/>
        <v>823.18332320631851</v>
      </c>
      <c r="F105" s="17">
        <f t="shared" si="38"/>
        <v>146400.20259824456</v>
      </c>
    </row>
    <row r="106" spans="1:6" x14ac:dyDescent="0.2">
      <c r="A106" s="16" t="s">
        <v>69</v>
      </c>
      <c r="B106" s="17">
        <f t="shared" si="39"/>
        <v>146400.20259824456</v>
      </c>
      <c r="C106" s="17">
        <f t="shared" si="35"/>
        <v>335.18264787883658</v>
      </c>
      <c r="D106" s="17">
        <f t="shared" si="36"/>
        <v>488.00067532748193</v>
      </c>
      <c r="E106" s="17">
        <f t="shared" si="37"/>
        <v>823.18332320631851</v>
      </c>
      <c r="F106" s="17">
        <f t="shared" si="38"/>
        <v>146065.01995036573</v>
      </c>
    </row>
    <row r="107" spans="1:6" x14ac:dyDescent="0.2">
      <c r="A107" s="16" t="s">
        <v>70</v>
      </c>
      <c r="B107" s="17">
        <f t="shared" si="39"/>
        <v>146065.01995036573</v>
      </c>
      <c r="C107" s="17">
        <f t="shared" si="35"/>
        <v>336.299923371766</v>
      </c>
      <c r="D107" s="17">
        <f t="shared" si="36"/>
        <v>486.88339983455251</v>
      </c>
      <c r="E107" s="17">
        <f t="shared" si="37"/>
        <v>823.18332320631851</v>
      </c>
      <c r="F107" s="17">
        <f t="shared" si="38"/>
        <v>145728.72002699398</v>
      </c>
    </row>
    <row r="108" spans="1:6" x14ac:dyDescent="0.2">
      <c r="A108" s="16" t="s">
        <v>71</v>
      </c>
      <c r="B108" s="17">
        <f t="shared" si="39"/>
        <v>145728.72002699398</v>
      </c>
      <c r="C108" s="17">
        <f t="shared" si="35"/>
        <v>337.42092311633854</v>
      </c>
      <c r="D108" s="17">
        <f t="shared" si="36"/>
        <v>485.76240008997996</v>
      </c>
      <c r="E108" s="17">
        <f t="shared" si="37"/>
        <v>823.18332320631851</v>
      </c>
      <c r="F108" s="17">
        <f t="shared" si="38"/>
        <v>145391.29910387765</v>
      </c>
    </row>
    <row r="109" spans="1:6" x14ac:dyDescent="0.2">
      <c r="A109" s="16" t="s">
        <v>72</v>
      </c>
      <c r="B109" s="17">
        <f t="shared" si="39"/>
        <v>145391.29910387765</v>
      </c>
      <c r="C109" s="17">
        <f t="shared" si="35"/>
        <v>338.5456595267263</v>
      </c>
      <c r="D109" s="17">
        <f t="shared" si="36"/>
        <v>484.63766367959221</v>
      </c>
      <c r="E109" s="17">
        <f t="shared" si="37"/>
        <v>823.18332320631851</v>
      </c>
      <c r="F109" s="17">
        <f t="shared" si="38"/>
        <v>145052.75344435094</v>
      </c>
    </row>
    <row r="110" spans="1:6" x14ac:dyDescent="0.2">
      <c r="A110" s="16" t="s">
        <v>73</v>
      </c>
      <c r="B110" s="17">
        <f t="shared" si="39"/>
        <v>145052.75344435094</v>
      </c>
      <c r="C110" s="17">
        <f t="shared" si="35"/>
        <v>339.674145058482</v>
      </c>
      <c r="D110" s="17">
        <f t="shared" si="36"/>
        <v>483.50917814783651</v>
      </c>
      <c r="E110" s="17">
        <f t="shared" si="37"/>
        <v>823.18332320631851</v>
      </c>
      <c r="F110" s="17">
        <f t="shared" si="38"/>
        <v>144713.07929929244</v>
      </c>
    </row>
    <row r="111" spans="1:6" x14ac:dyDescent="0.2">
      <c r="A111" s="16" t="s">
        <v>74</v>
      </c>
      <c r="B111" s="17">
        <f t="shared" si="39"/>
        <v>144713.07929929244</v>
      </c>
      <c r="C111" s="17">
        <f t="shared" si="35"/>
        <v>340.80639220867698</v>
      </c>
      <c r="D111" s="17">
        <f t="shared" si="36"/>
        <v>482.37693099764152</v>
      </c>
      <c r="E111" s="17">
        <f t="shared" si="37"/>
        <v>823.18332320631851</v>
      </c>
      <c r="F111" s="20">
        <f t="shared" si="38"/>
        <v>144372.27290708377</v>
      </c>
    </row>
    <row r="112" spans="1:6" x14ac:dyDescent="0.2">
      <c r="A112" s="21" t="s">
        <v>50</v>
      </c>
      <c r="B112" s="21"/>
      <c r="C112" s="20">
        <f>SUM(C100:C111)</f>
        <v>4015.7697973531917</v>
      </c>
      <c r="D112" s="20">
        <f>SUM(D100:D111)</f>
        <v>5862.4300811226303</v>
      </c>
      <c r="E112" s="17"/>
      <c r="F112" s="17"/>
    </row>
    <row r="114" spans="1:6" x14ac:dyDescent="0.2">
      <c r="A114" s="16" t="s">
        <v>63</v>
      </c>
      <c r="B114" s="17">
        <f>+F111</f>
        <v>144372.27290708377</v>
      </c>
      <c r="C114" s="17">
        <f t="shared" ref="C114:C125" si="40">+E114-D114</f>
        <v>341.94241351603927</v>
      </c>
      <c r="D114" s="17">
        <f t="shared" ref="D114:D125" si="41">B114*$I$2</f>
        <v>481.24090969027924</v>
      </c>
      <c r="E114" s="17">
        <f t="shared" ref="E114:E125" si="42">-$I$8</f>
        <v>823.18332320631851</v>
      </c>
      <c r="F114" s="17">
        <f t="shared" ref="F114:F125" si="43">+B114-C114</f>
        <v>144030.33049356772</v>
      </c>
    </row>
    <row r="115" spans="1:6" x14ac:dyDescent="0.2">
      <c r="A115" s="16" t="s">
        <v>64</v>
      </c>
      <c r="B115" s="17">
        <f t="shared" ref="B115:B125" si="44">+F114</f>
        <v>144030.33049356772</v>
      </c>
      <c r="C115" s="17">
        <f t="shared" si="40"/>
        <v>343.08222156109275</v>
      </c>
      <c r="D115" s="17">
        <f t="shared" si="41"/>
        <v>480.10110164522575</v>
      </c>
      <c r="E115" s="17">
        <f t="shared" si="42"/>
        <v>823.18332320631851</v>
      </c>
      <c r="F115" s="17">
        <f t="shared" si="43"/>
        <v>143687.24827200663</v>
      </c>
    </row>
    <row r="116" spans="1:6" x14ac:dyDescent="0.2">
      <c r="A116" s="16" t="s">
        <v>65</v>
      </c>
      <c r="B116" s="17">
        <f t="shared" si="44"/>
        <v>143687.24827200663</v>
      </c>
      <c r="C116" s="17">
        <f t="shared" si="40"/>
        <v>344.22582896629638</v>
      </c>
      <c r="D116" s="17">
        <f t="shared" si="41"/>
        <v>478.95749424002213</v>
      </c>
      <c r="E116" s="17">
        <f t="shared" si="42"/>
        <v>823.18332320631851</v>
      </c>
      <c r="F116" s="17">
        <f t="shared" si="43"/>
        <v>143343.02244304033</v>
      </c>
    </row>
    <row r="117" spans="1:6" x14ac:dyDescent="0.2">
      <c r="A117" s="16" t="s">
        <v>66</v>
      </c>
      <c r="B117" s="17">
        <f t="shared" si="44"/>
        <v>143343.02244304033</v>
      </c>
      <c r="C117" s="17">
        <f t="shared" si="40"/>
        <v>345.37324839618401</v>
      </c>
      <c r="D117" s="17">
        <f t="shared" si="41"/>
        <v>477.81007481013449</v>
      </c>
      <c r="E117" s="17">
        <f t="shared" si="42"/>
        <v>823.18332320631851</v>
      </c>
      <c r="F117" s="17">
        <f t="shared" si="43"/>
        <v>142997.64919464415</v>
      </c>
    </row>
    <row r="118" spans="1:6" x14ac:dyDescent="0.2">
      <c r="A118" s="16" t="s">
        <v>67</v>
      </c>
      <c r="B118" s="17">
        <f t="shared" si="44"/>
        <v>142997.64919464415</v>
      </c>
      <c r="C118" s="17">
        <f t="shared" si="40"/>
        <v>346.52449255750463</v>
      </c>
      <c r="D118" s="17">
        <f t="shared" si="41"/>
        <v>476.65883064881388</v>
      </c>
      <c r="E118" s="17">
        <f t="shared" si="42"/>
        <v>823.18332320631851</v>
      </c>
      <c r="F118" s="17">
        <f t="shared" si="43"/>
        <v>142651.12470208664</v>
      </c>
    </row>
    <row r="119" spans="1:6" x14ac:dyDescent="0.2">
      <c r="A119" s="16" t="s">
        <v>68</v>
      </c>
      <c r="B119" s="17">
        <f t="shared" si="44"/>
        <v>142651.12470208664</v>
      </c>
      <c r="C119" s="17">
        <f t="shared" si="40"/>
        <v>347.679574199363</v>
      </c>
      <c r="D119" s="17">
        <f t="shared" si="41"/>
        <v>475.5037490069555</v>
      </c>
      <c r="E119" s="17">
        <f t="shared" si="42"/>
        <v>823.18332320631851</v>
      </c>
      <c r="F119" s="17">
        <f t="shared" si="43"/>
        <v>142303.44512788727</v>
      </c>
    </row>
    <row r="120" spans="1:6" x14ac:dyDescent="0.2">
      <c r="A120" s="16" t="s">
        <v>69</v>
      </c>
      <c r="B120" s="17">
        <f t="shared" si="44"/>
        <v>142303.44512788727</v>
      </c>
      <c r="C120" s="17">
        <f t="shared" si="40"/>
        <v>348.83850611336089</v>
      </c>
      <c r="D120" s="17">
        <f t="shared" si="41"/>
        <v>474.34481709295761</v>
      </c>
      <c r="E120" s="17">
        <f t="shared" si="42"/>
        <v>823.18332320631851</v>
      </c>
      <c r="F120" s="17">
        <f t="shared" si="43"/>
        <v>141954.60662177391</v>
      </c>
    </row>
    <row r="121" spans="1:6" x14ac:dyDescent="0.2">
      <c r="A121" s="16" t="s">
        <v>70</v>
      </c>
      <c r="B121" s="17">
        <f t="shared" si="44"/>
        <v>141954.60662177391</v>
      </c>
      <c r="C121" s="17">
        <f t="shared" si="40"/>
        <v>350.00130113373876</v>
      </c>
      <c r="D121" s="17">
        <f t="shared" si="41"/>
        <v>473.18202207257974</v>
      </c>
      <c r="E121" s="17">
        <f t="shared" si="42"/>
        <v>823.18332320631851</v>
      </c>
      <c r="F121" s="17">
        <f t="shared" si="43"/>
        <v>141604.60532064017</v>
      </c>
    </row>
    <row r="122" spans="1:6" x14ac:dyDescent="0.2">
      <c r="A122" s="16" t="s">
        <v>71</v>
      </c>
      <c r="B122" s="17">
        <f t="shared" si="44"/>
        <v>141604.60532064017</v>
      </c>
      <c r="C122" s="17">
        <f t="shared" si="40"/>
        <v>351.16797213751789</v>
      </c>
      <c r="D122" s="17">
        <f t="shared" si="41"/>
        <v>472.01535106880061</v>
      </c>
      <c r="E122" s="17">
        <f t="shared" si="42"/>
        <v>823.18332320631851</v>
      </c>
      <c r="F122" s="17">
        <f t="shared" si="43"/>
        <v>141253.43734850266</v>
      </c>
    </row>
    <row r="123" spans="1:6" x14ac:dyDescent="0.2">
      <c r="A123" s="16" t="s">
        <v>72</v>
      </c>
      <c r="B123" s="17">
        <f t="shared" si="44"/>
        <v>141253.43734850266</v>
      </c>
      <c r="C123" s="17">
        <f t="shared" si="40"/>
        <v>352.33853204464293</v>
      </c>
      <c r="D123" s="17">
        <f t="shared" si="41"/>
        <v>470.84479116167557</v>
      </c>
      <c r="E123" s="17">
        <f t="shared" si="42"/>
        <v>823.18332320631851</v>
      </c>
      <c r="F123" s="17">
        <f t="shared" si="43"/>
        <v>140901.09881645802</v>
      </c>
    </row>
    <row r="124" spans="1:6" x14ac:dyDescent="0.2">
      <c r="A124" s="16" t="s">
        <v>73</v>
      </c>
      <c r="B124" s="17">
        <f t="shared" si="44"/>
        <v>140901.09881645802</v>
      </c>
      <c r="C124" s="17">
        <f t="shared" si="40"/>
        <v>353.5129938181251</v>
      </c>
      <c r="D124" s="17">
        <f t="shared" si="41"/>
        <v>469.67032938819341</v>
      </c>
      <c r="E124" s="17">
        <f t="shared" si="42"/>
        <v>823.18332320631851</v>
      </c>
      <c r="F124" s="17">
        <f t="shared" si="43"/>
        <v>140547.5858226399</v>
      </c>
    </row>
    <row r="125" spans="1:6" x14ac:dyDescent="0.2">
      <c r="A125" s="16" t="s">
        <v>74</v>
      </c>
      <c r="B125" s="17">
        <f t="shared" si="44"/>
        <v>140547.5858226399</v>
      </c>
      <c r="C125" s="17">
        <f t="shared" si="40"/>
        <v>354.69137046418547</v>
      </c>
      <c r="D125" s="17">
        <f t="shared" si="41"/>
        <v>468.49195274213304</v>
      </c>
      <c r="E125" s="17">
        <f t="shared" si="42"/>
        <v>823.18332320631851</v>
      </c>
      <c r="F125" s="20">
        <f t="shared" si="43"/>
        <v>140192.89445217571</v>
      </c>
    </row>
    <row r="126" spans="1:6" x14ac:dyDescent="0.2">
      <c r="A126" s="21" t="s">
        <v>50</v>
      </c>
      <c r="B126" s="21"/>
      <c r="C126" s="20">
        <f>SUM(C114:C125)</f>
        <v>4179.378454908051</v>
      </c>
      <c r="D126" s="20">
        <f>SUM(D114:D125)</f>
        <v>5698.8214235677724</v>
      </c>
      <c r="E126" s="17"/>
      <c r="F126" s="17"/>
    </row>
    <row r="128" spans="1:6" x14ac:dyDescent="0.2">
      <c r="A128" s="16" t="s">
        <v>63</v>
      </c>
      <c r="B128" s="17">
        <f>+F125</f>
        <v>140192.89445217571</v>
      </c>
      <c r="C128" s="17">
        <f t="shared" ref="C128:C139" si="45">+E128-D128</f>
        <v>355.87367503239943</v>
      </c>
      <c r="D128" s="17">
        <f t="shared" ref="D128:D139" si="46">B128*$I$2</f>
        <v>467.30964817391907</v>
      </c>
      <c r="E128" s="17">
        <f t="shared" ref="E128:E139" si="47">-$I$8</f>
        <v>823.18332320631851</v>
      </c>
      <c r="F128" s="17">
        <f t="shared" ref="F128:F139" si="48">+B128-C128</f>
        <v>139837.02077714331</v>
      </c>
    </row>
    <row r="129" spans="1:6" x14ac:dyDescent="0.2">
      <c r="A129" s="16" t="s">
        <v>64</v>
      </c>
      <c r="B129" s="17">
        <f t="shared" ref="B129:B139" si="49">+F128</f>
        <v>139837.02077714331</v>
      </c>
      <c r="C129" s="17">
        <f t="shared" si="45"/>
        <v>357.05992061584078</v>
      </c>
      <c r="D129" s="17">
        <f t="shared" si="46"/>
        <v>466.12340259047772</v>
      </c>
      <c r="E129" s="17">
        <f t="shared" si="47"/>
        <v>823.18332320631851</v>
      </c>
      <c r="F129" s="17">
        <f t="shared" si="48"/>
        <v>139479.96085652747</v>
      </c>
    </row>
    <row r="130" spans="1:6" x14ac:dyDescent="0.2">
      <c r="A130" s="16" t="s">
        <v>65</v>
      </c>
      <c r="B130" s="17">
        <f t="shared" si="49"/>
        <v>139479.96085652747</v>
      </c>
      <c r="C130" s="17">
        <f t="shared" si="45"/>
        <v>358.25012035122694</v>
      </c>
      <c r="D130" s="17">
        <f t="shared" si="46"/>
        <v>464.93320285509157</v>
      </c>
      <c r="E130" s="17">
        <f t="shared" si="47"/>
        <v>823.18332320631851</v>
      </c>
      <c r="F130" s="17">
        <f t="shared" si="48"/>
        <v>139121.71073617623</v>
      </c>
    </row>
    <row r="131" spans="1:6" x14ac:dyDescent="0.2">
      <c r="A131" s="16" t="s">
        <v>66</v>
      </c>
      <c r="B131" s="17">
        <f t="shared" si="49"/>
        <v>139121.71073617623</v>
      </c>
      <c r="C131" s="17">
        <f t="shared" si="45"/>
        <v>359.44428741906438</v>
      </c>
      <c r="D131" s="17">
        <f t="shared" si="46"/>
        <v>463.73903578725412</v>
      </c>
      <c r="E131" s="17">
        <f t="shared" si="47"/>
        <v>823.18332320631851</v>
      </c>
      <c r="F131" s="17">
        <f t="shared" si="48"/>
        <v>138762.26644875717</v>
      </c>
    </row>
    <row r="132" spans="1:6" x14ac:dyDescent="0.2">
      <c r="A132" s="16" t="s">
        <v>67</v>
      </c>
      <c r="B132" s="17">
        <f t="shared" si="49"/>
        <v>138762.26644875717</v>
      </c>
      <c r="C132" s="17">
        <f t="shared" si="45"/>
        <v>360.64243504379453</v>
      </c>
      <c r="D132" s="17">
        <f t="shared" si="46"/>
        <v>462.54088816252397</v>
      </c>
      <c r="E132" s="17">
        <f t="shared" si="47"/>
        <v>823.18332320631851</v>
      </c>
      <c r="F132" s="17">
        <f t="shared" si="48"/>
        <v>138401.62401371339</v>
      </c>
    </row>
    <row r="133" spans="1:6" x14ac:dyDescent="0.2">
      <c r="A133" s="16" t="s">
        <v>68</v>
      </c>
      <c r="B133" s="17">
        <f t="shared" si="49"/>
        <v>138401.62401371339</v>
      </c>
      <c r="C133" s="17">
        <f t="shared" si="45"/>
        <v>361.84457649394051</v>
      </c>
      <c r="D133" s="17">
        <f t="shared" si="46"/>
        <v>461.338746712378</v>
      </c>
      <c r="E133" s="17">
        <f t="shared" si="47"/>
        <v>823.18332320631851</v>
      </c>
      <c r="F133" s="17">
        <f t="shared" si="48"/>
        <v>138039.77943721943</v>
      </c>
    </row>
    <row r="134" spans="1:6" x14ac:dyDescent="0.2">
      <c r="A134" s="16" t="s">
        <v>69</v>
      </c>
      <c r="B134" s="17">
        <f t="shared" si="49"/>
        <v>138039.77943721943</v>
      </c>
      <c r="C134" s="17">
        <f t="shared" si="45"/>
        <v>363.05072508225368</v>
      </c>
      <c r="D134" s="17">
        <f t="shared" si="46"/>
        <v>460.13259812406483</v>
      </c>
      <c r="E134" s="17">
        <f t="shared" si="47"/>
        <v>823.18332320631851</v>
      </c>
      <c r="F134" s="17">
        <f t="shared" si="48"/>
        <v>137676.72871213718</v>
      </c>
    </row>
    <row r="135" spans="1:6" x14ac:dyDescent="0.2">
      <c r="A135" s="16" t="s">
        <v>70</v>
      </c>
      <c r="B135" s="17">
        <f t="shared" si="49"/>
        <v>137676.72871213718</v>
      </c>
      <c r="C135" s="17">
        <f t="shared" si="45"/>
        <v>364.2608941658612</v>
      </c>
      <c r="D135" s="17">
        <f t="shared" si="46"/>
        <v>458.9224290404573</v>
      </c>
      <c r="E135" s="17">
        <f t="shared" si="47"/>
        <v>823.18332320631851</v>
      </c>
      <c r="F135" s="17">
        <f t="shared" si="48"/>
        <v>137312.46781797131</v>
      </c>
    </row>
    <row r="136" spans="1:6" x14ac:dyDescent="0.2">
      <c r="A136" s="16" t="s">
        <v>71</v>
      </c>
      <c r="B136" s="17">
        <f t="shared" si="49"/>
        <v>137312.46781797131</v>
      </c>
      <c r="C136" s="17">
        <f t="shared" si="45"/>
        <v>365.4750971464141</v>
      </c>
      <c r="D136" s="17">
        <f t="shared" si="46"/>
        <v>457.7082260599044</v>
      </c>
      <c r="E136" s="17">
        <f t="shared" si="47"/>
        <v>823.18332320631851</v>
      </c>
      <c r="F136" s="17">
        <f t="shared" si="48"/>
        <v>136946.9927208249</v>
      </c>
    </row>
    <row r="137" spans="1:6" x14ac:dyDescent="0.2">
      <c r="A137" s="16" t="s">
        <v>72</v>
      </c>
      <c r="B137" s="17">
        <f t="shared" si="49"/>
        <v>136946.9927208249</v>
      </c>
      <c r="C137" s="17">
        <f t="shared" si="45"/>
        <v>366.69334747023549</v>
      </c>
      <c r="D137" s="17">
        <f t="shared" si="46"/>
        <v>456.48997573608301</v>
      </c>
      <c r="E137" s="17">
        <f t="shared" si="47"/>
        <v>823.18332320631851</v>
      </c>
      <c r="F137" s="17">
        <f t="shared" si="48"/>
        <v>136580.29937335468</v>
      </c>
    </row>
    <row r="138" spans="1:6" x14ac:dyDescent="0.2">
      <c r="A138" s="16" t="s">
        <v>73</v>
      </c>
      <c r="B138" s="17">
        <f t="shared" si="49"/>
        <v>136580.29937335468</v>
      </c>
      <c r="C138" s="17">
        <f t="shared" si="45"/>
        <v>367.91565862846954</v>
      </c>
      <c r="D138" s="17">
        <f t="shared" si="46"/>
        <v>455.26766457784896</v>
      </c>
      <c r="E138" s="17">
        <f t="shared" si="47"/>
        <v>823.18332320631851</v>
      </c>
      <c r="F138" s="17">
        <f t="shared" si="48"/>
        <v>136212.38371472619</v>
      </c>
    </row>
    <row r="139" spans="1:6" x14ac:dyDescent="0.2">
      <c r="A139" s="16" t="s">
        <v>74</v>
      </c>
      <c r="B139" s="17">
        <f t="shared" si="49"/>
        <v>136212.38371472619</v>
      </c>
      <c r="C139" s="17">
        <f t="shared" si="45"/>
        <v>369.14204415723117</v>
      </c>
      <c r="D139" s="17">
        <f t="shared" si="46"/>
        <v>454.04127904908734</v>
      </c>
      <c r="E139" s="17">
        <f t="shared" si="47"/>
        <v>823.18332320631851</v>
      </c>
      <c r="F139" s="20">
        <f t="shared" si="48"/>
        <v>135843.24167056897</v>
      </c>
    </row>
    <row r="140" spans="1:6" x14ac:dyDescent="0.2">
      <c r="A140" s="21" t="s">
        <v>50</v>
      </c>
      <c r="B140" s="21"/>
      <c r="C140" s="20">
        <f>SUM(C128:C139)</f>
        <v>4349.6527816067319</v>
      </c>
      <c r="D140" s="20">
        <f>SUM(D128:D139)</f>
        <v>5528.5470968690897</v>
      </c>
      <c r="E140" s="17"/>
      <c r="F140" s="17"/>
    </row>
    <row r="141" spans="1:6" x14ac:dyDescent="0.2">
      <c r="B141" s="16"/>
      <c r="C141" s="17"/>
      <c r="D141" s="17"/>
      <c r="E141" s="17"/>
      <c r="F141" s="17"/>
    </row>
    <row r="142" spans="1:6" x14ac:dyDescent="0.2">
      <c r="A142" s="16" t="s">
        <v>63</v>
      </c>
      <c r="B142" s="17">
        <f>+F139</f>
        <v>135843.24167056897</v>
      </c>
      <c r="C142" s="17">
        <f t="shared" ref="C142:C153" si="50">+E142-D142</f>
        <v>370.37251763775527</v>
      </c>
      <c r="D142" s="17">
        <f t="shared" ref="D142:D153" si="51">B142*$I$2</f>
        <v>452.81080556856324</v>
      </c>
      <c r="E142" s="17">
        <f t="shared" ref="E142:E153" si="52">-$I$8</f>
        <v>823.18332320631851</v>
      </c>
      <c r="F142" s="17">
        <f t="shared" ref="F142:F153" si="53">+B142-C142</f>
        <v>135472.86915293121</v>
      </c>
    </row>
    <row r="143" spans="1:6" x14ac:dyDescent="0.2">
      <c r="A143" s="16" t="s">
        <v>64</v>
      </c>
      <c r="B143" s="17">
        <f t="shared" ref="B143:B153" si="54">+F142</f>
        <v>135472.86915293121</v>
      </c>
      <c r="C143" s="17">
        <f t="shared" si="50"/>
        <v>371.6070926965478</v>
      </c>
      <c r="D143" s="17">
        <f t="shared" si="51"/>
        <v>451.57623050977071</v>
      </c>
      <c r="E143" s="17">
        <f t="shared" si="52"/>
        <v>823.18332320631851</v>
      </c>
      <c r="F143" s="17">
        <f t="shared" si="53"/>
        <v>135101.26206023464</v>
      </c>
    </row>
    <row r="144" spans="1:6" x14ac:dyDescent="0.2">
      <c r="A144" s="16" t="s">
        <v>65</v>
      </c>
      <c r="B144" s="17">
        <f t="shared" si="54"/>
        <v>135101.26206023464</v>
      </c>
      <c r="C144" s="17">
        <f t="shared" si="50"/>
        <v>372.8457830055363</v>
      </c>
      <c r="D144" s="17">
        <f t="shared" si="51"/>
        <v>450.3375402007822</v>
      </c>
      <c r="E144" s="17">
        <f t="shared" si="52"/>
        <v>823.18332320631851</v>
      </c>
      <c r="F144" s="17">
        <f t="shared" si="53"/>
        <v>134728.41627722912</v>
      </c>
    </row>
    <row r="145" spans="1:6" x14ac:dyDescent="0.2">
      <c r="A145" s="16" t="s">
        <v>66</v>
      </c>
      <c r="B145" s="17">
        <f t="shared" si="54"/>
        <v>134728.41627722912</v>
      </c>
      <c r="C145" s="17">
        <f t="shared" si="50"/>
        <v>374.08860228222142</v>
      </c>
      <c r="D145" s="17">
        <f t="shared" si="51"/>
        <v>449.09472092409709</v>
      </c>
      <c r="E145" s="17">
        <f t="shared" si="52"/>
        <v>823.18332320631851</v>
      </c>
      <c r="F145" s="17">
        <f t="shared" si="53"/>
        <v>134354.32767494689</v>
      </c>
    </row>
    <row r="146" spans="1:6" x14ac:dyDescent="0.2">
      <c r="A146" s="16" t="s">
        <v>67</v>
      </c>
      <c r="B146" s="17">
        <f t="shared" si="54"/>
        <v>134354.32767494689</v>
      </c>
      <c r="C146" s="17">
        <f t="shared" si="50"/>
        <v>375.33556428982882</v>
      </c>
      <c r="D146" s="17">
        <f t="shared" si="51"/>
        <v>447.84775891648968</v>
      </c>
      <c r="E146" s="17">
        <f t="shared" si="52"/>
        <v>823.18332320631851</v>
      </c>
      <c r="F146" s="17">
        <f t="shared" si="53"/>
        <v>133978.99211065707</v>
      </c>
    </row>
    <row r="147" spans="1:6" x14ac:dyDescent="0.2">
      <c r="A147" s="16" t="s">
        <v>68</v>
      </c>
      <c r="B147" s="17">
        <f t="shared" si="54"/>
        <v>133978.99211065707</v>
      </c>
      <c r="C147" s="17">
        <f t="shared" si="50"/>
        <v>376.58668283746158</v>
      </c>
      <c r="D147" s="17">
        <f t="shared" si="51"/>
        <v>446.59664036885692</v>
      </c>
      <c r="E147" s="17">
        <f t="shared" si="52"/>
        <v>823.18332320631851</v>
      </c>
      <c r="F147" s="17">
        <f t="shared" si="53"/>
        <v>133602.40542781961</v>
      </c>
    </row>
    <row r="148" spans="1:6" x14ac:dyDescent="0.2">
      <c r="A148" s="16" t="s">
        <v>69</v>
      </c>
      <c r="B148" s="17">
        <f t="shared" si="54"/>
        <v>133602.40542781961</v>
      </c>
      <c r="C148" s="17">
        <f t="shared" si="50"/>
        <v>377.84197178025312</v>
      </c>
      <c r="D148" s="17">
        <f t="shared" si="51"/>
        <v>445.34135142606539</v>
      </c>
      <c r="E148" s="17">
        <f t="shared" si="52"/>
        <v>823.18332320631851</v>
      </c>
      <c r="F148" s="17">
        <f t="shared" si="53"/>
        <v>133224.56345603935</v>
      </c>
    </row>
    <row r="149" spans="1:6" x14ac:dyDescent="0.2">
      <c r="A149" s="16" t="s">
        <v>70</v>
      </c>
      <c r="B149" s="17">
        <f t="shared" si="54"/>
        <v>133224.56345603935</v>
      </c>
      <c r="C149" s="17">
        <f t="shared" si="50"/>
        <v>379.10144501952061</v>
      </c>
      <c r="D149" s="17">
        <f t="shared" si="51"/>
        <v>444.08187818679789</v>
      </c>
      <c r="E149" s="17">
        <f t="shared" si="52"/>
        <v>823.18332320631851</v>
      </c>
      <c r="F149" s="17">
        <f t="shared" si="53"/>
        <v>132845.46201101984</v>
      </c>
    </row>
    <row r="150" spans="1:6" x14ac:dyDescent="0.2">
      <c r="A150" s="16" t="s">
        <v>71</v>
      </c>
      <c r="B150" s="17">
        <f t="shared" si="54"/>
        <v>132845.46201101984</v>
      </c>
      <c r="C150" s="17">
        <f t="shared" si="50"/>
        <v>380.36511650291902</v>
      </c>
      <c r="D150" s="17">
        <f t="shared" si="51"/>
        <v>442.81820670339948</v>
      </c>
      <c r="E150" s="17">
        <f t="shared" si="52"/>
        <v>823.18332320631851</v>
      </c>
      <c r="F150" s="17">
        <f t="shared" si="53"/>
        <v>132465.09689451693</v>
      </c>
    </row>
    <row r="151" spans="1:6" x14ac:dyDescent="0.2">
      <c r="A151" s="16" t="s">
        <v>72</v>
      </c>
      <c r="B151" s="17">
        <f t="shared" si="54"/>
        <v>132465.09689451693</v>
      </c>
      <c r="C151" s="17">
        <f t="shared" si="50"/>
        <v>381.63300022459538</v>
      </c>
      <c r="D151" s="17">
        <f t="shared" si="51"/>
        <v>441.55032298172313</v>
      </c>
      <c r="E151" s="17">
        <f t="shared" si="52"/>
        <v>823.18332320631851</v>
      </c>
      <c r="F151" s="17">
        <f t="shared" si="53"/>
        <v>132083.46389429233</v>
      </c>
    </row>
    <row r="152" spans="1:6" x14ac:dyDescent="0.2">
      <c r="A152" s="16" t="s">
        <v>73</v>
      </c>
      <c r="B152" s="17">
        <f t="shared" si="54"/>
        <v>132083.46389429233</v>
      </c>
      <c r="C152" s="17">
        <f t="shared" si="50"/>
        <v>382.905110225344</v>
      </c>
      <c r="D152" s="17">
        <f t="shared" si="51"/>
        <v>440.2782129809745</v>
      </c>
      <c r="E152" s="17">
        <f t="shared" si="52"/>
        <v>823.18332320631851</v>
      </c>
      <c r="F152" s="17">
        <f t="shared" si="53"/>
        <v>131700.55878406699</v>
      </c>
    </row>
    <row r="153" spans="1:6" x14ac:dyDescent="0.2">
      <c r="A153" s="16" t="s">
        <v>74</v>
      </c>
      <c r="B153" s="17">
        <f t="shared" si="54"/>
        <v>131700.55878406699</v>
      </c>
      <c r="C153" s="17">
        <f t="shared" si="50"/>
        <v>384.18146059276182</v>
      </c>
      <c r="D153" s="17">
        <f t="shared" si="51"/>
        <v>439.00186261355668</v>
      </c>
      <c r="E153" s="17">
        <f t="shared" si="52"/>
        <v>823.18332320631851</v>
      </c>
      <c r="F153" s="20">
        <f t="shared" si="53"/>
        <v>131316.37732347424</v>
      </c>
    </row>
    <row r="154" spans="1:6" x14ac:dyDescent="0.2">
      <c r="A154" s="21" t="s">
        <v>50</v>
      </c>
      <c r="B154" s="21"/>
      <c r="C154" s="20">
        <f>SUM(C142:C153)</f>
        <v>4526.8643470947454</v>
      </c>
      <c r="D154" s="20">
        <f>SUM(D142:D153)</f>
        <v>5351.3355313810771</v>
      </c>
      <c r="E154" s="17"/>
      <c r="F154" s="17"/>
    </row>
    <row r="155" spans="1:6" x14ac:dyDescent="0.2">
      <c r="B155" s="16"/>
      <c r="C155" s="17"/>
      <c r="D155" s="17"/>
      <c r="E155" s="17"/>
      <c r="F155" s="17"/>
    </row>
    <row r="156" spans="1:6" x14ac:dyDescent="0.2">
      <c r="A156" s="16" t="s">
        <v>63</v>
      </c>
      <c r="B156" s="17">
        <f>+F153</f>
        <v>131316.37732347424</v>
      </c>
      <c r="C156" s="17">
        <f t="shared" ref="C156:C167" si="55">+E156-D156</f>
        <v>385.46206546140434</v>
      </c>
      <c r="D156" s="17">
        <f t="shared" ref="D156:D167" si="56">B156*$I$2</f>
        <v>437.72125774491417</v>
      </c>
      <c r="E156" s="17">
        <f t="shared" ref="E156:E167" si="57">-$I$8</f>
        <v>823.18332320631851</v>
      </c>
      <c r="F156" s="17">
        <f t="shared" ref="F156:F167" si="58">+B156-C156</f>
        <v>130930.91525801284</v>
      </c>
    </row>
    <row r="157" spans="1:6" x14ac:dyDescent="0.2">
      <c r="A157" s="16" t="s">
        <v>64</v>
      </c>
      <c r="B157" s="17">
        <f t="shared" ref="B157:B167" si="59">+F156</f>
        <v>130930.91525801284</v>
      </c>
      <c r="C157" s="17">
        <f t="shared" si="55"/>
        <v>386.74693901294233</v>
      </c>
      <c r="D157" s="17">
        <f t="shared" si="56"/>
        <v>436.43638419337617</v>
      </c>
      <c r="E157" s="17">
        <f t="shared" si="57"/>
        <v>823.18332320631851</v>
      </c>
      <c r="F157" s="17">
        <f t="shared" si="58"/>
        <v>130544.1683189999</v>
      </c>
    </row>
    <row r="158" spans="1:6" x14ac:dyDescent="0.2">
      <c r="A158" s="16" t="s">
        <v>65</v>
      </c>
      <c r="B158" s="17">
        <f t="shared" si="59"/>
        <v>130544.1683189999</v>
      </c>
      <c r="C158" s="17">
        <f t="shared" si="55"/>
        <v>388.03609547631879</v>
      </c>
      <c r="D158" s="17">
        <f t="shared" si="56"/>
        <v>435.14722772999971</v>
      </c>
      <c r="E158" s="17">
        <f t="shared" si="57"/>
        <v>823.18332320631851</v>
      </c>
      <c r="F158" s="17">
        <f t="shared" si="58"/>
        <v>130156.13222352359</v>
      </c>
    </row>
    <row r="159" spans="1:6" x14ac:dyDescent="0.2">
      <c r="A159" s="16" t="s">
        <v>66</v>
      </c>
      <c r="B159" s="17">
        <f t="shared" si="59"/>
        <v>130156.13222352359</v>
      </c>
      <c r="C159" s="17">
        <f t="shared" si="55"/>
        <v>389.32954912790655</v>
      </c>
      <c r="D159" s="17">
        <f t="shared" si="56"/>
        <v>433.85377407841196</v>
      </c>
      <c r="E159" s="17">
        <f t="shared" si="57"/>
        <v>823.18332320631851</v>
      </c>
      <c r="F159" s="17">
        <f t="shared" si="58"/>
        <v>129766.80267439567</v>
      </c>
    </row>
    <row r="160" spans="1:6" x14ac:dyDescent="0.2">
      <c r="A160" s="16" t="s">
        <v>67</v>
      </c>
      <c r="B160" s="17">
        <f t="shared" si="59"/>
        <v>129766.80267439567</v>
      </c>
      <c r="C160" s="17">
        <f t="shared" si="55"/>
        <v>390.62731429166621</v>
      </c>
      <c r="D160" s="17">
        <f t="shared" si="56"/>
        <v>432.5560089146523</v>
      </c>
      <c r="E160" s="17">
        <f t="shared" si="57"/>
        <v>823.18332320631851</v>
      </c>
      <c r="F160" s="17">
        <f t="shared" si="58"/>
        <v>129376.17536010401</v>
      </c>
    </row>
    <row r="161" spans="1:6" x14ac:dyDescent="0.2">
      <c r="A161" s="16" t="s">
        <v>68</v>
      </c>
      <c r="B161" s="17">
        <f t="shared" si="59"/>
        <v>129376.17536010401</v>
      </c>
      <c r="C161" s="17">
        <f t="shared" si="55"/>
        <v>391.92940533930511</v>
      </c>
      <c r="D161" s="17">
        <f t="shared" si="56"/>
        <v>431.2539178670134</v>
      </c>
      <c r="E161" s="17">
        <f t="shared" si="57"/>
        <v>823.18332320631851</v>
      </c>
      <c r="F161" s="17">
        <f t="shared" si="58"/>
        <v>128984.2459547647</v>
      </c>
    </row>
    <row r="162" spans="1:6" x14ac:dyDescent="0.2">
      <c r="A162" s="16" t="s">
        <v>69</v>
      </c>
      <c r="B162" s="17">
        <f t="shared" si="59"/>
        <v>128984.2459547647</v>
      </c>
      <c r="C162" s="17">
        <f t="shared" si="55"/>
        <v>393.23583669043614</v>
      </c>
      <c r="D162" s="17">
        <f t="shared" si="56"/>
        <v>429.94748651588236</v>
      </c>
      <c r="E162" s="17">
        <f t="shared" si="57"/>
        <v>823.18332320631851</v>
      </c>
      <c r="F162" s="17">
        <f t="shared" si="58"/>
        <v>128591.01011807426</v>
      </c>
    </row>
    <row r="163" spans="1:6" x14ac:dyDescent="0.2">
      <c r="A163" s="16" t="s">
        <v>70</v>
      </c>
      <c r="B163" s="17">
        <f t="shared" si="59"/>
        <v>128591.01011807426</v>
      </c>
      <c r="C163" s="17">
        <f t="shared" si="55"/>
        <v>394.54662281273761</v>
      </c>
      <c r="D163" s="17">
        <f t="shared" si="56"/>
        <v>428.6367003935809</v>
      </c>
      <c r="E163" s="17">
        <f t="shared" si="57"/>
        <v>823.18332320631851</v>
      </c>
      <c r="F163" s="17">
        <f t="shared" si="58"/>
        <v>128196.46349526153</v>
      </c>
    </row>
    <row r="164" spans="1:6" x14ac:dyDescent="0.2">
      <c r="A164" s="16" t="s">
        <v>71</v>
      </c>
      <c r="B164" s="17">
        <f t="shared" si="59"/>
        <v>128196.46349526153</v>
      </c>
      <c r="C164" s="17">
        <f t="shared" si="55"/>
        <v>395.8617782221134</v>
      </c>
      <c r="D164" s="17">
        <f t="shared" si="56"/>
        <v>427.3215449842051</v>
      </c>
      <c r="E164" s="17">
        <f t="shared" si="57"/>
        <v>823.18332320631851</v>
      </c>
      <c r="F164" s="17">
        <f t="shared" si="58"/>
        <v>127800.60171703942</v>
      </c>
    </row>
    <row r="165" spans="1:6" x14ac:dyDescent="0.2">
      <c r="A165" s="16" t="s">
        <v>72</v>
      </c>
      <c r="B165" s="17">
        <f t="shared" si="59"/>
        <v>127800.60171703942</v>
      </c>
      <c r="C165" s="17">
        <f t="shared" si="55"/>
        <v>397.18131748285373</v>
      </c>
      <c r="D165" s="17">
        <f t="shared" si="56"/>
        <v>426.00200572346478</v>
      </c>
      <c r="E165" s="17">
        <f t="shared" si="57"/>
        <v>823.18332320631851</v>
      </c>
      <c r="F165" s="17">
        <f t="shared" si="58"/>
        <v>127403.42039955656</v>
      </c>
    </row>
    <row r="166" spans="1:6" x14ac:dyDescent="0.2">
      <c r="A166" s="16" t="s">
        <v>73</v>
      </c>
      <c r="B166" s="17">
        <f t="shared" si="59"/>
        <v>127403.42039955656</v>
      </c>
      <c r="C166" s="17">
        <f t="shared" si="55"/>
        <v>398.50525520779661</v>
      </c>
      <c r="D166" s="17">
        <f t="shared" si="56"/>
        <v>424.6780679985219</v>
      </c>
      <c r="E166" s="17">
        <f t="shared" si="57"/>
        <v>823.18332320631851</v>
      </c>
      <c r="F166" s="17">
        <f t="shared" si="58"/>
        <v>127004.91514434876</v>
      </c>
    </row>
    <row r="167" spans="1:6" x14ac:dyDescent="0.2">
      <c r="A167" s="16" t="s">
        <v>74</v>
      </c>
      <c r="B167" s="17">
        <f t="shared" si="59"/>
        <v>127004.91514434876</v>
      </c>
      <c r="C167" s="17">
        <f t="shared" si="55"/>
        <v>399.83360605848924</v>
      </c>
      <c r="D167" s="17">
        <f t="shared" si="56"/>
        <v>423.34971714782927</v>
      </c>
      <c r="E167" s="17">
        <f t="shared" si="57"/>
        <v>823.18332320631851</v>
      </c>
      <c r="F167" s="20">
        <f t="shared" si="58"/>
        <v>126605.08153829028</v>
      </c>
    </row>
    <row r="168" spans="1:6" x14ac:dyDescent="0.2">
      <c r="A168" s="21" t="s">
        <v>50</v>
      </c>
      <c r="B168" s="21"/>
      <c r="C168" s="20">
        <f>SUM(C156:C167)</f>
        <v>4711.2957851839701</v>
      </c>
      <c r="D168" s="20">
        <f>SUM(D156:D167)</f>
        <v>5166.9040932918524</v>
      </c>
      <c r="E168" s="17"/>
      <c r="F168" s="17"/>
    </row>
    <row r="170" spans="1:6" x14ac:dyDescent="0.2">
      <c r="A170" s="16" t="s">
        <v>63</v>
      </c>
      <c r="B170" s="17">
        <f>+F167</f>
        <v>126605.08153829028</v>
      </c>
      <c r="C170" s="17">
        <f t="shared" ref="C170:C181" si="60">+E170-D170</f>
        <v>401.16638474535085</v>
      </c>
      <c r="D170" s="17">
        <f t="shared" ref="D170:D181" si="61">B170*$I$2</f>
        <v>422.01693846096765</v>
      </c>
      <c r="E170" s="17">
        <f t="shared" ref="E170:E181" si="62">-$I$8</f>
        <v>823.18332320631851</v>
      </c>
      <c r="F170" s="17">
        <f t="shared" ref="F170:F181" si="63">+B170-C170</f>
        <v>126203.91515354493</v>
      </c>
    </row>
    <row r="171" spans="1:6" x14ac:dyDescent="0.2">
      <c r="A171" s="16" t="s">
        <v>64</v>
      </c>
      <c r="B171" s="17">
        <f t="shared" ref="B171:B181" si="64">+F170</f>
        <v>126203.91515354493</v>
      </c>
      <c r="C171" s="17">
        <f t="shared" si="60"/>
        <v>402.50360602783536</v>
      </c>
      <c r="D171" s="17">
        <f t="shared" si="61"/>
        <v>420.67971717848314</v>
      </c>
      <c r="E171" s="17">
        <f t="shared" si="62"/>
        <v>823.18332320631851</v>
      </c>
      <c r="F171" s="17">
        <f t="shared" si="63"/>
        <v>125801.4115475171</v>
      </c>
    </row>
    <row r="172" spans="1:6" x14ac:dyDescent="0.2">
      <c r="A172" s="16" t="s">
        <v>65</v>
      </c>
      <c r="B172" s="17">
        <f t="shared" si="64"/>
        <v>125801.4115475171</v>
      </c>
      <c r="C172" s="17">
        <f t="shared" si="60"/>
        <v>403.84528471459481</v>
      </c>
      <c r="D172" s="17">
        <f t="shared" si="61"/>
        <v>419.33803849172369</v>
      </c>
      <c r="E172" s="17">
        <f t="shared" si="62"/>
        <v>823.18332320631851</v>
      </c>
      <c r="F172" s="17">
        <f t="shared" si="63"/>
        <v>125397.5662628025</v>
      </c>
    </row>
    <row r="173" spans="1:6" x14ac:dyDescent="0.2">
      <c r="A173" s="16" t="s">
        <v>66</v>
      </c>
      <c r="B173" s="17">
        <f t="shared" si="64"/>
        <v>125397.5662628025</v>
      </c>
      <c r="C173" s="17">
        <f t="shared" si="60"/>
        <v>405.19143566364346</v>
      </c>
      <c r="D173" s="17">
        <f t="shared" si="61"/>
        <v>417.99188754267504</v>
      </c>
      <c r="E173" s="17">
        <f t="shared" si="62"/>
        <v>823.18332320631851</v>
      </c>
      <c r="F173" s="17">
        <f t="shared" si="63"/>
        <v>124992.37482713886</v>
      </c>
    </row>
    <row r="174" spans="1:6" x14ac:dyDescent="0.2">
      <c r="A174" s="16" t="s">
        <v>67</v>
      </c>
      <c r="B174" s="17">
        <f t="shared" si="64"/>
        <v>124992.37482713886</v>
      </c>
      <c r="C174" s="17">
        <f t="shared" si="60"/>
        <v>406.54207378252227</v>
      </c>
      <c r="D174" s="17">
        <f t="shared" si="61"/>
        <v>416.64124942379624</v>
      </c>
      <c r="E174" s="17">
        <f t="shared" si="62"/>
        <v>823.18332320631851</v>
      </c>
      <c r="F174" s="17">
        <f t="shared" si="63"/>
        <v>124585.83275335634</v>
      </c>
    </row>
    <row r="175" spans="1:6" x14ac:dyDescent="0.2">
      <c r="A175" s="16" t="s">
        <v>68</v>
      </c>
      <c r="B175" s="17">
        <f t="shared" si="64"/>
        <v>124585.83275335634</v>
      </c>
      <c r="C175" s="17">
        <f t="shared" si="60"/>
        <v>407.89721402846402</v>
      </c>
      <c r="D175" s="17">
        <f t="shared" si="61"/>
        <v>415.28610917785448</v>
      </c>
      <c r="E175" s="17">
        <f t="shared" si="62"/>
        <v>823.18332320631851</v>
      </c>
      <c r="F175" s="17">
        <f t="shared" si="63"/>
        <v>124177.93553932788</v>
      </c>
    </row>
    <row r="176" spans="1:6" x14ac:dyDescent="0.2">
      <c r="A176" s="16" t="s">
        <v>69</v>
      </c>
      <c r="B176" s="17">
        <f t="shared" si="64"/>
        <v>124177.93553932788</v>
      </c>
      <c r="C176" s="17">
        <f t="shared" si="60"/>
        <v>409.25687140855888</v>
      </c>
      <c r="D176" s="17">
        <f t="shared" si="61"/>
        <v>413.92645179775963</v>
      </c>
      <c r="E176" s="17">
        <f t="shared" si="62"/>
        <v>823.18332320631851</v>
      </c>
      <c r="F176" s="17">
        <f t="shared" si="63"/>
        <v>123768.67866791932</v>
      </c>
    </row>
    <row r="177" spans="1:6" x14ac:dyDescent="0.2">
      <c r="A177" s="16" t="s">
        <v>70</v>
      </c>
      <c r="B177" s="17">
        <f t="shared" si="64"/>
        <v>123768.67866791932</v>
      </c>
      <c r="C177" s="17">
        <f t="shared" si="60"/>
        <v>410.62106097992074</v>
      </c>
      <c r="D177" s="17">
        <f t="shared" si="61"/>
        <v>412.56226222639776</v>
      </c>
      <c r="E177" s="17">
        <f t="shared" si="62"/>
        <v>823.18332320631851</v>
      </c>
      <c r="F177" s="17">
        <f t="shared" si="63"/>
        <v>123358.0576069394</v>
      </c>
    </row>
    <row r="178" spans="1:6" x14ac:dyDescent="0.2">
      <c r="A178" s="16" t="s">
        <v>71</v>
      </c>
      <c r="B178" s="17">
        <f t="shared" si="64"/>
        <v>123358.0576069394</v>
      </c>
      <c r="C178" s="17">
        <f t="shared" si="60"/>
        <v>411.9897978498538</v>
      </c>
      <c r="D178" s="17">
        <f t="shared" si="61"/>
        <v>411.1935253564647</v>
      </c>
      <c r="E178" s="17">
        <f t="shared" si="62"/>
        <v>823.18332320631851</v>
      </c>
      <c r="F178" s="17">
        <f t="shared" si="63"/>
        <v>122946.06780908955</v>
      </c>
    </row>
    <row r="179" spans="1:6" x14ac:dyDescent="0.2">
      <c r="A179" s="16" t="s">
        <v>72</v>
      </c>
      <c r="B179" s="17">
        <f t="shared" si="64"/>
        <v>122946.06780908955</v>
      </c>
      <c r="C179" s="17">
        <f t="shared" si="60"/>
        <v>413.36309717601995</v>
      </c>
      <c r="D179" s="17">
        <f t="shared" si="61"/>
        <v>409.82022603029856</v>
      </c>
      <c r="E179" s="17">
        <f t="shared" si="62"/>
        <v>823.18332320631851</v>
      </c>
      <c r="F179" s="17">
        <f t="shared" si="63"/>
        <v>122532.70471191354</v>
      </c>
    </row>
    <row r="180" spans="1:6" x14ac:dyDescent="0.2">
      <c r="A180" s="16" t="s">
        <v>73</v>
      </c>
      <c r="B180" s="17">
        <f t="shared" si="64"/>
        <v>122532.70471191354</v>
      </c>
      <c r="C180" s="17">
        <f t="shared" si="60"/>
        <v>414.74097416660669</v>
      </c>
      <c r="D180" s="17">
        <f t="shared" si="61"/>
        <v>408.44234903971181</v>
      </c>
      <c r="E180" s="17">
        <f t="shared" si="62"/>
        <v>823.18332320631851</v>
      </c>
      <c r="F180" s="17">
        <f t="shared" si="63"/>
        <v>122117.96373774693</v>
      </c>
    </row>
    <row r="181" spans="1:6" x14ac:dyDescent="0.2">
      <c r="A181" s="16" t="s">
        <v>74</v>
      </c>
      <c r="B181" s="17">
        <f t="shared" si="64"/>
        <v>122117.96373774693</v>
      </c>
      <c r="C181" s="17">
        <f t="shared" si="60"/>
        <v>416.12344408049535</v>
      </c>
      <c r="D181" s="17">
        <f t="shared" si="61"/>
        <v>407.05987912582316</v>
      </c>
      <c r="E181" s="17">
        <f t="shared" si="62"/>
        <v>823.18332320631851</v>
      </c>
      <c r="F181" s="20">
        <f t="shared" si="63"/>
        <v>121701.84029366644</v>
      </c>
    </row>
    <row r="182" spans="1:6" x14ac:dyDescent="0.2">
      <c r="A182" s="21" t="s">
        <v>50</v>
      </c>
      <c r="B182" s="21"/>
      <c r="C182" s="20">
        <f>SUM(C170:C181)</f>
        <v>4903.2412446238668</v>
      </c>
      <c r="D182" s="20">
        <f>SUM(D170:D181)</f>
        <v>4974.9586338519566</v>
      </c>
      <c r="E182" s="17"/>
      <c r="F182" s="17"/>
    </row>
    <row r="184" spans="1:6" x14ac:dyDescent="0.2">
      <c r="A184" s="16" t="s">
        <v>63</v>
      </c>
      <c r="B184" s="17">
        <f>+F181</f>
        <v>121701.84029366644</v>
      </c>
      <c r="C184" s="17">
        <f t="shared" ref="C184:C195" si="65">+E184-D184</f>
        <v>417.51052222743039</v>
      </c>
      <c r="D184" s="17">
        <f t="shared" ref="D184:D195" si="66">B184*$I$2</f>
        <v>405.67280097888812</v>
      </c>
      <c r="E184" s="17">
        <f t="shared" ref="E184:E195" si="67">-$I$8</f>
        <v>823.18332320631851</v>
      </c>
      <c r="F184" s="17">
        <f t="shared" ref="F184:F195" si="68">+B184-C184</f>
        <v>121284.32977143901</v>
      </c>
    </row>
    <row r="185" spans="1:6" x14ac:dyDescent="0.2">
      <c r="A185" s="16" t="s">
        <v>64</v>
      </c>
      <c r="B185" s="17">
        <f t="shared" ref="B185:B195" si="69">+F184</f>
        <v>121284.32977143901</v>
      </c>
      <c r="C185" s="17">
        <f t="shared" si="65"/>
        <v>418.90222396818848</v>
      </c>
      <c r="D185" s="17">
        <f t="shared" si="66"/>
        <v>404.28109923813003</v>
      </c>
      <c r="E185" s="17">
        <f t="shared" si="67"/>
        <v>823.18332320631851</v>
      </c>
      <c r="F185" s="17">
        <f t="shared" si="68"/>
        <v>120865.42754747081</v>
      </c>
    </row>
    <row r="186" spans="1:6" x14ac:dyDescent="0.2">
      <c r="A186" s="16" t="s">
        <v>65</v>
      </c>
      <c r="B186" s="17">
        <f t="shared" si="69"/>
        <v>120865.42754747081</v>
      </c>
      <c r="C186" s="17">
        <f t="shared" si="65"/>
        <v>420.29856471474909</v>
      </c>
      <c r="D186" s="17">
        <f t="shared" si="66"/>
        <v>402.88475849156941</v>
      </c>
      <c r="E186" s="17">
        <f t="shared" si="67"/>
        <v>823.18332320631851</v>
      </c>
      <c r="F186" s="17">
        <f t="shared" si="68"/>
        <v>120445.12898275607</v>
      </c>
    </row>
    <row r="187" spans="1:6" x14ac:dyDescent="0.2">
      <c r="A187" s="16" t="s">
        <v>66</v>
      </c>
      <c r="B187" s="17">
        <f t="shared" si="69"/>
        <v>120445.12898275607</v>
      </c>
      <c r="C187" s="17">
        <f t="shared" si="65"/>
        <v>421.69955993046494</v>
      </c>
      <c r="D187" s="17">
        <f t="shared" si="66"/>
        <v>401.48376327585356</v>
      </c>
      <c r="E187" s="17">
        <f t="shared" si="67"/>
        <v>823.18332320631851</v>
      </c>
      <c r="F187" s="17">
        <f t="shared" si="68"/>
        <v>120023.4294228256</v>
      </c>
    </row>
    <row r="188" spans="1:6" x14ac:dyDescent="0.2">
      <c r="A188" s="16" t="s">
        <v>67</v>
      </c>
      <c r="B188" s="17">
        <f t="shared" si="69"/>
        <v>120023.4294228256</v>
      </c>
      <c r="C188" s="17">
        <f t="shared" si="65"/>
        <v>423.10522513023312</v>
      </c>
      <c r="D188" s="17">
        <f t="shared" si="66"/>
        <v>400.07809807608538</v>
      </c>
      <c r="E188" s="17">
        <f t="shared" si="67"/>
        <v>823.18332320631851</v>
      </c>
      <c r="F188" s="17">
        <f t="shared" si="68"/>
        <v>119600.32419769537</v>
      </c>
    </row>
    <row r="189" spans="1:6" x14ac:dyDescent="0.2">
      <c r="A189" s="16" t="s">
        <v>68</v>
      </c>
      <c r="B189" s="17">
        <f t="shared" si="69"/>
        <v>119600.32419769537</v>
      </c>
      <c r="C189" s="17">
        <f t="shared" si="65"/>
        <v>424.51557588066726</v>
      </c>
      <c r="D189" s="17">
        <f t="shared" si="66"/>
        <v>398.66774732565125</v>
      </c>
      <c r="E189" s="17">
        <f t="shared" si="67"/>
        <v>823.18332320631851</v>
      </c>
      <c r="F189" s="17">
        <f t="shared" si="68"/>
        <v>119175.80862181471</v>
      </c>
    </row>
    <row r="190" spans="1:6" x14ac:dyDescent="0.2">
      <c r="A190" s="16" t="s">
        <v>69</v>
      </c>
      <c r="B190" s="17">
        <f t="shared" si="69"/>
        <v>119175.80862181471</v>
      </c>
      <c r="C190" s="17">
        <f t="shared" si="65"/>
        <v>425.93062780026946</v>
      </c>
      <c r="D190" s="17">
        <f t="shared" si="66"/>
        <v>397.25269540604904</v>
      </c>
      <c r="E190" s="17">
        <f t="shared" si="67"/>
        <v>823.18332320631851</v>
      </c>
      <c r="F190" s="17">
        <f t="shared" si="68"/>
        <v>118749.87799401444</v>
      </c>
    </row>
    <row r="191" spans="1:6" x14ac:dyDescent="0.2">
      <c r="A191" s="16" t="s">
        <v>70</v>
      </c>
      <c r="B191" s="17">
        <f t="shared" si="69"/>
        <v>118749.87799401444</v>
      </c>
      <c r="C191" s="17">
        <f t="shared" si="65"/>
        <v>427.35039655960367</v>
      </c>
      <c r="D191" s="17">
        <f t="shared" si="66"/>
        <v>395.83292664671484</v>
      </c>
      <c r="E191" s="17">
        <f t="shared" si="67"/>
        <v>823.18332320631851</v>
      </c>
      <c r="F191" s="17">
        <f t="shared" si="68"/>
        <v>118322.52759745484</v>
      </c>
    </row>
    <row r="192" spans="1:6" x14ac:dyDescent="0.2">
      <c r="A192" s="16" t="s">
        <v>71</v>
      </c>
      <c r="B192" s="17">
        <f t="shared" si="69"/>
        <v>118322.52759745484</v>
      </c>
      <c r="C192" s="17">
        <f t="shared" si="65"/>
        <v>428.77489788146903</v>
      </c>
      <c r="D192" s="17">
        <f t="shared" si="66"/>
        <v>394.40842532484947</v>
      </c>
      <c r="E192" s="17">
        <f t="shared" si="67"/>
        <v>823.18332320631851</v>
      </c>
      <c r="F192" s="17">
        <f t="shared" si="68"/>
        <v>117893.75269957338</v>
      </c>
    </row>
    <row r="193" spans="1:6" x14ac:dyDescent="0.2">
      <c r="A193" s="16" t="s">
        <v>72</v>
      </c>
      <c r="B193" s="17">
        <f t="shared" si="69"/>
        <v>117893.75269957338</v>
      </c>
      <c r="C193" s="17">
        <f t="shared" si="65"/>
        <v>430.20414754107389</v>
      </c>
      <c r="D193" s="17">
        <f t="shared" si="66"/>
        <v>392.97917566524461</v>
      </c>
      <c r="E193" s="17">
        <f t="shared" si="67"/>
        <v>823.18332320631851</v>
      </c>
      <c r="F193" s="17">
        <f t="shared" si="68"/>
        <v>117463.5485520323</v>
      </c>
    </row>
    <row r="194" spans="1:6" x14ac:dyDescent="0.2">
      <c r="A194" s="16" t="s">
        <v>73</v>
      </c>
      <c r="B194" s="17">
        <f t="shared" si="69"/>
        <v>117463.5485520323</v>
      </c>
      <c r="C194" s="17">
        <f t="shared" si="65"/>
        <v>431.6381613662108</v>
      </c>
      <c r="D194" s="17">
        <f t="shared" si="66"/>
        <v>391.54516184010771</v>
      </c>
      <c r="E194" s="17">
        <f t="shared" si="67"/>
        <v>823.18332320631851</v>
      </c>
      <c r="F194" s="17">
        <f t="shared" si="68"/>
        <v>117031.91039066609</v>
      </c>
    </row>
    <row r="195" spans="1:6" x14ac:dyDescent="0.2">
      <c r="A195" s="16" t="s">
        <v>74</v>
      </c>
      <c r="B195" s="17">
        <f t="shared" si="69"/>
        <v>117031.91039066609</v>
      </c>
      <c r="C195" s="17">
        <f t="shared" si="65"/>
        <v>433.07695523743149</v>
      </c>
      <c r="D195" s="17">
        <f t="shared" si="66"/>
        <v>390.10636796888701</v>
      </c>
      <c r="E195" s="17">
        <f t="shared" si="67"/>
        <v>823.18332320631851</v>
      </c>
      <c r="F195" s="20">
        <f t="shared" si="68"/>
        <v>116598.83343542866</v>
      </c>
    </row>
    <row r="196" spans="1:6" x14ac:dyDescent="0.2">
      <c r="A196" s="21" t="s">
        <v>50</v>
      </c>
      <c r="B196" s="21"/>
      <c r="C196" s="20">
        <f>SUM(C184:C195)</f>
        <v>5103.0068582377917</v>
      </c>
      <c r="D196" s="20">
        <f>SUM(D184:D195)</f>
        <v>4775.1930202380299</v>
      </c>
      <c r="E196" s="17"/>
      <c r="F196" s="17"/>
    </row>
    <row r="198" spans="1:6" x14ac:dyDescent="0.2">
      <c r="A198" s="16" t="s">
        <v>63</v>
      </c>
      <c r="B198" s="17">
        <f>+F195</f>
        <v>116598.83343542866</v>
      </c>
      <c r="C198" s="17">
        <f t="shared" ref="C198:C209" si="70">+E198-D198</f>
        <v>434.52054508822295</v>
      </c>
      <c r="D198" s="17">
        <f t="shared" ref="D198:D209" si="71">B198*$I$2</f>
        <v>388.66277811809556</v>
      </c>
      <c r="E198" s="17">
        <f t="shared" ref="E198:E209" si="72">-$I$8</f>
        <v>823.18332320631851</v>
      </c>
      <c r="F198" s="17">
        <f t="shared" ref="F198:F209" si="73">+B198-C198</f>
        <v>116164.31289034044</v>
      </c>
    </row>
    <row r="199" spans="1:6" x14ac:dyDescent="0.2">
      <c r="A199" s="16" t="s">
        <v>64</v>
      </c>
      <c r="B199" s="17">
        <f t="shared" ref="B199:B209" si="74">+F198</f>
        <v>116164.31289034044</v>
      </c>
      <c r="C199" s="17">
        <f t="shared" si="70"/>
        <v>435.96894690518366</v>
      </c>
      <c r="D199" s="17">
        <f t="shared" si="71"/>
        <v>387.21437630113485</v>
      </c>
      <c r="E199" s="17">
        <f t="shared" si="72"/>
        <v>823.18332320631851</v>
      </c>
      <c r="F199" s="17">
        <f t="shared" si="73"/>
        <v>115728.34394343526</v>
      </c>
    </row>
    <row r="200" spans="1:6" x14ac:dyDescent="0.2">
      <c r="A200" s="16" t="s">
        <v>65</v>
      </c>
      <c r="B200" s="17">
        <f t="shared" si="74"/>
        <v>115728.34394343526</v>
      </c>
      <c r="C200" s="17">
        <f t="shared" si="70"/>
        <v>437.42217672820095</v>
      </c>
      <c r="D200" s="17">
        <f t="shared" si="71"/>
        <v>385.76114647811755</v>
      </c>
      <c r="E200" s="17">
        <f t="shared" si="72"/>
        <v>823.18332320631851</v>
      </c>
      <c r="F200" s="17">
        <f t="shared" si="73"/>
        <v>115290.92176670706</v>
      </c>
    </row>
    <row r="201" spans="1:6" x14ac:dyDescent="0.2">
      <c r="A201" s="16" t="s">
        <v>66</v>
      </c>
      <c r="B201" s="17">
        <f t="shared" si="74"/>
        <v>115290.92176670706</v>
      </c>
      <c r="C201" s="17">
        <f t="shared" si="70"/>
        <v>438.88025065062828</v>
      </c>
      <c r="D201" s="17">
        <f t="shared" si="71"/>
        <v>384.30307255569022</v>
      </c>
      <c r="E201" s="17">
        <f t="shared" si="72"/>
        <v>823.18332320631851</v>
      </c>
      <c r="F201" s="17">
        <f t="shared" si="73"/>
        <v>114852.04151605643</v>
      </c>
    </row>
    <row r="202" spans="1:6" x14ac:dyDescent="0.2">
      <c r="A202" s="16" t="s">
        <v>67</v>
      </c>
      <c r="B202" s="17">
        <f t="shared" si="74"/>
        <v>114852.04151605643</v>
      </c>
      <c r="C202" s="17">
        <f t="shared" si="70"/>
        <v>440.34318481946372</v>
      </c>
      <c r="D202" s="17">
        <f t="shared" si="71"/>
        <v>382.84013838685479</v>
      </c>
      <c r="E202" s="17">
        <f t="shared" si="72"/>
        <v>823.18332320631851</v>
      </c>
      <c r="F202" s="17">
        <f t="shared" si="73"/>
        <v>114411.69833123697</v>
      </c>
    </row>
    <row r="203" spans="1:6" x14ac:dyDescent="0.2">
      <c r="A203" s="16" t="s">
        <v>68</v>
      </c>
      <c r="B203" s="17">
        <f t="shared" si="74"/>
        <v>114411.69833123697</v>
      </c>
      <c r="C203" s="17">
        <f t="shared" si="70"/>
        <v>441.81099543552858</v>
      </c>
      <c r="D203" s="17">
        <f t="shared" si="71"/>
        <v>381.37232777078992</v>
      </c>
      <c r="E203" s="17">
        <f t="shared" si="72"/>
        <v>823.18332320631851</v>
      </c>
      <c r="F203" s="17">
        <f t="shared" si="73"/>
        <v>113969.88733580144</v>
      </c>
    </row>
    <row r="204" spans="1:6" x14ac:dyDescent="0.2">
      <c r="A204" s="16" t="s">
        <v>69</v>
      </c>
      <c r="B204" s="17">
        <f t="shared" si="74"/>
        <v>113969.88733580144</v>
      </c>
      <c r="C204" s="17">
        <f t="shared" si="70"/>
        <v>443.283698753647</v>
      </c>
      <c r="D204" s="17">
        <f t="shared" si="71"/>
        <v>379.8996244526715</v>
      </c>
      <c r="E204" s="17">
        <f t="shared" si="72"/>
        <v>823.18332320631851</v>
      </c>
      <c r="F204" s="17">
        <f t="shared" si="73"/>
        <v>113526.6036370478</v>
      </c>
    </row>
    <row r="205" spans="1:6" x14ac:dyDescent="0.2">
      <c r="A205" s="16" t="s">
        <v>70</v>
      </c>
      <c r="B205" s="17">
        <f t="shared" si="74"/>
        <v>113526.6036370478</v>
      </c>
      <c r="C205" s="17">
        <f t="shared" si="70"/>
        <v>444.76131108282584</v>
      </c>
      <c r="D205" s="17">
        <f t="shared" si="71"/>
        <v>378.42201212349266</v>
      </c>
      <c r="E205" s="17">
        <f t="shared" si="72"/>
        <v>823.18332320631851</v>
      </c>
      <c r="F205" s="17">
        <f t="shared" si="73"/>
        <v>113081.84232596497</v>
      </c>
    </row>
    <row r="206" spans="1:6" x14ac:dyDescent="0.2">
      <c r="A206" s="16" t="s">
        <v>71</v>
      </c>
      <c r="B206" s="17">
        <f t="shared" si="74"/>
        <v>113081.84232596497</v>
      </c>
      <c r="C206" s="17">
        <f t="shared" si="70"/>
        <v>446.24384878643525</v>
      </c>
      <c r="D206" s="17">
        <f t="shared" si="71"/>
        <v>376.93947441988325</v>
      </c>
      <c r="E206" s="17">
        <f t="shared" si="72"/>
        <v>823.18332320631851</v>
      </c>
      <c r="F206" s="17">
        <f t="shared" si="73"/>
        <v>112635.59847717853</v>
      </c>
    </row>
    <row r="207" spans="1:6" x14ac:dyDescent="0.2">
      <c r="A207" s="16" t="s">
        <v>72</v>
      </c>
      <c r="B207" s="17">
        <f t="shared" si="74"/>
        <v>112635.59847717853</v>
      </c>
      <c r="C207" s="17">
        <f t="shared" si="70"/>
        <v>447.73132828239005</v>
      </c>
      <c r="D207" s="17">
        <f t="shared" si="71"/>
        <v>375.45199492392845</v>
      </c>
      <c r="E207" s="17">
        <f t="shared" si="72"/>
        <v>823.18332320631851</v>
      </c>
      <c r="F207" s="17">
        <f t="shared" si="73"/>
        <v>112187.86714889614</v>
      </c>
    </row>
    <row r="208" spans="1:6" x14ac:dyDescent="0.2">
      <c r="A208" s="16" t="s">
        <v>73</v>
      </c>
      <c r="B208" s="17">
        <f t="shared" si="74"/>
        <v>112187.86714889614</v>
      </c>
      <c r="C208" s="17">
        <f t="shared" si="70"/>
        <v>449.22376604333135</v>
      </c>
      <c r="D208" s="17">
        <f t="shared" si="71"/>
        <v>373.95955716298715</v>
      </c>
      <c r="E208" s="17">
        <f t="shared" si="72"/>
        <v>823.18332320631851</v>
      </c>
      <c r="F208" s="17">
        <f t="shared" si="73"/>
        <v>111738.64338285281</v>
      </c>
    </row>
    <row r="209" spans="1:6" x14ac:dyDescent="0.2">
      <c r="A209" s="16" t="s">
        <v>74</v>
      </c>
      <c r="B209" s="17">
        <f t="shared" si="74"/>
        <v>111738.64338285281</v>
      </c>
      <c r="C209" s="17">
        <f t="shared" si="70"/>
        <v>450.72117859680912</v>
      </c>
      <c r="D209" s="17">
        <f t="shared" si="71"/>
        <v>372.46214460950938</v>
      </c>
      <c r="E209" s="17">
        <f t="shared" si="72"/>
        <v>823.18332320631851</v>
      </c>
      <c r="F209" s="20">
        <f t="shared" si="73"/>
        <v>111287.922204256</v>
      </c>
    </row>
    <row r="210" spans="1:6" x14ac:dyDescent="0.2">
      <c r="A210" s="21" t="s">
        <v>50</v>
      </c>
      <c r="B210" s="21"/>
      <c r="C210" s="20">
        <f>SUM(C198:C209)</f>
        <v>5310.9112311726667</v>
      </c>
      <c r="D210" s="20">
        <f>SUM(D198:D209)</f>
        <v>4567.2886473031558</v>
      </c>
      <c r="E210" s="17"/>
      <c r="F210" s="17"/>
    </row>
    <row r="212" spans="1:6" x14ac:dyDescent="0.2">
      <c r="A212" s="16" t="s">
        <v>63</v>
      </c>
      <c r="B212" s="17">
        <f>+F209</f>
        <v>111287.922204256</v>
      </c>
      <c r="C212" s="17">
        <f t="shared" ref="C212:C223" si="75">+E212-D212</f>
        <v>452.22358252546513</v>
      </c>
      <c r="D212" s="17">
        <f t="shared" ref="D212:D223" si="76">B212*$I$2</f>
        <v>370.95974068085337</v>
      </c>
      <c r="E212" s="17">
        <f t="shared" ref="E212:E223" si="77">-$I$8</f>
        <v>823.18332320631851</v>
      </c>
      <c r="F212" s="17">
        <f t="shared" ref="F212:F223" si="78">+B212-C212</f>
        <v>110835.69862173054</v>
      </c>
    </row>
    <row r="213" spans="1:6" x14ac:dyDescent="0.2">
      <c r="A213" s="16" t="s">
        <v>64</v>
      </c>
      <c r="B213" s="17">
        <f t="shared" ref="B213:B223" si="79">+F212</f>
        <v>110835.69862173054</v>
      </c>
      <c r="C213" s="17">
        <f t="shared" si="75"/>
        <v>453.7309944672167</v>
      </c>
      <c r="D213" s="17">
        <f t="shared" si="76"/>
        <v>369.4523287391018</v>
      </c>
      <c r="E213" s="17">
        <f t="shared" si="77"/>
        <v>823.18332320631851</v>
      </c>
      <c r="F213" s="17">
        <f t="shared" si="78"/>
        <v>110381.96762726332</v>
      </c>
    </row>
    <row r="214" spans="1:6" x14ac:dyDescent="0.2">
      <c r="A214" s="16" t="s">
        <v>65</v>
      </c>
      <c r="B214" s="17">
        <f t="shared" si="79"/>
        <v>110381.96762726332</v>
      </c>
      <c r="C214" s="17">
        <f t="shared" si="75"/>
        <v>455.24343111544073</v>
      </c>
      <c r="D214" s="17">
        <f t="shared" si="76"/>
        <v>367.93989209087778</v>
      </c>
      <c r="E214" s="17">
        <f t="shared" si="77"/>
        <v>823.18332320631851</v>
      </c>
      <c r="F214" s="17">
        <f t="shared" si="78"/>
        <v>109926.72419614789</v>
      </c>
    </row>
    <row r="215" spans="1:6" x14ac:dyDescent="0.2">
      <c r="A215" s="16" t="s">
        <v>66</v>
      </c>
      <c r="B215" s="17">
        <f t="shared" si="79"/>
        <v>109926.72419614789</v>
      </c>
      <c r="C215" s="17">
        <f t="shared" si="75"/>
        <v>456.76090921915886</v>
      </c>
      <c r="D215" s="17">
        <f t="shared" si="76"/>
        <v>366.42241398715964</v>
      </c>
      <c r="E215" s="17">
        <f t="shared" si="77"/>
        <v>823.18332320631851</v>
      </c>
      <c r="F215" s="17">
        <f t="shared" si="78"/>
        <v>109469.96328692873</v>
      </c>
    </row>
    <row r="216" spans="1:6" x14ac:dyDescent="0.2">
      <c r="A216" s="16" t="s">
        <v>67</v>
      </c>
      <c r="B216" s="17">
        <f t="shared" si="79"/>
        <v>109469.96328692873</v>
      </c>
      <c r="C216" s="17">
        <f t="shared" si="75"/>
        <v>458.28344558322271</v>
      </c>
      <c r="D216" s="17">
        <f t="shared" si="76"/>
        <v>364.89987762309579</v>
      </c>
      <c r="E216" s="17">
        <f t="shared" si="77"/>
        <v>823.18332320631851</v>
      </c>
      <c r="F216" s="17">
        <f t="shared" si="78"/>
        <v>109011.67984134551</v>
      </c>
    </row>
    <row r="217" spans="1:6" x14ac:dyDescent="0.2">
      <c r="A217" s="16" t="s">
        <v>68</v>
      </c>
      <c r="B217" s="17">
        <f t="shared" si="79"/>
        <v>109011.67984134551</v>
      </c>
      <c r="C217" s="17">
        <f t="shared" si="75"/>
        <v>459.81105706850013</v>
      </c>
      <c r="D217" s="17">
        <f t="shared" si="76"/>
        <v>363.37226613781837</v>
      </c>
      <c r="E217" s="17">
        <f t="shared" si="77"/>
        <v>823.18332320631851</v>
      </c>
      <c r="F217" s="17">
        <f t="shared" si="78"/>
        <v>108551.86878427702</v>
      </c>
    </row>
    <row r="218" spans="1:6" x14ac:dyDescent="0.2">
      <c r="A218" s="16" t="s">
        <v>69</v>
      </c>
      <c r="B218" s="17">
        <f t="shared" si="79"/>
        <v>108551.86878427702</v>
      </c>
      <c r="C218" s="17">
        <f t="shared" si="75"/>
        <v>461.34376059206176</v>
      </c>
      <c r="D218" s="17">
        <f t="shared" si="76"/>
        <v>361.83956261425675</v>
      </c>
      <c r="E218" s="17">
        <f t="shared" si="77"/>
        <v>823.18332320631851</v>
      </c>
      <c r="F218" s="17">
        <f t="shared" si="78"/>
        <v>108090.52502368495</v>
      </c>
    </row>
    <row r="219" spans="1:6" x14ac:dyDescent="0.2">
      <c r="A219" s="16" t="s">
        <v>70</v>
      </c>
      <c r="B219" s="17">
        <f t="shared" si="79"/>
        <v>108090.52502368495</v>
      </c>
      <c r="C219" s="17">
        <f t="shared" si="75"/>
        <v>462.88157312736865</v>
      </c>
      <c r="D219" s="17">
        <f t="shared" si="76"/>
        <v>360.30175007894985</v>
      </c>
      <c r="E219" s="17">
        <f t="shared" si="77"/>
        <v>823.18332320631851</v>
      </c>
      <c r="F219" s="17">
        <f t="shared" si="78"/>
        <v>107627.64345055759</v>
      </c>
    </row>
    <row r="220" spans="1:6" x14ac:dyDescent="0.2">
      <c r="A220" s="16" t="s">
        <v>71</v>
      </c>
      <c r="B220" s="17">
        <f t="shared" si="79"/>
        <v>107627.64345055759</v>
      </c>
      <c r="C220" s="17">
        <f t="shared" si="75"/>
        <v>464.42451170445986</v>
      </c>
      <c r="D220" s="17">
        <f t="shared" si="76"/>
        <v>358.75881150185864</v>
      </c>
      <c r="E220" s="17">
        <f t="shared" si="77"/>
        <v>823.18332320631851</v>
      </c>
      <c r="F220" s="17">
        <f t="shared" si="78"/>
        <v>107163.21893885313</v>
      </c>
    </row>
    <row r="221" spans="1:6" x14ac:dyDescent="0.2">
      <c r="A221" s="16" t="s">
        <v>72</v>
      </c>
      <c r="B221" s="17">
        <f t="shared" si="79"/>
        <v>107163.21893885313</v>
      </c>
      <c r="C221" s="17">
        <f t="shared" si="75"/>
        <v>465.97259341014137</v>
      </c>
      <c r="D221" s="17">
        <f t="shared" si="76"/>
        <v>357.21072979617713</v>
      </c>
      <c r="E221" s="17">
        <f t="shared" si="77"/>
        <v>823.18332320631851</v>
      </c>
      <c r="F221" s="17">
        <f t="shared" si="78"/>
        <v>106697.24634544298</v>
      </c>
    </row>
    <row r="222" spans="1:6" x14ac:dyDescent="0.2">
      <c r="A222" s="16" t="s">
        <v>73</v>
      </c>
      <c r="B222" s="17">
        <f t="shared" si="79"/>
        <v>106697.24634544298</v>
      </c>
      <c r="C222" s="17">
        <f t="shared" si="75"/>
        <v>467.52583538817521</v>
      </c>
      <c r="D222" s="17">
        <f t="shared" si="76"/>
        <v>355.6574878181433</v>
      </c>
      <c r="E222" s="17">
        <f t="shared" si="77"/>
        <v>823.18332320631851</v>
      </c>
      <c r="F222" s="17">
        <f t="shared" si="78"/>
        <v>106229.7205100548</v>
      </c>
    </row>
    <row r="223" spans="1:6" x14ac:dyDescent="0.2">
      <c r="A223" s="16" t="s">
        <v>74</v>
      </c>
      <c r="B223" s="17">
        <f t="shared" si="79"/>
        <v>106229.7205100548</v>
      </c>
      <c r="C223" s="17">
        <f t="shared" si="75"/>
        <v>469.08425483946917</v>
      </c>
      <c r="D223" s="17">
        <f t="shared" si="76"/>
        <v>354.09906836684934</v>
      </c>
      <c r="E223" s="17">
        <f t="shared" si="77"/>
        <v>823.18332320631851</v>
      </c>
      <c r="F223" s="20">
        <f t="shared" si="78"/>
        <v>105760.63625521533</v>
      </c>
    </row>
    <row r="224" spans="1:6" x14ac:dyDescent="0.2">
      <c r="A224" s="21" t="s">
        <v>50</v>
      </c>
      <c r="B224" s="21"/>
      <c r="C224" s="20">
        <f>SUM(C212:C223)</f>
        <v>5527.2859490406809</v>
      </c>
      <c r="D224" s="20">
        <f>SUM(D212:D223)</f>
        <v>4350.9139294351417</v>
      </c>
      <c r="E224" s="17"/>
      <c r="F224" s="17"/>
    </row>
    <row r="226" spans="1:6" x14ac:dyDescent="0.2">
      <c r="A226" s="16" t="s">
        <v>63</v>
      </c>
      <c r="B226" s="17">
        <f>+F223</f>
        <v>105760.63625521533</v>
      </c>
      <c r="C226" s="17">
        <f t="shared" ref="C226:C237" si="80">+E226-D226</f>
        <v>470.6478690222674</v>
      </c>
      <c r="D226" s="17">
        <f t="shared" ref="D226:D237" si="81">B226*$I$2</f>
        <v>352.5354541840511</v>
      </c>
      <c r="E226" s="17">
        <f t="shared" ref="E226:E237" si="82">-$I$8</f>
        <v>823.18332320631851</v>
      </c>
      <c r="F226" s="17">
        <f t="shared" ref="F226:F237" si="83">+B226-C226</f>
        <v>105289.98838619306</v>
      </c>
    </row>
    <row r="227" spans="1:6" x14ac:dyDescent="0.2">
      <c r="A227" s="16" t="s">
        <v>64</v>
      </c>
      <c r="B227" s="17">
        <f t="shared" ref="B227:B237" si="84">+F226</f>
        <v>105289.98838619306</v>
      </c>
      <c r="C227" s="17">
        <f t="shared" si="80"/>
        <v>472.21669525234165</v>
      </c>
      <c r="D227" s="17">
        <f t="shared" si="81"/>
        <v>350.96662795397685</v>
      </c>
      <c r="E227" s="17">
        <f t="shared" si="82"/>
        <v>823.18332320631851</v>
      </c>
      <c r="F227" s="17">
        <f t="shared" si="83"/>
        <v>104817.77169094072</v>
      </c>
    </row>
    <row r="228" spans="1:6" x14ac:dyDescent="0.2">
      <c r="A228" s="16" t="s">
        <v>65</v>
      </c>
      <c r="B228" s="17">
        <f t="shared" si="84"/>
        <v>104817.77169094072</v>
      </c>
      <c r="C228" s="17">
        <f t="shared" si="80"/>
        <v>473.79075090318275</v>
      </c>
      <c r="D228" s="17">
        <f t="shared" si="81"/>
        <v>349.39257230313575</v>
      </c>
      <c r="E228" s="17">
        <f t="shared" si="82"/>
        <v>823.18332320631851</v>
      </c>
      <c r="F228" s="17">
        <f t="shared" si="83"/>
        <v>104343.98094003754</v>
      </c>
    </row>
    <row r="229" spans="1:6" x14ac:dyDescent="0.2">
      <c r="A229" s="16" t="s">
        <v>66</v>
      </c>
      <c r="B229" s="17">
        <f t="shared" si="84"/>
        <v>104343.98094003754</v>
      </c>
      <c r="C229" s="17">
        <f t="shared" si="80"/>
        <v>475.37005340619334</v>
      </c>
      <c r="D229" s="17">
        <f t="shared" si="81"/>
        <v>347.81326980012517</v>
      </c>
      <c r="E229" s="17">
        <f t="shared" si="82"/>
        <v>823.18332320631851</v>
      </c>
      <c r="F229" s="17">
        <f t="shared" si="83"/>
        <v>103868.61088663134</v>
      </c>
    </row>
    <row r="230" spans="1:6" x14ac:dyDescent="0.2">
      <c r="A230" s="16" t="s">
        <v>67</v>
      </c>
      <c r="B230" s="17">
        <f t="shared" si="84"/>
        <v>103868.61088663134</v>
      </c>
      <c r="C230" s="17">
        <f t="shared" si="80"/>
        <v>476.95462025088068</v>
      </c>
      <c r="D230" s="17">
        <f t="shared" si="81"/>
        <v>346.22870295543783</v>
      </c>
      <c r="E230" s="17">
        <f t="shared" si="82"/>
        <v>823.18332320631851</v>
      </c>
      <c r="F230" s="17">
        <f t="shared" si="83"/>
        <v>103391.65626638047</v>
      </c>
    </row>
    <row r="231" spans="1:6" x14ac:dyDescent="0.2">
      <c r="A231" s="16" t="s">
        <v>68</v>
      </c>
      <c r="B231" s="17">
        <f t="shared" si="84"/>
        <v>103391.65626638047</v>
      </c>
      <c r="C231" s="17">
        <f t="shared" si="80"/>
        <v>478.54446898505029</v>
      </c>
      <c r="D231" s="17">
        <f t="shared" si="81"/>
        <v>344.63885422126822</v>
      </c>
      <c r="E231" s="17">
        <f t="shared" si="82"/>
        <v>823.18332320631851</v>
      </c>
      <c r="F231" s="17">
        <f t="shared" si="83"/>
        <v>102913.11179739541</v>
      </c>
    </row>
    <row r="232" spans="1:6" x14ac:dyDescent="0.2">
      <c r="A232" s="16" t="s">
        <v>69</v>
      </c>
      <c r="B232" s="17">
        <f t="shared" si="84"/>
        <v>102913.11179739541</v>
      </c>
      <c r="C232" s="17">
        <f t="shared" si="80"/>
        <v>480.13961721500044</v>
      </c>
      <c r="D232" s="17">
        <f t="shared" si="81"/>
        <v>343.04370599131806</v>
      </c>
      <c r="E232" s="17">
        <f t="shared" si="82"/>
        <v>823.18332320631851</v>
      </c>
      <c r="F232" s="17">
        <f t="shared" si="83"/>
        <v>102432.97218018041</v>
      </c>
    </row>
    <row r="233" spans="1:6" x14ac:dyDescent="0.2">
      <c r="A233" s="16" t="s">
        <v>70</v>
      </c>
      <c r="B233" s="17">
        <f t="shared" si="84"/>
        <v>102432.97218018041</v>
      </c>
      <c r="C233" s="17">
        <f t="shared" si="80"/>
        <v>481.74008260571713</v>
      </c>
      <c r="D233" s="17">
        <f t="shared" si="81"/>
        <v>341.44324060060137</v>
      </c>
      <c r="E233" s="17">
        <f t="shared" si="82"/>
        <v>823.18332320631851</v>
      </c>
      <c r="F233" s="17">
        <f t="shared" si="83"/>
        <v>101951.2320975747</v>
      </c>
    </row>
    <row r="234" spans="1:6" x14ac:dyDescent="0.2">
      <c r="A234" s="16" t="s">
        <v>71</v>
      </c>
      <c r="B234" s="17">
        <f t="shared" si="84"/>
        <v>101951.2320975747</v>
      </c>
      <c r="C234" s="17">
        <f t="shared" si="80"/>
        <v>483.34588288106949</v>
      </c>
      <c r="D234" s="17">
        <f t="shared" si="81"/>
        <v>339.83744032524902</v>
      </c>
      <c r="E234" s="17">
        <f t="shared" si="82"/>
        <v>823.18332320631851</v>
      </c>
      <c r="F234" s="17">
        <f t="shared" si="83"/>
        <v>101467.88621469363</v>
      </c>
    </row>
    <row r="235" spans="1:6" x14ac:dyDescent="0.2">
      <c r="A235" s="16" t="s">
        <v>72</v>
      </c>
      <c r="B235" s="17">
        <f t="shared" si="84"/>
        <v>101467.88621469363</v>
      </c>
      <c r="C235" s="17">
        <f t="shared" si="80"/>
        <v>484.95703582400637</v>
      </c>
      <c r="D235" s="17">
        <f t="shared" si="81"/>
        <v>338.22628738231214</v>
      </c>
      <c r="E235" s="17">
        <f t="shared" si="82"/>
        <v>823.18332320631851</v>
      </c>
      <c r="F235" s="17">
        <f t="shared" si="83"/>
        <v>100982.92917886963</v>
      </c>
    </row>
    <row r="236" spans="1:6" x14ac:dyDescent="0.2">
      <c r="A236" s="16" t="s">
        <v>73</v>
      </c>
      <c r="B236" s="17">
        <f t="shared" si="84"/>
        <v>100982.92917886963</v>
      </c>
      <c r="C236" s="17">
        <f t="shared" si="80"/>
        <v>486.57355927675303</v>
      </c>
      <c r="D236" s="17">
        <f t="shared" si="81"/>
        <v>336.60976392956547</v>
      </c>
      <c r="E236" s="17">
        <f t="shared" si="82"/>
        <v>823.18332320631851</v>
      </c>
      <c r="F236" s="17">
        <f t="shared" si="83"/>
        <v>100496.35561959287</v>
      </c>
    </row>
    <row r="237" spans="1:6" x14ac:dyDescent="0.2">
      <c r="A237" s="16" t="s">
        <v>74</v>
      </c>
      <c r="B237" s="17">
        <f t="shared" si="84"/>
        <v>100496.35561959287</v>
      </c>
      <c r="C237" s="17">
        <f t="shared" si="80"/>
        <v>488.19547114100891</v>
      </c>
      <c r="D237" s="17">
        <f t="shared" si="81"/>
        <v>334.9878520653096</v>
      </c>
      <c r="E237" s="17">
        <f t="shared" si="82"/>
        <v>823.18332320631851</v>
      </c>
      <c r="F237" s="20">
        <f t="shared" si="83"/>
        <v>100008.16014845186</v>
      </c>
    </row>
    <row r="238" spans="1:6" x14ac:dyDescent="0.2">
      <c r="A238" s="21" t="s">
        <v>50</v>
      </c>
      <c r="B238" s="21"/>
      <c r="C238" s="20">
        <f>SUM(C226:C237)</f>
        <v>5752.4761067634718</v>
      </c>
      <c r="D238" s="20">
        <f>SUM(D226:D237)</f>
        <v>4125.7237717123498</v>
      </c>
      <c r="E238" s="17"/>
      <c r="F238" s="17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0" zoomScaleNormal="80"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5" sqref="E25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Forecast</vt:lpstr>
      <vt:lpstr>Mortgage</vt:lpstr>
      <vt:lpstr>MLS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2013-12-02T21:01:36Z</dcterms:created>
  <dcterms:modified xsi:type="dcterms:W3CDTF">2019-07-16T21:44:25Z</dcterms:modified>
</cp:coreProperties>
</file>