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225" windowWidth="8595" windowHeight="7620"/>
  </bookViews>
  <sheets>
    <sheet name="iExpander" sheetId="1" r:id="rId1"/>
    <sheet name="Income Statement" sheetId="2" r:id="rId2"/>
    <sheet name="Balance Sheet" sheetId="3" r:id="rId3"/>
    <sheet name="FCF" sheetId="4" r:id="rId4"/>
    <sheet name="rebalancer" sheetId="5" r:id="rId5"/>
  </sheets>
  <calcPr calcId="145621"/>
</workbook>
</file>

<file path=xl/calcChain.xml><?xml version="1.0" encoding="utf-8"?>
<calcChain xmlns="http://schemas.openxmlformats.org/spreadsheetml/2006/main">
  <c r="B46" i="4" l="1"/>
  <c r="D59" i="4" l="1"/>
  <c r="E57" i="4" s="1"/>
  <c r="C22" i="5"/>
  <c r="C7" i="5"/>
  <c r="C18" i="5"/>
  <c r="E58" i="4" l="1"/>
  <c r="E59" i="4" s="1"/>
  <c r="B5" i="2"/>
  <c r="B8" i="2"/>
  <c r="A14" i="4" l="1"/>
  <c r="A9" i="4"/>
  <c r="I13" i="1"/>
  <c r="C13" i="1"/>
  <c r="A52" i="1"/>
  <c r="A50" i="1"/>
  <c r="C26" i="3"/>
  <c r="C29" i="3"/>
  <c r="C47" i="3" s="1"/>
  <c r="D34" i="1"/>
  <c r="D26" i="3" s="1"/>
  <c r="D27" i="3" s="1"/>
  <c r="C50" i="3"/>
  <c r="C43" i="3" s="1"/>
  <c r="C48" i="3"/>
  <c r="D7" i="1"/>
  <c r="E7" i="1" s="1"/>
  <c r="F7" i="1" s="1"/>
  <c r="C46" i="3" l="1"/>
  <c r="C27" i="3"/>
  <c r="E34" i="1"/>
  <c r="F34" i="1" s="1"/>
  <c r="F26" i="3" s="1"/>
  <c r="F27" i="3" s="1"/>
  <c r="E26" i="3"/>
  <c r="E27" i="3" s="1"/>
  <c r="C19" i="5"/>
  <c r="C24" i="5" s="1"/>
  <c r="C25" i="5" s="1"/>
  <c r="E21" i="5"/>
  <c r="B8" i="5"/>
  <c r="D6" i="5" s="1"/>
  <c r="D7" i="5" l="1"/>
  <c r="C13" i="5" s="1"/>
  <c r="C44" i="3" l="1"/>
  <c r="D47" i="3"/>
  <c r="D46" i="3" s="1"/>
  <c r="C53" i="3" l="1"/>
  <c r="B52" i="4" s="1"/>
  <c r="B48" i="4" s="1"/>
  <c r="D13" i="1"/>
  <c r="E13" i="1" s="1"/>
  <c r="F13" i="1" s="1"/>
  <c r="D33" i="1"/>
  <c r="D29" i="3" s="1"/>
  <c r="E18" i="1"/>
  <c r="F18" i="1" s="1"/>
  <c r="D18" i="1"/>
  <c r="E33" i="1" l="1"/>
  <c r="D21" i="1"/>
  <c r="C11" i="2" s="1"/>
  <c r="C8" i="2"/>
  <c r="D8" i="2"/>
  <c r="E8" i="2"/>
  <c r="D31" i="1"/>
  <c r="C16" i="2" s="1"/>
  <c r="E31" i="1"/>
  <c r="D16" i="2" s="1"/>
  <c r="F31" i="1"/>
  <c r="E16" i="2" s="1"/>
  <c r="C31" i="1"/>
  <c r="B16" i="2"/>
  <c r="A9" i="2"/>
  <c r="A10" i="2"/>
  <c r="A11" i="2"/>
  <c r="A12" i="2"/>
  <c r="A8" i="2"/>
  <c r="B11" i="2"/>
  <c r="E29" i="3" l="1"/>
  <c r="F33" i="1"/>
  <c r="F29" i="3" s="1"/>
  <c r="E21" i="1"/>
  <c r="F21" i="1" s="1"/>
  <c r="E11" i="2" s="1"/>
  <c r="C22" i="1"/>
  <c r="D22" i="1" s="1"/>
  <c r="E22" i="1" s="1"/>
  <c r="F22" i="1" s="1"/>
  <c r="C43" i="1"/>
  <c r="C20" i="1"/>
  <c r="D12" i="1"/>
  <c r="C10" i="1"/>
  <c r="D8" i="1"/>
  <c r="D20" i="1" l="1"/>
  <c r="B10" i="2"/>
  <c r="F8" i="1"/>
  <c r="E8" i="1"/>
  <c r="D11" i="2"/>
  <c r="D10" i="1"/>
  <c r="E12" i="1"/>
  <c r="D41" i="1"/>
  <c r="E41" i="1" s="1"/>
  <c r="F41" i="1" s="1"/>
  <c r="D42" i="1"/>
  <c r="E42" i="1" s="1"/>
  <c r="F42" i="1" s="1"/>
  <c r="C13" i="3"/>
  <c r="D13" i="3" s="1"/>
  <c r="E13" i="3" s="1"/>
  <c r="F13" i="3" s="1"/>
  <c r="C7" i="3"/>
  <c r="D7" i="3" s="1"/>
  <c r="F29" i="1"/>
  <c r="E29" i="1"/>
  <c r="D29" i="1"/>
  <c r="C29" i="1"/>
  <c r="D30" i="1"/>
  <c r="E30" i="1"/>
  <c r="F30" i="1"/>
  <c r="E15" i="2" s="1"/>
  <c r="F10" i="4" s="1"/>
  <c r="F17" i="4" s="1"/>
  <c r="C30" i="1"/>
  <c r="B15" i="2" s="1"/>
  <c r="C10" i="4" s="1"/>
  <c r="C17" i="4" s="1"/>
  <c r="C15" i="2"/>
  <c r="D10" i="4" s="1"/>
  <c r="D17" i="4" s="1"/>
  <c r="D15" i="2"/>
  <c r="E10" i="4" s="1"/>
  <c r="E17" i="4" s="1"/>
  <c r="B12" i="2"/>
  <c r="E20" i="1" l="1"/>
  <c r="C10" i="2"/>
  <c r="C14" i="3"/>
  <c r="C15" i="3" s="1"/>
  <c r="C16" i="3" s="1"/>
  <c r="F12" i="1"/>
  <c r="F10" i="1" s="1"/>
  <c r="E10" i="1"/>
  <c r="C12" i="2"/>
  <c r="D14" i="3" l="1"/>
  <c r="D15" i="3" s="1"/>
  <c r="D16" i="3" s="1"/>
  <c r="F20" i="1"/>
  <c r="E10" i="2" s="1"/>
  <c r="D10" i="2"/>
  <c r="D12" i="2"/>
  <c r="E12" i="2"/>
  <c r="E7" i="3"/>
  <c r="C15" i="1"/>
  <c r="C21" i="3" s="1"/>
  <c r="J21" i="3" s="1"/>
  <c r="C33" i="4" s="1"/>
  <c r="C9" i="1"/>
  <c r="C19" i="1" s="1"/>
  <c r="B9" i="2" s="1"/>
  <c r="E14" i="3" l="1"/>
  <c r="E15" i="3" s="1"/>
  <c r="E16" i="3" s="1"/>
  <c r="E43" i="1"/>
  <c r="D43" i="1"/>
  <c r="D19" i="1"/>
  <c r="C9" i="2" s="1"/>
  <c r="D9" i="1"/>
  <c r="C4" i="2" s="1"/>
  <c r="E9" i="1"/>
  <c r="D4" i="2" s="1"/>
  <c r="C16" i="1"/>
  <c r="C25" i="1" s="1"/>
  <c r="B4" i="2"/>
  <c r="F7" i="3"/>
  <c r="D15" i="1"/>
  <c r="D21" i="3" s="1"/>
  <c r="K21" i="3" s="1"/>
  <c r="D33" i="4" s="1"/>
  <c r="F43" i="1"/>
  <c r="E15" i="1"/>
  <c r="E21" i="3" s="1"/>
  <c r="F14" i="3" l="1"/>
  <c r="F15" i="3" s="1"/>
  <c r="F16" i="3" s="1"/>
  <c r="L21" i="3"/>
  <c r="E33" i="4" s="1"/>
  <c r="C9" i="3"/>
  <c r="D5" i="2"/>
  <c r="E9" i="3" s="1"/>
  <c r="E19" i="1"/>
  <c r="D9" i="2" s="1"/>
  <c r="F15" i="1"/>
  <c r="F21" i="3" s="1"/>
  <c r="M21" i="3" s="1"/>
  <c r="F33" i="4" s="1"/>
  <c r="D16" i="1"/>
  <c r="D25" i="1" s="1"/>
  <c r="C5" i="2"/>
  <c r="D9" i="3" s="1"/>
  <c r="B6" i="2"/>
  <c r="E16" i="1"/>
  <c r="F9" i="1"/>
  <c r="F25" i="4" l="1"/>
  <c r="J9" i="3"/>
  <c r="C32" i="4" s="1"/>
  <c r="E25" i="1"/>
  <c r="C10" i="3"/>
  <c r="C17" i="3" s="1"/>
  <c r="E10" i="3"/>
  <c r="E17" i="3" s="1"/>
  <c r="D6" i="2"/>
  <c r="D13" i="2" s="1"/>
  <c r="E5" i="2"/>
  <c r="B13" i="2"/>
  <c r="F19" i="1"/>
  <c r="E9" i="2" s="1"/>
  <c r="C6" i="2"/>
  <c r="F16" i="1"/>
  <c r="E4" i="2"/>
  <c r="D17" i="2" l="1"/>
  <c r="D19" i="2" s="1"/>
  <c r="D20" i="2" s="1"/>
  <c r="E9" i="4"/>
  <c r="E11" i="4" s="1"/>
  <c r="B17" i="2"/>
  <c r="B19" i="2" s="1"/>
  <c r="B20" i="2" s="1"/>
  <c r="C9" i="4"/>
  <c r="F25" i="1"/>
  <c r="F9" i="3"/>
  <c r="M9" i="3" s="1"/>
  <c r="F32" i="4" s="1"/>
  <c r="D10" i="3"/>
  <c r="D17" i="3" s="1"/>
  <c r="K9" i="3"/>
  <c r="D32" i="4" s="1"/>
  <c r="L9" i="3"/>
  <c r="E32" i="4" s="1"/>
  <c r="C13" i="2"/>
  <c r="E6" i="2"/>
  <c r="E14" i="4" l="1"/>
  <c r="E15" i="4" s="1"/>
  <c r="E18" i="4" s="1"/>
  <c r="D21" i="2"/>
  <c r="E22" i="3"/>
  <c r="C17" i="2"/>
  <c r="C19" i="2" s="1"/>
  <c r="C20" i="2" s="1"/>
  <c r="D9" i="4"/>
  <c r="C11" i="4"/>
  <c r="B21" i="2"/>
  <c r="D30" i="3" s="1"/>
  <c r="C22" i="3"/>
  <c r="F10" i="3"/>
  <c r="F17" i="3" s="1"/>
  <c r="G32" i="4"/>
  <c r="E13" i="2"/>
  <c r="F34" i="4" l="1"/>
  <c r="C14" i="4"/>
  <c r="C15" i="4" s="1"/>
  <c r="C18" i="4" s="1"/>
  <c r="C24" i="3"/>
  <c r="C31" i="3" s="1"/>
  <c r="C33" i="3" s="1"/>
  <c r="I33" i="3" s="1"/>
  <c r="D11" i="4"/>
  <c r="C21" i="2"/>
  <c r="E30" i="3" s="1"/>
  <c r="F30" i="3" s="1"/>
  <c r="D22" i="3"/>
  <c r="E17" i="2"/>
  <c r="E19" i="2" s="1"/>
  <c r="E20" i="2" s="1"/>
  <c r="F9" i="4"/>
  <c r="E24" i="3"/>
  <c r="C34" i="4" l="1"/>
  <c r="C46" i="4" s="1"/>
  <c r="C48" i="4" s="1"/>
  <c r="D14" i="4"/>
  <c r="D34" i="4" s="1"/>
  <c r="G18" i="4"/>
  <c r="E21" i="2"/>
  <c r="F22" i="3"/>
  <c r="D24" i="3"/>
  <c r="E31" i="3"/>
  <c r="E33" i="3" s="1"/>
  <c r="K33" i="3" s="1"/>
  <c r="F11" i="4"/>
  <c r="F15" i="4" s="1"/>
  <c r="F18" i="4" s="1"/>
  <c r="D15" i="4" l="1"/>
  <c r="D18" i="4" s="1"/>
  <c r="D46" i="4" s="1"/>
  <c r="E34" i="4"/>
  <c r="F37" i="4" s="1"/>
  <c r="F46" i="4" s="1"/>
  <c r="D31" i="3"/>
  <c r="D33" i="3" s="1"/>
  <c r="J33" i="3" s="1"/>
  <c r="F24" i="3"/>
  <c r="E46" i="4" l="1"/>
  <c r="E48" i="4" s="1"/>
  <c r="G34" i="4"/>
  <c r="D48" i="4"/>
  <c r="F31" i="3"/>
  <c r="F33" i="3" s="1"/>
  <c r="L33" i="3" s="1"/>
  <c r="G33" i="4" l="1"/>
  <c r="G46" i="4" l="1"/>
  <c r="B51" i="4"/>
  <c r="F48" i="4"/>
  <c r="B49" i="4" s="1"/>
</calcChain>
</file>

<file path=xl/sharedStrings.xml><?xml version="1.0" encoding="utf-8"?>
<sst xmlns="http://schemas.openxmlformats.org/spreadsheetml/2006/main" count="153" uniqueCount="139">
  <si>
    <t>Unit Selling Price</t>
  </si>
  <si>
    <t>Forecasted Sales Revenue</t>
  </si>
  <si>
    <t>Changes</t>
  </si>
  <si>
    <t>Cost Of Goods Sold</t>
  </si>
  <si>
    <t>Unit Variable Costs</t>
  </si>
  <si>
    <t>Contribution Margin</t>
  </si>
  <si>
    <t>Forecasted Sales in Units</t>
  </si>
  <si>
    <t>General and Administrative Expenses</t>
  </si>
  <si>
    <t>Rent Expense</t>
  </si>
  <si>
    <t>Equipment</t>
  </si>
  <si>
    <t>Private Funding</t>
  </si>
  <si>
    <t>Sales Revenue</t>
  </si>
  <si>
    <t>Cost of Goods Sold</t>
  </si>
  <si>
    <t>Gross Profit</t>
  </si>
  <si>
    <t>Depreciation Expense</t>
  </si>
  <si>
    <t>Equipment- Useful Life</t>
  </si>
  <si>
    <t>Depreciation</t>
  </si>
  <si>
    <t>Taxable Income</t>
  </si>
  <si>
    <t>Taxes for Year</t>
  </si>
  <si>
    <t>Tax Rate</t>
  </si>
  <si>
    <t>Net Income/(Loss)</t>
  </si>
  <si>
    <t>Assets</t>
  </si>
  <si>
    <t>Current Assets</t>
  </si>
  <si>
    <t>Cash Minimum</t>
  </si>
  <si>
    <t>Cash Above Minimum</t>
  </si>
  <si>
    <t>Inventory</t>
  </si>
  <si>
    <t>Total Current Assets</t>
  </si>
  <si>
    <t>Suggested Minimum Cash Balance</t>
  </si>
  <si>
    <t>Assumed Rate on additional Loans</t>
  </si>
  <si>
    <t>Property, Plant and Equipment</t>
  </si>
  <si>
    <t>Accumulated Depreciation</t>
  </si>
  <si>
    <t>Net Equipment Value</t>
  </si>
  <si>
    <t>Assumptions</t>
  </si>
  <si>
    <t>Inventory Turnover</t>
  </si>
  <si>
    <t>Payables Turnover</t>
  </si>
  <si>
    <t>Total Property, Plant and Equipment</t>
  </si>
  <si>
    <t>Total Assets</t>
  </si>
  <si>
    <t>Liabilities and Equity</t>
  </si>
  <si>
    <t>Batteries</t>
  </si>
  <si>
    <t>Plastic</t>
  </si>
  <si>
    <t>Electronics</t>
  </si>
  <si>
    <t>Shipping</t>
  </si>
  <si>
    <t>Extra Bank Loan</t>
  </si>
  <si>
    <t>Salaries</t>
  </si>
  <si>
    <t>Advertising</t>
  </si>
  <si>
    <t>Returns Allowances</t>
  </si>
  <si>
    <t>Operating Profits</t>
  </si>
  <si>
    <t>Interest Expense</t>
  </si>
  <si>
    <t>Operating Income</t>
  </si>
  <si>
    <t>Bank Loan</t>
  </si>
  <si>
    <t>Total Current Liabilities</t>
  </si>
  <si>
    <t>Long Term Equity</t>
  </si>
  <si>
    <t>Mortgage Loan</t>
  </si>
  <si>
    <t>Total Liabilities and Equity</t>
  </si>
  <si>
    <t>retained Earnings</t>
  </si>
  <si>
    <t>Insurance</t>
  </si>
  <si>
    <t>S&amp;P historic rate</t>
  </si>
  <si>
    <t>t-bill 10 year historic rate</t>
  </si>
  <si>
    <t>equity</t>
  </si>
  <si>
    <t>loans</t>
  </si>
  <si>
    <t>loan interest rate</t>
  </si>
  <si>
    <t>WACC</t>
  </si>
  <si>
    <t>proportions debt</t>
  </si>
  <si>
    <t>tax rate</t>
  </si>
  <si>
    <t>beta</t>
  </si>
  <si>
    <t>capm</t>
  </si>
  <si>
    <t>change in inventory</t>
  </si>
  <si>
    <t>debt</t>
  </si>
  <si>
    <t>rate</t>
  </si>
  <si>
    <t>proportion</t>
  </si>
  <si>
    <t>CAPM</t>
  </si>
  <si>
    <t>T-Bills</t>
  </si>
  <si>
    <t>S&amp;P</t>
  </si>
  <si>
    <t>WACC (80/20)</t>
  </si>
  <si>
    <t>Beta (levered at 80/20)</t>
  </si>
  <si>
    <t>IRR</t>
  </si>
  <si>
    <t>unlever beta</t>
  </si>
  <si>
    <t>make sure you use parenthesis to stop the division of the beta from happening too soon</t>
  </si>
  <si>
    <t>New Debt %</t>
  </si>
  <si>
    <t>new equity %</t>
  </si>
  <si>
    <t>relever beta</t>
  </si>
  <si>
    <t>new capm</t>
  </si>
  <si>
    <t>new wacc</t>
  </si>
  <si>
    <t>HOW TO REBALANCE THE WACC AND IRR</t>
  </si>
  <si>
    <t>***NOTES</t>
  </si>
  <si>
    <t>battery prices were found online at a site called digikey. We took the price from them and got an estimate for bulk purchase</t>
  </si>
  <si>
    <t>this was an estimate to deliver the items from the factory in china to the port, and then from the port in the US to the office where we sell and ship them.</t>
  </si>
  <si>
    <t>Salary is the combined amount the 3 man team wants to be paid to run the business. They would each like just over 40k a year for a salary to run the operation.</t>
  </si>
  <si>
    <t>Accounts Payable</t>
  </si>
  <si>
    <t>change in acc Payable</t>
  </si>
  <si>
    <t>For shipping costs, we got an estimate from a shipping company. They wanted that amount to ship one 5ft^3 pallet of goods on their barge from china where its produced to the US.</t>
  </si>
  <si>
    <t>---</t>
  </si>
  <si>
    <t>sea freight</t>
  </si>
  <si>
    <t>truck freight</t>
  </si>
  <si>
    <t>total shipping costs</t>
  </si>
  <si>
    <t>shipping assumes that we can use partial palletes to accommodate incremental increases in shipping. If they require we purchase space of a whole pallet even if were only shipping an extra 1/4 of a pallet, then this number will have to be adjusted to jump in increments of 750 per 10,000 units. for example. If we want to ship 10,001 units we would pay 1500 for two pallets, not just 750.08. 8 cents for the extra unit. If this is the case we would want to build in a formula to calculate our break even on brining in new shipments. whats the minimum we could have in a crate and it still be worth it to ship?</t>
  </si>
  <si>
    <t>client pays for shipping costs from office to their point of delivery, this will be added to the retail price and is not on our books because we don’t deal with it.</t>
  </si>
  <si>
    <t>Calculating FCF, NPV, and IRR</t>
  </si>
  <si>
    <t>Operating Income After tax</t>
  </si>
  <si>
    <t>Less Taxes</t>
  </si>
  <si>
    <t>Less Depreciation</t>
  </si>
  <si>
    <t>Taxable Operating Income</t>
  </si>
  <si>
    <t>Add Depreciation</t>
  </si>
  <si>
    <t>Total Cash from Operations</t>
  </si>
  <si>
    <t>0 if there are no taxes</t>
  </si>
  <si>
    <t>Cash in/out from Captial Expenditures</t>
  </si>
  <si>
    <t>Cash in/out from Working Capital Changes</t>
  </si>
  <si>
    <t>Income Tax Payable</t>
  </si>
  <si>
    <t>Cash in/out from Working Capital Liquidation</t>
  </si>
  <si>
    <t>TOTAL FREE CASH FLOWS</t>
  </si>
  <si>
    <t>PV OF FCF</t>
  </si>
  <si>
    <t>NPV</t>
  </si>
  <si>
    <t>Cash from Operations</t>
  </si>
  <si>
    <t>Buy Equipment</t>
  </si>
  <si>
    <t>Sell Equipment</t>
  </si>
  <si>
    <t>Taxes on Sale of Equipment</t>
  </si>
  <si>
    <t>Taxes Payable</t>
  </si>
  <si>
    <t>Period</t>
  </si>
  <si>
    <t xml:space="preserve">Assuming we sell for no gain or loss </t>
  </si>
  <si>
    <t>(no taxes due to adjusted basis return)</t>
  </si>
  <si>
    <t>Year 0</t>
  </si>
  <si>
    <t>Liquidate Working Capital</t>
  </si>
  <si>
    <t>Capital Expenditures</t>
  </si>
  <si>
    <t>FCF, NPV, IRR</t>
  </si>
  <si>
    <t>REBALANCE</t>
  </si>
  <si>
    <t>Inverse some of all capital changes</t>
  </si>
  <si>
    <t>check</t>
  </si>
  <si>
    <t>sum of fcf</t>
  </si>
  <si>
    <t>check of bottom line + tax</t>
  </si>
  <si>
    <t>Original</t>
  </si>
  <si>
    <t>New</t>
  </si>
  <si>
    <t>I Expander Assumptions</t>
  </si>
  <si>
    <t>I Expander Proforma Income Statement</t>
  </si>
  <si>
    <t>I Expander Proforma Balance Sheet</t>
  </si>
  <si>
    <t>Other Financial Assumptions</t>
  </si>
  <si>
    <t>Years</t>
  </si>
  <si>
    <t>Rebalancing Tool</t>
  </si>
  <si>
    <t>DFN</t>
  </si>
  <si>
    <t>Total Long Term Liabilities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</si>
</sst>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 numFmtId="167" formatCode="0.0000%"/>
    <numFmt numFmtId="168" formatCode="_(&quot;$&quot;* #,##0_);_(&quot;$&quot;* \(#,##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1"/>
      <color rgb="FF0070C0"/>
      <name val="Calibri"/>
      <family val="2"/>
      <scheme val="minor"/>
    </font>
    <font>
      <sz val="11"/>
      <color rgb="FFFF0000"/>
      <name val="Calibri"/>
      <family val="2"/>
      <scheme val="minor"/>
    </font>
    <font>
      <i/>
      <sz val="11"/>
      <color theme="1"/>
      <name val="Calibri"/>
      <family val="2"/>
      <scheme val="minor"/>
    </font>
    <font>
      <sz val="11"/>
      <color indexed="8"/>
      <name val="Calibri"/>
      <family val="2"/>
      <charset val="1"/>
    </font>
    <font>
      <b/>
      <sz val="11"/>
      <color indexed="8"/>
      <name val="Calibri"/>
      <family val="2"/>
    </font>
    <font>
      <u/>
      <sz val="11"/>
      <color indexed="8"/>
      <name val="Calibri"/>
      <family val="2"/>
      <charset val="1"/>
    </font>
    <font>
      <u/>
      <sz val="11"/>
      <color theme="1"/>
      <name val="Calibri"/>
      <family val="2"/>
      <charset val="1"/>
      <scheme val="minor"/>
    </font>
    <font>
      <sz val="11"/>
      <color theme="1"/>
      <name val="Calibri"/>
      <family val="2"/>
      <charset val="1"/>
      <scheme val="minor"/>
    </font>
    <font>
      <i/>
      <sz val="11"/>
      <color rgb="FFFF0000"/>
      <name val="Calibri"/>
      <family val="2"/>
      <scheme val="minor"/>
    </font>
    <font>
      <sz val="28"/>
      <color theme="1"/>
      <name val="Calibri"/>
      <family val="2"/>
      <scheme val="minor"/>
    </font>
    <font>
      <u/>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s>
  <borders count="18">
    <border>
      <left/>
      <right/>
      <top/>
      <bottom/>
      <diagonal/>
    </border>
    <border>
      <left/>
      <right/>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cellStyleXfs>
  <cellXfs count="131">
    <xf numFmtId="0" fontId="0" fillId="0" borderId="0" xfId="0"/>
    <xf numFmtId="44" fontId="0" fillId="2" borderId="0" xfId="2" applyFont="1" applyFill="1"/>
    <xf numFmtId="0" fontId="0" fillId="2" borderId="0" xfId="0" applyFill="1"/>
    <xf numFmtId="0" fontId="2" fillId="2" borderId="3" xfId="0" applyFont="1" applyFill="1" applyBorder="1"/>
    <xf numFmtId="0" fontId="0" fillId="2" borderId="0" xfId="0" applyFill="1" applyBorder="1"/>
    <xf numFmtId="0" fontId="2" fillId="2" borderId="3" xfId="0" applyFont="1" applyFill="1" applyBorder="1" applyAlignment="1">
      <alignment horizontal="left" indent="1"/>
    </xf>
    <xf numFmtId="0" fontId="0" fillId="2" borderId="3" xfId="0" applyFill="1" applyBorder="1"/>
    <xf numFmtId="0" fontId="0" fillId="2" borderId="0" xfId="0" applyFill="1" applyBorder="1" applyAlignment="1">
      <alignment horizontal="left" indent="1"/>
    </xf>
    <xf numFmtId="0" fontId="0" fillId="2" borderId="3" xfId="0" applyFont="1" applyFill="1" applyBorder="1"/>
    <xf numFmtId="0" fontId="0" fillId="2" borderId="0" xfId="0" applyFont="1" applyFill="1" applyBorder="1"/>
    <xf numFmtId="0" fontId="0" fillId="2" borderId="4" xfId="0" applyFill="1" applyBorder="1"/>
    <xf numFmtId="0" fontId="0" fillId="2" borderId="2" xfId="0" applyFill="1" applyBorder="1"/>
    <xf numFmtId="0" fontId="0" fillId="2" borderId="3" xfId="0" applyFill="1" applyBorder="1" applyAlignment="1">
      <alignment horizontal="left" indent="1"/>
    </xf>
    <xf numFmtId="164" fontId="0" fillId="2" borderId="0" xfId="1" applyNumberFormat="1" applyFont="1" applyFill="1" applyBorder="1"/>
    <xf numFmtId="164" fontId="4" fillId="2" borderId="0" xfId="1" applyNumberFormat="1" applyFont="1" applyFill="1" applyBorder="1"/>
    <xf numFmtId="164" fontId="0" fillId="2" borderId="1" xfId="1" applyNumberFormat="1" applyFont="1" applyFill="1" applyBorder="1"/>
    <xf numFmtId="164" fontId="0" fillId="2" borderId="0" xfId="1" applyNumberFormat="1" applyFont="1" applyFill="1"/>
    <xf numFmtId="164" fontId="1" fillId="2" borderId="1" xfId="1" applyNumberFormat="1" applyFont="1" applyFill="1" applyBorder="1"/>
    <xf numFmtId="164" fontId="2" fillId="2" borderId="0" xfId="1" applyNumberFormat="1" applyFont="1" applyFill="1" applyBorder="1"/>
    <xf numFmtId="164" fontId="0" fillId="2" borderId="2" xfId="1" applyNumberFormat="1" applyFont="1" applyFill="1" applyBorder="1"/>
    <xf numFmtId="9" fontId="4" fillId="2" borderId="0" xfId="3" applyFont="1" applyFill="1"/>
    <xf numFmtId="0" fontId="4" fillId="2" borderId="0" xfId="0" applyFont="1" applyFill="1"/>
    <xf numFmtId="9" fontId="0" fillId="2" borderId="0" xfId="0" applyNumberFormat="1" applyFill="1"/>
    <xf numFmtId="10" fontId="0" fillId="2" borderId="0" xfId="3" applyNumberFormat="1" applyFont="1" applyFill="1"/>
    <xf numFmtId="9" fontId="0" fillId="2" borderId="0" xfId="3" applyFont="1" applyFill="1"/>
    <xf numFmtId="167" fontId="0" fillId="2" borderId="0" xfId="0" applyNumberFormat="1" applyFill="1"/>
    <xf numFmtId="0" fontId="5" fillId="2" borderId="0" xfId="0" applyFont="1" applyFill="1"/>
    <xf numFmtId="0" fontId="3" fillId="2" borderId="0" xfId="0" applyFont="1" applyFill="1" applyAlignment="1">
      <alignment horizontal="center" vertical="center"/>
    </xf>
    <xf numFmtId="0" fontId="2" fillId="2" borderId="0" xfId="0" applyFont="1" applyFill="1"/>
    <xf numFmtId="44" fontId="0" fillId="2" borderId="0" xfId="0" applyNumberFormat="1" applyFill="1"/>
    <xf numFmtId="43" fontId="0" fillId="2" borderId="1" xfId="1" applyFont="1" applyFill="1" applyBorder="1"/>
    <xf numFmtId="43" fontId="2" fillId="2" borderId="0" xfId="1" applyFont="1" applyFill="1"/>
    <xf numFmtId="44" fontId="0" fillId="2" borderId="1" xfId="2" applyFont="1" applyFill="1" applyBorder="1"/>
    <xf numFmtId="43" fontId="2" fillId="2" borderId="0" xfId="0" applyNumberFormat="1" applyFont="1" applyFill="1"/>
    <xf numFmtId="43" fontId="0" fillId="2" borderId="0" xfId="1" applyFont="1" applyFill="1"/>
    <xf numFmtId="44" fontId="2" fillId="2" borderId="0" xfId="2" applyFont="1" applyFill="1"/>
    <xf numFmtId="8" fontId="0" fillId="2" borderId="0" xfId="0" applyNumberFormat="1" applyFill="1"/>
    <xf numFmtId="43" fontId="0" fillId="2" borderId="0" xfId="0" applyNumberFormat="1" applyFill="1"/>
    <xf numFmtId="8" fontId="0" fillId="2" borderId="0" xfId="0" applyNumberFormat="1" applyFill="1" applyBorder="1"/>
    <xf numFmtId="9" fontId="0" fillId="2" borderId="0" xfId="3" applyFont="1" applyFill="1" applyBorder="1"/>
    <xf numFmtId="43" fontId="0" fillId="2" borderId="2" xfId="1" applyFont="1" applyFill="1" applyBorder="1"/>
    <xf numFmtId="10" fontId="7" fillId="2" borderId="0" xfId="3" applyNumberFormat="1" applyFont="1" applyFill="1"/>
    <xf numFmtId="10" fontId="0" fillId="2" borderId="0" xfId="1" applyNumberFormat="1" applyFont="1" applyFill="1"/>
    <xf numFmtId="43" fontId="8" fillId="2" borderId="0" xfId="1" applyFont="1" applyFill="1"/>
    <xf numFmtId="43" fontId="7" fillId="2" borderId="0" xfId="1" applyFont="1" applyFill="1"/>
    <xf numFmtId="0" fontId="0" fillId="3" borderId="0" xfId="0" applyFill="1"/>
    <xf numFmtId="43" fontId="0" fillId="3" borderId="0" xfId="1" applyFont="1" applyFill="1"/>
    <xf numFmtId="0" fontId="0" fillId="4" borderId="0" xfId="0" applyFill="1"/>
    <xf numFmtId="9" fontId="0" fillId="4" borderId="0" xfId="0" applyNumberFormat="1" applyFill="1"/>
    <xf numFmtId="0" fontId="8" fillId="4" borderId="0" xfId="4" applyFont="1" applyFill="1"/>
    <xf numFmtId="0" fontId="7" fillId="4" borderId="0" xfId="4" applyFill="1"/>
    <xf numFmtId="0" fontId="0" fillId="2" borderId="0" xfId="0" applyFill="1" applyAlignment="1">
      <alignment horizontal="right"/>
    </xf>
    <xf numFmtId="0" fontId="7" fillId="4" borderId="2" xfId="4" applyFill="1" applyBorder="1"/>
    <xf numFmtId="43" fontId="7" fillId="2" borderId="2" xfId="1" applyFont="1" applyFill="1" applyBorder="1"/>
    <xf numFmtId="0" fontId="0" fillId="4" borderId="2" xfId="0" applyFill="1" applyBorder="1"/>
    <xf numFmtId="43" fontId="9" fillId="2" borderId="0" xfId="1" applyFont="1" applyFill="1"/>
    <xf numFmtId="43" fontId="10" fillId="2" borderId="0" xfId="1" applyFont="1" applyFill="1"/>
    <xf numFmtId="0" fontId="10" fillId="2" borderId="0" xfId="0" applyFont="1" applyFill="1"/>
    <xf numFmtId="0" fontId="7" fillId="4" borderId="2" xfId="4" applyFont="1" applyFill="1" applyBorder="1"/>
    <xf numFmtId="43" fontId="11" fillId="2" borderId="2" xfId="1" applyFont="1" applyFill="1" applyBorder="1"/>
    <xf numFmtId="0" fontId="11" fillId="2" borderId="2" xfId="0" applyFont="1" applyFill="1" applyBorder="1"/>
    <xf numFmtId="0" fontId="8" fillId="4" borderId="0" xfId="4" applyFont="1" applyFill="1" applyAlignment="1">
      <alignment horizontal="right"/>
    </xf>
    <xf numFmtId="0" fontId="0" fillId="4" borderId="0" xfId="0" applyFill="1" applyBorder="1"/>
    <xf numFmtId="43" fontId="0" fillId="2" borderId="0" xfId="1" applyFont="1" applyFill="1" applyBorder="1"/>
    <xf numFmtId="0" fontId="2" fillId="4" borderId="0" xfId="0" applyFont="1" applyFill="1" applyBorder="1" applyAlignment="1">
      <alignment horizontal="right"/>
    </xf>
    <xf numFmtId="0" fontId="2" fillId="4" borderId="0" xfId="0" applyFont="1" applyFill="1" applyAlignment="1">
      <alignment horizontal="right"/>
    </xf>
    <xf numFmtId="43" fontId="7" fillId="2" borderId="0" xfId="1" applyFont="1" applyFill="1" applyBorder="1"/>
    <xf numFmtId="0" fontId="8" fillId="4" borderId="0" xfId="4" applyFont="1" applyFill="1" applyBorder="1" applyAlignment="1">
      <alignment horizontal="right"/>
    </xf>
    <xf numFmtId="0" fontId="9" fillId="4" borderId="0" xfId="4" applyFont="1" applyFill="1" applyAlignment="1">
      <alignment horizontal="right"/>
    </xf>
    <xf numFmtId="0" fontId="7" fillId="2" borderId="0" xfId="4" applyFont="1" applyFill="1" applyAlignment="1">
      <alignment horizontal="right"/>
    </xf>
    <xf numFmtId="0" fontId="11" fillId="2" borderId="0" xfId="0" applyFont="1" applyFill="1" applyAlignment="1">
      <alignment horizontal="right"/>
    </xf>
    <xf numFmtId="168" fontId="0" fillId="4" borderId="0" xfId="0" applyNumberFormat="1" applyFill="1" applyAlignment="1">
      <alignment horizontal="right"/>
    </xf>
    <xf numFmtId="168" fontId="5" fillId="4" borderId="0" xfId="0" applyNumberFormat="1" applyFont="1" applyFill="1" applyAlignment="1">
      <alignment horizontal="right"/>
    </xf>
    <xf numFmtId="0" fontId="5" fillId="4" borderId="0" xfId="0" applyFont="1" applyFill="1"/>
    <xf numFmtId="0" fontId="5" fillId="4" borderId="0" xfId="0" applyFont="1" applyFill="1" applyAlignment="1">
      <alignment horizontal="right"/>
    </xf>
    <xf numFmtId="0" fontId="0" fillId="4" borderId="0" xfId="0" applyFill="1" applyAlignment="1">
      <alignment horizontal="right"/>
    </xf>
    <xf numFmtId="0" fontId="12" fillId="4" borderId="0" xfId="0" applyFont="1" applyFill="1" applyAlignment="1">
      <alignment horizontal="right"/>
    </xf>
    <xf numFmtId="43" fontId="5" fillId="4" borderId="0" xfId="0" applyNumberFormat="1" applyFont="1" applyFill="1" applyAlignment="1">
      <alignment horizontal="right"/>
    </xf>
    <xf numFmtId="0" fontId="0" fillId="4" borderId="2" xfId="0" applyFill="1" applyBorder="1" applyAlignment="1">
      <alignment horizontal="right"/>
    </xf>
    <xf numFmtId="0" fontId="0" fillId="4" borderId="0" xfId="0" applyFill="1" applyBorder="1" applyAlignment="1">
      <alignment horizontal="right"/>
    </xf>
    <xf numFmtId="0" fontId="11" fillId="4" borderId="2" xfId="0" applyFont="1" applyFill="1" applyBorder="1" applyAlignment="1">
      <alignment horizontal="right"/>
    </xf>
    <xf numFmtId="0" fontId="10" fillId="4" borderId="0" xfId="0" applyFont="1" applyFill="1" applyAlignment="1">
      <alignment horizontal="right"/>
    </xf>
    <xf numFmtId="43" fontId="5" fillId="4" borderId="0" xfId="1" applyFont="1" applyFill="1" applyAlignment="1">
      <alignment horizontal="right"/>
    </xf>
    <xf numFmtId="43" fontId="0" fillId="4" borderId="0" xfId="1" applyFont="1" applyFill="1" applyAlignment="1">
      <alignment horizontal="right"/>
    </xf>
    <xf numFmtId="0" fontId="6" fillId="2" borderId="5" xfId="0" applyFont="1" applyFill="1" applyBorder="1" applyAlignment="1">
      <alignment horizontal="right"/>
    </xf>
    <xf numFmtId="0" fontId="6" fillId="2" borderId="6" xfId="0" applyFont="1" applyFill="1" applyBorder="1" applyAlignment="1">
      <alignment horizontal="right"/>
    </xf>
    <xf numFmtId="0" fontId="6" fillId="2" borderId="8" xfId="0" applyFont="1" applyFill="1" applyBorder="1" applyAlignment="1">
      <alignment horizontal="right"/>
    </xf>
    <xf numFmtId="0" fontId="0" fillId="2" borderId="7" xfId="0" applyFill="1" applyBorder="1"/>
    <xf numFmtId="0" fontId="0" fillId="2" borderId="1" xfId="0" applyFill="1" applyBorder="1"/>
    <xf numFmtId="0" fontId="0" fillId="2" borderId="9" xfId="0" applyFill="1" applyBorder="1"/>
    <xf numFmtId="0" fontId="0" fillId="2" borderId="0" xfId="0" applyFill="1" applyAlignment="1">
      <alignment horizontal="left"/>
    </xf>
    <xf numFmtId="4" fontId="0" fillId="2" borderId="0" xfId="0" applyNumberFormat="1" applyFill="1"/>
    <xf numFmtId="0" fontId="13" fillId="2" borderId="0" xfId="0" applyFont="1" applyFill="1"/>
    <xf numFmtId="9" fontId="4" fillId="5" borderId="0" xfId="0" applyNumberFormat="1" applyFont="1" applyFill="1"/>
    <xf numFmtId="10" fontId="4" fillId="5" borderId="0" xfId="0" applyNumberFormat="1" applyFont="1" applyFill="1"/>
    <xf numFmtId="0" fontId="4" fillId="5" borderId="0" xfId="0" applyFont="1" applyFill="1"/>
    <xf numFmtId="9" fontId="4" fillId="5" borderId="0" xfId="3" applyFont="1" applyFill="1"/>
    <xf numFmtId="43" fontId="4" fillId="5" borderId="0" xfId="1" applyFont="1" applyFill="1"/>
    <xf numFmtId="9" fontId="4" fillId="5" borderId="0" xfId="1" applyNumberFormat="1" applyFont="1" applyFill="1"/>
    <xf numFmtId="44" fontId="4" fillId="5" borderId="0" xfId="2" applyFont="1" applyFill="1"/>
    <xf numFmtId="43" fontId="4" fillId="6" borderId="0" xfId="1" applyFont="1" applyFill="1"/>
    <xf numFmtId="4" fontId="4" fillId="6" borderId="0" xfId="1" applyNumberFormat="1" applyFont="1" applyFill="1"/>
    <xf numFmtId="43" fontId="0" fillId="3" borderId="0" xfId="1" applyFont="1" applyFill="1" applyAlignment="1">
      <alignment horizontal="right"/>
    </xf>
    <xf numFmtId="0" fontId="6" fillId="3" borderId="0" xfId="0" quotePrefix="1" applyFont="1" applyFill="1"/>
    <xf numFmtId="0" fontId="13" fillId="2" borderId="2" xfId="0" applyFont="1" applyFill="1" applyBorder="1"/>
    <xf numFmtId="164" fontId="0" fillId="4" borderId="0" xfId="1" applyNumberFormat="1" applyFont="1" applyFill="1"/>
    <xf numFmtId="0" fontId="13" fillId="2" borderId="0" xfId="0" applyFont="1" applyFill="1" applyBorder="1"/>
    <xf numFmtId="0" fontId="3" fillId="2" borderId="0" xfId="0" applyFont="1" applyFill="1" applyBorder="1" applyAlignment="1">
      <alignment horizontal="center" vertical="center"/>
    </xf>
    <xf numFmtId="0" fontId="0" fillId="2" borderId="2" xfId="0" applyFill="1" applyBorder="1" applyAlignment="1">
      <alignment horizontal="right"/>
    </xf>
    <xf numFmtId="2" fontId="0" fillId="2" borderId="0" xfId="0" applyNumberFormat="1" applyFill="1"/>
    <xf numFmtId="166" fontId="0" fillId="2" borderId="0" xfId="0" applyNumberFormat="1" applyFill="1"/>
    <xf numFmtId="165" fontId="0" fillId="2" borderId="0" xfId="0" applyNumberFormat="1" applyFill="1"/>
    <xf numFmtId="167" fontId="0" fillId="2" borderId="0" xfId="3" applyNumberFormat="1" applyFont="1" applyFill="1"/>
    <xf numFmtId="0" fontId="14" fillId="2" borderId="0" xfId="0" applyFont="1" applyFill="1"/>
    <xf numFmtId="0" fontId="14" fillId="2" borderId="0" xfId="0" applyFont="1" applyFill="1" applyBorder="1" applyAlignment="1">
      <alignment horizontal="right"/>
    </xf>
    <xf numFmtId="0" fontId="14" fillId="2" borderId="0" xfId="0" applyFont="1" applyFill="1" applyAlignment="1">
      <alignment horizontal="right"/>
    </xf>
    <xf numFmtId="0" fontId="0" fillId="2" borderId="5" xfId="0" applyFill="1" applyBorder="1"/>
    <xf numFmtId="0" fontId="0" fillId="2" borderId="6" xfId="0" applyFill="1" applyBorder="1"/>
    <xf numFmtId="0" fontId="0" fillId="2" borderId="11" xfId="0" applyFill="1" applyBorder="1"/>
    <xf numFmtId="0" fontId="0" fillId="2" borderId="12" xfId="0" applyFill="1" applyBorder="1"/>
    <xf numFmtId="0" fontId="0" fillId="2" borderId="10" xfId="0" applyFill="1" applyBorder="1"/>
    <xf numFmtId="0" fontId="0" fillId="2" borderId="13" xfId="0" applyFill="1" applyBorder="1"/>
    <xf numFmtId="0" fontId="0" fillId="2" borderId="8" xfId="0" applyFill="1" applyBorder="1"/>
    <xf numFmtId="10" fontId="0" fillId="2" borderId="14" xfId="0" applyNumberFormat="1" applyFill="1" applyBorder="1"/>
    <xf numFmtId="9" fontId="0" fillId="2" borderId="13" xfId="3" applyFont="1" applyFill="1" applyBorder="1"/>
    <xf numFmtId="0" fontId="0" fillId="2" borderId="15" xfId="0" applyFill="1" applyBorder="1"/>
    <xf numFmtId="9" fontId="0" fillId="2" borderId="10" xfId="3" applyFont="1" applyFill="1" applyBorder="1"/>
    <xf numFmtId="0" fontId="0" fillId="2" borderId="16" xfId="0" applyFill="1" applyBorder="1"/>
    <xf numFmtId="0" fontId="0" fillId="2" borderId="17" xfId="0" applyFill="1" applyBorder="1"/>
    <xf numFmtId="43" fontId="0" fillId="4" borderId="0" xfId="0" applyNumberFormat="1" applyFill="1"/>
    <xf numFmtId="0" fontId="0" fillId="3" borderId="0" xfId="0" applyFill="1" applyAlignment="1">
      <alignment vertical="top" wrapText="1"/>
    </xf>
  </cellXfs>
  <cellStyles count="5">
    <cellStyle name="Comma" xfId="1" builtinId="3"/>
    <cellStyle name="Currency" xfId="2" builtinId="4"/>
    <cellStyle name="Excel Built-in Normal" xf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abSelected="1" zoomScaleNormal="100" workbookViewId="0">
      <selection activeCell="B53" sqref="B53"/>
    </sheetView>
  </sheetViews>
  <sheetFormatPr defaultColWidth="8.85546875" defaultRowHeight="15" x14ac:dyDescent="0.25"/>
  <cols>
    <col min="1" max="1" width="34.85546875" style="2" bestFit="1" customWidth="1"/>
    <col min="2" max="2" width="12.5703125" style="2" bestFit="1" customWidth="1"/>
    <col min="3" max="4" width="14.28515625" style="2" bestFit="1" customWidth="1"/>
    <col min="5" max="5" width="16.28515625" style="2" bestFit="1" customWidth="1"/>
    <col min="6" max="6" width="19.7109375" style="2" bestFit="1" customWidth="1"/>
    <col min="7" max="7" width="16.28515625" style="2" customWidth="1"/>
    <col min="8" max="8" width="15.5703125" style="2" customWidth="1"/>
    <col min="9" max="9" width="18.7109375" style="2" customWidth="1"/>
    <col min="10" max="16384" width="8.85546875" style="2"/>
  </cols>
  <sheetData>
    <row r="1" spans="1:11" s="11" customFormat="1" ht="37.15" thickBot="1" x14ac:dyDescent="0.75">
      <c r="A1" s="104" t="s">
        <v>131</v>
      </c>
    </row>
    <row r="4" spans="1:11" ht="14.45" x14ac:dyDescent="0.3">
      <c r="B4" s="114" t="s">
        <v>135</v>
      </c>
      <c r="C4" s="113">
        <v>2013</v>
      </c>
      <c r="D4" s="113">
        <v>2014</v>
      </c>
      <c r="E4" s="113">
        <v>2015</v>
      </c>
      <c r="F4" s="113">
        <v>2016</v>
      </c>
    </row>
    <row r="5" spans="1:11" ht="14.45" x14ac:dyDescent="0.3">
      <c r="B5" s="114"/>
      <c r="C5" s="113"/>
      <c r="D5" s="113"/>
      <c r="E5" s="113"/>
      <c r="F5" s="113"/>
    </row>
    <row r="6" spans="1:11" ht="14.45" x14ac:dyDescent="0.3">
      <c r="B6" s="2" t="s">
        <v>2</v>
      </c>
    </row>
    <row r="7" spans="1:11" x14ac:dyDescent="0.25">
      <c r="A7" s="2" t="s">
        <v>6</v>
      </c>
      <c r="B7" s="93"/>
      <c r="C7" s="100">
        <v>10000</v>
      </c>
      <c r="D7" s="34">
        <f>C7*(1+(0.35))</f>
        <v>13500</v>
      </c>
      <c r="E7" s="34">
        <f>D7*(0.8)</f>
        <v>10800</v>
      </c>
      <c r="F7" s="34">
        <f>E7*(0.8)</f>
        <v>8640</v>
      </c>
    </row>
    <row r="8" spans="1:11" x14ac:dyDescent="0.25">
      <c r="A8" s="2" t="s">
        <v>0</v>
      </c>
      <c r="B8" s="94"/>
      <c r="C8" s="100">
        <v>40</v>
      </c>
      <c r="D8" s="34">
        <f>C8*(1+$B8)</f>
        <v>40</v>
      </c>
      <c r="E8" s="34">
        <f>D8*(1+$B8)</f>
        <v>40</v>
      </c>
      <c r="F8" s="34">
        <f>E8*(1+$B8)</f>
        <v>40</v>
      </c>
      <c r="H8" s="29"/>
      <c r="I8" s="29"/>
      <c r="J8" s="29"/>
      <c r="K8" s="29"/>
    </row>
    <row r="9" spans="1:11" x14ac:dyDescent="0.25">
      <c r="A9" s="2" t="s">
        <v>1</v>
      </c>
      <c r="B9" s="95"/>
      <c r="C9" s="34">
        <f>C8*C7</f>
        <v>400000</v>
      </c>
      <c r="D9" s="34">
        <f>D8*D7</f>
        <v>540000</v>
      </c>
      <c r="E9" s="34">
        <f>E8*E7</f>
        <v>432000</v>
      </c>
      <c r="F9" s="34">
        <f>F8*F7</f>
        <v>345600</v>
      </c>
    </row>
    <row r="10" spans="1:11" x14ac:dyDescent="0.25">
      <c r="A10" s="2" t="s">
        <v>4</v>
      </c>
      <c r="B10" s="93"/>
      <c r="C10" s="34">
        <f>SUM(C11:C14)</f>
        <v>21.7</v>
      </c>
      <c r="D10" s="34">
        <f>SUM(D11:D14)</f>
        <v>21.526</v>
      </c>
      <c r="E10" s="34">
        <f t="shared" ref="E10:F10" si="0">SUM(E11:E14)</f>
        <v>21.355779999999999</v>
      </c>
      <c r="F10" s="34">
        <f t="shared" si="0"/>
        <v>21.189273399999998</v>
      </c>
    </row>
    <row r="11" spans="1:11" x14ac:dyDescent="0.25">
      <c r="A11" s="2" t="s">
        <v>40</v>
      </c>
      <c r="B11" s="93">
        <v>0</v>
      </c>
      <c r="C11" s="100">
        <v>6.5</v>
      </c>
      <c r="D11" s="34">
        <v>6.5</v>
      </c>
      <c r="E11" s="34">
        <v>6.5</v>
      </c>
      <c r="F11" s="34">
        <v>6.5</v>
      </c>
    </row>
    <row r="12" spans="1:11" ht="14.45" x14ac:dyDescent="0.3">
      <c r="A12" s="2" t="s">
        <v>38</v>
      </c>
      <c r="B12" s="93">
        <v>-0.02</v>
      </c>
      <c r="C12" s="100">
        <v>9</v>
      </c>
      <c r="D12" s="34">
        <f>C12*(1+$B$12)</f>
        <v>8.82</v>
      </c>
      <c r="E12" s="34">
        <f>D12*(1+$B12)</f>
        <v>8.6435999999999993</v>
      </c>
      <c r="F12" s="34">
        <f>E12*(1+$B12)</f>
        <v>8.4707279999999994</v>
      </c>
      <c r="G12" s="84" t="s">
        <v>92</v>
      </c>
      <c r="H12" s="85" t="s">
        <v>93</v>
      </c>
      <c r="I12" s="86" t="s">
        <v>94</v>
      </c>
    </row>
    <row r="13" spans="1:11" x14ac:dyDescent="0.25">
      <c r="A13" s="2" t="s">
        <v>41</v>
      </c>
      <c r="B13" s="93">
        <v>0.03</v>
      </c>
      <c r="C13" s="100">
        <f>SUM(G13:H13)/C7</f>
        <v>0.2</v>
      </c>
      <c r="D13" s="34">
        <f>C13*(1+$B13)</f>
        <v>0.20600000000000002</v>
      </c>
      <c r="E13" s="34">
        <f t="shared" ref="E13:F13" si="1">D13*(1+$B13)</f>
        <v>0.21218000000000004</v>
      </c>
      <c r="F13" s="34">
        <f t="shared" si="1"/>
        <v>0.21854540000000003</v>
      </c>
      <c r="G13" s="87">
        <v>750</v>
      </c>
      <c r="H13" s="88">
        <v>1250</v>
      </c>
      <c r="I13" s="89">
        <f>SUM(G13:H13)</f>
        <v>2000</v>
      </c>
    </row>
    <row r="14" spans="1:11" x14ac:dyDescent="0.25">
      <c r="A14" s="2" t="s">
        <v>39</v>
      </c>
      <c r="B14" s="93"/>
      <c r="C14" s="100">
        <v>6</v>
      </c>
      <c r="D14" s="34">
        <v>6</v>
      </c>
      <c r="E14" s="34">
        <v>6</v>
      </c>
      <c r="F14" s="34">
        <v>6</v>
      </c>
    </row>
    <row r="15" spans="1:11" x14ac:dyDescent="0.25">
      <c r="A15" s="2" t="s">
        <v>3</v>
      </c>
      <c r="B15" s="95"/>
      <c r="C15" s="34">
        <f>C7*C10</f>
        <v>217000</v>
      </c>
      <c r="D15" s="34">
        <f>D7*D10</f>
        <v>290601</v>
      </c>
      <c r="E15" s="34">
        <f>E7*E10</f>
        <v>230642.424</v>
      </c>
      <c r="F15" s="34">
        <f>F7*F10</f>
        <v>183075.32217599999</v>
      </c>
    </row>
    <row r="16" spans="1:11" x14ac:dyDescent="0.25">
      <c r="A16" s="2" t="s">
        <v>5</v>
      </c>
      <c r="B16" s="95"/>
      <c r="C16" s="34">
        <f>C9-C15</f>
        <v>183000</v>
      </c>
      <c r="D16" s="34">
        <f>D9-D15</f>
        <v>249399</v>
      </c>
      <c r="E16" s="34">
        <f>E9-E15</f>
        <v>201357.576</v>
      </c>
      <c r="F16" s="34">
        <f>F9-F15</f>
        <v>162524.67782400001</v>
      </c>
    </row>
    <row r="17" spans="1:6" x14ac:dyDescent="0.25">
      <c r="B17" s="95"/>
      <c r="C17" s="34"/>
      <c r="D17" s="34"/>
      <c r="E17" s="34"/>
      <c r="F17" s="34"/>
    </row>
    <row r="18" spans="1:6" x14ac:dyDescent="0.25">
      <c r="A18" s="2" t="s">
        <v>43</v>
      </c>
      <c r="B18" s="96">
        <v>0</v>
      </c>
      <c r="C18" s="100">
        <v>125000</v>
      </c>
      <c r="D18" s="34">
        <f>C18</f>
        <v>125000</v>
      </c>
      <c r="E18" s="34">
        <f t="shared" ref="E18:F18" si="2">D18</f>
        <v>125000</v>
      </c>
      <c r="F18" s="34">
        <f t="shared" si="2"/>
        <v>125000</v>
      </c>
    </row>
    <row r="19" spans="1:6" x14ac:dyDescent="0.25">
      <c r="A19" s="2" t="s">
        <v>7</v>
      </c>
      <c r="B19" s="93">
        <v>0.02</v>
      </c>
      <c r="C19" s="34">
        <f>C9*B19</f>
        <v>8000</v>
      </c>
      <c r="D19" s="34">
        <f>C19*(1+$B19)</f>
        <v>8160</v>
      </c>
      <c r="E19" s="34">
        <f>D19*(1+$B19)</f>
        <v>8323.2000000000007</v>
      </c>
      <c r="F19" s="34">
        <f>E19*(1+$B19)</f>
        <v>8489.6640000000007</v>
      </c>
    </row>
    <row r="20" spans="1:6" x14ac:dyDescent="0.25">
      <c r="A20" s="90" t="s">
        <v>8</v>
      </c>
      <c r="B20" s="93">
        <v>0.03</v>
      </c>
      <c r="C20" s="100">
        <f>1000*12</f>
        <v>12000</v>
      </c>
      <c r="D20" s="34">
        <f>C20*(1+$B20)</f>
        <v>12360</v>
      </c>
      <c r="E20" s="34">
        <f t="shared" ref="E20:F22" si="3">D20*(1+$B20)</f>
        <v>12730.800000000001</v>
      </c>
      <c r="F20" s="34">
        <f t="shared" si="3"/>
        <v>13112.724000000002</v>
      </c>
    </row>
    <row r="21" spans="1:6" x14ac:dyDescent="0.25">
      <c r="A21" s="90" t="s">
        <v>44</v>
      </c>
      <c r="B21" s="93">
        <v>0.1</v>
      </c>
      <c r="C21" s="100">
        <v>10000</v>
      </c>
      <c r="D21" s="34">
        <f>C21*(1+$B$21)</f>
        <v>11000</v>
      </c>
      <c r="E21" s="34">
        <f t="shared" ref="E21:F21" si="4">D21*(1+$B$21)</f>
        <v>12100.000000000002</v>
      </c>
      <c r="F21" s="34">
        <f t="shared" si="4"/>
        <v>13310.000000000004</v>
      </c>
    </row>
    <row r="22" spans="1:6" x14ac:dyDescent="0.25">
      <c r="A22" s="90" t="s">
        <v>55</v>
      </c>
      <c r="B22" s="93">
        <v>0</v>
      </c>
      <c r="C22" s="100">
        <f>100*12</f>
        <v>1200</v>
      </c>
      <c r="D22" s="34">
        <f>C22*(1+$B22)</f>
        <v>1200</v>
      </c>
      <c r="E22" s="34">
        <f t="shared" si="3"/>
        <v>1200</v>
      </c>
      <c r="F22" s="34">
        <f t="shared" si="3"/>
        <v>1200</v>
      </c>
    </row>
    <row r="23" spans="1:6" x14ac:dyDescent="0.25">
      <c r="A23" s="90"/>
      <c r="B23" s="93"/>
      <c r="C23" s="34"/>
      <c r="D23" s="34"/>
      <c r="E23" s="34"/>
      <c r="F23" s="34"/>
    </row>
    <row r="24" spans="1:6" x14ac:dyDescent="0.25">
      <c r="A24" s="90"/>
      <c r="B24" s="93"/>
      <c r="C24" s="34"/>
      <c r="D24" s="34"/>
      <c r="E24" s="34"/>
      <c r="F24" s="34"/>
    </row>
    <row r="25" spans="1:6" x14ac:dyDescent="0.25">
      <c r="A25" s="90" t="s">
        <v>46</v>
      </c>
      <c r="B25" s="93"/>
      <c r="C25" s="34">
        <f>C16-C18-C19-C20-C21-C22-C23-C24</f>
        <v>26800</v>
      </c>
      <c r="D25" s="34">
        <f t="shared" ref="D25:F25" si="5">D16-D18-D19-D20-D21-D22-D23-D24</f>
        <v>91679</v>
      </c>
      <c r="E25" s="34">
        <f t="shared" si="5"/>
        <v>42003.576000000001</v>
      </c>
      <c r="F25" s="34">
        <f t="shared" si="5"/>
        <v>1412.2898240000068</v>
      </c>
    </row>
    <row r="26" spans="1:6" x14ac:dyDescent="0.25">
      <c r="A26" s="90"/>
      <c r="B26" s="93"/>
      <c r="C26" s="34"/>
      <c r="D26" s="34"/>
      <c r="E26" s="34"/>
      <c r="F26" s="34"/>
    </row>
    <row r="27" spans="1:6" x14ac:dyDescent="0.25">
      <c r="A27" s="90"/>
      <c r="B27" s="93"/>
      <c r="C27" s="34"/>
      <c r="D27" s="34"/>
      <c r="E27" s="34"/>
      <c r="F27" s="34"/>
    </row>
    <row r="28" spans="1:6" x14ac:dyDescent="0.25">
      <c r="A28" s="90"/>
      <c r="B28" s="93"/>
      <c r="C28" s="34"/>
      <c r="D28" s="34"/>
      <c r="E28" s="34"/>
      <c r="F28" s="34"/>
    </row>
    <row r="29" spans="1:6" x14ac:dyDescent="0.25">
      <c r="A29" s="90" t="s">
        <v>15</v>
      </c>
      <c r="B29" s="97">
        <v>13000</v>
      </c>
      <c r="C29" s="34">
        <f>$B$29</f>
        <v>13000</v>
      </c>
      <c r="D29" s="34">
        <f t="shared" ref="D29:F29" si="6">$B$29</f>
        <v>13000</v>
      </c>
      <c r="E29" s="34">
        <f t="shared" si="6"/>
        <v>13000</v>
      </c>
      <c r="F29" s="34">
        <f t="shared" si="6"/>
        <v>13000</v>
      </c>
    </row>
    <row r="30" spans="1:6" x14ac:dyDescent="0.25">
      <c r="A30" s="2" t="s">
        <v>16</v>
      </c>
      <c r="B30" s="97">
        <v>15</v>
      </c>
      <c r="C30" s="34">
        <f>$B$29/$B$30</f>
        <v>866.66666666666663</v>
      </c>
      <c r="D30" s="34">
        <f t="shared" ref="D30:F30" si="7">$B$29/$B$30</f>
        <v>866.66666666666663</v>
      </c>
      <c r="E30" s="34">
        <f t="shared" si="7"/>
        <v>866.66666666666663</v>
      </c>
      <c r="F30" s="34">
        <f t="shared" si="7"/>
        <v>866.66666666666663</v>
      </c>
    </row>
    <row r="31" spans="1:6" x14ac:dyDescent="0.25">
      <c r="A31" s="90" t="s">
        <v>47</v>
      </c>
      <c r="B31" s="98">
        <v>0.05</v>
      </c>
      <c r="C31" s="34">
        <f>C34*$B$31</f>
        <v>2000</v>
      </c>
      <c r="D31" s="34">
        <f t="shared" ref="D31:F31" si="8">D34*$B$31</f>
        <v>2000</v>
      </c>
      <c r="E31" s="34">
        <f t="shared" si="8"/>
        <v>2000</v>
      </c>
      <c r="F31" s="34">
        <f t="shared" si="8"/>
        <v>2000</v>
      </c>
    </row>
    <row r="32" spans="1:6" x14ac:dyDescent="0.25">
      <c r="A32" s="90"/>
      <c r="B32" s="97"/>
      <c r="C32" s="34"/>
      <c r="D32" s="34"/>
      <c r="E32" s="34"/>
      <c r="F32" s="34"/>
    </row>
    <row r="33" spans="1:6" x14ac:dyDescent="0.25">
      <c r="A33" s="2" t="s">
        <v>10</v>
      </c>
      <c r="B33" s="99">
        <v>0</v>
      </c>
      <c r="C33" s="100">
        <v>125000</v>
      </c>
      <c r="D33" s="34">
        <f t="shared" ref="D33:F33" si="9">C33</f>
        <v>125000</v>
      </c>
      <c r="E33" s="34">
        <f t="shared" si="9"/>
        <v>125000</v>
      </c>
      <c r="F33" s="34">
        <f t="shared" si="9"/>
        <v>125000</v>
      </c>
    </row>
    <row r="34" spans="1:6" x14ac:dyDescent="0.25">
      <c r="A34" s="90" t="s">
        <v>49</v>
      </c>
      <c r="B34" s="97">
        <v>0</v>
      </c>
      <c r="C34" s="100">
        <v>40000</v>
      </c>
      <c r="D34" s="34">
        <f>C34-B34</f>
        <v>40000</v>
      </c>
      <c r="E34" s="34">
        <f>D34-B34</f>
        <v>40000</v>
      </c>
      <c r="F34" s="34">
        <f>E34-B34</f>
        <v>40000</v>
      </c>
    </row>
    <row r="35" spans="1:6" x14ac:dyDescent="0.25">
      <c r="B35" s="95"/>
      <c r="C35" s="91"/>
    </row>
    <row r="36" spans="1:6" x14ac:dyDescent="0.25">
      <c r="A36" s="2" t="s">
        <v>32</v>
      </c>
      <c r="B36" s="95"/>
      <c r="C36" s="91"/>
    </row>
    <row r="37" spans="1:6" x14ac:dyDescent="0.25">
      <c r="B37" s="95"/>
      <c r="C37" s="91"/>
    </row>
    <row r="38" spans="1:6" x14ac:dyDescent="0.25">
      <c r="A38" s="2" t="s">
        <v>19</v>
      </c>
      <c r="B38" s="93">
        <v>0.35</v>
      </c>
      <c r="C38" s="91"/>
    </row>
    <row r="39" spans="1:6" x14ac:dyDescent="0.25">
      <c r="A39" s="2" t="s">
        <v>27</v>
      </c>
      <c r="B39" s="97">
        <v>2000</v>
      </c>
      <c r="C39" s="91"/>
    </row>
    <row r="40" spans="1:6" x14ac:dyDescent="0.25">
      <c r="A40" s="2" t="s">
        <v>28</v>
      </c>
      <c r="B40" s="93">
        <v>0.1</v>
      </c>
      <c r="C40" s="91"/>
    </row>
    <row r="41" spans="1:6" x14ac:dyDescent="0.25">
      <c r="A41" s="2" t="s">
        <v>33</v>
      </c>
      <c r="B41" s="93">
        <v>-0.01</v>
      </c>
      <c r="C41" s="101">
        <v>30</v>
      </c>
      <c r="D41" s="34">
        <f t="shared" ref="D41:F41" si="10">C41*(1+$B41)</f>
        <v>29.7</v>
      </c>
      <c r="E41" s="34">
        <f t="shared" si="10"/>
        <v>29.402999999999999</v>
      </c>
      <c r="F41" s="34">
        <f t="shared" si="10"/>
        <v>29.108969999999999</v>
      </c>
    </row>
    <row r="42" spans="1:6" x14ac:dyDescent="0.25">
      <c r="A42" s="2" t="s">
        <v>34</v>
      </c>
      <c r="B42" s="93">
        <v>-0.01</v>
      </c>
      <c r="C42" s="101">
        <v>30</v>
      </c>
      <c r="D42" s="34">
        <f>C42*(1+$B42)</f>
        <v>29.7</v>
      </c>
      <c r="E42" s="34">
        <f t="shared" ref="E42:F42" si="11">D42*(1+$B42)</f>
        <v>29.402999999999999</v>
      </c>
      <c r="F42" s="34">
        <f t="shared" si="11"/>
        <v>29.108969999999999</v>
      </c>
    </row>
    <row r="43" spans="1:6" x14ac:dyDescent="0.25">
      <c r="A43" s="2" t="s">
        <v>45</v>
      </c>
      <c r="B43" s="93">
        <v>0.03</v>
      </c>
      <c r="C43" s="91">
        <f>($B$43*C7)*48</f>
        <v>14400</v>
      </c>
      <c r="D43" s="34">
        <f>($B$43*D7)*48</f>
        <v>19440</v>
      </c>
      <c r="E43" s="34">
        <f>($B$43*E7)*48</f>
        <v>15552</v>
      </c>
      <c r="F43" s="34">
        <f>($B$43*F7)*48</f>
        <v>12441.599999999999</v>
      </c>
    </row>
    <row r="48" spans="1:6" s="11" customFormat="1" ht="15.75" thickBot="1" x14ac:dyDescent="0.3"/>
    <row r="49" spans="1:14" x14ac:dyDescent="0.25">
      <c r="A49" s="45" t="s">
        <v>84</v>
      </c>
      <c r="B49" s="45"/>
      <c r="C49" s="45"/>
      <c r="D49" s="45"/>
      <c r="E49" s="45"/>
      <c r="F49" s="45"/>
      <c r="G49" s="45"/>
      <c r="H49" s="45"/>
      <c r="I49" s="45"/>
      <c r="J49" s="45"/>
      <c r="K49" s="45"/>
      <c r="L49" s="45"/>
      <c r="M49" s="45"/>
      <c r="N49" s="45"/>
    </row>
    <row r="50" spans="1:14" x14ac:dyDescent="0.25">
      <c r="A50" s="46">
        <f>C12</f>
        <v>9</v>
      </c>
      <c r="B50" s="45" t="s">
        <v>85</v>
      </c>
      <c r="C50" s="45"/>
      <c r="D50" s="45"/>
      <c r="E50" s="45"/>
      <c r="F50" s="45"/>
      <c r="G50" s="45"/>
      <c r="H50" s="45"/>
      <c r="I50" s="45"/>
      <c r="J50" s="45"/>
      <c r="K50" s="45"/>
      <c r="L50" s="45"/>
      <c r="M50" s="45"/>
      <c r="N50" s="45"/>
    </row>
    <row r="51" spans="1:14" x14ac:dyDescent="0.25">
      <c r="A51" s="102" t="s">
        <v>91</v>
      </c>
      <c r="B51" s="103" t="s">
        <v>96</v>
      </c>
      <c r="C51" s="45"/>
      <c r="D51" s="45"/>
      <c r="E51" s="45"/>
      <c r="F51" s="45"/>
      <c r="G51" s="45"/>
      <c r="H51" s="45"/>
      <c r="I51" s="45"/>
      <c r="J51" s="45"/>
      <c r="K51" s="45"/>
      <c r="L51" s="45"/>
      <c r="M51" s="45"/>
      <c r="N51" s="45"/>
    </row>
    <row r="52" spans="1:14" x14ac:dyDescent="0.25">
      <c r="A52" s="46">
        <f>C18</f>
        <v>125000</v>
      </c>
      <c r="B52" s="45" t="s">
        <v>87</v>
      </c>
      <c r="C52" s="45"/>
      <c r="D52" s="45"/>
      <c r="E52" s="45"/>
      <c r="F52" s="45"/>
      <c r="G52" s="45"/>
      <c r="H52" s="45"/>
      <c r="I52" s="45"/>
      <c r="J52" s="45"/>
      <c r="K52" s="45"/>
      <c r="L52" s="45"/>
      <c r="M52" s="45"/>
      <c r="N52" s="45"/>
    </row>
    <row r="53" spans="1:14" x14ac:dyDescent="0.25">
      <c r="A53" s="46">
        <v>750</v>
      </c>
      <c r="B53" s="45" t="s">
        <v>90</v>
      </c>
      <c r="C53" s="45"/>
      <c r="D53" s="45"/>
      <c r="E53" s="45"/>
      <c r="F53" s="45"/>
      <c r="G53" s="45"/>
      <c r="H53" s="45"/>
      <c r="I53" s="45"/>
      <c r="J53" s="45"/>
      <c r="K53" s="45"/>
      <c r="L53" s="45"/>
      <c r="M53" s="45"/>
      <c r="N53" s="45"/>
    </row>
    <row r="54" spans="1:14" x14ac:dyDescent="0.25">
      <c r="A54" s="46">
        <v>1250</v>
      </c>
      <c r="B54" s="45" t="s">
        <v>86</v>
      </c>
      <c r="C54" s="45"/>
      <c r="D54" s="45"/>
      <c r="E54" s="45"/>
      <c r="F54" s="45"/>
      <c r="G54" s="45"/>
      <c r="H54" s="45"/>
      <c r="I54" s="45"/>
      <c r="J54" s="45"/>
      <c r="K54" s="45"/>
      <c r="L54" s="45"/>
      <c r="M54" s="45"/>
      <c r="N54" s="45"/>
    </row>
    <row r="55" spans="1:14" x14ac:dyDescent="0.25">
      <c r="A55" s="102" t="s">
        <v>91</v>
      </c>
      <c r="B55" s="130" t="s">
        <v>95</v>
      </c>
      <c r="C55" s="130"/>
      <c r="D55" s="130"/>
      <c r="E55" s="130"/>
      <c r="F55" s="130"/>
      <c r="G55" s="130"/>
      <c r="H55" s="130"/>
      <c r="I55" s="130"/>
      <c r="J55" s="45"/>
      <c r="K55" s="45"/>
      <c r="L55" s="45"/>
      <c r="M55" s="45"/>
      <c r="N55" s="45"/>
    </row>
    <row r="56" spans="1:14" x14ac:dyDescent="0.25">
      <c r="A56" s="46"/>
      <c r="B56" s="130"/>
      <c r="C56" s="130"/>
      <c r="D56" s="130"/>
      <c r="E56" s="130"/>
      <c r="F56" s="130"/>
      <c r="G56" s="130"/>
      <c r="H56" s="130"/>
      <c r="I56" s="130"/>
      <c r="J56" s="45"/>
      <c r="K56" s="45"/>
      <c r="L56" s="45"/>
      <c r="M56" s="45"/>
      <c r="N56" s="45"/>
    </row>
    <row r="57" spans="1:14" x14ac:dyDescent="0.25">
      <c r="A57" s="46"/>
      <c r="B57" s="130"/>
      <c r="C57" s="130"/>
      <c r="D57" s="130"/>
      <c r="E57" s="130"/>
      <c r="F57" s="130"/>
      <c r="G57" s="130"/>
      <c r="H57" s="130"/>
      <c r="I57" s="130"/>
      <c r="J57" s="45"/>
      <c r="K57" s="45"/>
      <c r="L57" s="45"/>
      <c r="M57" s="45"/>
      <c r="N57" s="45"/>
    </row>
    <row r="58" spans="1:14" x14ac:dyDescent="0.25">
      <c r="A58" s="45"/>
      <c r="B58" s="130"/>
      <c r="C58" s="130"/>
      <c r="D58" s="130"/>
      <c r="E58" s="130"/>
      <c r="F58" s="130"/>
      <c r="G58" s="130"/>
      <c r="H58" s="130"/>
      <c r="I58" s="130"/>
      <c r="J58" s="45"/>
      <c r="K58" s="45"/>
      <c r="L58" s="45"/>
      <c r="M58" s="45"/>
      <c r="N58" s="45"/>
    </row>
    <row r="59" spans="1:14" x14ac:dyDescent="0.25">
      <c r="A59" s="45"/>
      <c r="B59" s="130"/>
      <c r="C59" s="130"/>
      <c r="D59" s="130"/>
      <c r="E59" s="130"/>
      <c r="F59" s="130"/>
      <c r="G59" s="130"/>
      <c r="H59" s="130"/>
      <c r="I59" s="130"/>
      <c r="J59" s="45"/>
      <c r="K59" s="45"/>
      <c r="L59" s="45"/>
      <c r="M59" s="45"/>
      <c r="N59" s="45"/>
    </row>
    <row r="60" spans="1:14" x14ac:dyDescent="0.25">
      <c r="A60" s="45"/>
      <c r="B60" s="130"/>
      <c r="C60" s="130"/>
      <c r="D60" s="130"/>
      <c r="E60" s="130"/>
      <c r="F60" s="130"/>
      <c r="G60" s="130"/>
      <c r="H60" s="130"/>
      <c r="I60" s="130"/>
      <c r="J60" s="45"/>
      <c r="K60" s="45"/>
      <c r="L60" s="45"/>
      <c r="M60" s="45"/>
      <c r="N60" s="45"/>
    </row>
    <row r="61" spans="1:14" x14ac:dyDescent="0.25">
      <c r="A61" s="45"/>
      <c r="B61" s="130"/>
      <c r="C61" s="130"/>
      <c r="D61" s="130"/>
      <c r="E61" s="130"/>
      <c r="F61" s="130"/>
      <c r="G61" s="130"/>
      <c r="H61" s="130"/>
      <c r="I61" s="130"/>
      <c r="J61" s="45"/>
      <c r="K61" s="45"/>
      <c r="L61" s="45"/>
      <c r="M61" s="45"/>
      <c r="N61" s="45"/>
    </row>
    <row r="62" spans="1:14" x14ac:dyDescent="0.25">
      <c r="A62" s="45"/>
      <c r="B62" s="130"/>
      <c r="C62" s="130"/>
      <c r="D62" s="130"/>
      <c r="E62" s="130"/>
      <c r="F62" s="130"/>
      <c r="G62" s="130"/>
      <c r="H62" s="130"/>
      <c r="I62" s="130"/>
      <c r="J62" s="45"/>
      <c r="K62" s="45"/>
      <c r="L62" s="45"/>
      <c r="M62" s="45"/>
      <c r="N62" s="45"/>
    </row>
    <row r="63" spans="1:14" x14ac:dyDescent="0.25">
      <c r="A63" s="45"/>
      <c r="B63" s="130"/>
      <c r="C63" s="130"/>
      <c r="D63" s="130"/>
      <c r="E63" s="130"/>
      <c r="F63" s="130"/>
      <c r="G63" s="130"/>
      <c r="H63" s="130"/>
      <c r="I63" s="130"/>
      <c r="J63" s="45"/>
      <c r="K63" s="45"/>
      <c r="L63" s="45"/>
      <c r="M63" s="45"/>
      <c r="N63" s="45"/>
    </row>
    <row r="64" spans="1:14" x14ac:dyDescent="0.25">
      <c r="A64" s="45"/>
      <c r="B64" s="130"/>
      <c r="C64" s="130"/>
      <c r="D64" s="130"/>
      <c r="E64" s="130"/>
      <c r="F64" s="130"/>
      <c r="G64" s="130"/>
      <c r="H64" s="130"/>
      <c r="I64" s="130"/>
      <c r="J64" s="45"/>
      <c r="K64" s="45"/>
      <c r="L64" s="45"/>
      <c r="M64" s="45"/>
      <c r="N64" s="45"/>
    </row>
    <row r="65" spans="1:14" x14ac:dyDescent="0.25">
      <c r="A65" s="45"/>
      <c r="B65" s="130"/>
      <c r="C65" s="130"/>
      <c r="D65" s="130"/>
      <c r="E65" s="130"/>
      <c r="F65" s="130"/>
      <c r="G65" s="130"/>
      <c r="H65" s="130"/>
      <c r="I65" s="130"/>
      <c r="J65" s="45"/>
      <c r="K65" s="45"/>
      <c r="L65" s="45"/>
      <c r="M65" s="45"/>
      <c r="N65" s="45"/>
    </row>
    <row r="66" spans="1:14" x14ac:dyDescent="0.25">
      <c r="A66" s="45"/>
      <c r="B66" s="130"/>
      <c r="C66" s="130"/>
      <c r="D66" s="130"/>
      <c r="E66" s="130"/>
      <c r="F66" s="130"/>
      <c r="G66" s="130"/>
      <c r="H66" s="130"/>
      <c r="I66" s="130"/>
      <c r="J66" s="45"/>
      <c r="K66" s="45"/>
      <c r="L66" s="45"/>
      <c r="M66" s="45"/>
      <c r="N66" s="45"/>
    </row>
  </sheetData>
  <mergeCells count="1">
    <mergeCell ref="B55:I6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A24" sqref="A24"/>
    </sheetView>
  </sheetViews>
  <sheetFormatPr defaultColWidth="8.85546875" defaultRowHeight="15" x14ac:dyDescent="0.25"/>
  <cols>
    <col min="1" max="1" width="34" style="2" bestFit="1" customWidth="1"/>
    <col min="2" max="5" width="12.5703125" style="2" bestFit="1" customWidth="1"/>
    <col min="6" max="16384" width="8.85546875" style="2"/>
  </cols>
  <sheetData>
    <row r="1" spans="1:5" s="11" customFormat="1" ht="37.15" thickBot="1" x14ac:dyDescent="0.75">
      <c r="A1" s="104" t="s">
        <v>132</v>
      </c>
    </row>
    <row r="3" spans="1:5" x14ac:dyDescent="0.25">
      <c r="B3" s="27">
        <v>2013</v>
      </c>
      <c r="C3" s="27">
        <v>2014</v>
      </c>
      <c r="D3" s="27">
        <v>2015</v>
      </c>
      <c r="E3" s="27">
        <v>2016</v>
      </c>
    </row>
    <row r="4" spans="1:5" x14ac:dyDescent="0.25">
      <c r="A4" s="28" t="s">
        <v>11</v>
      </c>
      <c r="B4" s="29">
        <f>iExpander!C9</f>
        <v>400000</v>
      </c>
      <c r="C4" s="29">
        <f>iExpander!D9</f>
        <v>540000</v>
      </c>
      <c r="D4" s="29">
        <f>iExpander!E9</f>
        <v>432000</v>
      </c>
      <c r="E4" s="29">
        <f>iExpander!F9</f>
        <v>345600</v>
      </c>
    </row>
    <row r="5" spans="1:5" x14ac:dyDescent="0.25">
      <c r="A5" s="28" t="s">
        <v>12</v>
      </c>
      <c r="B5" s="30">
        <f>iExpander!C15</f>
        <v>217000</v>
      </c>
      <c r="C5" s="30">
        <f>iExpander!D15</f>
        <v>290601</v>
      </c>
      <c r="D5" s="30">
        <f>iExpander!E15</f>
        <v>230642.424</v>
      </c>
      <c r="E5" s="30">
        <f>iExpander!F15</f>
        <v>183075.32217599999</v>
      </c>
    </row>
    <row r="6" spans="1:5" x14ac:dyDescent="0.25">
      <c r="A6" s="28" t="s">
        <v>13</v>
      </c>
      <c r="B6" s="31">
        <f>B4-B5</f>
        <v>183000</v>
      </c>
      <c r="C6" s="31">
        <f t="shared" ref="C6:E6" si="0">C4-C5</f>
        <v>249399</v>
      </c>
      <c r="D6" s="31">
        <f t="shared" si="0"/>
        <v>201357.576</v>
      </c>
      <c r="E6" s="31">
        <f t="shared" si="0"/>
        <v>162524.67782400001</v>
      </c>
    </row>
    <row r="8" spans="1:5" x14ac:dyDescent="0.25">
      <c r="A8" s="2" t="str">
        <f>iExpander!A18</f>
        <v>Salaries</v>
      </c>
      <c r="B8" s="1">
        <f>iExpander!C18</f>
        <v>125000</v>
      </c>
      <c r="C8" s="1">
        <f>iExpander!D18</f>
        <v>125000</v>
      </c>
      <c r="D8" s="1">
        <f>iExpander!E18</f>
        <v>125000</v>
      </c>
      <c r="E8" s="1">
        <f>iExpander!F18</f>
        <v>125000</v>
      </c>
    </row>
    <row r="9" spans="1:5" x14ac:dyDescent="0.25">
      <c r="A9" s="2" t="str">
        <f>iExpander!A19</f>
        <v>General and Administrative Expenses</v>
      </c>
      <c r="B9" s="29">
        <f>iExpander!C19</f>
        <v>8000</v>
      </c>
      <c r="C9" s="29">
        <f>iExpander!D19</f>
        <v>8160</v>
      </c>
      <c r="D9" s="29">
        <f>iExpander!E19</f>
        <v>8323.2000000000007</v>
      </c>
      <c r="E9" s="29">
        <f>iExpander!F19</f>
        <v>8489.6640000000007</v>
      </c>
    </row>
    <row r="10" spans="1:5" x14ac:dyDescent="0.25">
      <c r="A10" s="2" t="str">
        <f>iExpander!A20</f>
        <v>Rent Expense</v>
      </c>
      <c r="B10" s="29">
        <f>iExpander!C20</f>
        <v>12000</v>
      </c>
      <c r="C10" s="29">
        <f>iExpander!D20</f>
        <v>12360</v>
      </c>
      <c r="D10" s="29">
        <f>iExpander!E20</f>
        <v>12730.800000000001</v>
      </c>
      <c r="E10" s="29">
        <f>iExpander!F20</f>
        <v>13112.724000000002</v>
      </c>
    </row>
    <row r="11" spans="1:5" x14ac:dyDescent="0.25">
      <c r="A11" s="2" t="str">
        <f>iExpander!A21</f>
        <v>Advertising</v>
      </c>
      <c r="B11" s="1">
        <f>iExpander!C21</f>
        <v>10000</v>
      </c>
      <c r="C11" s="1">
        <f>iExpander!D21</f>
        <v>11000</v>
      </c>
      <c r="D11" s="1">
        <f>iExpander!E21</f>
        <v>12100.000000000002</v>
      </c>
      <c r="E11" s="1">
        <f>iExpander!F21</f>
        <v>13310.000000000004</v>
      </c>
    </row>
    <row r="12" spans="1:5" x14ac:dyDescent="0.25">
      <c r="A12" s="2" t="str">
        <f>iExpander!A22</f>
        <v>Insurance</v>
      </c>
      <c r="B12" s="32">
        <f>iExpander!C20</f>
        <v>12000</v>
      </c>
      <c r="C12" s="32">
        <f>iExpander!D20</f>
        <v>12360</v>
      </c>
      <c r="D12" s="32">
        <f>iExpander!E20</f>
        <v>12730.800000000001</v>
      </c>
      <c r="E12" s="32">
        <f>iExpander!F20</f>
        <v>13112.724000000002</v>
      </c>
    </row>
    <row r="13" spans="1:5" x14ac:dyDescent="0.3">
      <c r="A13" s="28" t="s">
        <v>48</v>
      </c>
      <c r="B13" s="35">
        <f>'Income Statement'!B6-'Income Statement'!B8-'Income Statement'!B9-'Income Statement'!B10-'Income Statement'!B11-'Income Statement'!B12</f>
        <v>16000</v>
      </c>
      <c r="C13" s="35">
        <f>'Income Statement'!C6-'Income Statement'!C8-'Income Statement'!C9-'Income Statement'!C10-'Income Statement'!C11-'Income Statement'!C12</f>
        <v>80519</v>
      </c>
      <c r="D13" s="35">
        <f>'Income Statement'!D6-'Income Statement'!D8-'Income Statement'!D9-'Income Statement'!D10-'Income Statement'!D11-'Income Statement'!D12</f>
        <v>30472.775999999998</v>
      </c>
      <c r="E13" s="35">
        <f>'Income Statement'!E6-'Income Statement'!E8-'Income Statement'!E9-'Income Statement'!E10-'Income Statement'!E11-'Income Statement'!E12</f>
        <v>-10500.434175999995</v>
      </c>
    </row>
    <row r="14" spans="1:5" x14ac:dyDescent="0.3">
      <c r="A14" s="28"/>
      <c r="B14" s="1"/>
      <c r="C14" s="1"/>
      <c r="D14" s="1"/>
      <c r="E14" s="1"/>
    </row>
    <row r="15" spans="1:5" x14ac:dyDescent="0.3">
      <c r="A15" s="2" t="s">
        <v>14</v>
      </c>
      <c r="B15" s="1">
        <f>iExpander!C30</f>
        <v>866.66666666666663</v>
      </c>
      <c r="C15" s="1">
        <f>iExpander!D30</f>
        <v>866.66666666666663</v>
      </c>
      <c r="D15" s="1">
        <f>iExpander!E30</f>
        <v>866.66666666666663</v>
      </c>
      <c r="E15" s="1">
        <f>iExpander!F30</f>
        <v>866.66666666666663</v>
      </c>
    </row>
    <row r="16" spans="1:5" x14ac:dyDescent="0.3">
      <c r="A16" s="2" t="s">
        <v>47</v>
      </c>
      <c r="B16" s="32">
        <f>iExpander!C31</f>
        <v>2000</v>
      </c>
      <c r="C16" s="32">
        <f>iExpander!D31</f>
        <v>2000</v>
      </c>
      <c r="D16" s="32">
        <f>iExpander!E31</f>
        <v>2000</v>
      </c>
      <c r="E16" s="32">
        <f>iExpander!F31</f>
        <v>2000</v>
      </c>
    </row>
    <row r="17" spans="1:5" x14ac:dyDescent="0.3">
      <c r="A17" s="28" t="s">
        <v>17</v>
      </c>
      <c r="B17" s="33">
        <f>B13-B15-B16</f>
        <v>13133.333333333334</v>
      </c>
      <c r="C17" s="33">
        <f t="shared" ref="C17:E17" si="1">C13-C15-C16</f>
        <v>77652.333333333328</v>
      </c>
      <c r="D17" s="33">
        <f t="shared" si="1"/>
        <v>27606.10933333333</v>
      </c>
      <c r="E17" s="33">
        <f t="shared" si="1"/>
        <v>-13367.100842666661</v>
      </c>
    </row>
    <row r="19" spans="1:5" x14ac:dyDescent="0.3">
      <c r="A19" s="2" t="s">
        <v>17</v>
      </c>
      <c r="B19" s="34">
        <f>B17</f>
        <v>13133.333333333334</v>
      </c>
      <c r="C19" s="34">
        <f t="shared" ref="C19:E19" si="2">C17</f>
        <v>77652.333333333328</v>
      </c>
      <c r="D19" s="34">
        <f t="shared" si="2"/>
        <v>27606.10933333333</v>
      </c>
      <c r="E19" s="34">
        <f t="shared" si="2"/>
        <v>-13367.100842666661</v>
      </c>
    </row>
    <row r="20" spans="1:5" x14ac:dyDescent="0.3">
      <c r="A20" s="2" t="s">
        <v>18</v>
      </c>
      <c r="B20" s="30">
        <f>IF(B19&gt;0,B19*iExpander!$B$38,0)</f>
        <v>4596.666666666667</v>
      </c>
      <c r="C20" s="30">
        <f>IF(C19&gt;0,C19*iExpander!$B$38,0)</f>
        <v>27178.316666666662</v>
      </c>
      <c r="D20" s="30">
        <f>IF(D19&gt;0,D19*iExpander!$B$38,0)</f>
        <v>9662.138266666665</v>
      </c>
      <c r="E20" s="30">
        <f>IF(E19&gt;0,E19*iExpander!$B$38,0)</f>
        <v>0</v>
      </c>
    </row>
    <row r="21" spans="1:5" x14ac:dyDescent="0.25">
      <c r="A21" s="28" t="s">
        <v>20</v>
      </c>
      <c r="B21" s="33">
        <f>B19-B20</f>
        <v>8536.6666666666679</v>
      </c>
      <c r="C21" s="33">
        <f t="shared" ref="C21:E21" si="3">C19-C20</f>
        <v>50474.016666666663</v>
      </c>
      <c r="D21" s="33">
        <f t="shared" si="3"/>
        <v>17943.971066666665</v>
      </c>
      <c r="E21" s="33">
        <f t="shared" si="3"/>
        <v>-13367.100842666661</v>
      </c>
    </row>
    <row r="26" spans="1:5" x14ac:dyDescent="0.25">
      <c r="B26" s="37"/>
    </row>
  </sheetData>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opLeftCell="A34" workbookViewId="0">
      <selection activeCell="D68" sqref="D68"/>
    </sheetView>
  </sheetViews>
  <sheetFormatPr defaultColWidth="8.85546875" defaultRowHeight="15" x14ac:dyDescent="0.25"/>
  <cols>
    <col min="1" max="1" width="6.42578125" style="2" customWidth="1"/>
    <col min="2" max="2" width="26.28515625" style="2" bestFit="1" customWidth="1"/>
    <col min="3" max="3" width="21.28515625" style="2" bestFit="1" customWidth="1"/>
    <col min="4" max="4" width="14.7109375" style="2" customWidth="1"/>
    <col min="5" max="5" width="15.42578125" style="2" customWidth="1"/>
    <col min="6" max="6" width="13.7109375" style="2" bestFit="1" customWidth="1"/>
    <col min="7" max="7" width="8.85546875" style="2"/>
    <col min="8" max="8" width="8.85546875" style="47"/>
    <col min="9" max="12" width="11.140625" style="47" bestFit="1" customWidth="1"/>
    <col min="13" max="13" width="10.5703125" style="47" bestFit="1" customWidth="1"/>
    <col min="14" max="16384" width="8.85546875" style="2"/>
  </cols>
  <sheetData>
    <row r="1" spans="1:13" s="11" customFormat="1" ht="37.15" thickBot="1" x14ac:dyDescent="0.75">
      <c r="A1" s="104" t="s">
        <v>133</v>
      </c>
      <c r="H1" s="54"/>
      <c r="I1" s="54"/>
      <c r="J1" s="54"/>
      <c r="K1" s="54"/>
      <c r="L1" s="54"/>
      <c r="M1" s="54"/>
    </row>
    <row r="2" spans="1:13" s="4" customFormat="1" ht="36.6" x14ac:dyDescent="0.7">
      <c r="A2" s="106"/>
      <c r="H2" s="62"/>
      <c r="I2" s="62"/>
      <c r="J2" s="62"/>
      <c r="K2" s="62"/>
      <c r="L2" s="62"/>
      <c r="M2" s="62"/>
    </row>
    <row r="3" spans="1:13" ht="14.45" x14ac:dyDescent="0.3">
      <c r="A3" s="4"/>
      <c r="B3" s="4"/>
      <c r="C3" s="4"/>
      <c r="D3" s="4"/>
      <c r="E3" s="4"/>
      <c r="F3" s="4"/>
      <c r="G3" s="4"/>
    </row>
    <row r="4" spans="1:13" ht="14.45" x14ac:dyDescent="0.3">
      <c r="A4" s="6"/>
      <c r="B4" s="4"/>
      <c r="C4" s="107">
        <v>2013</v>
      </c>
      <c r="D4" s="107">
        <v>2014</v>
      </c>
      <c r="E4" s="107">
        <v>2015</v>
      </c>
      <c r="F4" s="107">
        <v>2016</v>
      </c>
      <c r="G4" s="4"/>
    </row>
    <row r="5" spans="1:13" ht="14.45" x14ac:dyDescent="0.3">
      <c r="A5" s="3" t="s">
        <v>21</v>
      </c>
      <c r="B5" s="4"/>
      <c r="C5" s="4"/>
      <c r="D5" s="4"/>
      <c r="E5" s="4"/>
      <c r="F5" s="4"/>
      <c r="G5" s="4"/>
    </row>
    <row r="6" spans="1:13" ht="14.45" x14ac:dyDescent="0.3">
      <c r="A6" s="5" t="s">
        <v>22</v>
      </c>
      <c r="B6" s="4"/>
      <c r="C6" s="4"/>
      <c r="D6" s="4"/>
      <c r="E6" s="4"/>
      <c r="F6" s="4"/>
      <c r="G6" s="4"/>
    </row>
    <row r="7" spans="1:13" ht="14.45" x14ac:dyDescent="0.3">
      <c r="A7" s="6"/>
      <c r="B7" s="4" t="s">
        <v>23</v>
      </c>
      <c r="C7" s="13">
        <f>iExpander!B39</f>
        <v>2000</v>
      </c>
      <c r="D7" s="13">
        <f>C7</f>
        <v>2000</v>
      </c>
      <c r="E7" s="13">
        <f>D7</f>
        <v>2000</v>
      </c>
      <c r="F7" s="13">
        <f>E7</f>
        <v>2000</v>
      </c>
      <c r="G7" s="4"/>
    </row>
    <row r="8" spans="1:13" ht="14.45" x14ac:dyDescent="0.3">
      <c r="A8" s="6"/>
      <c r="B8" s="4" t="s">
        <v>24</v>
      </c>
      <c r="C8" s="14">
        <v>155463.33333333334</v>
      </c>
      <c r="D8" s="14">
        <v>187448.31666666665</v>
      </c>
      <c r="E8" s="14">
        <v>221272.82160000002</v>
      </c>
      <c r="F8" s="14">
        <v>230421.32106666666</v>
      </c>
      <c r="G8" s="4"/>
    </row>
    <row r="9" spans="1:13" ht="14.45" x14ac:dyDescent="0.3">
      <c r="A9" s="6"/>
      <c r="B9" s="4" t="s">
        <v>25</v>
      </c>
      <c r="C9" s="15">
        <f>(iExpander!C41/360)*'Income Statement'!B5</f>
        <v>18083.333333333332</v>
      </c>
      <c r="D9" s="15">
        <f>(iExpander!D41/360)*'Income Statement'!C5</f>
        <v>23974.5825</v>
      </c>
      <c r="E9" s="15">
        <f>(iExpander!E41/360)*'Income Statement'!D5</f>
        <v>18837.7199802</v>
      </c>
      <c r="F9" s="15">
        <f>(iExpander!F41/360)*'Income Statement'!E5</f>
        <v>14803.15016933755</v>
      </c>
      <c r="G9" s="4"/>
      <c r="H9" s="47" t="s">
        <v>66</v>
      </c>
      <c r="J9" s="105">
        <f>C9-G9</f>
        <v>18083.333333333332</v>
      </c>
      <c r="K9" s="105">
        <f>D9-C9</f>
        <v>5891.2491666666683</v>
      </c>
      <c r="L9" s="105">
        <f>E9-D9</f>
        <v>-5136.8625198000009</v>
      </c>
      <c r="M9" s="105">
        <f>F9-E9</f>
        <v>-4034.5698108624492</v>
      </c>
    </row>
    <row r="10" spans="1:13" ht="14.45" x14ac:dyDescent="0.3">
      <c r="A10" s="5" t="s">
        <v>26</v>
      </c>
      <c r="B10" s="4"/>
      <c r="C10" s="13">
        <f>SUM(C7:C9)</f>
        <v>175546.66666666669</v>
      </c>
      <c r="D10" s="13">
        <f>SUM(D7:D9)</f>
        <v>213422.89916666664</v>
      </c>
      <c r="E10" s="13">
        <f>SUM(E7:E9)</f>
        <v>242110.54158020002</v>
      </c>
      <c r="F10" s="13">
        <f>SUM(F7:F9)</f>
        <v>247224.4712360042</v>
      </c>
      <c r="G10" s="4"/>
    </row>
    <row r="11" spans="1:13" ht="14.45" x14ac:dyDescent="0.3">
      <c r="A11" s="6"/>
      <c r="B11" s="4"/>
      <c r="C11" s="13"/>
      <c r="D11" s="13"/>
      <c r="E11" s="13"/>
      <c r="F11" s="13"/>
      <c r="G11" s="4"/>
    </row>
    <row r="12" spans="1:13" ht="14.45" x14ac:dyDescent="0.3">
      <c r="A12" s="5" t="s">
        <v>29</v>
      </c>
      <c r="B12" s="4"/>
      <c r="C12" s="13"/>
      <c r="D12" s="13"/>
      <c r="E12" s="13"/>
      <c r="F12" s="13"/>
      <c r="G12" s="4"/>
    </row>
    <row r="13" spans="1:13" ht="14.45" x14ac:dyDescent="0.3">
      <c r="A13" s="6"/>
      <c r="B13" s="4" t="s">
        <v>9</v>
      </c>
      <c r="C13" s="13">
        <f>iExpander!B29</f>
        <v>13000</v>
      </c>
      <c r="D13" s="13">
        <f>C13</f>
        <v>13000</v>
      </c>
      <c r="E13" s="13">
        <f t="shared" ref="E13:F13" si="0">D13</f>
        <v>13000</v>
      </c>
      <c r="F13" s="13">
        <f t="shared" si="0"/>
        <v>13000</v>
      </c>
      <c r="G13" s="4"/>
      <c r="J13" s="73"/>
      <c r="K13" s="73"/>
      <c r="L13" s="73"/>
    </row>
    <row r="14" spans="1:13" ht="14.45" x14ac:dyDescent="0.3">
      <c r="A14" s="6"/>
      <c r="B14" s="7" t="s">
        <v>30</v>
      </c>
      <c r="C14" s="15">
        <f>'Income Statement'!B15</f>
        <v>866.66666666666663</v>
      </c>
      <c r="D14" s="15">
        <f>'Income Statement'!C15+C14</f>
        <v>1733.3333333333333</v>
      </c>
      <c r="E14" s="15">
        <f>'Income Statement'!D15+D14</f>
        <v>2600</v>
      </c>
      <c r="F14" s="15">
        <f>'Income Statement'!E15+E14</f>
        <v>3466.6666666666665</v>
      </c>
      <c r="G14" s="4"/>
      <c r="J14" s="73"/>
      <c r="K14" s="73"/>
      <c r="L14" s="73"/>
    </row>
    <row r="15" spans="1:13" ht="14.45" x14ac:dyDescent="0.3">
      <c r="A15" s="6"/>
      <c r="B15" s="4" t="s">
        <v>31</v>
      </c>
      <c r="C15" s="13">
        <f>C13-C14</f>
        <v>12133.333333333334</v>
      </c>
      <c r="D15" s="13">
        <f t="shared" ref="D15:F15" si="1">D13-D14</f>
        <v>11266.666666666666</v>
      </c>
      <c r="E15" s="13">
        <f t="shared" si="1"/>
        <v>10400</v>
      </c>
      <c r="F15" s="13">
        <f t="shared" si="1"/>
        <v>9533.3333333333339</v>
      </c>
      <c r="G15" s="4"/>
    </row>
    <row r="16" spans="1:13" ht="14.45" x14ac:dyDescent="0.3">
      <c r="A16" s="8" t="s">
        <v>35</v>
      </c>
      <c r="B16" s="9"/>
      <c r="C16" s="17">
        <f>C15</f>
        <v>12133.333333333334</v>
      </c>
      <c r="D16" s="17">
        <f t="shared" ref="D16:F16" si="2">D15</f>
        <v>11266.666666666666</v>
      </c>
      <c r="E16" s="17">
        <f t="shared" si="2"/>
        <v>10400</v>
      </c>
      <c r="F16" s="17">
        <f t="shared" si="2"/>
        <v>9533.3333333333339</v>
      </c>
      <c r="G16" s="4"/>
    </row>
    <row r="17" spans="1:13" ht="14.45" x14ac:dyDescent="0.3">
      <c r="A17" s="3" t="s">
        <v>36</v>
      </c>
      <c r="B17" s="4"/>
      <c r="C17" s="18">
        <f>C16+C10</f>
        <v>187680.00000000003</v>
      </c>
      <c r="D17" s="18">
        <f t="shared" ref="D17:F17" si="3">D16+D10</f>
        <v>224689.5658333333</v>
      </c>
      <c r="E17" s="18">
        <f t="shared" si="3"/>
        <v>252510.54158020002</v>
      </c>
      <c r="F17" s="18">
        <f t="shared" si="3"/>
        <v>256757.80456933755</v>
      </c>
      <c r="G17" s="4"/>
    </row>
    <row r="18" spans="1:13" thickBot="1" x14ac:dyDescent="0.35">
      <c r="A18" s="10"/>
      <c r="B18" s="11"/>
      <c r="C18" s="19"/>
      <c r="D18" s="19"/>
      <c r="E18" s="19"/>
      <c r="F18" s="19"/>
      <c r="G18" s="4"/>
    </row>
    <row r="19" spans="1:13" ht="14.45" x14ac:dyDescent="0.3">
      <c r="A19" s="6"/>
      <c r="B19" s="4"/>
      <c r="C19" s="13"/>
      <c r="D19" s="13"/>
      <c r="E19" s="13"/>
      <c r="F19" s="13"/>
      <c r="G19" s="4"/>
    </row>
    <row r="20" spans="1:13" ht="14.45" x14ac:dyDescent="0.3">
      <c r="A20" s="3" t="s">
        <v>37</v>
      </c>
      <c r="B20" s="4"/>
      <c r="C20" s="13"/>
      <c r="D20" s="13"/>
      <c r="E20" s="13"/>
      <c r="F20" s="13"/>
      <c r="G20" s="4"/>
    </row>
    <row r="21" spans="1:13" ht="14.45" x14ac:dyDescent="0.3">
      <c r="A21" s="12" t="s">
        <v>88</v>
      </c>
      <c r="B21" s="4"/>
      <c r="C21" s="13">
        <f>iExpander!C15/360*iExpander!C42</f>
        <v>18083.333333333336</v>
      </c>
      <c r="D21" s="13">
        <f>iExpander!D15/360*iExpander!D42</f>
        <v>23974.5825</v>
      </c>
      <c r="E21" s="13">
        <f>iExpander!E15/360*iExpander!E42</f>
        <v>18837.7199802</v>
      </c>
      <c r="F21" s="13">
        <f>iExpander!F15/360*iExpander!F42</f>
        <v>14803.15016933755</v>
      </c>
      <c r="G21" s="4"/>
      <c r="H21" s="47" t="s">
        <v>89</v>
      </c>
      <c r="J21" s="105">
        <f>C21</f>
        <v>18083.333333333336</v>
      </c>
      <c r="K21" s="105">
        <f>D21-C21</f>
        <v>5891.2491666666647</v>
      </c>
      <c r="L21" s="105">
        <f t="shared" ref="L21:M21" si="4">E21-D21</f>
        <v>-5136.8625198000009</v>
      </c>
      <c r="M21" s="105">
        <f t="shared" si="4"/>
        <v>-4034.5698108624492</v>
      </c>
    </row>
    <row r="22" spans="1:13" ht="14.45" x14ac:dyDescent="0.3">
      <c r="A22" s="12" t="s">
        <v>116</v>
      </c>
      <c r="B22" s="4"/>
      <c r="C22" s="13">
        <f>'Income Statement'!B20</f>
        <v>4596.666666666667</v>
      </c>
      <c r="D22" s="13">
        <f>'Income Statement'!C20</f>
        <v>27178.316666666662</v>
      </c>
      <c r="E22" s="13">
        <f>'Income Statement'!D20</f>
        <v>9662.138266666665</v>
      </c>
      <c r="F22" s="13">
        <f>'Income Statement'!E20</f>
        <v>0</v>
      </c>
      <c r="G22" s="4"/>
      <c r="J22" s="105"/>
      <c r="K22" s="105"/>
      <c r="L22" s="105"/>
      <c r="M22" s="105"/>
    </row>
    <row r="23" spans="1:13" ht="14.45" x14ac:dyDescent="0.3">
      <c r="A23" s="3" t="s">
        <v>42</v>
      </c>
      <c r="B23" s="4"/>
      <c r="C23" s="15"/>
      <c r="D23" s="15"/>
      <c r="E23" s="15"/>
      <c r="F23" s="15"/>
      <c r="G23" s="4"/>
    </row>
    <row r="24" spans="1:13" ht="14.45" x14ac:dyDescent="0.3">
      <c r="A24" s="3" t="s">
        <v>50</v>
      </c>
      <c r="B24" s="4"/>
      <c r="C24" s="13">
        <f>SUM(C21:C23)</f>
        <v>22680.000000000004</v>
      </c>
      <c r="D24" s="13">
        <f t="shared" ref="D24:F24" si="5">SUM(D21:D23)</f>
        <v>51152.899166666662</v>
      </c>
      <c r="E24" s="13">
        <f t="shared" si="5"/>
        <v>28499.858246866665</v>
      </c>
      <c r="F24" s="13">
        <f t="shared" si="5"/>
        <v>14803.15016933755</v>
      </c>
      <c r="G24" s="4"/>
    </row>
    <row r="25" spans="1:13" ht="14.45" x14ac:dyDescent="0.3">
      <c r="A25" s="3"/>
      <c r="B25" s="4"/>
      <c r="C25" s="13"/>
      <c r="D25" s="13"/>
      <c r="E25" s="13"/>
      <c r="F25" s="13"/>
      <c r="G25" s="4"/>
    </row>
    <row r="26" spans="1:13" ht="14.45" x14ac:dyDescent="0.3">
      <c r="A26" s="3" t="s">
        <v>52</v>
      </c>
      <c r="B26" s="4"/>
      <c r="C26" s="15">
        <f>iExpander!C34</f>
        <v>40000</v>
      </c>
      <c r="D26" s="15">
        <f>iExpander!D34</f>
        <v>40000</v>
      </c>
      <c r="E26" s="15">
        <f>iExpander!E34</f>
        <v>40000</v>
      </c>
      <c r="F26" s="15">
        <f>iExpander!F34</f>
        <v>40000</v>
      </c>
      <c r="G26" s="4"/>
    </row>
    <row r="27" spans="1:13" ht="14.45" x14ac:dyDescent="0.3">
      <c r="A27" s="3" t="s">
        <v>138</v>
      </c>
      <c r="B27" s="4"/>
      <c r="C27" s="13">
        <f>SUM(C26)</f>
        <v>40000</v>
      </c>
      <c r="D27" s="13">
        <f t="shared" ref="D27:F27" si="6">SUM(D26)</f>
        <v>40000</v>
      </c>
      <c r="E27" s="13">
        <f t="shared" si="6"/>
        <v>40000</v>
      </c>
      <c r="F27" s="13">
        <f t="shared" si="6"/>
        <v>40000</v>
      </c>
      <c r="G27" s="4"/>
    </row>
    <row r="28" spans="1:13" ht="14.45" x14ac:dyDescent="0.3">
      <c r="A28" s="6"/>
      <c r="B28" s="4"/>
      <c r="C28" s="13"/>
      <c r="D28" s="13"/>
      <c r="E28" s="13"/>
      <c r="F28" s="13"/>
      <c r="G28" s="4"/>
    </row>
    <row r="29" spans="1:13" ht="14.45" x14ac:dyDescent="0.3">
      <c r="A29" s="3" t="s">
        <v>51</v>
      </c>
      <c r="B29" s="4"/>
      <c r="C29" s="13">
        <f>iExpander!C33</f>
        <v>125000</v>
      </c>
      <c r="D29" s="13">
        <f>iExpander!D33</f>
        <v>125000</v>
      </c>
      <c r="E29" s="13">
        <f>iExpander!E33</f>
        <v>125000</v>
      </c>
      <c r="F29" s="13">
        <f>iExpander!F33</f>
        <v>125000</v>
      </c>
      <c r="G29" s="4"/>
    </row>
    <row r="30" spans="1:13" ht="14.45" x14ac:dyDescent="0.3">
      <c r="A30" s="3" t="s">
        <v>54</v>
      </c>
      <c r="B30" s="4"/>
      <c r="C30" s="15"/>
      <c r="D30" s="15">
        <f>'Income Statement'!B21+C30</f>
        <v>8536.6666666666679</v>
      </c>
      <c r="E30" s="15">
        <f>'Income Statement'!C21+D30</f>
        <v>59010.683333333334</v>
      </c>
      <c r="F30" s="15">
        <f>'Income Statement'!D21+E30</f>
        <v>76954.654399999999</v>
      </c>
      <c r="G30" s="4"/>
    </row>
    <row r="31" spans="1:13" ht="14.45" x14ac:dyDescent="0.3">
      <c r="A31" s="3" t="s">
        <v>53</v>
      </c>
      <c r="B31" s="4"/>
      <c r="C31" s="18">
        <f>SUM(C24+C29+C26+C30)</f>
        <v>187680</v>
      </c>
      <c r="D31" s="18">
        <f>SUM(D24+D29+D26+D30)</f>
        <v>224689.56583333333</v>
      </c>
      <c r="E31" s="18">
        <f>SUM(E24+E29+E26+E30)</f>
        <v>252510.54158020002</v>
      </c>
      <c r="F31" s="18">
        <f>SUM(F24+F29+F26+F30)</f>
        <v>256757.80456933755</v>
      </c>
      <c r="G31" s="4"/>
    </row>
    <row r="32" spans="1:13" ht="14.45" x14ac:dyDescent="0.3">
      <c r="A32" s="6"/>
      <c r="B32" s="4"/>
      <c r="C32" s="13"/>
      <c r="D32" s="13"/>
      <c r="E32" s="13"/>
      <c r="F32" s="13"/>
      <c r="G32" s="4"/>
    </row>
    <row r="33" spans="1:13" ht="14.45" x14ac:dyDescent="0.3">
      <c r="A33" s="6"/>
      <c r="B33" s="4" t="s">
        <v>137</v>
      </c>
      <c r="C33" s="63">
        <f>C17-C31</f>
        <v>0</v>
      </c>
      <c r="D33" s="63">
        <f>D17-D31</f>
        <v>0</v>
      </c>
      <c r="E33" s="63">
        <f>E17-E31</f>
        <v>0</v>
      </c>
      <c r="F33" s="63">
        <f>F17-F31</f>
        <v>0</v>
      </c>
      <c r="G33" s="13"/>
      <c r="I33" s="129">
        <f>-C33</f>
        <v>0</v>
      </c>
      <c r="J33" s="129">
        <f t="shared" ref="J33:L33" si="7">-D33</f>
        <v>0</v>
      </c>
      <c r="K33" s="129">
        <f t="shared" si="7"/>
        <v>0</v>
      </c>
      <c r="L33" s="129">
        <f t="shared" si="7"/>
        <v>0</v>
      </c>
      <c r="M33" s="129"/>
    </row>
    <row r="34" spans="1:13" ht="14.45" x14ac:dyDescent="0.3">
      <c r="A34" s="4"/>
      <c r="B34" s="4"/>
      <c r="C34" s="63"/>
      <c r="D34" s="63"/>
      <c r="E34" s="63"/>
      <c r="F34" s="63"/>
      <c r="G34" s="13"/>
    </row>
    <row r="35" spans="1:13" ht="14.45" x14ac:dyDescent="0.3">
      <c r="A35" s="4"/>
      <c r="B35" s="4"/>
      <c r="C35" s="63"/>
      <c r="D35" s="63"/>
      <c r="E35" s="63"/>
      <c r="F35" s="63"/>
      <c r="G35" s="13"/>
    </row>
    <row r="36" spans="1:13" ht="14.45" x14ac:dyDescent="0.3">
      <c r="A36" s="4"/>
      <c r="B36" s="4"/>
      <c r="C36" s="63"/>
      <c r="D36" s="63"/>
      <c r="E36" s="63"/>
      <c r="F36" s="63"/>
      <c r="G36" s="13"/>
    </row>
    <row r="37" spans="1:13" s="11" customFormat="1" ht="37.15" thickBot="1" x14ac:dyDescent="0.75">
      <c r="A37" s="104" t="s">
        <v>134</v>
      </c>
      <c r="C37" s="40"/>
      <c r="D37" s="40"/>
      <c r="E37" s="40"/>
      <c r="F37" s="40"/>
      <c r="G37" s="19"/>
      <c r="H37" s="54"/>
      <c r="I37" s="54"/>
      <c r="J37" s="54"/>
      <c r="K37" s="54"/>
      <c r="L37" s="54"/>
      <c r="M37" s="54"/>
    </row>
    <row r="38" spans="1:13" ht="14.45" x14ac:dyDescent="0.3">
      <c r="A38" s="4"/>
      <c r="B38" s="4"/>
      <c r="C38" s="63"/>
      <c r="D38" s="63"/>
      <c r="E38" s="63"/>
      <c r="F38" s="63"/>
      <c r="G38" s="16"/>
    </row>
    <row r="39" spans="1:13" ht="14.45" x14ac:dyDescent="0.3">
      <c r="C39" s="16"/>
      <c r="D39" s="16"/>
      <c r="E39" s="16"/>
      <c r="F39" s="16"/>
      <c r="G39" s="16"/>
    </row>
    <row r="40" spans="1:13" ht="14.45" x14ac:dyDescent="0.3">
      <c r="B40" s="2" t="s">
        <v>56</v>
      </c>
      <c r="C40" s="20">
        <v>0.12</v>
      </c>
    </row>
    <row r="41" spans="1:13" ht="14.45" x14ac:dyDescent="0.3">
      <c r="B41" s="2" t="s">
        <v>57</v>
      </c>
      <c r="C41" s="20">
        <v>0.05</v>
      </c>
    </row>
    <row r="42" spans="1:13" ht="14.45" x14ac:dyDescent="0.3">
      <c r="B42" s="2" t="s">
        <v>64</v>
      </c>
      <c r="C42" s="21">
        <v>1.5</v>
      </c>
    </row>
    <row r="43" spans="1:13" ht="14.45" x14ac:dyDescent="0.3">
      <c r="B43" s="2" t="s">
        <v>63</v>
      </c>
      <c r="C43" s="22">
        <f>C50</f>
        <v>0.35</v>
      </c>
    </row>
    <row r="44" spans="1:13" ht="14.45" x14ac:dyDescent="0.3">
      <c r="B44" s="2" t="s">
        <v>65</v>
      </c>
      <c r="C44" s="23">
        <f>(C41+C42*(C40-C41))</f>
        <v>0.15499999999999997</v>
      </c>
    </row>
    <row r="45" spans="1:13" ht="14.45" x14ac:dyDescent="0.3">
      <c r="C45" s="23"/>
    </row>
    <row r="46" spans="1:13" ht="14.45" x14ac:dyDescent="0.3">
      <c r="B46" s="2" t="s">
        <v>59</v>
      </c>
      <c r="C46" s="16">
        <f>C26</f>
        <v>40000</v>
      </c>
      <c r="D46" s="24">
        <f>1-D47</f>
        <v>0.24242424242424243</v>
      </c>
    </row>
    <row r="47" spans="1:13" ht="14.45" x14ac:dyDescent="0.3">
      <c r="B47" s="2" t="s">
        <v>58</v>
      </c>
      <c r="C47" s="16">
        <f>'Balance Sheet'!C29</f>
        <v>125000</v>
      </c>
      <c r="D47" s="24">
        <f>C47/(C46+C47)</f>
        <v>0.75757575757575757</v>
      </c>
      <c r="E47" s="2" t="s">
        <v>62</v>
      </c>
    </row>
    <row r="48" spans="1:13" ht="14.45" x14ac:dyDescent="0.3">
      <c r="B48" s="2" t="s">
        <v>60</v>
      </c>
      <c r="C48" s="24">
        <f>iExpander!B31</f>
        <v>0.05</v>
      </c>
    </row>
    <row r="50" spans="2:3" ht="14.45" x14ac:dyDescent="0.3">
      <c r="B50" s="2" t="s">
        <v>63</v>
      </c>
      <c r="C50" s="22">
        <f>iExpander!B38</f>
        <v>0.35</v>
      </c>
    </row>
    <row r="53" spans="2:3" ht="14.45" x14ac:dyDescent="0.3">
      <c r="B53" s="2" t="s">
        <v>61</v>
      </c>
      <c r="C53" s="25">
        <f>(1-C43)*(D46*C48)+(D47*C44)</f>
        <v>0.12530303030303028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opLeftCell="A20" workbookViewId="0">
      <selection activeCell="A51" sqref="A51"/>
    </sheetView>
  </sheetViews>
  <sheetFormatPr defaultColWidth="8.85546875" defaultRowHeight="15" x14ac:dyDescent="0.25"/>
  <cols>
    <col min="1" max="1" width="42.28515625" style="47" customWidth="1"/>
    <col min="2" max="2" width="21.7109375" style="2" customWidth="1"/>
    <col min="3" max="4" width="18.28515625" style="2" customWidth="1"/>
    <col min="5" max="5" width="26.5703125" style="2" customWidth="1"/>
    <col min="6" max="6" width="28.85546875" style="2" customWidth="1"/>
    <col min="7" max="7" width="35.28515625" style="75" customWidth="1"/>
    <col min="8" max="8" width="22.28515625" style="2" customWidth="1"/>
    <col min="9" max="9" width="12.140625" style="2" bestFit="1" customWidth="1"/>
    <col min="10" max="16384" width="8.85546875" style="2"/>
  </cols>
  <sheetData>
    <row r="1" spans="1:10" s="11" customFormat="1" ht="37.15" thickBot="1" x14ac:dyDescent="0.75">
      <c r="A1" s="104" t="s">
        <v>97</v>
      </c>
      <c r="G1" s="108"/>
    </row>
    <row r="2" spans="1:10" ht="12.6" customHeight="1" x14ac:dyDescent="0.7">
      <c r="A2" s="92"/>
      <c r="G2" s="51"/>
    </row>
    <row r="3" spans="1:10" ht="12.6" customHeight="1" x14ac:dyDescent="0.7">
      <c r="A3" s="92"/>
      <c r="G3" s="51"/>
    </row>
    <row r="4" spans="1:10" ht="12.6" customHeight="1" x14ac:dyDescent="0.7">
      <c r="A4" s="92"/>
      <c r="G4" s="51"/>
    </row>
    <row r="6" spans="1:10" x14ac:dyDescent="0.25">
      <c r="A6" s="65" t="s">
        <v>112</v>
      </c>
      <c r="B6" s="28"/>
    </row>
    <row r="7" spans="1:10" ht="14.45" x14ac:dyDescent="0.3">
      <c r="B7" s="115" t="s">
        <v>120</v>
      </c>
      <c r="C7" s="113">
        <v>2013</v>
      </c>
      <c r="D7" s="113">
        <v>2014</v>
      </c>
      <c r="E7" s="113">
        <v>2015</v>
      </c>
      <c r="F7" s="113">
        <v>2016</v>
      </c>
    </row>
    <row r="9" spans="1:10" x14ac:dyDescent="0.25">
      <c r="A9" s="47" t="str">
        <f>'Income Statement'!A13</f>
        <v>Operating Income</v>
      </c>
      <c r="B9" s="34"/>
      <c r="C9" s="34">
        <f>'Income Statement'!B13</f>
        <v>16000</v>
      </c>
      <c r="D9" s="34">
        <f>'Income Statement'!C13</f>
        <v>80519</v>
      </c>
      <c r="E9" s="34">
        <f>'Income Statement'!D13</f>
        <v>30472.775999999998</v>
      </c>
      <c r="F9" s="34">
        <f>'Income Statement'!E13</f>
        <v>-10500.434175999995</v>
      </c>
      <c r="I9" s="36"/>
    </row>
    <row r="10" spans="1:10" x14ac:dyDescent="0.25">
      <c r="A10" s="47" t="s">
        <v>100</v>
      </c>
      <c r="B10" s="34"/>
      <c r="C10" s="30">
        <f>'Income Statement'!B15</f>
        <v>866.66666666666663</v>
      </c>
      <c r="D10" s="30">
        <f>'Income Statement'!C15</f>
        <v>866.66666666666663</v>
      </c>
      <c r="E10" s="30">
        <f>'Income Statement'!D15</f>
        <v>866.66666666666663</v>
      </c>
      <c r="F10" s="30">
        <f>'Income Statement'!E15</f>
        <v>866.66666666666663</v>
      </c>
      <c r="H10" s="37"/>
      <c r="I10" s="36"/>
    </row>
    <row r="11" spans="1:10" x14ac:dyDescent="0.25">
      <c r="A11" s="47" t="s">
        <v>101</v>
      </c>
      <c r="B11" s="34"/>
      <c r="C11" s="34">
        <f>C9-C10</f>
        <v>15133.333333333334</v>
      </c>
      <c r="D11" s="34">
        <f t="shared" ref="D11:F11" si="0">D9-D10</f>
        <v>79652.333333333328</v>
      </c>
      <c r="E11" s="34">
        <f t="shared" si="0"/>
        <v>29606.10933333333</v>
      </c>
      <c r="F11" s="34">
        <f t="shared" si="0"/>
        <v>-11367.100842666661</v>
      </c>
      <c r="H11" s="37"/>
      <c r="I11" s="36"/>
    </row>
    <row r="12" spans="1:10" x14ac:dyDescent="0.25">
      <c r="B12" s="34"/>
      <c r="C12" s="34"/>
      <c r="D12" s="34"/>
      <c r="E12" s="34"/>
      <c r="F12" s="34"/>
      <c r="H12" s="37"/>
      <c r="I12" s="36"/>
    </row>
    <row r="13" spans="1:10" x14ac:dyDescent="0.25">
      <c r="A13" s="47" t="s">
        <v>99</v>
      </c>
      <c r="B13" s="34"/>
      <c r="C13" s="34"/>
      <c r="D13" s="34"/>
      <c r="E13" s="34"/>
      <c r="F13" s="34"/>
      <c r="H13" s="37"/>
      <c r="I13" s="36"/>
    </row>
    <row r="14" spans="1:10" ht="14.45" x14ac:dyDescent="0.3">
      <c r="A14" s="48">
        <f>iExpander!B38</f>
        <v>0.35</v>
      </c>
      <c r="B14" s="34"/>
      <c r="C14" s="30">
        <f>C11*$A$14</f>
        <v>5296.666666666667</v>
      </c>
      <c r="D14" s="30">
        <f t="shared" ref="D14:E14" si="1">D11*$A$14</f>
        <v>27878.316666666662</v>
      </c>
      <c r="E14" s="30">
        <f t="shared" si="1"/>
        <v>10362.138266666665</v>
      </c>
      <c r="F14" s="30">
        <v>0</v>
      </c>
      <c r="G14" s="76" t="s">
        <v>104</v>
      </c>
      <c r="H14" s="37"/>
      <c r="I14" s="36"/>
    </row>
    <row r="15" spans="1:10" x14ac:dyDescent="0.25">
      <c r="A15" s="47" t="s">
        <v>98</v>
      </c>
      <c r="B15" s="34"/>
      <c r="C15" s="34">
        <f>C11-C14</f>
        <v>9836.6666666666679</v>
      </c>
      <c r="D15" s="34">
        <f t="shared" ref="D15:F15" si="2">D11-D14</f>
        <v>51774.016666666663</v>
      </c>
      <c r="E15" s="34">
        <f t="shared" si="2"/>
        <v>19243.971066666665</v>
      </c>
      <c r="F15" s="34">
        <f t="shared" si="2"/>
        <v>-11367.100842666661</v>
      </c>
      <c r="H15" s="37"/>
      <c r="I15" s="36"/>
    </row>
    <row r="16" spans="1:10" ht="14.45" x14ac:dyDescent="0.3">
      <c r="B16" s="34"/>
      <c r="C16" s="34"/>
      <c r="D16" s="34"/>
      <c r="E16" s="34"/>
      <c r="F16" s="34"/>
      <c r="I16" s="38"/>
      <c r="J16" s="4"/>
    </row>
    <row r="17" spans="1:10" ht="14.45" x14ac:dyDescent="0.3">
      <c r="A17" s="47" t="s">
        <v>102</v>
      </c>
      <c r="B17" s="34"/>
      <c r="C17" s="30">
        <f>C10</f>
        <v>866.66666666666663</v>
      </c>
      <c r="D17" s="30">
        <f t="shared" ref="D17:F17" si="3">D10</f>
        <v>866.66666666666663</v>
      </c>
      <c r="E17" s="30">
        <f t="shared" si="3"/>
        <v>866.66666666666663</v>
      </c>
      <c r="F17" s="30">
        <f t="shared" si="3"/>
        <v>866.66666666666663</v>
      </c>
      <c r="G17" s="71"/>
      <c r="I17" s="39"/>
      <c r="J17" s="4"/>
    </row>
    <row r="18" spans="1:10" ht="14.45" x14ac:dyDescent="0.3">
      <c r="A18" s="47" t="s">
        <v>103</v>
      </c>
      <c r="B18" s="34"/>
      <c r="C18" s="34">
        <f>SUM(C15,C17)</f>
        <v>10703.333333333334</v>
      </c>
      <c r="D18" s="34">
        <f t="shared" ref="D18:F18" si="4">SUM(D15,D17)</f>
        <v>52640.683333333327</v>
      </c>
      <c r="E18" s="34">
        <f t="shared" si="4"/>
        <v>20110.637733333333</v>
      </c>
      <c r="F18" s="34">
        <f t="shared" si="4"/>
        <v>-10500.434175999995</v>
      </c>
      <c r="G18" s="77">
        <f>C18+C14</f>
        <v>16000</v>
      </c>
      <c r="H18" s="22"/>
      <c r="I18" s="4"/>
      <c r="J18" s="4"/>
    </row>
    <row r="19" spans="1:10" ht="14.45" x14ac:dyDescent="0.3">
      <c r="B19" s="34"/>
      <c r="C19" s="34"/>
      <c r="D19" s="34"/>
      <c r="E19" s="34"/>
      <c r="F19" s="34"/>
      <c r="G19" s="74" t="s">
        <v>128</v>
      </c>
      <c r="H19" s="22"/>
      <c r="I19" s="4"/>
      <c r="J19" s="4"/>
    </row>
    <row r="20" spans="1:10" s="11" customFormat="1" thickBot="1" x14ac:dyDescent="0.35">
      <c r="A20" s="54"/>
      <c r="B20" s="40"/>
      <c r="C20" s="40"/>
      <c r="D20" s="40"/>
      <c r="E20" s="40"/>
      <c r="F20" s="40"/>
      <c r="G20" s="78"/>
    </row>
    <row r="21" spans="1:10" s="4" customFormat="1" ht="14.45" x14ac:dyDescent="0.3">
      <c r="A21" s="64" t="s">
        <v>122</v>
      </c>
      <c r="B21" s="63"/>
      <c r="C21" s="63"/>
      <c r="D21" s="63"/>
      <c r="E21" s="63"/>
      <c r="F21" s="63"/>
      <c r="G21" s="79"/>
    </row>
    <row r="22" spans="1:10" s="4" customFormat="1" ht="14.45" x14ac:dyDescent="0.3">
      <c r="A22" s="62"/>
      <c r="B22" s="63"/>
      <c r="C22" s="63"/>
      <c r="D22" s="63"/>
      <c r="E22" s="63"/>
      <c r="F22" s="63"/>
      <c r="G22" s="79"/>
    </row>
    <row r="23" spans="1:10" ht="14.45" x14ac:dyDescent="0.3">
      <c r="A23" s="49" t="s">
        <v>105</v>
      </c>
      <c r="B23" s="43"/>
      <c r="C23" s="44"/>
      <c r="D23" s="34"/>
      <c r="E23" s="34"/>
      <c r="F23" s="34"/>
    </row>
    <row r="24" spans="1:10" ht="14.45" x14ac:dyDescent="0.3">
      <c r="A24" s="50" t="s">
        <v>113</v>
      </c>
      <c r="B24" s="44">
        <v>-13000</v>
      </c>
      <c r="C24" s="34"/>
      <c r="D24" s="34"/>
      <c r="E24" s="34"/>
      <c r="F24" s="34"/>
      <c r="G24" s="74" t="s">
        <v>119</v>
      </c>
    </row>
    <row r="25" spans="1:10" ht="14.45" x14ac:dyDescent="0.3">
      <c r="A25" s="50" t="s">
        <v>114</v>
      </c>
      <c r="B25" s="44"/>
      <c r="C25" s="34"/>
      <c r="D25" s="34"/>
      <c r="E25" s="34"/>
      <c r="F25" s="34">
        <f>('Balance Sheet'!F13-'Balance Sheet'!F14)</f>
        <v>9533.3333333333339</v>
      </c>
      <c r="G25" s="74" t="s">
        <v>118</v>
      </c>
    </row>
    <row r="26" spans="1:10" ht="14.45" x14ac:dyDescent="0.3">
      <c r="A26" s="50" t="s">
        <v>115</v>
      </c>
      <c r="B26" s="44"/>
      <c r="C26" s="34"/>
      <c r="D26" s="34"/>
      <c r="E26" s="34"/>
      <c r="F26" s="34">
        <v>0</v>
      </c>
    </row>
    <row r="27" spans="1:10" ht="14.45" x14ac:dyDescent="0.3">
      <c r="A27" s="50"/>
      <c r="B27" s="44"/>
      <c r="C27" s="34"/>
      <c r="D27" s="34"/>
      <c r="E27" s="34"/>
      <c r="F27" s="34"/>
    </row>
    <row r="28" spans="1:10" s="60" customFormat="1" thickBot="1" x14ac:dyDescent="0.35">
      <c r="A28" s="58"/>
      <c r="B28" s="53"/>
      <c r="C28" s="59"/>
      <c r="D28" s="59"/>
      <c r="E28" s="59"/>
      <c r="F28" s="59"/>
      <c r="G28" s="80"/>
    </row>
    <row r="29" spans="1:10" s="57" customFormat="1" ht="14.45" x14ac:dyDescent="0.3">
      <c r="A29" s="61" t="s">
        <v>121</v>
      </c>
      <c r="B29" s="55"/>
      <c r="C29" s="56"/>
      <c r="D29" s="56"/>
      <c r="E29" s="56"/>
      <c r="F29" s="56"/>
      <c r="G29" s="81"/>
    </row>
    <row r="30" spans="1:10" ht="14.45" x14ac:dyDescent="0.3">
      <c r="A30" s="50"/>
      <c r="B30" s="44"/>
      <c r="C30" s="44"/>
      <c r="D30" s="34"/>
      <c r="E30" s="34"/>
      <c r="F30" s="34"/>
    </row>
    <row r="31" spans="1:10" ht="14.45" x14ac:dyDescent="0.3">
      <c r="A31" s="49" t="s">
        <v>106</v>
      </c>
      <c r="B31" s="43"/>
      <c r="C31" s="44"/>
      <c r="D31" s="34"/>
      <c r="E31" s="34"/>
      <c r="F31" s="34"/>
    </row>
    <row r="32" spans="1:10" ht="14.45" x14ac:dyDescent="0.3">
      <c r="A32" s="50" t="s">
        <v>25</v>
      </c>
      <c r="B32" s="44"/>
      <c r="C32" s="34">
        <f>-'Balance Sheet'!J9</f>
        <v>-18083.333333333332</v>
      </c>
      <c r="D32" s="34">
        <f>-'Balance Sheet'!K9</f>
        <v>-5891.2491666666683</v>
      </c>
      <c r="E32" s="34">
        <f>-'Balance Sheet'!L9</f>
        <v>5136.8625198000009</v>
      </c>
      <c r="F32" s="34">
        <f>-'Balance Sheet'!M9</f>
        <v>4034.5698108624492</v>
      </c>
      <c r="G32" s="82">
        <f>SUM(C32:F32)</f>
        <v>-14803.15016933755</v>
      </c>
    </row>
    <row r="33" spans="1:7" ht="14.45" x14ac:dyDescent="0.3">
      <c r="A33" s="50" t="s">
        <v>88</v>
      </c>
      <c r="B33" s="44"/>
      <c r="C33" s="34">
        <f>'Balance Sheet'!J21</f>
        <v>18083.333333333336</v>
      </c>
      <c r="D33" s="34">
        <f>'Balance Sheet'!K21</f>
        <v>5891.2491666666647</v>
      </c>
      <c r="E33" s="34">
        <f>'Balance Sheet'!L21</f>
        <v>-5136.8625198000009</v>
      </c>
      <c r="F33" s="34">
        <f>'Balance Sheet'!M21</f>
        <v>-4034.5698108624492</v>
      </c>
      <c r="G33" s="82">
        <f t="shared" ref="G33:G34" si="5">SUM(C33:F33)</f>
        <v>14803.15016933755</v>
      </c>
    </row>
    <row r="34" spans="1:7" ht="14.45" x14ac:dyDescent="0.3">
      <c r="A34" s="50" t="s">
        <v>107</v>
      </c>
      <c r="B34" s="44"/>
      <c r="C34" s="34">
        <f>C14</f>
        <v>5296.666666666667</v>
      </c>
      <c r="D34" s="34">
        <f>D14-C14</f>
        <v>22581.649999999994</v>
      </c>
      <c r="E34" s="34">
        <f t="shared" ref="E34:F34" si="6">E14-D14</f>
        <v>-17516.178399999997</v>
      </c>
      <c r="F34" s="34">
        <f t="shared" si="6"/>
        <v>-10362.138266666665</v>
      </c>
      <c r="G34" s="82">
        <f t="shared" si="5"/>
        <v>0</v>
      </c>
    </row>
    <row r="35" spans="1:7" ht="14.45" x14ac:dyDescent="0.3">
      <c r="A35" s="50"/>
      <c r="B35" s="44"/>
      <c r="C35" s="44"/>
      <c r="D35" s="34"/>
      <c r="E35" s="34"/>
      <c r="F35" s="34"/>
      <c r="G35" s="72" t="s">
        <v>126</v>
      </c>
    </row>
    <row r="36" spans="1:7" ht="14.45" x14ac:dyDescent="0.3">
      <c r="A36" s="49" t="s">
        <v>108</v>
      </c>
      <c r="B36" s="43"/>
      <c r="C36" s="44"/>
      <c r="D36" s="34"/>
      <c r="E36" s="34"/>
      <c r="F36" s="34"/>
    </row>
    <row r="37" spans="1:7" ht="14.45" x14ac:dyDescent="0.3">
      <c r="A37" s="50" t="s">
        <v>125</v>
      </c>
      <c r="B37" s="44"/>
      <c r="C37" s="34"/>
      <c r="D37" s="34"/>
      <c r="E37" s="34"/>
      <c r="F37" s="34">
        <f>-SUM(C32:F34)</f>
        <v>0</v>
      </c>
    </row>
    <row r="38" spans="1:7" ht="14.45" x14ac:dyDescent="0.3">
      <c r="A38" s="50"/>
      <c r="B38" s="44"/>
      <c r="C38" s="34"/>
      <c r="D38" s="34"/>
      <c r="E38" s="34"/>
      <c r="F38" s="34"/>
    </row>
    <row r="39" spans="1:7" ht="14.45" x14ac:dyDescent="0.3">
      <c r="A39" s="50"/>
      <c r="B39" s="44"/>
      <c r="C39" s="34"/>
      <c r="D39" s="34"/>
      <c r="E39" s="34"/>
      <c r="F39" s="34"/>
    </row>
    <row r="40" spans="1:7" x14ac:dyDescent="0.25">
      <c r="A40" s="50"/>
      <c r="B40" s="44"/>
      <c r="C40" s="34"/>
      <c r="D40" s="34"/>
      <c r="E40" s="34"/>
      <c r="F40" s="34"/>
    </row>
    <row r="41" spans="1:7" s="11" customFormat="1" ht="15.75" thickBot="1" x14ac:dyDescent="0.3">
      <c r="A41" s="52"/>
      <c r="B41" s="53"/>
      <c r="C41" s="40"/>
      <c r="D41" s="40"/>
      <c r="E41" s="40"/>
      <c r="F41" s="40"/>
      <c r="G41" s="78"/>
    </row>
    <row r="42" spans="1:7" s="4" customFormat="1" x14ac:dyDescent="0.25">
      <c r="A42" s="67" t="s">
        <v>123</v>
      </c>
      <c r="B42" s="66"/>
      <c r="C42" s="63"/>
      <c r="D42" s="63"/>
      <c r="E42" s="63"/>
      <c r="F42" s="63"/>
      <c r="G42" s="79"/>
    </row>
    <row r="43" spans="1:7" x14ac:dyDescent="0.25">
      <c r="A43" s="50"/>
      <c r="B43" s="44"/>
      <c r="C43" s="44"/>
      <c r="D43" s="34"/>
      <c r="E43" s="34"/>
      <c r="F43" s="34"/>
    </row>
    <row r="44" spans="1:7" x14ac:dyDescent="0.25">
      <c r="A44" s="68" t="s">
        <v>117</v>
      </c>
      <c r="B44" s="69">
        <v>0</v>
      </c>
      <c r="C44" s="69">
        <v>1</v>
      </c>
      <c r="D44" s="70">
        <v>2</v>
      </c>
      <c r="E44" s="70">
        <v>3</v>
      </c>
      <c r="F44" s="70">
        <v>4</v>
      </c>
    </row>
    <row r="45" spans="1:7" x14ac:dyDescent="0.25">
      <c r="A45" s="50"/>
      <c r="B45" s="44"/>
      <c r="C45" s="44"/>
      <c r="D45" s="34"/>
      <c r="E45" s="34"/>
      <c r="F45" s="34"/>
    </row>
    <row r="46" spans="1:7" x14ac:dyDescent="0.25">
      <c r="A46" s="50" t="s">
        <v>109</v>
      </c>
      <c r="B46" s="44">
        <f>SUM(B18:B39)</f>
        <v>-13000</v>
      </c>
      <c r="C46" s="44">
        <f>SUM(C18:C43)</f>
        <v>16000.000000000004</v>
      </c>
      <c r="D46" s="44">
        <f>SUM(D18:D43)</f>
        <v>75222.333333333314</v>
      </c>
      <c r="E46" s="44">
        <f>SUM(E18:E43)</f>
        <v>2594.459333333336</v>
      </c>
      <c r="F46" s="44">
        <f>SUM(F18:F43)</f>
        <v>-11329.239109333326</v>
      </c>
      <c r="G46" s="82">
        <f>SUM(B46:F46)</f>
        <v>69487.553557333318</v>
      </c>
    </row>
    <row r="47" spans="1:7" x14ac:dyDescent="0.25">
      <c r="A47" s="50"/>
      <c r="G47" s="74" t="s">
        <v>127</v>
      </c>
    </row>
    <row r="48" spans="1:7" x14ac:dyDescent="0.25">
      <c r="A48" s="50" t="s">
        <v>110</v>
      </c>
      <c r="B48" s="44">
        <f>-PV($B$52,B44,,B46)</f>
        <v>-13000</v>
      </c>
      <c r="C48" s="44">
        <f>-PV($B$52,C44,,C46)</f>
        <v>14218.39235222836</v>
      </c>
      <c r="D48" s="44">
        <f>-PV($B$52,D44,,D46)</f>
        <v>59402.924155872955</v>
      </c>
      <c r="E48" s="44">
        <f>-PV($B$52,E44,,E46)</f>
        <v>1820.7000437480183</v>
      </c>
      <c r="F48" s="44">
        <f>-PV($B$52,F44,,F46)</f>
        <v>-7065.1728181269109</v>
      </c>
      <c r="G48" s="83"/>
    </row>
    <row r="49" spans="1:7" x14ac:dyDescent="0.25">
      <c r="A49" s="50" t="s">
        <v>111</v>
      </c>
      <c r="B49" s="44">
        <f>SUM(B48:F48)</f>
        <v>55376.843733722417</v>
      </c>
      <c r="C49" s="44"/>
      <c r="D49" s="34"/>
      <c r="E49" s="34"/>
      <c r="F49" s="34"/>
      <c r="G49" s="83"/>
    </row>
    <row r="51" spans="1:7" x14ac:dyDescent="0.25">
      <c r="A51" s="47" t="s">
        <v>75</v>
      </c>
      <c r="B51" s="42">
        <f>IRR(B46:F46)</f>
        <v>2.0929760586137314</v>
      </c>
    </row>
    <row r="52" spans="1:7" x14ac:dyDescent="0.25">
      <c r="A52" s="50" t="s">
        <v>61</v>
      </c>
      <c r="B52" s="41">
        <f>'Balance Sheet'!C53</f>
        <v>0.12530303030303028</v>
      </c>
    </row>
    <row r="54" spans="1:7" s="11" customFormat="1" ht="15.75" thickBot="1" x14ac:dyDescent="0.3">
      <c r="A54" s="54"/>
      <c r="G54" s="78"/>
    </row>
    <row r="55" spans="1:7" x14ac:dyDescent="0.25">
      <c r="A55" s="65" t="s">
        <v>124</v>
      </c>
    </row>
    <row r="56" spans="1:7" x14ac:dyDescent="0.25">
      <c r="D56" s="51" t="s">
        <v>129</v>
      </c>
      <c r="E56" s="51" t="s">
        <v>130</v>
      </c>
    </row>
    <row r="57" spans="1:7" x14ac:dyDescent="0.25">
      <c r="A57" s="47" t="s">
        <v>78</v>
      </c>
      <c r="B57" s="2">
        <v>0.53690000000000004</v>
      </c>
      <c r="D57" s="51">
        <v>40000</v>
      </c>
      <c r="E57" s="51">
        <f>D59*B57</f>
        <v>88588.5</v>
      </c>
    </row>
    <row r="58" spans="1:7" x14ac:dyDescent="0.25">
      <c r="A58" s="47" t="s">
        <v>79</v>
      </c>
      <c r="B58" s="2">
        <v>0.46309999999999996</v>
      </c>
      <c r="D58" s="51">
        <v>125000</v>
      </c>
      <c r="E58" s="51">
        <f>D59-E57</f>
        <v>76411.5</v>
      </c>
    </row>
    <row r="59" spans="1:7" x14ac:dyDescent="0.25">
      <c r="D59" s="51">
        <f>SUM(D57:D58)</f>
        <v>165000</v>
      </c>
      <c r="E59" s="51">
        <f>SUM(E57:E58)</f>
        <v>165000</v>
      </c>
    </row>
    <row r="60" spans="1:7" x14ac:dyDescent="0.25">
      <c r="A60" s="47" t="s">
        <v>81</v>
      </c>
      <c r="B60" s="23">
        <v>0.20242249717924554</v>
      </c>
    </row>
    <row r="61" spans="1:7" x14ac:dyDescent="0.25">
      <c r="A61" s="47" t="s">
        <v>82</v>
      </c>
      <c r="B61" s="23">
        <v>0.11119110844370859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C15" sqref="C15"/>
    </sheetView>
  </sheetViews>
  <sheetFormatPr defaultColWidth="8.85546875" defaultRowHeight="15" x14ac:dyDescent="0.25"/>
  <cols>
    <col min="1" max="1" width="13.28515625" style="2" customWidth="1"/>
    <col min="2" max="2" width="12.5703125" style="2" customWidth="1"/>
    <col min="3" max="3" width="8.85546875" style="2"/>
    <col min="4" max="4" width="10.28515625" style="2" customWidth="1"/>
    <col min="5" max="16384" width="8.85546875" style="2"/>
  </cols>
  <sheetData>
    <row r="1" spans="1:8" s="11" customFormat="1" ht="37.15" thickBot="1" x14ac:dyDescent="0.75">
      <c r="A1" s="104" t="s">
        <v>136</v>
      </c>
    </row>
    <row r="5" spans="1:8" ht="14.45" x14ac:dyDescent="0.3">
      <c r="A5" s="116"/>
      <c r="B5" s="117"/>
      <c r="C5" s="122" t="s">
        <v>68</v>
      </c>
      <c r="D5" s="118" t="s">
        <v>69</v>
      </c>
      <c r="G5" s="127" t="s">
        <v>70</v>
      </c>
      <c r="H5" s="128"/>
    </row>
    <row r="6" spans="1:8" ht="14.45" x14ac:dyDescent="0.3">
      <c r="A6" s="119" t="s">
        <v>67</v>
      </c>
      <c r="B6" s="120">
        <v>40000</v>
      </c>
      <c r="C6" s="124">
        <v>0.05</v>
      </c>
      <c r="D6" s="121">
        <f>B6/B8</f>
        <v>0.24242424242424243</v>
      </c>
      <c r="G6" s="119" t="s">
        <v>71</v>
      </c>
      <c r="H6" s="126">
        <v>0.05</v>
      </c>
    </row>
    <row r="7" spans="1:8" thickBot="1" x14ac:dyDescent="0.35">
      <c r="A7" s="119" t="s">
        <v>58</v>
      </c>
      <c r="B7" s="125">
        <v>125000</v>
      </c>
      <c r="C7" s="123">
        <f>H6+C11*(H7-H6)</f>
        <v>0.15499999999999997</v>
      </c>
      <c r="D7" s="120">
        <f>1-D6</f>
        <v>0.75757575757575757</v>
      </c>
      <c r="G7" s="87" t="s">
        <v>72</v>
      </c>
      <c r="H7" s="124">
        <v>0.12</v>
      </c>
    </row>
    <row r="8" spans="1:8" ht="14.45" x14ac:dyDescent="0.3">
      <c r="A8" s="87"/>
      <c r="B8" s="88">
        <f>SUM(B6:B7)</f>
        <v>165000</v>
      </c>
      <c r="C8" s="89"/>
      <c r="D8" s="121"/>
    </row>
    <row r="11" spans="1:8" ht="14.45" x14ac:dyDescent="0.3">
      <c r="A11" s="2" t="s">
        <v>74</v>
      </c>
      <c r="C11" s="2">
        <v>1.5</v>
      </c>
    </row>
    <row r="12" spans="1:8" ht="14.45" x14ac:dyDescent="0.3">
      <c r="A12" s="2" t="s">
        <v>19</v>
      </c>
      <c r="C12" s="24">
        <v>0.35</v>
      </c>
    </row>
    <row r="13" spans="1:8" ht="14.45" x14ac:dyDescent="0.3">
      <c r="A13" s="2" t="s">
        <v>73</v>
      </c>
      <c r="C13" s="23">
        <f>C6*D6*(1-C12)+D7*C7</f>
        <v>0.12530303030303028</v>
      </c>
    </row>
    <row r="15" spans="1:8" ht="14.45" x14ac:dyDescent="0.3">
      <c r="A15" s="2" t="s">
        <v>75</v>
      </c>
      <c r="C15" s="23">
        <v>0.05</v>
      </c>
    </row>
    <row r="18" spans="1:5" ht="14.45" x14ac:dyDescent="0.3">
      <c r="A18" s="2" t="s">
        <v>76</v>
      </c>
      <c r="C18" s="2">
        <f>C11/(1+(1-C12)*(B6/B7))</f>
        <v>1.2417218543046358</v>
      </c>
      <c r="E18" s="26" t="s">
        <v>77</v>
      </c>
    </row>
    <row r="19" spans="1:5" ht="14.45" x14ac:dyDescent="0.3">
      <c r="A19" s="2" t="s">
        <v>80</v>
      </c>
      <c r="C19" s="109">
        <f>C18*(1+(1-C12)*(C21/C22))</f>
        <v>2.1774642454177937</v>
      </c>
    </row>
    <row r="21" spans="1:5" ht="14.45" x14ac:dyDescent="0.3">
      <c r="A21" s="2" t="s">
        <v>78</v>
      </c>
      <c r="C21" s="2">
        <v>0.53690000000000004</v>
      </c>
      <c r="E21" s="22">
        <f>H6+C18*(H7-H6)</f>
        <v>0.13692052980132449</v>
      </c>
    </row>
    <row r="22" spans="1:5" x14ac:dyDescent="0.25">
      <c r="A22" s="2" t="s">
        <v>79</v>
      </c>
      <c r="C22" s="110">
        <f>1-C21</f>
        <v>0.46309999999999996</v>
      </c>
    </row>
    <row r="24" spans="1:5" x14ac:dyDescent="0.25">
      <c r="A24" s="2" t="s">
        <v>81</v>
      </c>
      <c r="C24" s="111">
        <f>H6+C19*(H7-H6)</f>
        <v>0.20242249717924554</v>
      </c>
    </row>
    <row r="25" spans="1:5" x14ac:dyDescent="0.25">
      <c r="A25" s="2" t="s">
        <v>82</v>
      </c>
      <c r="C25" s="112">
        <f>C21*C6*(1-C12)+C22*C24</f>
        <v>0.11119110844370859</v>
      </c>
    </row>
    <row r="28" spans="1:5" x14ac:dyDescent="0.25">
      <c r="A28" s="2" t="s">
        <v>83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iExpander</vt:lpstr>
      <vt:lpstr>Income Statement</vt:lpstr>
      <vt:lpstr>Balance Sheet</vt:lpstr>
      <vt:lpstr>FCF</vt:lpstr>
      <vt:lpstr>rebalancer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2013-12-02T20:54:46Z</dcterms:created>
  <dcterms:modified xsi:type="dcterms:W3CDTF">2019-07-16T21:42:35Z</dcterms:modified>
</cp:coreProperties>
</file>