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600" windowHeight="8190"/>
  </bookViews>
  <sheets>
    <sheet name="Forecast" sheetId="1" r:id="rId1"/>
    <sheet name="Mortgage" sheetId="2" r:id="rId2"/>
    <sheet name="Land Cost" sheetId="3" r:id="rId3"/>
  </sheets>
  <calcPr calcId="145621"/>
</workbook>
</file>

<file path=xl/calcChain.xml><?xml version="1.0" encoding="utf-8"?>
<calcChain xmlns="http://schemas.openxmlformats.org/spreadsheetml/2006/main">
  <c r="D74" i="1" l="1"/>
  <c r="D72" i="1" s="1"/>
  <c r="D81" i="1"/>
  <c r="D126" i="1" l="1"/>
  <c r="E134" i="1" s="1"/>
  <c r="E116" i="1"/>
  <c r="E115" i="1"/>
  <c r="D116" i="1"/>
  <c r="D129" i="1" s="1"/>
  <c r="G109" i="1"/>
  <c r="K74" i="1"/>
  <c r="M152" i="1" s="1"/>
  <c r="K153" i="1" s="1"/>
  <c r="M154" i="1" s="1"/>
  <c r="K155" i="1" s="1"/>
  <c r="J74" i="1"/>
  <c r="I74" i="1"/>
  <c r="H74" i="1"/>
  <c r="G74" i="1"/>
  <c r="F74" i="1"/>
  <c r="E74" i="1"/>
  <c r="C151" i="1"/>
  <c r="D4" i="3"/>
  <c r="D3" i="3"/>
  <c r="D2" i="3"/>
  <c r="D5" i="3" s="1"/>
  <c r="D7" i="3" s="1"/>
  <c r="K84" i="1"/>
  <c r="D132" i="1" s="1"/>
  <c r="J84" i="1"/>
  <c r="I84" i="1"/>
  <c r="H84" i="1"/>
  <c r="G84" i="1"/>
  <c r="F84" i="1"/>
  <c r="E84" i="1"/>
  <c r="D84" i="1"/>
  <c r="D49" i="1"/>
  <c r="E49" i="1" s="1"/>
  <c r="F49" i="1" s="1"/>
  <c r="G49" i="1" s="1"/>
  <c r="F94" i="1" l="1"/>
  <c r="E94" i="1"/>
  <c r="G94" i="1" l="1"/>
  <c r="D100" i="1"/>
  <c r="G100" i="1" s="1"/>
  <c r="D98" i="1"/>
  <c r="G98" i="1" s="1"/>
  <c r="D78" i="1"/>
  <c r="D160" i="1" s="1"/>
  <c r="E40" i="1"/>
  <c r="F40" i="1" s="1"/>
  <c r="G40" i="1" s="1"/>
  <c r="H40" i="1" s="1"/>
  <c r="I40" i="1" s="1"/>
  <c r="J40" i="1" s="1"/>
  <c r="K40" i="1" s="1"/>
  <c r="E39" i="1"/>
  <c r="E69" i="1"/>
  <c r="F69" i="1" s="1"/>
  <c r="G69" i="1" s="1"/>
  <c r="H69" i="1" s="1"/>
  <c r="I69" i="1" s="1"/>
  <c r="J69" i="1" s="1"/>
  <c r="K69" i="1" s="1"/>
  <c r="C150" i="1"/>
  <c r="C168" i="1" s="1"/>
  <c r="H49" i="1"/>
  <c r="K36" i="1"/>
  <c r="J36" i="1"/>
  <c r="I36" i="1"/>
  <c r="H36" i="1"/>
  <c r="G36" i="1"/>
  <c r="F36" i="1"/>
  <c r="E36" i="1"/>
  <c r="D36" i="1"/>
  <c r="E25" i="1"/>
  <c r="F25" i="1" s="1"/>
  <c r="G25" i="1" s="1"/>
  <c r="H25" i="1" s="1"/>
  <c r="I25" i="1" s="1"/>
  <c r="J25" i="1" s="1"/>
  <c r="K25" i="1" s="1"/>
  <c r="E24" i="1"/>
  <c r="F24" i="1" s="1"/>
  <c r="G24" i="1" s="1"/>
  <c r="H24" i="1" s="1"/>
  <c r="I24" i="1" s="1"/>
  <c r="J24" i="1" s="1"/>
  <c r="K24" i="1" s="1"/>
  <c r="E23" i="1"/>
  <c r="F23" i="1" s="1"/>
  <c r="G23" i="1" s="1"/>
  <c r="H23" i="1" s="1"/>
  <c r="I23" i="1" s="1"/>
  <c r="J23" i="1" s="1"/>
  <c r="K23" i="1" s="1"/>
  <c r="D19" i="1"/>
  <c r="D18" i="1"/>
  <c r="D17" i="1"/>
  <c r="E14" i="1"/>
  <c r="F14" i="1" s="1"/>
  <c r="E13" i="1"/>
  <c r="E18" i="1" s="1"/>
  <c r="E12" i="1"/>
  <c r="F12" i="1" s="1"/>
  <c r="D29" i="1"/>
  <c r="A19" i="1"/>
  <c r="A13" i="1"/>
  <c r="A18" i="1" s="1"/>
  <c r="A24" i="1" s="1"/>
  <c r="A12" i="1"/>
  <c r="A17" i="1" s="1"/>
  <c r="A23" i="1" s="1"/>
  <c r="K72" i="1"/>
  <c r="J72" i="1"/>
  <c r="I72" i="1"/>
  <c r="H72" i="1"/>
  <c r="G72" i="1"/>
  <c r="F72" i="1"/>
  <c r="E72" i="1"/>
  <c r="D58" i="1"/>
  <c r="D142" i="1" s="1"/>
  <c r="D146" i="1" s="1"/>
  <c r="L2" i="2"/>
  <c r="K60" i="1"/>
  <c r="J60" i="1"/>
  <c r="I60" i="1"/>
  <c r="H60" i="1"/>
  <c r="G60" i="1"/>
  <c r="F60" i="1"/>
  <c r="E60" i="1"/>
  <c r="D60" i="1"/>
  <c r="G52" i="1"/>
  <c r="F52" i="1"/>
  <c r="E52" i="1"/>
  <c r="D52" i="1"/>
  <c r="H52" i="1"/>
  <c r="E31" i="1"/>
  <c r="F31" i="1" s="1"/>
  <c r="G31" i="1" s="1"/>
  <c r="H31" i="1" s="1"/>
  <c r="I31" i="1" s="1"/>
  <c r="J31" i="1" s="1"/>
  <c r="M31" i="1"/>
  <c r="B2" i="2"/>
  <c r="E53" i="1"/>
  <c r="F53" i="1" s="1"/>
  <c r="G53" i="1" s="1"/>
  <c r="H53" i="1" s="1"/>
  <c r="I53" i="1" s="1"/>
  <c r="J53" i="1" s="1"/>
  <c r="K53" i="1" s="1"/>
  <c r="L3" i="2"/>
  <c r="J41" i="2"/>
  <c r="F59" i="1" s="1"/>
  <c r="E28" i="1"/>
  <c r="E29" i="1" s="1"/>
  <c r="I13" i="2"/>
  <c r="I41" i="2"/>
  <c r="F81" i="1" s="1"/>
  <c r="J13" i="2"/>
  <c r="D59" i="1" s="1"/>
  <c r="L5" i="2"/>
  <c r="E111" i="2" s="1"/>
  <c r="J27" i="2"/>
  <c r="E59" i="1" s="1"/>
  <c r="I27" i="2"/>
  <c r="E81" i="1" s="1"/>
  <c r="I69" i="2"/>
  <c r="H81" i="1" s="1"/>
  <c r="J83" i="2"/>
  <c r="I59" i="1" s="1"/>
  <c r="J97" i="2"/>
  <c r="J59" i="1" s="1"/>
  <c r="J55" i="2"/>
  <c r="G59" i="1" s="1"/>
  <c r="J111" i="2"/>
  <c r="K59" i="1" s="1"/>
  <c r="I55" i="2"/>
  <c r="G81" i="1" s="1"/>
  <c r="I83" i="2"/>
  <c r="I81" i="1" s="1"/>
  <c r="I97" i="2"/>
  <c r="J81" i="1" s="1"/>
  <c r="I111" i="2"/>
  <c r="K81" i="1" s="1"/>
  <c r="D115" i="1" s="1"/>
  <c r="D128" i="1" s="1"/>
  <c r="D130" i="1" s="1"/>
  <c r="J69" i="2"/>
  <c r="H59" i="1" s="1"/>
  <c r="D2" i="2"/>
  <c r="E80" i="2"/>
  <c r="E17" i="2"/>
  <c r="E87" i="2"/>
  <c r="E104" i="2"/>
  <c r="E66" i="2"/>
  <c r="E27" i="2"/>
  <c r="E8" i="2"/>
  <c r="E103" i="2"/>
  <c r="E83" i="2"/>
  <c r="E65" i="2"/>
  <c r="E102" i="2"/>
  <c r="E82" i="2"/>
  <c r="E64" i="2"/>
  <c r="E36" i="2"/>
  <c r="E19" i="2"/>
  <c r="E10" i="2"/>
  <c r="E41" i="2"/>
  <c r="E18" i="2"/>
  <c r="E33" i="2"/>
  <c r="E25" i="2"/>
  <c r="E3" i="2"/>
  <c r="D54" i="1" l="1"/>
  <c r="D105" i="1" s="1"/>
  <c r="G105" i="1" s="1"/>
  <c r="D117" i="1"/>
  <c r="F116" i="1" s="1"/>
  <c r="D44" i="1"/>
  <c r="E91" i="2"/>
  <c r="E108" i="2"/>
  <c r="E50" i="2"/>
  <c r="E30" i="2"/>
  <c r="E35" i="2"/>
  <c r="E44" i="2"/>
  <c r="E38" i="2"/>
  <c r="E51" i="2"/>
  <c r="E2" i="2"/>
  <c r="C2" i="2" s="1"/>
  <c r="F2" i="2" s="1"/>
  <c r="B3" i="2" s="1"/>
  <c r="E55" i="2"/>
  <c r="E54" i="2"/>
  <c r="E74" i="2"/>
  <c r="E92" i="2"/>
  <c r="E110" i="2"/>
  <c r="E75" i="2"/>
  <c r="E93" i="2"/>
  <c r="E23" i="2"/>
  <c r="E5" i="2"/>
  <c r="E40" i="2"/>
  <c r="E86" i="2"/>
  <c r="E67" i="2"/>
  <c r="E105" i="2"/>
  <c r="E32" i="2"/>
  <c r="E109" i="2"/>
  <c r="E73" i="2"/>
  <c r="E90" i="2"/>
  <c r="E49" i="2"/>
  <c r="F39" i="1"/>
  <c r="F58" i="1"/>
  <c r="F142" i="1" s="1"/>
  <c r="F146" i="1" s="1"/>
  <c r="F54" i="1"/>
  <c r="H58" i="1"/>
  <c r="H142" i="1" s="1"/>
  <c r="H146" i="1" s="1"/>
  <c r="H54" i="1"/>
  <c r="J58" i="1"/>
  <c r="J142" i="1" s="1"/>
  <c r="J146" i="1" s="1"/>
  <c r="J54" i="1"/>
  <c r="E58" i="1"/>
  <c r="E142" i="1" s="1"/>
  <c r="E146" i="1" s="1"/>
  <c r="E54" i="1"/>
  <c r="G58" i="1"/>
  <c r="G142" i="1" s="1"/>
  <c r="G146" i="1" s="1"/>
  <c r="G54" i="1"/>
  <c r="I58" i="1"/>
  <c r="I142" i="1" s="1"/>
  <c r="I146" i="1" s="1"/>
  <c r="I54" i="1"/>
  <c r="K58" i="1"/>
  <c r="K142" i="1" s="1"/>
  <c r="K146" i="1" s="1"/>
  <c r="K54" i="1"/>
  <c r="I49" i="1"/>
  <c r="D20" i="1"/>
  <c r="F78" i="1"/>
  <c r="H78" i="1"/>
  <c r="E78" i="1"/>
  <c r="E160" i="1" s="1"/>
  <c r="G78" i="1"/>
  <c r="G160" i="1" s="1"/>
  <c r="I78" i="1"/>
  <c r="I160" i="1" s="1"/>
  <c r="D3" i="2"/>
  <c r="E20" i="2"/>
  <c r="E6" i="2"/>
  <c r="E11" i="2"/>
  <c r="E12" i="2"/>
  <c r="E7" i="2"/>
  <c r="E24" i="2"/>
  <c r="E16" i="2"/>
  <c r="E39" i="2"/>
  <c r="E21" i="2"/>
  <c r="E53" i="2"/>
  <c r="E52" i="2"/>
  <c r="E31" i="2"/>
  <c r="E9" i="2"/>
  <c r="E37" i="2"/>
  <c r="E26" i="2"/>
  <c r="E46" i="2"/>
  <c r="E60" i="2"/>
  <c r="E68" i="2"/>
  <c r="E78" i="2"/>
  <c r="E88" i="2"/>
  <c r="E96" i="2"/>
  <c r="E106" i="2"/>
  <c r="E61" i="2"/>
  <c r="E69" i="2"/>
  <c r="E79" i="2"/>
  <c r="E89" i="2"/>
  <c r="E97" i="2"/>
  <c r="E107" i="2"/>
  <c r="E45" i="2"/>
  <c r="E34" i="2"/>
  <c r="E4" i="2"/>
  <c r="E22" i="2"/>
  <c r="E58" i="2"/>
  <c r="E76" i="2"/>
  <c r="E94" i="2"/>
  <c r="E59" i="2"/>
  <c r="E77" i="2"/>
  <c r="E95" i="2"/>
  <c r="E48" i="2"/>
  <c r="E13" i="2"/>
  <c r="E62" i="2"/>
  <c r="E101" i="2"/>
  <c r="E81" i="2"/>
  <c r="E63" i="2"/>
  <c r="E100" i="2"/>
  <c r="E72" i="2"/>
  <c r="E47" i="2"/>
  <c r="F17" i="1"/>
  <c r="G12" i="1"/>
  <c r="F19" i="1"/>
  <c r="G14" i="1"/>
  <c r="F13" i="1"/>
  <c r="E17" i="1"/>
  <c r="E19" i="1"/>
  <c r="F28" i="1"/>
  <c r="G28" i="1" s="1"/>
  <c r="H28" i="1" s="1"/>
  <c r="H29" i="1" s="1"/>
  <c r="K31" i="1"/>
  <c r="D73" i="1"/>
  <c r="H160" i="1" l="1"/>
  <c r="F160" i="1"/>
  <c r="F129" i="1"/>
  <c r="F115" i="1"/>
  <c r="D45" i="1"/>
  <c r="F95" i="1" s="1"/>
  <c r="D70" i="1"/>
  <c r="D50" i="1"/>
  <c r="D41" i="1"/>
  <c r="E20" i="1"/>
  <c r="G39" i="1"/>
  <c r="J49" i="1"/>
  <c r="I28" i="1"/>
  <c r="J28" i="1" s="1"/>
  <c r="F29" i="1"/>
  <c r="E44" i="1"/>
  <c r="E45" i="1" s="1"/>
  <c r="C3" i="2"/>
  <c r="H14" i="1"/>
  <c r="G19" i="1"/>
  <c r="H12" i="1"/>
  <c r="G17" i="1"/>
  <c r="G13" i="1"/>
  <c r="F18" i="1"/>
  <c r="G29" i="1"/>
  <c r="I52" i="1"/>
  <c r="I29" i="1"/>
  <c r="E73" i="1"/>
  <c r="D158" i="1" l="1"/>
  <c r="D119" i="1"/>
  <c r="E130" i="1" s="1"/>
  <c r="F128" i="1"/>
  <c r="D46" i="1"/>
  <c r="D94" i="1" s="1"/>
  <c r="G95" i="1"/>
  <c r="G96" i="1" s="1"/>
  <c r="D99" i="1"/>
  <c r="D101" i="1" s="1"/>
  <c r="D103" i="1" s="1"/>
  <c r="D107" i="1" s="1"/>
  <c r="D55" i="1"/>
  <c r="G99" i="1"/>
  <c r="G101" i="1" s="1"/>
  <c r="F44" i="1"/>
  <c r="H39" i="1"/>
  <c r="E70" i="1"/>
  <c r="E50" i="1"/>
  <c r="E55" i="1" s="1"/>
  <c r="E41" i="1"/>
  <c r="K49" i="1"/>
  <c r="J78" i="1"/>
  <c r="J160" i="1" s="1"/>
  <c r="E46" i="1"/>
  <c r="E56" i="1" s="1"/>
  <c r="E141" i="1" s="1"/>
  <c r="E143" i="1" s="1"/>
  <c r="F20" i="1"/>
  <c r="F3" i="2"/>
  <c r="B4" i="2" s="1"/>
  <c r="G18" i="1"/>
  <c r="G44" i="1" s="1"/>
  <c r="H13" i="1"/>
  <c r="H17" i="1"/>
  <c r="I12" i="1"/>
  <c r="H19" i="1"/>
  <c r="I14" i="1"/>
  <c r="K52" i="1"/>
  <c r="J52" i="1"/>
  <c r="K28" i="1"/>
  <c r="K29" i="1" s="1"/>
  <c r="J29" i="1"/>
  <c r="F73" i="1"/>
  <c r="E75" i="1" l="1"/>
  <c r="E158" i="1"/>
  <c r="E144" i="1"/>
  <c r="G103" i="1"/>
  <c r="G107" i="1" s="1"/>
  <c r="G108" i="1" s="1"/>
  <c r="G110" i="1" s="1"/>
  <c r="D56" i="1"/>
  <c r="G70" i="1"/>
  <c r="G45" i="1"/>
  <c r="G46" i="1" s="1"/>
  <c r="F70" i="1"/>
  <c r="F158" i="1" s="1"/>
  <c r="F45" i="1"/>
  <c r="F46" i="1" s="1"/>
  <c r="E62" i="1"/>
  <c r="E63" i="1" s="1"/>
  <c r="E79" i="1" s="1"/>
  <c r="I39" i="1"/>
  <c r="F50" i="1"/>
  <c r="F55" i="1" s="1"/>
  <c r="F41" i="1"/>
  <c r="K78" i="1"/>
  <c r="K160" i="1" s="1"/>
  <c r="K166" i="1" s="1"/>
  <c r="G20" i="1"/>
  <c r="D4" i="2"/>
  <c r="I19" i="1"/>
  <c r="J14" i="1"/>
  <c r="I17" i="1"/>
  <c r="J12" i="1"/>
  <c r="I13" i="1"/>
  <c r="H18" i="1"/>
  <c r="H44" i="1" s="1"/>
  <c r="G73" i="1"/>
  <c r="F75" i="1" l="1"/>
  <c r="G158" i="1"/>
  <c r="E147" i="1"/>
  <c r="G75" i="1"/>
  <c r="D62" i="1"/>
  <c r="D141" i="1"/>
  <c r="D143" i="1" s="1"/>
  <c r="D63" i="1"/>
  <c r="D79" i="1" s="1"/>
  <c r="H70" i="1"/>
  <c r="H45" i="1"/>
  <c r="H46" i="1" s="1"/>
  <c r="F56" i="1"/>
  <c r="E64" i="1"/>
  <c r="G50" i="1"/>
  <c r="G55" i="1" s="1"/>
  <c r="G56" i="1" s="1"/>
  <c r="G41" i="1"/>
  <c r="J39" i="1"/>
  <c r="H20" i="1"/>
  <c r="H73" i="1"/>
  <c r="I73" i="1" s="1"/>
  <c r="C4" i="2"/>
  <c r="I18" i="1"/>
  <c r="I44" i="1" s="1"/>
  <c r="J13" i="1"/>
  <c r="J17" i="1"/>
  <c r="K12" i="1"/>
  <c r="K17" i="1" s="1"/>
  <c r="J19" i="1"/>
  <c r="K14" i="1"/>
  <c r="K19" i="1" s="1"/>
  <c r="H158" i="1" l="1"/>
  <c r="G62" i="1"/>
  <c r="G63" i="1" s="1"/>
  <c r="G79" i="1" s="1"/>
  <c r="G141" i="1"/>
  <c r="G143" i="1" s="1"/>
  <c r="F62" i="1"/>
  <c r="F63" i="1" s="1"/>
  <c r="F79" i="1" s="1"/>
  <c r="F141" i="1"/>
  <c r="F143" i="1" s="1"/>
  <c r="D144" i="1"/>
  <c r="D64" i="1"/>
  <c r="D85" i="1" s="1"/>
  <c r="D87" i="1" s="1"/>
  <c r="I70" i="1"/>
  <c r="I45" i="1"/>
  <c r="I46" i="1" s="1"/>
  <c r="H75" i="1"/>
  <c r="H50" i="1"/>
  <c r="H55" i="1" s="1"/>
  <c r="H56" i="1" s="1"/>
  <c r="H41" i="1"/>
  <c r="K39" i="1"/>
  <c r="G64" i="1"/>
  <c r="I20" i="1"/>
  <c r="F4" i="2"/>
  <c r="B5" i="2" s="1"/>
  <c r="J18" i="1"/>
  <c r="J44" i="1" s="1"/>
  <c r="K13" i="1"/>
  <c r="K18" i="1" s="1"/>
  <c r="K44" i="1" s="1"/>
  <c r="K45" i="1" s="1"/>
  <c r="J73" i="1"/>
  <c r="D147" i="1" l="1"/>
  <c r="D168" i="1" s="1"/>
  <c r="D159" i="1"/>
  <c r="E159" i="1"/>
  <c r="E168" i="1" s="1"/>
  <c r="I75" i="1"/>
  <c r="I158" i="1"/>
  <c r="F64" i="1"/>
  <c r="H62" i="1"/>
  <c r="H63" i="1" s="1"/>
  <c r="H79" i="1" s="1"/>
  <c r="H141" i="1"/>
  <c r="H143" i="1" s="1"/>
  <c r="F144" i="1"/>
  <c r="F159" i="1" s="1"/>
  <c r="G144" i="1"/>
  <c r="E85" i="1"/>
  <c r="J70" i="1"/>
  <c r="J45" i="1"/>
  <c r="J46" i="1" s="1"/>
  <c r="I50" i="1"/>
  <c r="I55" i="1" s="1"/>
  <c r="I56" i="1" s="1"/>
  <c r="I41" i="1"/>
  <c r="K70" i="1"/>
  <c r="K46" i="1"/>
  <c r="J20" i="1"/>
  <c r="K20" i="1"/>
  <c r="D5" i="2"/>
  <c r="J75" i="1"/>
  <c r="K73" i="1"/>
  <c r="L152" i="1" s="1"/>
  <c r="K152" i="1" s="1"/>
  <c r="L154" i="1" s="1"/>
  <c r="K154" i="1" s="1"/>
  <c r="G147" i="1" l="1"/>
  <c r="G159" i="1"/>
  <c r="K158" i="1"/>
  <c r="J158" i="1"/>
  <c r="I62" i="1"/>
  <c r="I141" i="1"/>
  <c r="I143" i="1" s="1"/>
  <c r="H144" i="1"/>
  <c r="H159" i="1" s="1"/>
  <c r="K75" i="1"/>
  <c r="F147" i="1"/>
  <c r="F168" i="1" s="1"/>
  <c r="E87" i="1"/>
  <c r="E89" i="1" s="1"/>
  <c r="F85" i="1"/>
  <c r="K50" i="1"/>
  <c r="K41" i="1"/>
  <c r="J50" i="1"/>
  <c r="J55" i="1" s="1"/>
  <c r="J56" i="1" s="1"/>
  <c r="J41" i="1"/>
  <c r="H64" i="1"/>
  <c r="I63" i="1"/>
  <c r="I79" i="1" s="1"/>
  <c r="C5" i="2"/>
  <c r="G168" i="1" l="1"/>
  <c r="K164" i="1"/>
  <c r="J62" i="1"/>
  <c r="J63" i="1" s="1"/>
  <c r="J79" i="1" s="1"/>
  <c r="J141" i="1"/>
  <c r="J143" i="1" s="1"/>
  <c r="I144" i="1"/>
  <c r="H147" i="1"/>
  <c r="H168" i="1" s="1"/>
  <c r="F87" i="1"/>
  <c r="F89" i="1" s="1"/>
  <c r="G85" i="1"/>
  <c r="G87" i="1" s="1"/>
  <c r="G89" i="1" s="1"/>
  <c r="K55" i="1"/>
  <c r="K56" i="1" s="1"/>
  <c r="I64" i="1"/>
  <c r="F5" i="2"/>
  <c r="B6" i="2" s="1"/>
  <c r="I147" i="1" l="1"/>
  <c r="I159" i="1"/>
  <c r="H85" i="1"/>
  <c r="H87" i="1" s="1"/>
  <c r="H89" i="1" s="1"/>
  <c r="K62" i="1"/>
  <c r="K141" i="1"/>
  <c r="K143" i="1" s="1"/>
  <c r="J144" i="1"/>
  <c r="K63" i="1"/>
  <c r="K79" i="1" s="1"/>
  <c r="J64" i="1"/>
  <c r="D6" i="2"/>
  <c r="I85" i="1" l="1"/>
  <c r="I87" i="1" s="1"/>
  <c r="I89" i="1" s="1"/>
  <c r="J85" i="1"/>
  <c r="J87" i="1" s="1"/>
  <c r="J89" i="1" s="1"/>
  <c r="I168" i="1"/>
  <c r="J147" i="1"/>
  <c r="J159" i="1"/>
  <c r="K144" i="1"/>
  <c r="K64" i="1"/>
  <c r="C6" i="2"/>
  <c r="K85" i="1" l="1"/>
  <c r="J168" i="1"/>
  <c r="K147" i="1"/>
  <c r="K159" i="1"/>
  <c r="K87" i="1"/>
  <c r="K89" i="1" s="1"/>
  <c r="D133" i="1"/>
  <c r="D134" i="1" s="1"/>
  <c r="F6" i="2"/>
  <c r="B7" i="2" s="1"/>
  <c r="K163" i="1" l="1"/>
  <c r="K165" i="1"/>
  <c r="F134" i="1"/>
  <c r="F130" i="1"/>
  <c r="D7" i="2"/>
  <c r="K168" i="1" l="1"/>
  <c r="B174" i="1" s="1"/>
  <c r="D136" i="1"/>
  <c r="B176" i="1" s="1"/>
  <c r="C7" i="2"/>
  <c r="K170" i="1" l="1"/>
  <c r="I170" i="1"/>
  <c r="G170" i="1"/>
  <c r="E170" i="1"/>
  <c r="C170" i="1"/>
  <c r="J170" i="1"/>
  <c r="H170" i="1"/>
  <c r="F170" i="1"/>
  <c r="D170" i="1"/>
  <c r="F7" i="2"/>
  <c r="B8" i="2" s="1"/>
  <c r="B172" i="1" l="1"/>
  <c r="D8" i="2"/>
  <c r="C8" i="2" s="1"/>
  <c r="F8" i="2" s="1"/>
  <c r="B9" i="2" s="1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C14" i="2" l="1"/>
  <c r="F13" i="2"/>
  <c r="B16" i="2" s="1"/>
  <c r="D16" i="2" l="1"/>
  <c r="C16" i="2" l="1"/>
  <c r="F16" i="2" l="1"/>
  <c r="B17" i="2" s="1"/>
  <c r="D17" i="2" l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C28" i="2" l="1"/>
  <c r="F27" i="2"/>
  <c r="B30" i="2" s="1"/>
  <c r="D30" i="2" l="1"/>
  <c r="C30" i="2" l="1"/>
  <c r="F30" i="2" l="1"/>
  <c r="B31" i="2" s="1"/>
  <c r="D31" i="2" l="1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C42" i="2" l="1"/>
  <c r="F41" i="2"/>
  <c r="B44" i="2" s="1"/>
  <c r="D44" i="2" l="1"/>
  <c r="C44" i="2" l="1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D48" i="2" l="1"/>
  <c r="C48" i="2" l="1"/>
  <c r="F48" i="2" l="1"/>
  <c r="B49" i="2" s="1"/>
  <c r="D49" i="2" l="1"/>
  <c r="C49" i="2" s="1"/>
  <c r="F49" i="2" s="1"/>
  <c r="B50" i="2" s="1"/>
  <c r="D50" i="2" l="1"/>
  <c r="C50" i="2" s="1"/>
  <c r="F50" i="2" s="1"/>
  <c r="B51" i="2" s="1"/>
  <c r="D51" i="2" l="1"/>
  <c r="C51" i="2" s="1"/>
  <c r="F51" i="2" s="1"/>
  <c r="B52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D56" i="2"/>
  <c r="C56" i="2" l="1"/>
  <c r="F55" i="2"/>
  <c r="B58" i="2" s="1"/>
  <c r="D58" i="2" l="1"/>
  <c r="C58" i="2" l="1"/>
  <c r="F58" i="2" l="1"/>
  <c r="B59" i="2" s="1"/>
  <c r="D59" i="2" l="1"/>
  <c r="C59" i="2" l="1"/>
  <c r="F59" i="2" l="1"/>
  <c r="B60" i="2" s="1"/>
  <c r="D60" i="2" l="1"/>
  <c r="C60" i="2" l="1"/>
  <c r="F60" i="2" l="1"/>
  <c r="B61" i="2" s="1"/>
  <c r="D61" i="2" l="1"/>
  <c r="C61" i="2" l="1"/>
  <c r="F61" i="2" l="1"/>
  <c r="B62" i="2" s="1"/>
  <c r="D62" i="2" l="1"/>
  <c r="C62" i="2" l="1"/>
  <c r="F62" i="2" l="1"/>
  <c r="B63" i="2" s="1"/>
  <c r="D63" i="2" l="1"/>
  <c r="C63" i="2" s="1"/>
  <c r="F63" i="2" s="1"/>
  <c r="B64" i="2" s="1"/>
  <c r="D64" i="2" l="1"/>
  <c r="C64" i="2" s="1"/>
  <c r="F64" i="2" s="1"/>
  <c r="B65" i="2" s="1"/>
  <c r="D65" i="2" l="1"/>
  <c r="C65" i="2" s="1"/>
  <c r="F65" i="2" s="1"/>
  <c r="B66" i="2" s="1"/>
  <c r="D66" i="2" l="1"/>
  <c r="C66" i="2" s="1"/>
  <c r="F66" i="2" s="1"/>
  <c r="B67" i="2" s="1"/>
  <c r="D67" i="2" l="1"/>
  <c r="C67" i="2" s="1"/>
  <c r="F67" i="2" s="1"/>
  <c r="B68" i="2" s="1"/>
  <c r="D68" i="2" l="1"/>
  <c r="C68" i="2" s="1"/>
  <c r="F68" i="2" s="1"/>
  <c r="B69" i="2" s="1"/>
  <c r="D69" i="2" l="1"/>
  <c r="C69" i="2" l="1"/>
  <c r="D70" i="2"/>
  <c r="C70" i="2" l="1"/>
  <c r="F69" i="2"/>
  <c r="B72" i="2" s="1"/>
  <c r="D72" i="2" l="1"/>
  <c r="C72" i="2" l="1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D77" i="2" l="1"/>
  <c r="C77" i="2" s="1"/>
  <c r="F77" i="2" s="1"/>
  <c r="B78" i="2" s="1"/>
  <c r="D78" i="2" l="1"/>
  <c r="C78" i="2" s="1"/>
  <c r="F78" i="2" s="1"/>
  <c r="B79" i="2" s="1"/>
  <c r="D79" i="2" l="1"/>
  <c r="C79" i="2" s="1"/>
  <c r="F79" i="2" s="1"/>
  <c r="B80" i="2" s="1"/>
  <c r="D80" i="2" l="1"/>
  <c r="C80" i="2" s="1"/>
  <c r="F80" i="2" s="1"/>
  <c r="B81" i="2" s="1"/>
  <c r="D81" i="2" l="1"/>
  <c r="C81" i="2" s="1"/>
  <c r="F81" i="2" s="1"/>
  <c r="B82" i="2" s="1"/>
  <c r="D82" i="2" l="1"/>
  <c r="C82" i="2" s="1"/>
  <c r="F82" i="2" s="1"/>
  <c r="B83" i="2" s="1"/>
  <c r="D83" i="2" l="1"/>
  <c r="C83" i="2" l="1"/>
  <c r="D84" i="2"/>
  <c r="C84" i="2" l="1"/>
  <c r="F83" i="2"/>
  <c r="B86" i="2" s="1"/>
  <c r="D86" i="2" l="1"/>
  <c r="C86" i="2" l="1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l="1"/>
  <c r="C91" i="2" s="1"/>
  <c r="F91" i="2" s="1"/>
  <c r="B92" i="2" s="1"/>
  <c r="D92" i="2" l="1"/>
  <c r="C92" i="2" s="1"/>
  <c r="F92" i="2" s="1"/>
  <c r="B93" i="2" s="1"/>
  <c r="D93" i="2" l="1"/>
  <c r="C93" i="2" s="1"/>
  <c r="F93" i="2" s="1"/>
  <c r="B94" i="2" s="1"/>
  <c r="D94" i="2" l="1"/>
  <c r="C94" i="2" s="1"/>
  <c r="F94" i="2" s="1"/>
  <c r="B95" i="2" s="1"/>
  <c r="D95" i="2" l="1"/>
  <c r="C95" i="2" s="1"/>
  <c r="F95" i="2" s="1"/>
  <c r="B96" i="2" s="1"/>
  <c r="D96" i="2" l="1"/>
  <c r="C96" i="2" s="1"/>
  <c r="F96" i="2" s="1"/>
  <c r="B97" i="2" s="1"/>
  <c r="D97" i="2" l="1"/>
  <c r="C97" i="2" l="1"/>
  <c r="D98" i="2"/>
  <c r="C98" i="2" l="1"/>
  <c r="F97" i="2"/>
  <c r="B100" i="2" s="1"/>
  <c r="D100" i="2" l="1"/>
  <c r="C100" i="2" l="1"/>
  <c r="F100" i="2" l="1"/>
  <c r="B101" i="2" s="1"/>
  <c r="D101" i="2" l="1"/>
  <c r="C101" i="2" l="1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l="1"/>
  <c r="C104" i="2" l="1"/>
  <c r="F104" i="2" l="1"/>
  <c r="B105" i="2" s="1"/>
  <c r="D105" i="2" l="1"/>
  <c r="C105" i="2" s="1"/>
  <c r="F105" i="2" s="1"/>
  <c r="B106" i="2" s="1"/>
  <c r="D106" i="2" l="1"/>
  <c r="C106" i="2" s="1"/>
  <c r="F106" i="2" s="1"/>
  <c r="B107" i="2" s="1"/>
  <c r="D107" i="2" l="1"/>
  <c r="C107" i="2" s="1"/>
  <c r="F107" i="2" s="1"/>
  <c r="B108" i="2" s="1"/>
  <c r="D108" i="2" l="1"/>
  <c r="C108" i="2" s="1"/>
  <c r="F108" i="2" s="1"/>
  <c r="B109" i="2" s="1"/>
  <c r="D109" i="2" l="1"/>
  <c r="C109" i="2" s="1"/>
  <c r="F109" i="2" s="1"/>
  <c r="B110" i="2" s="1"/>
  <c r="D110" i="2" l="1"/>
  <c r="C110" i="2" s="1"/>
  <c r="F110" i="2" s="1"/>
  <c r="B111" i="2" s="1"/>
  <c r="D111" i="2" l="1"/>
  <c r="C111" i="2" l="1"/>
  <c r="D112" i="2"/>
  <c r="C112" i="2" l="1"/>
  <c r="F111" i="2"/>
  <c r="D75" i="1"/>
  <c r="D89" i="1" s="1"/>
</calcChain>
</file>

<file path=xl/sharedStrings.xml><?xml version="1.0" encoding="utf-8"?>
<sst xmlns="http://schemas.openxmlformats.org/spreadsheetml/2006/main" count="281" uniqueCount="189">
  <si>
    <t>FORECAST</t>
  </si>
  <si>
    <t>SALES UNIT FORECASTS</t>
  </si>
  <si>
    <t>INCOME STATEMENT</t>
  </si>
  <si>
    <t>Operating Expenses</t>
  </si>
  <si>
    <t>Total Operating Expenses</t>
  </si>
  <si>
    <t>Operating Profit</t>
  </si>
  <si>
    <t>Depreciation</t>
  </si>
  <si>
    <t>Interest Expense</t>
  </si>
  <si>
    <t>Profit Before Taxes</t>
  </si>
  <si>
    <t>Taxes</t>
  </si>
  <si>
    <t>Net Profit After Taxes</t>
  </si>
  <si>
    <t>BALANCE SHEET</t>
  </si>
  <si>
    <t>Assets</t>
  </si>
  <si>
    <t>Property, Plant &amp; Equipment</t>
  </si>
  <si>
    <t>Less:  Accumulated Depreciation</t>
  </si>
  <si>
    <t>Total Assets</t>
  </si>
  <si>
    <t>Liabilities and Equity</t>
  </si>
  <si>
    <t>Accounts Payable</t>
  </si>
  <si>
    <t>Income Tax Payable</t>
  </si>
  <si>
    <t>Bank Loans</t>
  </si>
  <si>
    <t>Shareholder Contributions</t>
  </si>
  <si>
    <t>Retained Earnings</t>
  </si>
  <si>
    <t>Total Liabilities and Equity</t>
  </si>
  <si>
    <t>RV Units</t>
  </si>
  <si>
    <t>Percentage in use RV</t>
  </si>
  <si>
    <t>Rv spot Price per Spot</t>
  </si>
  <si>
    <t>RV Units in Use</t>
  </si>
  <si>
    <t>Office Expense</t>
  </si>
  <si>
    <t>Utilities</t>
  </si>
  <si>
    <t>Maintenance</t>
  </si>
  <si>
    <t>Land</t>
  </si>
  <si>
    <t>Beg Balance</t>
  </si>
  <si>
    <t>Principal</t>
  </si>
  <si>
    <t xml:space="preserve">Interest </t>
  </si>
  <si>
    <t>Payment</t>
  </si>
  <si>
    <t>End Balance</t>
  </si>
  <si>
    <t>Monthly</t>
  </si>
  <si>
    <t>January 2012</t>
  </si>
  <si>
    <t>Rate</t>
  </si>
  <si>
    <t>February 2012</t>
  </si>
  <si>
    <t>Term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</si>
  <si>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</si>
  <si>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</si>
  <si>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</si>
  <si>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</si>
  <si>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</si>
  <si>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</si>
  <si>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</si>
  <si>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ALTERNATIVE WAY TO DO CALCULATIONS:</t>
  </si>
  <si>
    <t>October 2012</t>
  </si>
  <si>
    <t>November 2012</t>
  </si>
  <si>
    <t>Interest for year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</si>
  <si>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</si>
  <si>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</si>
  <si>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</si>
  <si>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</si>
  <si>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</si>
  <si>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</si>
  <si>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</si>
  <si>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</si>
  <si>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</si>
  <si>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</si>
  <si>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</si>
  <si>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</si>
  <si>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</si>
  <si>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</si>
  <si>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</si>
  <si>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</si>
  <si>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</si>
  <si>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</si>
  <si>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</si>
  <si>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</si>
  <si>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</si>
  <si>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</si>
  <si>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</si>
  <si>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</si>
  <si>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</si>
  <si>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</si>
  <si>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</si>
  <si>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</si>
  <si>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</si>
  <si>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</si>
  <si>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</si>
  <si>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</si>
  <si>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</si>
  <si>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</si>
  <si>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</si>
  <si>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</si>
  <si>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</si>
  <si>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</si>
  <si>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Mortgage Loan</t>
  </si>
  <si>
    <t>Excess Cash</t>
  </si>
  <si>
    <t>Insurance</t>
  </si>
  <si>
    <t>Assumptions</t>
  </si>
  <si>
    <t>Yearly Increase %</t>
  </si>
  <si>
    <t>Inflation each year</t>
  </si>
  <si>
    <t>Number of Employees</t>
  </si>
  <si>
    <t>Hourly pay each employee</t>
  </si>
  <si>
    <t>Inflation rate</t>
  </si>
  <si>
    <t>Bank Loan Interest</t>
  </si>
  <si>
    <t>Bank loan interest</t>
  </si>
  <si>
    <t>Straight line method</t>
  </si>
  <si>
    <t>Break Even analysis for storage</t>
  </si>
  <si>
    <t>Sales</t>
  </si>
  <si>
    <t xml:space="preserve">   Revenue</t>
  </si>
  <si>
    <t>Variable Expenses</t>
  </si>
  <si>
    <t xml:space="preserve">    Utilities</t>
  </si>
  <si>
    <t xml:space="preserve">    Maintenance</t>
  </si>
  <si>
    <t>Total Variable Costs</t>
  </si>
  <si>
    <t xml:space="preserve">Contribution Margin </t>
  </si>
  <si>
    <t>Fixed Costs</t>
  </si>
  <si>
    <t xml:space="preserve">    Office Expense</t>
  </si>
  <si>
    <t>Break-Even Units</t>
  </si>
  <si>
    <t>5 X 5 Units</t>
  </si>
  <si>
    <t>Storage Units - Percent of Use</t>
  </si>
  <si>
    <t>10 X 5 Units</t>
  </si>
  <si>
    <t>10 X 20 Units</t>
  </si>
  <si>
    <t>Storage Units - Number of Units</t>
  </si>
  <si>
    <t>Yearly Increase</t>
  </si>
  <si>
    <t>Storage Units - Units in Use</t>
  </si>
  <si>
    <t>Storage Unit - Price PerUnit</t>
  </si>
  <si>
    <t>Hours Per Year Per Employee</t>
  </si>
  <si>
    <t>Total Wages Paid</t>
  </si>
  <si>
    <t>Total In Use</t>
  </si>
  <si>
    <t>Wage Expense</t>
  </si>
  <si>
    <t>Minimum Cash Balance</t>
  </si>
  <si>
    <t>DFN</t>
  </si>
  <si>
    <t>Ratios</t>
  </si>
  <si>
    <t>Accounts Receivable - Collection Period</t>
  </si>
  <si>
    <t>Accounts Payable - Payment Period</t>
  </si>
  <si>
    <t>Total</t>
  </si>
  <si>
    <t>Per Unit (weighted)</t>
  </si>
  <si>
    <t>Storage Unit</t>
  </si>
  <si>
    <t>RV Unit</t>
  </si>
  <si>
    <t>Average</t>
  </si>
  <si>
    <t>Per Year</t>
  </si>
  <si>
    <t>Per Month</t>
  </si>
  <si>
    <t>Total Units</t>
  </si>
  <si>
    <t>% Full</t>
  </si>
  <si>
    <t>Scrap Revenue</t>
  </si>
  <si>
    <t>Percent of Revenues</t>
  </si>
  <si>
    <t>Total Revenue</t>
  </si>
  <si>
    <t>Rental Revenues</t>
  </si>
  <si>
    <t>Property Tax</t>
  </si>
  <si>
    <t>Accounts Receivable (Delinquent Customers)</t>
  </si>
  <si>
    <t>% of Deliquent</t>
  </si>
  <si>
    <t>Murrieta</t>
  </si>
  <si>
    <t>Cost per acre</t>
  </si>
  <si>
    <t>Per Acre</t>
  </si>
  <si>
    <t># of Acres</t>
  </si>
  <si>
    <t>Total cost of land</t>
  </si>
  <si>
    <t>Temecula</t>
  </si>
  <si>
    <t>WACC</t>
  </si>
  <si>
    <t>BETA</t>
  </si>
  <si>
    <t>CAPM</t>
  </si>
  <si>
    <t>(Based on Public Storage Company)</t>
  </si>
  <si>
    <t>T. Bills</t>
  </si>
  <si>
    <t>S &amp; P 500</t>
  </si>
  <si>
    <t>Tax Rate</t>
  </si>
  <si>
    <t>Mortgage on Buildings</t>
  </si>
  <si>
    <t>Return to debt holders</t>
  </si>
  <si>
    <t>Return to Equity Investors</t>
  </si>
  <si>
    <t>Cash From Operations</t>
  </si>
  <si>
    <t xml:space="preserve">Operating Profit </t>
  </si>
  <si>
    <t>Taxes on Operations ONLY</t>
  </si>
  <si>
    <t>TOTAL CASH FROM OPERATIONS</t>
  </si>
  <si>
    <t xml:space="preserve">Cash From Captital Expenditures </t>
  </si>
  <si>
    <t xml:space="preserve">Buy Building </t>
  </si>
  <si>
    <t xml:space="preserve">Book Value </t>
  </si>
  <si>
    <t xml:space="preserve">Sell Building </t>
  </si>
  <si>
    <t xml:space="preserve">Gain </t>
  </si>
  <si>
    <t>Cash in/out Working Capital</t>
  </si>
  <si>
    <t>-</t>
  </si>
  <si>
    <t xml:space="preserve">Accounts Receivable </t>
  </si>
  <si>
    <t>+</t>
  </si>
  <si>
    <t>Accounts Payable - COGS</t>
  </si>
  <si>
    <t xml:space="preserve">Cash In/Out from Liquidation Working Capital </t>
  </si>
  <si>
    <t xml:space="preserve">All Accounts Liquidated </t>
  </si>
  <si>
    <t>Buy Land</t>
  </si>
  <si>
    <t>Sell Land</t>
  </si>
  <si>
    <t>Pay Taxes on the Sale - Building</t>
  </si>
  <si>
    <t>Pay Taxes on the Sale - Land</t>
  </si>
  <si>
    <t>IRR</t>
  </si>
  <si>
    <t>PV of Free Cash Flows</t>
  </si>
  <si>
    <t>Period</t>
  </si>
  <si>
    <t>Total Free Cash Flows</t>
  </si>
  <si>
    <t>Less: Depreciation Expense</t>
  </si>
  <si>
    <t>Add Back: Depreciation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</si>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</sst>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0.0%"/>
    <numFmt numFmtId="168" formatCode="_(* #,##0_);_(* \(#,##0\);_(* \-??_);_(@_)"/>
    <numFmt numFmtId="169" formatCode="[$$-409]#,##0.00;[Red]\-[$$-409]#,##0.00"/>
    <numFmt numFmtId="170" formatCode="[$$-409]#,##0.00;[Red][$$-409]#,##0.00"/>
    <numFmt numFmtId="171" formatCode="_(* #,##0_);_(* \(#,##0\);_(* &quot;-&quot;??_);_(@_)"/>
  </numFmts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/>
    <xf numFmtId="164" fontId="1" fillId="0" borderId="0"/>
    <xf numFmtId="0" fontId="1" fillId="0" borderId="0"/>
    <xf numFmtId="9" fontId="1" fillId="0" borderId="0"/>
  </cellStyleXfs>
  <cellXfs count="75">
    <xf numFmtId="0" fontId="0" fillId="0" borderId="0" xfId="0"/>
    <xf numFmtId="0" fontId="1" fillId="0" borderId="0" xfId="3"/>
    <xf numFmtId="0" fontId="2" fillId="0" borderId="1" xfId="3" applyFont="1" applyBorder="1"/>
    <xf numFmtId="0" fontId="1" fillId="0" borderId="1" xfId="3" applyBorder="1"/>
    <xf numFmtId="0" fontId="2" fillId="0" borderId="0" xfId="3" applyFont="1"/>
    <xf numFmtId="1" fontId="1" fillId="0" borderId="0" xfId="3" applyNumberFormat="1"/>
    <xf numFmtId="0" fontId="1" fillId="0" borderId="0" xfId="3" applyFont="1"/>
    <xf numFmtId="165" fontId="1" fillId="0" borderId="0" xfId="2" applyNumberFormat="1" applyFont="1" applyFill="1" applyBorder="1" applyAlignment="1" applyProtection="1"/>
    <xf numFmtId="165" fontId="1" fillId="0" borderId="0" xfId="3" applyNumberFormat="1"/>
    <xf numFmtId="9" fontId="1" fillId="0" borderId="0" xfId="4"/>
    <xf numFmtId="168" fontId="1" fillId="0" borderId="0" xfId="1" applyNumberFormat="1"/>
    <xf numFmtId="164" fontId="1" fillId="0" borderId="0" xfId="2"/>
    <xf numFmtId="165" fontId="1" fillId="0" borderId="0" xfId="2" applyNumberFormat="1"/>
    <xf numFmtId="169" fontId="0" fillId="0" borderId="0" xfId="0" applyNumberFormat="1"/>
    <xf numFmtId="0" fontId="0" fillId="0" borderId="0" xfId="0" applyFont="1" applyAlignment="1">
      <alignment wrapText="1"/>
    </xf>
    <xf numFmtId="169" fontId="0" fillId="0" borderId="0" xfId="0" applyNumberFormat="1" applyFont="1" applyAlignment="1">
      <alignment wrapText="1"/>
    </xf>
    <xf numFmtId="8" fontId="0" fillId="0" borderId="0" xfId="0" applyNumberFormat="1"/>
    <xf numFmtId="0" fontId="5" fillId="0" borderId="0" xfId="0" applyFont="1"/>
    <xf numFmtId="169" fontId="5" fillId="0" borderId="2" xfId="0" applyNumberFormat="1" applyFont="1" applyBorder="1" applyAlignment="1">
      <alignment wrapText="1"/>
    </xf>
    <xf numFmtId="170" fontId="5" fillId="0" borderId="2" xfId="0" applyNumberFormat="1" applyFont="1" applyBorder="1"/>
    <xf numFmtId="164" fontId="4" fillId="0" borderId="2" xfId="2" applyNumberFormat="1" applyFont="1" applyBorder="1"/>
    <xf numFmtId="0" fontId="5" fillId="0" borderId="0" xfId="0" applyFont="1" applyAlignment="1">
      <alignment wrapText="1"/>
    </xf>
    <xf numFmtId="169" fontId="5" fillId="0" borderId="0" xfId="0" applyNumberFormat="1" applyFont="1" applyAlignment="1">
      <alignment wrapText="1"/>
    </xf>
    <xf numFmtId="0" fontId="3" fillId="0" borderId="0" xfId="3" applyFont="1"/>
    <xf numFmtId="10" fontId="1" fillId="0" borderId="0" xfId="4" applyNumberFormat="1"/>
    <xf numFmtId="9" fontId="1" fillId="0" borderId="0" xfId="3" applyNumberFormat="1"/>
    <xf numFmtId="168" fontId="1" fillId="0" borderId="0" xfId="3" applyNumberFormat="1" applyAlignment="1"/>
    <xf numFmtId="168" fontId="1" fillId="0" borderId="0" xfId="3" applyNumberFormat="1" applyAlignment="1">
      <alignment horizontal="right" vertical="top"/>
    </xf>
    <xf numFmtId="164" fontId="1" fillId="0" borderId="0" xfId="3" applyNumberFormat="1"/>
    <xf numFmtId="0" fontId="4" fillId="0" borderId="0" xfId="3" applyFont="1"/>
    <xf numFmtId="43" fontId="1" fillId="0" borderId="3" xfId="3" applyNumberFormat="1" applyBorder="1"/>
    <xf numFmtId="43" fontId="1" fillId="0" borderId="0" xfId="3" applyNumberFormat="1" applyBorder="1"/>
    <xf numFmtId="167" fontId="1" fillId="0" borderId="0" xfId="3" applyNumberFormat="1"/>
    <xf numFmtId="168" fontId="1" fillId="0" borderId="0" xfId="4" applyNumberFormat="1"/>
    <xf numFmtId="166" fontId="1" fillId="0" borderId="0" xfId="1"/>
    <xf numFmtId="166" fontId="1" fillId="0" borderId="3" xfId="1" applyBorder="1"/>
    <xf numFmtId="43" fontId="1" fillId="0" borderId="0" xfId="3" applyNumberFormat="1"/>
    <xf numFmtId="171" fontId="1" fillId="0" borderId="0" xfId="3" applyNumberFormat="1"/>
    <xf numFmtId="166" fontId="1" fillId="0" borderId="0" xfId="1" applyNumberFormat="1"/>
    <xf numFmtId="168" fontId="1" fillId="0" borderId="3" xfId="1" applyNumberFormat="1" applyBorder="1"/>
    <xf numFmtId="43" fontId="1" fillId="0" borderId="0" xfId="1" applyNumberFormat="1"/>
    <xf numFmtId="165" fontId="1" fillId="0" borderId="3" xfId="2" applyNumberFormat="1" applyBorder="1"/>
    <xf numFmtId="10" fontId="1" fillId="0" borderId="0" xfId="3" applyNumberFormat="1"/>
    <xf numFmtId="10" fontId="4" fillId="0" borderId="0" xfId="3" applyNumberFormat="1" applyFont="1"/>
    <xf numFmtId="1" fontId="4" fillId="0" borderId="0" xfId="3" applyNumberFormat="1" applyFont="1"/>
    <xf numFmtId="0" fontId="1" fillId="0" borderId="0" xfId="3" applyBorder="1"/>
    <xf numFmtId="0" fontId="1" fillId="0" borderId="0" xfId="3" applyBorder="1" applyAlignment="1">
      <alignment vertical="center"/>
    </xf>
    <xf numFmtId="168" fontId="1" fillId="0" borderId="0" xfId="1" applyNumberFormat="1" applyBorder="1" applyAlignment="1">
      <alignment vertical="center"/>
    </xf>
    <xf numFmtId="168" fontId="1" fillId="0" borderId="0" xfId="1" applyNumberFormat="1" applyBorder="1" applyAlignment="1">
      <alignment horizontal="center" vertical="center"/>
    </xf>
    <xf numFmtId="168" fontId="1" fillId="0" borderId="0" xfId="1" applyNumberFormat="1" applyBorder="1" applyAlignment="1">
      <alignment horizontal="center"/>
    </xf>
    <xf numFmtId="168" fontId="1" fillId="0" borderId="0" xfId="1" applyNumberFormat="1" applyBorder="1"/>
    <xf numFmtId="9" fontId="1" fillId="0" borderId="0" xfId="4" applyBorder="1"/>
    <xf numFmtId="0" fontId="4" fillId="0" borderId="0" xfId="3" applyFont="1" applyBorder="1"/>
    <xf numFmtId="168" fontId="4" fillId="0" borderId="0" xfId="1" applyNumberFormat="1" applyFont="1" applyBorder="1"/>
    <xf numFmtId="0" fontId="4" fillId="0" borderId="0" xfId="3" applyFont="1" applyBorder="1" applyAlignment="1">
      <alignment horizontal="left" indent="1"/>
    </xf>
    <xf numFmtId="165" fontId="1" fillId="0" borderId="0" xfId="3" applyNumberFormat="1" applyBorder="1"/>
    <xf numFmtId="165" fontId="1" fillId="0" borderId="3" xfId="3" applyNumberFormat="1" applyBorder="1"/>
    <xf numFmtId="171" fontId="4" fillId="0" borderId="0" xfId="1" applyNumberFormat="1" applyFont="1" applyBorder="1"/>
    <xf numFmtId="168" fontId="4" fillId="0" borderId="2" xfId="1" applyNumberFormat="1" applyFont="1" applyBorder="1"/>
    <xf numFmtId="168" fontId="4" fillId="0" borderId="2" xfId="1" applyNumberFormat="1" applyFont="1" applyBorder="1" applyAlignment="1"/>
    <xf numFmtId="165" fontId="4" fillId="0" borderId="2" xfId="3" applyNumberFormat="1" applyFont="1" applyBorder="1"/>
    <xf numFmtId="168" fontId="4" fillId="0" borderId="2" xfId="1" applyNumberFormat="1" applyFont="1" applyBorder="1" applyAlignment="1">
      <alignment horizontal="center"/>
    </xf>
    <xf numFmtId="0" fontId="1" fillId="0" borderId="3" xfId="3" applyBorder="1"/>
    <xf numFmtId="168" fontId="4" fillId="0" borderId="0" xfId="1" applyNumberFormat="1" applyFont="1"/>
    <xf numFmtId="6" fontId="1" fillId="0" borderId="0" xfId="3" applyNumberFormat="1" applyBorder="1"/>
    <xf numFmtId="0" fontId="3" fillId="0" borderId="0" xfId="3" applyFont="1" applyBorder="1" applyAlignment="1">
      <alignment horizontal="left"/>
    </xf>
    <xf numFmtId="0" fontId="3" fillId="0" borderId="0" xfId="3" applyFont="1" applyBorder="1"/>
    <xf numFmtId="6" fontId="4" fillId="0" borderId="0" xfId="3" applyNumberFormat="1" applyFont="1"/>
    <xf numFmtId="168" fontId="3" fillId="0" borderId="0" xfId="1" applyNumberFormat="1" applyFont="1" applyBorder="1"/>
    <xf numFmtId="168" fontId="3" fillId="0" borderId="0" xfId="1" applyNumberFormat="1" applyFont="1" applyBorder="1" applyAlignment="1"/>
    <xf numFmtId="168" fontId="3" fillId="0" borderId="0" xfId="1" applyNumberFormat="1" applyFont="1" applyBorder="1" applyAlignment="1">
      <alignment horizontal="center"/>
    </xf>
    <xf numFmtId="0" fontId="3" fillId="0" borderId="0" xfId="3" applyFont="1" applyBorder="1" applyAlignment="1">
      <alignment horizontal="left" indent="1"/>
    </xf>
    <xf numFmtId="171" fontId="3" fillId="0" borderId="0" xfId="3" applyNumberFormat="1" applyFont="1" applyBorder="1"/>
    <xf numFmtId="171" fontId="3" fillId="0" borderId="0" xfId="3" applyNumberFormat="1" applyFont="1"/>
    <xf numFmtId="168" fontId="3" fillId="0" borderId="0" xfId="3" applyNumberFormat="1" applyFont="1"/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tabSelected="1" zoomScaleNormal="100" workbookViewId="0">
      <selection activeCell="F130" sqref="F130"/>
    </sheetView>
  </sheetViews>
  <sheetFormatPr defaultColWidth="9.42578125" defaultRowHeight="15" x14ac:dyDescent="0.25"/>
  <cols>
    <col min="1" max="1" width="6.85546875" style="1" customWidth="1"/>
    <col min="2" max="2" width="35.5703125" style="1" customWidth="1"/>
    <col min="3" max="3" width="17.28515625" style="1" customWidth="1"/>
    <col min="4" max="4" width="20.42578125" style="1" bestFit="1" customWidth="1"/>
    <col min="5" max="7" width="13" style="1" bestFit="1" customWidth="1"/>
    <col min="8" max="11" width="15.140625" style="1" bestFit="1" customWidth="1"/>
    <col min="12" max="12" width="12.85546875" style="1" bestFit="1" customWidth="1"/>
    <col min="13" max="13" width="14.28515625" style="1" customWidth="1"/>
    <col min="14" max="16384" width="9.42578125" style="1"/>
  </cols>
  <sheetData>
    <row r="1" spans="1:13" s="3" customFormat="1" x14ac:dyDescent="0.25">
      <c r="A1" s="2"/>
    </row>
    <row r="2" spans="1:13" x14ac:dyDescent="0.25">
      <c r="A2" s="4" t="s">
        <v>0</v>
      </c>
    </row>
    <row r="3" spans="1:13" x14ac:dyDescent="0.25"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  <c r="M3" s="1" t="s">
        <v>93</v>
      </c>
    </row>
    <row r="4" spans="1:13" x14ac:dyDescent="0.25">
      <c r="A4" s="4" t="s">
        <v>1</v>
      </c>
    </row>
    <row r="5" spans="1:13" x14ac:dyDescent="0.25">
      <c r="A5" s="4"/>
    </row>
    <row r="6" spans="1:13" x14ac:dyDescent="0.25">
      <c r="A6" s="1" t="s">
        <v>117</v>
      </c>
      <c r="D6" s="5">
        <v>265</v>
      </c>
      <c r="E6" s="5">
        <v>265</v>
      </c>
      <c r="F6" s="5">
        <v>265</v>
      </c>
      <c r="G6" s="5">
        <v>265</v>
      </c>
      <c r="H6" s="5">
        <v>265</v>
      </c>
      <c r="I6" s="5">
        <v>265</v>
      </c>
      <c r="J6" s="5">
        <v>265</v>
      </c>
      <c r="K6" s="5">
        <v>265</v>
      </c>
    </row>
    <row r="7" spans="1:13" x14ac:dyDescent="0.25">
      <c r="A7" s="1" t="s">
        <v>113</v>
      </c>
      <c r="D7" s="5">
        <v>100</v>
      </c>
      <c r="E7" s="5">
        <v>100</v>
      </c>
      <c r="F7" s="5">
        <v>100</v>
      </c>
      <c r="G7" s="5">
        <v>100</v>
      </c>
      <c r="H7" s="5">
        <v>100</v>
      </c>
      <c r="I7" s="5">
        <v>100</v>
      </c>
      <c r="J7" s="5">
        <v>100</v>
      </c>
      <c r="K7" s="5">
        <v>100</v>
      </c>
    </row>
    <row r="8" spans="1:13" x14ac:dyDescent="0.25">
      <c r="A8" s="1" t="s">
        <v>115</v>
      </c>
      <c r="D8" s="5">
        <v>100</v>
      </c>
      <c r="E8" s="5">
        <v>100</v>
      </c>
      <c r="F8" s="5">
        <v>100</v>
      </c>
      <c r="G8" s="5">
        <v>100</v>
      </c>
      <c r="H8" s="5">
        <v>100</v>
      </c>
      <c r="I8" s="5">
        <v>100</v>
      </c>
      <c r="J8" s="5">
        <v>100</v>
      </c>
      <c r="K8" s="5">
        <v>100</v>
      </c>
    </row>
    <row r="9" spans="1:13" x14ac:dyDescent="0.25">
      <c r="A9" s="1" t="s">
        <v>116</v>
      </c>
      <c r="D9" s="5">
        <v>65</v>
      </c>
      <c r="E9" s="5">
        <v>65</v>
      </c>
      <c r="F9" s="5">
        <v>65</v>
      </c>
      <c r="G9" s="5">
        <v>65</v>
      </c>
      <c r="H9" s="5">
        <v>65</v>
      </c>
      <c r="I9" s="5">
        <v>65</v>
      </c>
      <c r="J9" s="5">
        <v>65</v>
      </c>
      <c r="K9" s="5">
        <v>65</v>
      </c>
    </row>
    <row r="10" spans="1:13" x14ac:dyDescent="0.25">
      <c r="D10" s="5"/>
      <c r="E10" s="5"/>
      <c r="F10" s="5"/>
      <c r="G10" s="5"/>
      <c r="H10" s="5"/>
      <c r="I10" s="5"/>
      <c r="J10" s="5"/>
      <c r="K10" s="5"/>
    </row>
    <row r="11" spans="1:13" x14ac:dyDescent="0.25">
      <c r="A11" s="1" t="s">
        <v>114</v>
      </c>
      <c r="D11" s="5"/>
      <c r="E11" s="5"/>
      <c r="F11" s="5"/>
      <c r="G11" s="5"/>
      <c r="H11" s="5"/>
      <c r="I11" s="5"/>
      <c r="J11" s="5"/>
      <c r="K11" s="5"/>
    </row>
    <row r="12" spans="1:13" x14ac:dyDescent="0.25">
      <c r="A12" s="1" t="str">
        <f>A7</f>
        <v>5 X 5 Units</v>
      </c>
      <c r="D12" s="9">
        <v>0.9</v>
      </c>
      <c r="E12" s="9">
        <f t="shared" ref="E12:K14" si="0">D12*(1+$L$12)</f>
        <v>0.90900000000000003</v>
      </c>
      <c r="F12" s="9">
        <f t="shared" si="0"/>
        <v>0.91809000000000007</v>
      </c>
      <c r="G12" s="9">
        <f t="shared" si="0"/>
        <v>0.92727090000000012</v>
      </c>
      <c r="H12" s="9">
        <f t="shared" si="0"/>
        <v>0.93654360900000011</v>
      </c>
      <c r="I12" s="9">
        <f t="shared" si="0"/>
        <v>0.94590904509000007</v>
      </c>
      <c r="J12" s="9">
        <f t="shared" si="0"/>
        <v>0.95536813554090005</v>
      </c>
      <c r="K12" s="9">
        <f t="shared" si="0"/>
        <v>0.96492181689630907</v>
      </c>
      <c r="L12" s="9">
        <v>0.01</v>
      </c>
      <c r="M12" s="1" t="s">
        <v>118</v>
      </c>
    </row>
    <row r="13" spans="1:13" x14ac:dyDescent="0.25">
      <c r="A13" s="1" t="str">
        <f>A8</f>
        <v>10 X 5 Units</v>
      </c>
      <c r="D13" s="9">
        <v>0.8</v>
      </c>
      <c r="E13" s="9">
        <f t="shared" si="0"/>
        <v>0.80800000000000005</v>
      </c>
      <c r="F13" s="9">
        <f t="shared" si="0"/>
        <v>0.81608000000000003</v>
      </c>
      <c r="G13" s="9">
        <f t="shared" si="0"/>
        <v>0.8242408</v>
      </c>
      <c r="H13" s="9">
        <f t="shared" si="0"/>
        <v>0.83248320799999997</v>
      </c>
      <c r="I13" s="9">
        <f t="shared" si="0"/>
        <v>0.84080804007999999</v>
      </c>
      <c r="J13" s="9">
        <f t="shared" si="0"/>
        <v>0.84921612048079997</v>
      </c>
      <c r="K13" s="9">
        <f t="shared" si="0"/>
        <v>0.85770828168560798</v>
      </c>
      <c r="L13" s="9">
        <v>0.01</v>
      </c>
    </row>
    <row r="14" spans="1:13" x14ac:dyDescent="0.25">
      <c r="A14" s="1" t="s">
        <v>116</v>
      </c>
      <c r="D14" s="9">
        <v>0.8</v>
      </c>
      <c r="E14" s="9">
        <f t="shared" si="0"/>
        <v>0.80800000000000005</v>
      </c>
      <c r="F14" s="9">
        <f t="shared" si="0"/>
        <v>0.81608000000000003</v>
      </c>
      <c r="G14" s="9">
        <f t="shared" si="0"/>
        <v>0.8242408</v>
      </c>
      <c r="H14" s="9">
        <f t="shared" si="0"/>
        <v>0.83248320799999997</v>
      </c>
      <c r="I14" s="9">
        <f t="shared" si="0"/>
        <v>0.84080804007999999</v>
      </c>
      <c r="J14" s="9">
        <f t="shared" si="0"/>
        <v>0.84921612048079997</v>
      </c>
      <c r="K14" s="9">
        <f t="shared" si="0"/>
        <v>0.85770828168560798</v>
      </c>
      <c r="L14" s="9">
        <v>0.01</v>
      </c>
    </row>
    <row r="15" spans="1:13" x14ac:dyDescent="0.25">
      <c r="D15" s="5"/>
      <c r="E15" s="5"/>
      <c r="F15" s="5"/>
      <c r="G15" s="5"/>
      <c r="H15" s="5"/>
      <c r="I15" s="5"/>
      <c r="J15" s="5"/>
      <c r="K15" s="5"/>
    </row>
    <row r="16" spans="1:13" x14ac:dyDescent="0.25">
      <c r="A16" s="1" t="s">
        <v>119</v>
      </c>
      <c r="D16" s="9"/>
      <c r="E16" s="9"/>
      <c r="F16" s="9"/>
      <c r="G16" s="9"/>
      <c r="H16" s="9"/>
      <c r="I16" s="9"/>
      <c r="J16" s="9"/>
      <c r="K16" s="9"/>
      <c r="L16" s="32"/>
    </row>
    <row r="17" spans="1:13" x14ac:dyDescent="0.25">
      <c r="A17" s="1" t="str">
        <f>A12</f>
        <v>5 X 5 Units</v>
      </c>
      <c r="D17" s="10">
        <f t="shared" ref="D17:K19" si="1">D7*D12</f>
        <v>90</v>
      </c>
      <c r="E17" s="10">
        <f t="shared" si="1"/>
        <v>90.9</v>
      </c>
      <c r="F17" s="10">
        <f t="shared" si="1"/>
        <v>91.809000000000012</v>
      </c>
      <c r="G17" s="10">
        <f t="shared" si="1"/>
        <v>92.727090000000018</v>
      </c>
      <c r="H17" s="10">
        <f t="shared" si="1"/>
        <v>93.654360900000015</v>
      </c>
      <c r="I17" s="10">
        <f t="shared" si="1"/>
        <v>94.590904509000012</v>
      </c>
      <c r="J17" s="10">
        <f t="shared" si="1"/>
        <v>95.536813554090003</v>
      </c>
      <c r="K17" s="10">
        <f t="shared" si="1"/>
        <v>96.492181689630911</v>
      </c>
      <c r="L17" s="32"/>
    </row>
    <row r="18" spans="1:13" x14ac:dyDescent="0.25">
      <c r="A18" s="1" t="str">
        <f>A13</f>
        <v>10 X 5 Units</v>
      </c>
      <c r="D18" s="10">
        <f t="shared" si="1"/>
        <v>80</v>
      </c>
      <c r="E18" s="10">
        <f t="shared" si="1"/>
        <v>80.800000000000011</v>
      </c>
      <c r="F18" s="10">
        <f t="shared" si="1"/>
        <v>81.608000000000004</v>
      </c>
      <c r="G18" s="10">
        <f t="shared" si="1"/>
        <v>82.424080000000004</v>
      </c>
      <c r="H18" s="10">
        <f t="shared" si="1"/>
        <v>83.248320800000002</v>
      </c>
      <c r="I18" s="10">
        <f t="shared" si="1"/>
        <v>84.080804008000001</v>
      </c>
      <c r="J18" s="10">
        <f t="shared" si="1"/>
        <v>84.921612048079993</v>
      </c>
      <c r="K18" s="10">
        <f t="shared" si="1"/>
        <v>85.770828168560797</v>
      </c>
      <c r="L18" s="32"/>
    </row>
    <row r="19" spans="1:13" x14ac:dyDescent="0.25">
      <c r="A19" s="1" t="str">
        <f>A14</f>
        <v>10 X 20 Units</v>
      </c>
      <c r="D19" s="10">
        <f t="shared" si="1"/>
        <v>52</v>
      </c>
      <c r="E19" s="10">
        <f t="shared" si="1"/>
        <v>52.52</v>
      </c>
      <c r="F19" s="10">
        <f t="shared" si="1"/>
        <v>53.045200000000001</v>
      </c>
      <c r="G19" s="10">
        <f t="shared" si="1"/>
        <v>53.575651999999998</v>
      </c>
      <c r="H19" s="10">
        <f t="shared" si="1"/>
        <v>54.111408519999998</v>
      </c>
      <c r="I19" s="10">
        <f t="shared" si="1"/>
        <v>54.652522605199998</v>
      </c>
      <c r="J19" s="10">
        <f t="shared" si="1"/>
        <v>55.199047831251995</v>
      </c>
      <c r="K19" s="10">
        <f t="shared" si="1"/>
        <v>55.751038309564521</v>
      </c>
      <c r="L19" s="32"/>
    </row>
    <row r="20" spans="1:13" x14ac:dyDescent="0.25">
      <c r="A20" s="1" t="s">
        <v>123</v>
      </c>
      <c r="D20" s="33">
        <f t="shared" ref="D20:K20" si="2">SUM(D17:D19)</f>
        <v>222</v>
      </c>
      <c r="E20" s="33">
        <f t="shared" si="2"/>
        <v>224.22000000000003</v>
      </c>
      <c r="F20" s="33">
        <f t="shared" si="2"/>
        <v>226.46220000000002</v>
      </c>
      <c r="G20" s="33">
        <f t="shared" si="2"/>
        <v>228.72682200000003</v>
      </c>
      <c r="H20" s="33">
        <f t="shared" si="2"/>
        <v>231.01409022000001</v>
      </c>
      <c r="I20" s="33">
        <f t="shared" si="2"/>
        <v>233.32423112220002</v>
      </c>
      <c r="J20" s="33">
        <f t="shared" si="2"/>
        <v>235.65747343342198</v>
      </c>
      <c r="K20" s="33">
        <f t="shared" si="2"/>
        <v>238.01404816775624</v>
      </c>
      <c r="L20" s="32"/>
    </row>
    <row r="21" spans="1:13" x14ac:dyDescent="0.25">
      <c r="D21" s="33"/>
      <c r="E21" s="33"/>
      <c r="F21" s="33"/>
      <c r="G21" s="33"/>
      <c r="H21" s="33"/>
      <c r="I21" s="33"/>
      <c r="J21" s="33"/>
      <c r="K21" s="33"/>
      <c r="L21" s="32"/>
    </row>
    <row r="22" spans="1:13" x14ac:dyDescent="0.25">
      <c r="A22" s="1" t="s">
        <v>120</v>
      </c>
      <c r="D22" s="12"/>
      <c r="E22" s="12"/>
      <c r="F22" s="12"/>
      <c r="G22" s="12"/>
      <c r="H22" s="12"/>
      <c r="I22" s="12"/>
      <c r="J22" s="12"/>
      <c r="K22" s="12"/>
    </row>
    <row r="23" spans="1:13" x14ac:dyDescent="0.25">
      <c r="A23" s="1" t="str">
        <f>A17</f>
        <v>5 X 5 Units</v>
      </c>
      <c r="D23" s="11">
        <v>60</v>
      </c>
      <c r="E23" s="11">
        <f t="shared" ref="E23:K25" si="3">D23*(1+$L$23)</f>
        <v>61.800000000000004</v>
      </c>
      <c r="F23" s="11">
        <f t="shared" si="3"/>
        <v>63.654000000000003</v>
      </c>
      <c r="G23" s="11">
        <f t="shared" si="3"/>
        <v>65.56362</v>
      </c>
      <c r="H23" s="11">
        <f t="shared" si="3"/>
        <v>67.530528599999997</v>
      </c>
      <c r="I23" s="11">
        <f t="shared" si="3"/>
        <v>69.556444458000001</v>
      </c>
      <c r="J23" s="11">
        <f t="shared" si="3"/>
        <v>71.643137791740003</v>
      </c>
      <c r="K23" s="11">
        <f t="shared" si="3"/>
        <v>73.79243192549221</v>
      </c>
      <c r="L23" s="25">
        <v>0.03</v>
      </c>
      <c r="M23" s="1" t="s">
        <v>95</v>
      </c>
    </row>
    <row r="24" spans="1:13" x14ac:dyDescent="0.25">
      <c r="A24" s="1" t="str">
        <f>A18</f>
        <v>10 X 5 Units</v>
      </c>
      <c r="D24" s="11">
        <v>85</v>
      </c>
      <c r="E24" s="11">
        <f t="shared" si="3"/>
        <v>87.55</v>
      </c>
      <c r="F24" s="11">
        <f t="shared" si="3"/>
        <v>90.176500000000004</v>
      </c>
      <c r="G24" s="11">
        <f t="shared" si="3"/>
        <v>92.881795000000011</v>
      </c>
      <c r="H24" s="11">
        <f t="shared" si="3"/>
        <v>95.668248850000012</v>
      </c>
      <c r="I24" s="11">
        <f t="shared" si="3"/>
        <v>98.53829631550002</v>
      </c>
      <c r="J24" s="11">
        <f t="shared" si="3"/>
        <v>101.49444520496502</v>
      </c>
      <c r="K24" s="11">
        <f t="shared" si="3"/>
        <v>104.53927856111397</v>
      </c>
      <c r="L24" s="25">
        <v>0.03</v>
      </c>
      <c r="M24" s="1" t="s">
        <v>95</v>
      </c>
    </row>
    <row r="25" spans="1:13" x14ac:dyDescent="0.25">
      <c r="A25" s="1" t="s">
        <v>116</v>
      </c>
      <c r="D25" s="11">
        <v>180</v>
      </c>
      <c r="E25" s="11">
        <f t="shared" si="3"/>
        <v>185.4</v>
      </c>
      <c r="F25" s="11">
        <f t="shared" si="3"/>
        <v>190.96200000000002</v>
      </c>
      <c r="G25" s="11">
        <f t="shared" si="3"/>
        <v>196.69086000000001</v>
      </c>
      <c r="H25" s="11">
        <f t="shared" si="3"/>
        <v>202.59158580000002</v>
      </c>
      <c r="I25" s="11">
        <f t="shared" si="3"/>
        <v>208.66933337400002</v>
      </c>
      <c r="J25" s="11">
        <f t="shared" si="3"/>
        <v>214.92941337522004</v>
      </c>
      <c r="K25" s="11">
        <f t="shared" si="3"/>
        <v>221.37729577647664</v>
      </c>
      <c r="L25" s="25">
        <v>0.03</v>
      </c>
      <c r="M25" s="1" t="s">
        <v>95</v>
      </c>
    </row>
    <row r="26" spans="1:13" x14ac:dyDescent="0.25">
      <c r="D26" s="9"/>
      <c r="E26" s="9"/>
      <c r="F26" s="9"/>
      <c r="G26" s="9"/>
      <c r="H26" s="9"/>
      <c r="I26" s="9"/>
      <c r="J26" s="9"/>
      <c r="K26" s="9"/>
      <c r="L26" s="32"/>
    </row>
    <row r="27" spans="1:13" x14ac:dyDescent="0.25">
      <c r="A27" s="1" t="s">
        <v>23</v>
      </c>
      <c r="D27" s="5">
        <v>270</v>
      </c>
      <c r="E27" s="5">
        <v>270</v>
      </c>
      <c r="F27" s="5">
        <v>270</v>
      </c>
      <c r="G27" s="5">
        <v>270</v>
      </c>
      <c r="H27" s="5">
        <v>270</v>
      </c>
      <c r="I27" s="5">
        <v>270</v>
      </c>
      <c r="J27" s="5">
        <v>270</v>
      </c>
      <c r="K27" s="5">
        <v>270</v>
      </c>
    </row>
    <row r="28" spans="1:13" x14ac:dyDescent="0.25">
      <c r="A28" s="1" t="s">
        <v>24</v>
      </c>
      <c r="D28" s="9">
        <v>0.8</v>
      </c>
      <c r="E28" s="9">
        <f t="shared" ref="E28:K28" si="4">D28*(1+$L$28)</f>
        <v>0.80399999999999994</v>
      </c>
      <c r="F28" s="9">
        <f t="shared" si="4"/>
        <v>0.80801999999999985</v>
      </c>
      <c r="G28" s="9">
        <f t="shared" si="4"/>
        <v>0.81206009999999973</v>
      </c>
      <c r="H28" s="9">
        <f t="shared" si="4"/>
        <v>0.81612040049999968</v>
      </c>
      <c r="I28" s="9">
        <f t="shared" si="4"/>
        <v>0.82020100250249961</v>
      </c>
      <c r="J28" s="9">
        <f t="shared" si="4"/>
        <v>0.82430200751501204</v>
      </c>
      <c r="K28" s="9">
        <f t="shared" si="4"/>
        <v>0.82842351755258703</v>
      </c>
      <c r="L28" s="32">
        <v>5.0000000000000001E-3</v>
      </c>
      <c r="M28" s="1" t="s">
        <v>94</v>
      </c>
    </row>
    <row r="29" spans="1:13" x14ac:dyDescent="0.25">
      <c r="A29" s="1" t="s">
        <v>26</v>
      </c>
      <c r="D29" s="10">
        <f t="shared" ref="D29:K29" si="5">D28*D27</f>
        <v>216</v>
      </c>
      <c r="E29" s="10">
        <f t="shared" si="5"/>
        <v>217.07999999999998</v>
      </c>
      <c r="F29" s="10">
        <f t="shared" si="5"/>
        <v>218.16539999999995</v>
      </c>
      <c r="G29" s="10">
        <f t="shared" si="5"/>
        <v>219.25622699999994</v>
      </c>
      <c r="H29" s="10">
        <f t="shared" si="5"/>
        <v>220.35250813499991</v>
      </c>
      <c r="I29" s="10">
        <f t="shared" si="5"/>
        <v>221.45427067567491</v>
      </c>
      <c r="J29" s="10">
        <f t="shared" si="5"/>
        <v>222.56154202905324</v>
      </c>
      <c r="K29" s="10">
        <f t="shared" si="5"/>
        <v>223.6743497391985</v>
      </c>
    </row>
    <row r="30" spans="1:13" x14ac:dyDescent="0.25">
      <c r="A30" s="4"/>
    </row>
    <row r="31" spans="1:13" x14ac:dyDescent="0.25">
      <c r="A31" s="1" t="s">
        <v>25</v>
      </c>
      <c r="D31" s="12">
        <v>90</v>
      </c>
      <c r="E31" s="12">
        <f t="shared" ref="E31:K31" si="6">D31*(1+$L$31)</f>
        <v>92.7</v>
      </c>
      <c r="F31" s="12">
        <f t="shared" si="6"/>
        <v>95.481000000000009</v>
      </c>
      <c r="G31" s="12">
        <f t="shared" si="6"/>
        <v>98.345430000000007</v>
      </c>
      <c r="H31" s="12">
        <f t="shared" si="6"/>
        <v>101.29579290000001</v>
      </c>
      <c r="I31" s="12">
        <f t="shared" si="6"/>
        <v>104.33466668700001</v>
      </c>
      <c r="J31" s="12">
        <f t="shared" si="6"/>
        <v>107.46470668761002</v>
      </c>
      <c r="K31" s="12">
        <f t="shared" si="6"/>
        <v>110.68864788823832</v>
      </c>
      <c r="L31" s="25">
        <v>0.03</v>
      </c>
      <c r="M31" s="1" t="str">
        <f>M23</f>
        <v>Inflation each year</v>
      </c>
    </row>
    <row r="32" spans="1:13" x14ac:dyDescent="0.25">
      <c r="D32" s="27"/>
      <c r="E32" s="26"/>
      <c r="F32" s="12"/>
      <c r="G32" s="26"/>
      <c r="H32" s="26"/>
      <c r="I32" s="26"/>
      <c r="J32" s="26"/>
      <c r="K32" s="26"/>
      <c r="L32" s="25"/>
    </row>
    <row r="33" spans="1:13" x14ac:dyDescent="0.25">
      <c r="A33" s="1" t="s">
        <v>96</v>
      </c>
      <c r="D33" s="27">
        <v>2</v>
      </c>
      <c r="E33" s="27">
        <v>2</v>
      </c>
      <c r="F33" s="27">
        <v>2</v>
      </c>
      <c r="G33" s="27">
        <v>2</v>
      </c>
      <c r="H33" s="27">
        <v>2</v>
      </c>
      <c r="I33" s="27">
        <v>2</v>
      </c>
      <c r="J33" s="27">
        <v>2</v>
      </c>
      <c r="K33" s="27">
        <v>2</v>
      </c>
      <c r="L33" s="10"/>
    </row>
    <row r="34" spans="1:13" x14ac:dyDescent="0.25">
      <c r="A34" s="1" t="s">
        <v>97</v>
      </c>
      <c r="D34" s="12">
        <v>10</v>
      </c>
      <c r="E34" s="12">
        <v>10</v>
      </c>
      <c r="F34" s="12">
        <v>10</v>
      </c>
      <c r="G34" s="12">
        <v>10</v>
      </c>
      <c r="H34" s="12">
        <v>10</v>
      </c>
      <c r="I34" s="12">
        <v>10</v>
      </c>
      <c r="J34" s="12">
        <v>10</v>
      </c>
      <c r="K34" s="12">
        <v>10</v>
      </c>
    </row>
    <row r="35" spans="1:13" x14ac:dyDescent="0.25">
      <c r="A35" s="1" t="s">
        <v>121</v>
      </c>
      <c r="D35" s="10">
        <v>2080</v>
      </c>
      <c r="E35" s="10">
        <v>2080</v>
      </c>
      <c r="F35" s="10">
        <v>2080</v>
      </c>
      <c r="G35" s="10">
        <v>2080</v>
      </c>
      <c r="H35" s="10">
        <v>2080</v>
      </c>
      <c r="I35" s="10">
        <v>2080</v>
      </c>
      <c r="J35" s="10">
        <v>2080</v>
      </c>
      <c r="K35" s="10">
        <v>2080</v>
      </c>
    </row>
    <row r="36" spans="1:13" x14ac:dyDescent="0.25">
      <c r="A36" s="1" t="s">
        <v>122</v>
      </c>
      <c r="D36" s="12">
        <f t="shared" ref="D36:K36" si="7">(D35*D33)*D34</f>
        <v>41600</v>
      </c>
      <c r="E36" s="12">
        <f t="shared" si="7"/>
        <v>41600</v>
      </c>
      <c r="F36" s="12">
        <f t="shared" si="7"/>
        <v>41600</v>
      </c>
      <c r="G36" s="12">
        <f t="shared" si="7"/>
        <v>41600</v>
      </c>
      <c r="H36" s="12">
        <f t="shared" si="7"/>
        <v>41600</v>
      </c>
      <c r="I36" s="12">
        <f t="shared" si="7"/>
        <v>41600</v>
      </c>
      <c r="J36" s="12">
        <f t="shared" si="7"/>
        <v>41600</v>
      </c>
      <c r="K36" s="12">
        <f t="shared" si="7"/>
        <v>41600</v>
      </c>
    </row>
    <row r="37" spans="1:13" x14ac:dyDescent="0.25">
      <c r="D37" s="12"/>
      <c r="E37" s="12"/>
      <c r="F37" s="12"/>
      <c r="G37" s="12"/>
      <c r="H37" s="12"/>
      <c r="I37" s="12"/>
      <c r="J37" s="12"/>
      <c r="K37" s="12"/>
    </row>
    <row r="38" spans="1:13" x14ac:dyDescent="0.25">
      <c r="A38" s="1" t="s">
        <v>127</v>
      </c>
      <c r="D38" s="12"/>
      <c r="E38" s="12"/>
      <c r="F38" s="12"/>
      <c r="G38" s="12"/>
      <c r="H38" s="12"/>
      <c r="I38" s="12"/>
      <c r="J38" s="12"/>
      <c r="K38" s="12"/>
    </row>
    <row r="39" spans="1:13" x14ac:dyDescent="0.25">
      <c r="A39" s="1" t="s">
        <v>128</v>
      </c>
      <c r="D39" s="10">
        <v>30</v>
      </c>
      <c r="E39" s="10">
        <f t="shared" ref="E39:J40" si="8">D39</f>
        <v>30</v>
      </c>
      <c r="F39" s="10">
        <f t="shared" si="8"/>
        <v>30</v>
      </c>
      <c r="G39" s="10">
        <f t="shared" si="8"/>
        <v>30</v>
      </c>
      <c r="H39" s="10">
        <f t="shared" si="8"/>
        <v>30</v>
      </c>
      <c r="I39" s="10">
        <f t="shared" si="8"/>
        <v>30</v>
      </c>
      <c r="J39" s="10">
        <f t="shared" si="8"/>
        <v>30</v>
      </c>
      <c r="K39" s="10">
        <f t="shared" ref="K39" si="9">J39</f>
        <v>30</v>
      </c>
    </row>
    <row r="40" spans="1:13" x14ac:dyDescent="0.25">
      <c r="A40" s="1" t="s">
        <v>129</v>
      </c>
      <c r="D40" s="10">
        <v>30</v>
      </c>
      <c r="E40" s="10">
        <f t="shared" si="8"/>
        <v>30</v>
      </c>
      <c r="F40" s="10">
        <f t="shared" si="8"/>
        <v>30</v>
      </c>
      <c r="G40" s="10">
        <f t="shared" si="8"/>
        <v>30</v>
      </c>
      <c r="H40" s="10">
        <f t="shared" si="8"/>
        <v>30</v>
      </c>
      <c r="I40" s="10">
        <f t="shared" si="8"/>
        <v>30</v>
      </c>
      <c r="J40" s="10">
        <f t="shared" si="8"/>
        <v>30</v>
      </c>
      <c r="K40" s="10">
        <f t="shared" ref="K40" si="10">J40</f>
        <v>30</v>
      </c>
    </row>
    <row r="41" spans="1:13" x14ac:dyDescent="0.25">
      <c r="A41" s="1" t="s">
        <v>145</v>
      </c>
      <c r="D41" s="10">
        <f t="shared" ref="D41:K41" si="11">(D20+D29)*$L$41</f>
        <v>21.900000000000002</v>
      </c>
      <c r="E41" s="10">
        <f t="shared" si="11"/>
        <v>22.065000000000001</v>
      </c>
      <c r="F41" s="10">
        <f t="shared" si="11"/>
        <v>22.231380000000001</v>
      </c>
      <c r="G41" s="10">
        <f t="shared" si="11"/>
        <v>22.399152449999999</v>
      </c>
      <c r="H41" s="10">
        <f t="shared" si="11"/>
        <v>22.568329917749999</v>
      </c>
      <c r="I41" s="10">
        <f t="shared" si="11"/>
        <v>22.738925089893748</v>
      </c>
      <c r="J41" s="10">
        <f t="shared" si="11"/>
        <v>22.910950773123762</v>
      </c>
      <c r="K41" s="10">
        <f t="shared" si="11"/>
        <v>23.084419895347736</v>
      </c>
      <c r="L41" s="9">
        <v>0.05</v>
      </c>
    </row>
    <row r="43" spans="1:13" x14ac:dyDescent="0.25">
      <c r="A43" s="4" t="s">
        <v>2</v>
      </c>
    </row>
    <row r="44" spans="1:13" x14ac:dyDescent="0.25">
      <c r="A44" s="6" t="s">
        <v>142</v>
      </c>
      <c r="D44" s="7">
        <f t="shared" ref="D44:K44" si="12">(((D17*D23)+(D18*D24)+(D19*D25))*12)+((D29*D31)*12)</f>
        <v>492000</v>
      </c>
      <c r="E44" s="7">
        <f t="shared" si="12"/>
        <v>510626.20799999998</v>
      </c>
      <c r="F44" s="7">
        <f t="shared" si="12"/>
        <v>529960.82325360004</v>
      </c>
      <c r="G44" s="7">
        <f t="shared" si="12"/>
        <v>550030.91022627277</v>
      </c>
      <c r="H44" s="7">
        <f t="shared" si="12"/>
        <v>570864.57190665789</v>
      </c>
      <c r="I44" s="7">
        <f t="shared" si="12"/>
        <v>592490.98982510157</v>
      </c>
      <c r="J44" s="7">
        <f t="shared" si="12"/>
        <v>614940.46562048036</v>
      </c>
      <c r="K44" s="7">
        <f t="shared" si="12"/>
        <v>638244.46421543881</v>
      </c>
      <c r="L44" s="9"/>
    </row>
    <row r="45" spans="1:13" x14ac:dyDescent="0.25">
      <c r="A45" s="6" t="s">
        <v>139</v>
      </c>
      <c r="D45" s="7">
        <f t="shared" ref="D45:K45" si="13">(D44*$L$45)*12</f>
        <v>59040</v>
      </c>
      <c r="E45" s="7">
        <f t="shared" si="13"/>
        <v>61275.144959999991</v>
      </c>
      <c r="F45" s="7">
        <f t="shared" si="13"/>
        <v>63595.298790432003</v>
      </c>
      <c r="G45" s="7">
        <f t="shared" si="13"/>
        <v>66003.709227152736</v>
      </c>
      <c r="H45" s="7">
        <f t="shared" si="13"/>
        <v>68503.748628798945</v>
      </c>
      <c r="I45" s="7">
        <f t="shared" si="13"/>
        <v>71098.918779012194</v>
      </c>
      <c r="J45" s="7">
        <f t="shared" si="13"/>
        <v>73792.855874457644</v>
      </c>
      <c r="K45" s="7">
        <f t="shared" si="13"/>
        <v>76589.33570585266</v>
      </c>
      <c r="L45" s="9">
        <v>0.01</v>
      </c>
      <c r="M45" s="1" t="s">
        <v>140</v>
      </c>
    </row>
    <row r="46" spans="1:13" x14ac:dyDescent="0.25">
      <c r="A46" s="6" t="s">
        <v>141</v>
      </c>
      <c r="D46" s="7">
        <f t="shared" ref="D46:K46" si="14">SUM(D44:D45)</f>
        <v>551040</v>
      </c>
      <c r="E46" s="7">
        <f t="shared" si="14"/>
        <v>571901.35295999993</v>
      </c>
      <c r="F46" s="7">
        <f t="shared" si="14"/>
        <v>593556.12204403209</v>
      </c>
      <c r="G46" s="7">
        <f t="shared" si="14"/>
        <v>616034.61945342552</v>
      </c>
      <c r="H46" s="7">
        <f t="shared" si="14"/>
        <v>639368.32053545688</v>
      </c>
      <c r="I46" s="7">
        <f t="shared" si="14"/>
        <v>663589.90860411373</v>
      </c>
      <c r="J46" s="7">
        <f t="shared" si="14"/>
        <v>688733.32149493799</v>
      </c>
      <c r="K46" s="7">
        <f t="shared" si="14"/>
        <v>714833.79992129141</v>
      </c>
      <c r="L46" s="9"/>
    </row>
    <row r="47" spans="1:13" x14ac:dyDescent="0.25">
      <c r="A47" s="6"/>
      <c r="D47" s="7"/>
      <c r="E47" s="7"/>
      <c r="F47" s="7"/>
      <c r="G47" s="7"/>
      <c r="H47" s="7"/>
      <c r="I47" s="7"/>
      <c r="J47" s="7"/>
      <c r="K47" s="7"/>
      <c r="L47" s="9"/>
    </row>
    <row r="48" spans="1:13" x14ac:dyDescent="0.25">
      <c r="A48" s="1" t="s">
        <v>3</v>
      </c>
      <c r="D48" s="7"/>
      <c r="E48" s="7"/>
      <c r="F48" s="7"/>
      <c r="G48" s="7"/>
    </row>
    <row r="49" spans="1:13" x14ac:dyDescent="0.25">
      <c r="B49" s="1" t="s">
        <v>28</v>
      </c>
      <c r="D49" s="7">
        <f>225*12</f>
        <v>2700</v>
      </c>
      <c r="E49" s="7">
        <f t="shared" ref="E49:K49" si="15">D49*(1+$L$49)</f>
        <v>2781</v>
      </c>
      <c r="F49" s="7">
        <f t="shared" si="15"/>
        <v>2864.4300000000003</v>
      </c>
      <c r="G49" s="7">
        <f t="shared" si="15"/>
        <v>2950.3629000000005</v>
      </c>
      <c r="H49" s="7">
        <f t="shared" si="15"/>
        <v>3038.8737870000004</v>
      </c>
      <c r="I49" s="7">
        <f t="shared" si="15"/>
        <v>3130.0400006100003</v>
      </c>
      <c r="J49" s="7">
        <f t="shared" si="15"/>
        <v>3223.9412006283005</v>
      </c>
      <c r="K49" s="7">
        <f t="shared" si="15"/>
        <v>3320.6594366471495</v>
      </c>
      <c r="L49" s="9">
        <v>0.03</v>
      </c>
      <c r="M49" s="1" t="s">
        <v>98</v>
      </c>
    </row>
    <row r="50" spans="1:13" x14ac:dyDescent="0.25">
      <c r="B50" s="1" t="s">
        <v>29</v>
      </c>
      <c r="D50" s="7">
        <f t="shared" ref="D50:K50" si="16">(D20*0.25)*20</f>
        <v>1110</v>
      </c>
      <c r="E50" s="7">
        <f t="shared" si="16"/>
        <v>1121.1000000000001</v>
      </c>
      <c r="F50" s="7">
        <f t="shared" si="16"/>
        <v>1132.3110000000001</v>
      </c>
      <c r="G50" s="7">
        <f t="shared" si="16"/>
        <v>1143.6341100000002</v>
      </c>
      <c r="H50" s="7">
        <f t="shared" si="16"/>
        <v>1155.0704511000001</v>
      </c>
      <c r="I50" s="7">
        <f t="shared" si="16"/>
        <v>1166.6211556110002</v>
      </c>
      <c r="J50" s="7">
        <f t="shared" si="16"/>
        <v>1178.28736716711</v>
      </c>
      <c r="K50" s="7">
        <f t="shared" si="16"/>
        <v>1190.0702408387813</v>
      </c>
      <c r="L50" s="9"/>
    </row>
    <row r="51" spans="1:13" x14ac:dyDescent="0.25">
      <c r="B51" s="1" t="s">
        <v>92</v>
      </c>
      <c r="D51" s="7">
        <v>30000</v>
      </c>
      <c r="E51" s="7">
        <v>30000</v>
      </c>
      <c r="F51" s="7">
        <v>30000</v>
      </c>
      <c r="G51" s="7">
        <v>30000</v>
      </c>
      <c r="H51" s="7">
        <v>30000</v>
      </c>
      <c r="I51" s="7">
        <v>30000</v>
      </c>
      <c r="J51" s="7">
        <v>30000</v>
      </c>
      <c r="K51" s="7">
        <v>30000</v>
      </c>
      <c r="L51" s="9"/>
    </row>
    <row r="52" spans="1:13" x14ac:dyDescent="0.25">
      <c r="B52" s="1" t="s">
        <v>124</v>
      </c>
      <c r="D52" s="7">
        <f t="shared" ref="D52:K52" si="17">D33*D34*40*52</f>
        <v>41600</v>
      </c>
      <c r="E52" s="7">
        <f t="shared" si="17"/>
        <v>41600</v>
      </c>
      <c r="F52" s="7">
        <f t="shared" si="17"/>
        <v>41600</v>
      </c>
      <c r="G52" s="7">
        <f t="shared" si="17"/>
        <v>41600</v>
      </c>
      <c r="H52" s="7">
        <f t="shared" si="17"/>
        <v>41600</v>
      </c>
      <c r="I52" s="7">
        <f t="shared" si="17"/>
        <v>41600</v>
      </c>
      <c r="J52" s="7">
        <f t="shared" si="17"/>
        <v>41600</v>
      </c>
      <c r="K52" s="7">
        <f t="shared" si="17"/>
        <v>41600</v>
      </c>
      <c r="L52" s="9"/>
    </row>
    <row r="53" spans="1:13" x14ac:dyDescent="0.25">
      <c r="B53" s="1" t="s">
        <v>27</v>
      </c>
      <c r="D53" s="7">
        <v>5000</v>
      </c>
      <c r="E53" s="7">
        <f t="shared" ref="E53:K53" si="18">D53*(1+$L$49)</f>
        <v>5150</v>
      </c>
      <c r="F53" s="7">
        <f t="shared" si="18"/>
        <v>5304.5</v>
      </c>
      <c r="G53" s="7">
        <f t="shared" si="18"/>
        <v>5463.6350000000002</v>
      </c>
      <c r="H53" s="7">
        <f t="shared" si="18"/>
        <v>5627.5440500000004</v>
      </c>
      <c r="I53" s="7">
        <f t="shared" si="18"/>
        <v>5796.3703715000001</v>
      </c>
      <c r="J53" s="7">
        <f t="shared" si="18"/>
        <v>5970.2614826449999</v>
      </c>
      <c r="K53" s="7">
        <f t="shared" si="18"/>
        <v>6149.3693271243501</v>
      </c>
      <c r="L53" s="9">
        <v>0.03</v>
      </c>
      <c r="M53" s="1" t="s">
        <v>98</v>
      </c>
    </row>
    <row r="54" spans="1:13" x14ac:dyDescent="0.25">
      <c r="B54" s="1" t="s">
        <v>143</v>
      </c>
      <c r="D54" s="7">
        <f t="shared" ref="D54:K54" si="19">D72*0.015</f>
        <v>30449.016116710609</v>
      </c>
      <c r="E54" s="7">
        <f t="shared" si="19"/>
        <v>30449.016116710609</v>
      </c>
      <c r="F54" s="7">
        <f t="shared" si="19"/>
        <v>30449.016116710609</v>
      </c>
      <c r="G54" s="7">
        <f t="shared" si="19"/>
        <v>30449.016116710609</v>
      </c>
      <c r="H54" s="7">
        <f t="shared" si="19"/>
        <v>30449.016116710609</v>
      </c>
      <c r="I54" s="7">
        <f t="shared" si="19"/>
        <v>30449.016116710609</v>
      </c>
      <c r="J54" s="7">
        <f t="shared" si="19"/>
        <v>30449.016116710609</v>
      </c>
      <c r="K54" s="7">
        <f t="shared" si="19"/>
        <v>30449.016116710609</v>
      </c>
      <c r="L54" s="9"/>
    </row>
    <row r="55" spans="1:13" x14ac:dyDescent="0.25">
      <c r="B55" s="1" t="s">
        <v>4</v>
      </c>
      <c r="D55" s="7">
        <f t="shared" ref="D55:K55" si="20">SUM(D49:D54)</f>
        <v>110859.01611671061</v>
      </c>
      <c r="E55" s="7">
        <f t="shared" si="20"/>
        <v>111101.11611671062</v>
      </c>
      <c r="F55" s="7">
        <f t="shared" si="20"/>
        <v>111350.25711671062</v>
      </c>
      <c r="G55" s="7">
        <f t="shared" si="20"/>
        <v>111606.6481267106</v>
      </c>
      <c r="H55" s="7">
        <f t="shared" si="20"/>
        <v>111870.50440481061</v>
      </c>
      <c r="I55" s="7">
        <f t="shared" si="20"/>
        <v>112142.04764443162</v>
      </c>
      <c r="J55" s="7">
        <f t="shared" si="20"/>
        <v>112421.50616715103</v>
      </c>
      <c r="K55" s="7">
        <f t="shared" si="20"/>
        <v>112709.11512132089</v>
      </c>
    </row>
    <row r="56" spans="1:13" x14ac:dyDescent="0.25">
      <c r="A56" s="1" t="s">
        <v>5</v>
      </c>
      <c r="D56" s="7">
        <f t="shared" ref="D56:K56" si="21">+D46-D55</f>
        <v>440180.98388328939</v>
      </c>
      <c r="E56" s="7">
        <f t="shared" si="21"/>
        <v>460800.23684328934</v>
      </c>
      <c r="F56" s="7">
        <f t="shared" si="21"/>
        <v>482205.86492732144</v>
      </c>
      <c r="G56" s="7">
        <f t="shared" si="21"/>
        <v>504427.97132671491</v>
      </c>
      <c r="H56" s="7">
        <f t="shared" si="21"/>
        <v>527497.81613064627</v>
      </c>
      <c r="I56" s="7">
        <f t="shared" si="21"/>
        <v>551447.86095968215</v>
      </c>
      <c r="J56" s="7">
        <f t="shared" si="21"/>
        <v>576311.81532778696</v>
      </c>
      <c r="K56" s="7">
        <f t="shared" si="21"/>
        <v>602124.68479997048</v>
      </c>
    </row>
    <row r="57" spans="1:13" x14ac:dyDescent="0.25">
      <c r="D57" s="7"/>
      <c r="E57" s="7"/>
      <c r="F57" s="7"/>
      <c r="G57" s="7"/>
    </row>
    <row r="58" spans="1:13" x14ac:dyDescent="0.25">
      <c r="A58" s="1" t="s">
        <v>6</v>
      </c>
      <c r="D58" s="12">
        <f t="shared" ref="D58:K58" si="22">(D72/$L$58)</f>
        <v>67664.480259356918</v>
      </c>
      <c r="E58" s="12">
        <f t="shared" si="22"/>
        <v>67664.480259356918</v>
      </c>
      <c r="F58" s="12">
        <f t="shared" si="22"/>
        <v>67664.480259356918</v>
      </c>
      <c r="G58" s="12">
        <f t="shared" si="22"/>
        <v>67664.480259356918</v>
      </c>
      <c r="H58" s="12">
        <f t="shared" si="22"/>
        <v>67664.480259356918</v>
      </c>
      <c r="I58" s="12">
        <f t="shared" si="22"/>
        <v>67664.480259356918</v>
      </c>
      <c r="J58" s="12">
        <f t="shared" si="22"/>
        <v>67664.480259356918</v>
      </c>
      <c r="K58" s="12">
        <f t="shared" si="22"/>
        <v>67664.480259356918</v>
      </c>
      <c r="L58" s="1">
        <v>30</v>
      </c>
      <c r="M58" s="1" t="s">
        <v>101</v>
      </c>
    </row>
    <row r="59" spans="1:13" x14ac:dyDescent="0.25">
      <c r="A59" s="1" t="s">
        <v>7</v>
      </c>
      <c r="D59" s="7">
        <f>Mortgage!J13</f>
        <v>313551.90507848258</v>
      </c>
      <c r="E59" s="7">
        <f>+Mortgage!J27</f>
        <v>310247.42121723917</v>
      </c>
      <c r="F59" s="7">
        <f>+Mortgage!J41</f>
        <v>306704.05595047842</v>
      </c>
      <c r="G59" s="7">
        <f>+Mortgage!J55</f>
        <v>302904.54052208038</v>
      </c>
      <c r="H59" s="10">
        <f>Mortgage!J69</f>
        <v>298830.35781614884</v>
      </c>
      <c r="I59" s="10">
        <f>Mortgage!J83</f>
        <v>294461.65211298253</v>
      </c>
      <c r="J59" s="10">
        <f>Mortgage!J97</f>
        <v>289777.13232129719</v>
      </c>
      <c r="K59" s="10">
        <f>Mortgage!J111</f>
        <v>284753.96821509826</v>
      </c>
    </row>
    <row r="60" spans="1:13" x14ac:dyDescent="0.25">
      <c r="A60" s="1" t="s">
        <v>99</v>
      </c>
      <c r="D60" s="7">
        <f>D82*L60</f>
        <v>0</v>
      </c>
      <c r="E60" s="7">
        <f>E82*N60</f>
        <v>0</v>
      </c>
      <c r="F60" s="7">
        <f>F82*P60</f>
        <v>0</v>
      </c>
      <c r="G60" s="7">
        <f>G82*R60</f>
        <v>0</v>
      </c>
      <c r="H60" s="7">
        <f>H82*T60</f>
        <v>0</v>
      </c>
      <c r="I60" s="7">
        <f>I82*V60</f>
        <v>0</v>
      </c>
      <c r="J60" s="7">
        <f>J82*X60</f>
        <v>0</v>
      </c>
      <c r="K60" s="7">
        <f>K82*Z60</f>
        <v>0</v>
      </c>
      <c r="L60" s="25">
        <v>0.05</v>
      </c>
      <c r="M60" s="1" t="s">
        <v>100</v>
      </c>
    </row>
    <row r="61" spans="1:13" x14ac:dyDescent="0.25">
      <c r="D61" s="7"/>
      <c r="E61" s="7"/>
      <c r="F61" s="7"/>
      <c r="G61" s="7"/>
    </row>
    <row r="62" spans="1:13" x14ac:dyDescent="0.25">
      <c r="A62" s="1" t="s">
        <v>8</v>
      </c>
      <c r="D62" s="7">
        <f t="shared" ref="D62:K62" si="23">+D56-D58-D59-D60</f>
        <v>58964.598545449902</v>
      </c>
      <c r="E62" s="7">
        <f t="shared" si="23"/>
        <v>82888.335366693267</v>
      </c>
      <c r="F62" s="7">
        <f t="shared" si="23"/>
        <v>107837.32871748612</v>
      </c>
      <c r="G62" s="7">
        <f t="shared" si="23"/>
        <v>133858.95054527762</v>
      </c>
      <c r="H62" s="7">
        <f t="shared" si="23"/>
        <v>161002.97805514053</v>
      </c>
      <c r="I62" s="7">
        <f t="shared" si="23"/>
        <v>189321.72858734272</v>
      </c>
      <c r="J62" s="7">
        <f t="shared" si="23"/>
        <v>218870.20274713286</v>
      </c>
      <c r="K62" s="7">
        <f t="shared" si="23"/>
        <v>249706.23632551532</v>
      </c>
    </row>
    <row r="63" spans="1:13" x14ac:dyDescent="0.25">
      <c r="A63" s="1" t="s">
        <v>9</v>
      </c>
      <c r="D63" s="7">
        <f t="shared" ref="D63:K63" si="24">IF(D62&gt;0,D62*0.2,0)</f>
        <v>11792.919709089982</v>
      </c>
      <c r="E63" s="7">
        <f t="shared" si="24"/>
        <v>16577.667073338653</v>
      </c>
      <c r="F63" s="7">
        <f t="shared" si="24"/>
        <v>21567.465743497225</v>
      </c>
      <c r="G63" s="7">
        <f t="shared" si="24"/>
        <v>26771.790109055524</v>
      </c>
      <c r="H63" s="7">
        <f t="shared" si="24"/>
        <v>32200.595611028108</v>
      </c>
      <c r="I63" s="7">
        <f t="shared" si="24"/>
        <v>37864.345717468546</v>
      </c>
      <c r="J63" s="7">
        <f t="shared" si="24"/>
        <v>43774.040549426572</v>
      </c>
      <c r="K63" s="7">
        <f t="shared" si="24"/>
        <v>49941.247265103069</v>
      </c>
    </row>
    <row r="64" spans="1:13" x14ac:dyDescent="0.25">
      <c r="A64" s="4" t="s">
        <v>10</v>
      </c>
      <c r="D64" s="7">
        <f t="shared" ref="D64:K64" si="25">+D62-D63</f>
        <v>47171.678836359919</v>
      </c>
      <c r="E64" s="7">
        <f t="shared" si="25"/>
        <v>66310.668293354611</v>
      </c>
      <c r="F64" s="7">
        <f t="shared" si="25"/>
        <v>86269.8629739889</v>
      </c>
      <c r="G64" s="7">
        <f t="shared" si="25"/>
        <v>107087.1604362221</v>
      </c>
      <c r="H64" s="7">
        <f t="shared" si="25"/>
        <v>128802.38244411242</v>
      </c>
      <c r="I64" s="7">
        <f t="shared" si="25"/>
        <v>151457.38286987419</v>
      </c>
      <c r="J64" s="7">
        <f t="shared" si="25"/>
        <v>175096.16219770629</v>
      </c>
      <c r="K64" s="7">
        <f t="shared" si="25"/>
        <v>199764.98906041225</v>
      </c>
    </row>
    <row r="66" spans="1:11" x14ac:dyDescent="0.25">
      <c r="A66" s="4" t="s">
        <v>11</v>
      </c>
    </row>
    <row r="67" spans="1:11" x14ac:dyDescent="0.25">
      <c r="A67" s="4" t="s">
        <v>12</v>
      </c>
    </row>
    <row r="68" spans="1:11" x14ac:dyDescent="0.25">
      <c r="A68" s="23" t="s">
        <v>91</v>
      </c>
      <c r="D68" s="8"/>
      <c r="E68" s="12"/>
      <c r="F68" s="12"/>
      <c r="G68" s="12"/>
      <c r="H68" s="12"/>
      <c r="I68" s="12"/>
      <c r="J68" s="12"/>
      <c r="K68" s="12"/>
    </row>
    <row r="69" spans="1:11" x14ac:dyDescent="0.25">
      <c r="A69" s="1" t="s">
        <v>125</v>
      </c>
      <c r="D69" s="7">
        <v>10000</v>
      </c>
      <c r="E69" s="7">
        <f t="shared" ref="E69:K69" si="26">D69</f>
        <v>10000</v>
      </c>
      <c r="F69" s="7">
        <f t="shared" si="26"/>
        <v>10000</v>
      </c>
      <c r="G69" s="7">
        <f t="shared" si="26"/>
        <v>10000</v>
      </c>
      <c r="H69" s="7">
        <f t="shared" si="26"/>
        <v>10000</v>
      </c>
      <c r="I69" s="7">
        <f t="shared" si="26"/>
        <v>10000</v>
      </c>
      <c r="J69" s="7">
        <f t="shared" si="26"/>
        <v>10000</v>
      </c>
      <c r="K69" s="7">
        <f t="shared" si="26"/>
        <v>10000</v>
      </c>
    </row>
    <row r="70" spans="1:11" x14ac:dyDescent="0.25">
      <c r="A70" s="1" t="s">
        <v>144</v>
      </c>
      <c r="D70" s="8">
        <f t="shared" ref="D70:K70" si="27">((D39*$L$41)/360)*D44</f>
        <v>2050</v>
      </c>
      <c r="E70" s="8">
        <f t="shared" si="27"/>
        <v>2127.6091999999999</v>
      </c>
      <c r="F70" s="8">
        <f t="shared" si="27"/>
        <v>2208.17009689</v>
      </c>
      <c r="G70" s="8">
        <f t="shared" si="27"/>
        <v>2291.7954592761366</v>
      </c>
      <c r="H70" s="8">
        <f t="shared" si="27"/>
        <v>2378.602382944408</v>
      </c>
      <c r="I70" s="8">
        <f t="shared" si="27"/>
        <v>2468.7124576045899</v>
      </c>
      <c r="J70" s="8">
        <f t="shared" si="27"/>
        <v>2562.2519400853348</v>
      </c>
      <c r="K70" s="8">
        <f t="shared" si="27"/>
        <v>2659.3519342309951</v>
      </c>
    </row>
    <row r="72" spans="1:11" x14ac:dyDescent="0.25">
      <c r="A72" s="1" t="s">
        <v>13</v>
      </c>
      <c r="D72" s="7">
        <f>Mortgage!$J$1-D74</f>
        <v>2029934.4077807073</v>
      </c>
      <c r="E72" s="7">
        <f>Mortgage!$J$1-E74</f>
        <v>2029934.4077807073</v>
      </c>
      <c r="F72" s="7">
        <f>Mortgage!$J$1-F74</f>
        <v>2029934.4077807073</v>
      </c>
      <c r="G72" s="7">
        <f>Mortgage!$J$1-G74</f>
        <v>2029934.4077807073</v>
      </c>
      <c r="H72" s="7">
        <f>Mortgage!$J$1-H74</f>
        <v>2029934.4077807073</v>
      </c>
      <c r="I72" s="7">
        <f>Mortgage!$J$1-I74</f>
        <v>2029934.4077807073</v>
      </c>
      <c r="J72" s="7">
        <f>Mortgage!$J$1-J74</f>
        <v>2029934.4077807073</v>
      </c>
      <c r="K72" s="7">
        <f>Mortgage!$J$1-K74</f>
        <v>2029934.4077807073</v>
      </c>
    </row>
    <row r="73" spans="1:11" x14ac:dyDescent="0.25">
      <c r="A73" s="1" t="s">
        <v>14</v>
      </c>
      <c r="D73" s="7">
        <f>+D58</f>
        <v>67664.480259356918</v>
      </c>
      <c r="E73" s="7">
        <f t="shared" ref="E73:K73" si="28">+E58+D73</f>
        <v>135328.96051871384</v>
      </c>
      <c r="F73" s="7">
        <f t="shared" si="28"/>
        <v>202993.44077807077</v>
      </c>
      <c r="G73" s="7">
        <f t="shared" si="28"/>
        <v>270657.92103742767</v>
      </c>
      <c r="H73" s="7">
        <f t="shared" si="28"/>
        <v>338322.40129678458</v>
      </c>
      <c r="I73" s="7">
        <f t="shared" si="28"/>
        <v>405986.88155614148</v>
      </c>
      <c r="J73" s="7">
        <f t="shared" si="28"/>
        <v>473651.36181549839</v>
      </c>
      <c r="K73" s="7">
        <f t="shared" si="28"/>
        <v>541315.84207485535</v>
      </c>
    </row>
    <row r="74" spans="1:11" x14ac:dyDescent="0.25">
      <c r="A74" s="1" t="s">
        <v>30</v>
      </c>
      <c r="D74" s="7">
        <f>'Land Cost'!$D$7</f>
        <v>2470065.5922192927</v>
      </c>
      <c r="E74" s="7">
        <f>'Land Cost'!$D$7</f>
        <v>2470065.5922192927</v>
      </c>
      <c r="F74" s="7">
        <f>'Land Cost'!$D$7</f>
        <v>2470065.5922192927</v>
      </c>
      <c r="G74" s="7">
        <f>'Land Cost'!$D$7</f>
        <v>2470065.5922192927</v>
      </c>
      <c r="H74" s="7">
        <f>'Land Cost'!$D$7</f>
        <v>2470065.5922192927</v>
      </c>
      <c r="I74" s="7">
        <f>'Land Cost'!$D$7</f>
        <v>2470065.5922192927</v>
      </c>
      <c r="J74" s="7">
        <f>'Land Cost'!$D$7</f>
        <v>2470065.5922192927</v>
      </c>
      <c r="K74" s="7">
        <f>'Land Cost'!$D$7</f>
        <v>2470065.5922192927</v>
      </c>
    </row>
    <row r="75" spans="1:11" x14ac:dyDescent="0.25">
      <c r="A75" s="4" t="s">
        <v>15</v>
      </c>
      <c r="D75" s="8">
        <f t="shared" ref="D75:K75" si="29">D68+D69+D70+D72-D73+D74</f>
        <v>4444385.519740643</v>
      </c>
      <c r="E75" s="8">
        <f t="shared" si="29"/>
        <v>4376798.6486812867</v>
      </c>
      <c r="F75" s="8">
        <f t="shared" si="29"/>
        <v>4309214.729318819</v>
      </c>
      <c r="G75" s="8">
        <f t="shared" si="29"/>
        <v>4241633.874421848</v>
      </c>
      <c r="H75" s="8">
        <f t="shared" si="29"/>
        <v>4174056.2010861598</v>
      </c>
      <c r="I75" s="8">
        <f t="shared" si="29"/>
        <v>4106481.8309014635</v>
      </c>
      <c r="J75" s="8">
        <f t="shared" si="29"/>
        <v>4038910.8901245869</v>
      </c>
      <c r="K75" s="8">
        <f t="shared" si="29"/>
        <v>3971343.5098593757</v>
      </c>
    </row>
    <row r="77" spans="1:11" x14ac:dyDescent="0.25">
      <c r="A77" s="4" t="s">
        <v>16</v>
      </c>
      <c r="I77" s="7"/>
    </row>
    <row r="78" spans="1:11" x14ac:dyDescent="0.25">
      <c r="A78" s="1" t="s">
        <v>17</v>
      </c>
      <c r="D78" s="12">
        <f t="shared" ref="D78:K78" si="30">(D40/360)*(D49+D53+D51)</f>
        <v>3141.6666666666665</v>
      </c>
      <c r="E78" s="12">
        <f t="shared" si="30"/>
        <v>3160.9166666666665</v>
      </c>
      <c r="F78" s="12">
        <f t="shared" si="30"/>
        <v>3180.7441666666664</v>
      </c>
      <c r="G78" s="12">
        <f t="shared" si="30"/>
        <v>3201.1664916666668</v>
      </c>
      <c r="H78" s="12">
        <f t="shared" si="30"/>
        <v>3222.2014864166667</v>
      </c>
      <c r="I78" s="12">
        <f t="shared" si="30"/>
        <v>3243.8675310091662</v>
      </c>
      <c r="J78" s="12">
        <f t="shared" si="30"/>
        <v>3266.1835569394416</v>
      </c>
      <c r="K78" s="12">
        <f t="shared" si="30"/>
        <v>3289.1690636476251</v>
      </c>
    </row>
    <row r="79" spans="1:11" x14ac:dyDescent="0.25">
      <c r="A79" s="1" t="s">
        <v>18</v>
      </c>
      <c r="D79" s="7">
        <f t="shared" ref="D79:K79" si="31">+D63</f>
        <v>11792.919709089982</v>
      </c>
      <c r="E79" s="7">
        <f t="shared" si="31"/>
        <v>16577.667073338653</v>
      </c>
      <c r="F79" s="7">
        <f t="shared" si="31"/>
        <v>21567.465743497225</v>
      </c>
      <c r="G79" s="7">
        <f t="shared" si="31"/>
        <v>26771.790109055524</v>
      </c>
      <c r="H79" s="7">
        <f t="shared" si="31"/>
        <v>32200.595611028108</v>
      </c>
      <c r="I79" s="7">
        <f t="shared" si="31"/>
        <v>37864.345717468546</v>
      </c>
      <c r="J79" s="7">
        <f t="shared" si="31"/>
        <v>43774.040549426572</v>
      </c>
      <c r="K79" s="7">
        <f t="shared" si="31"/>
        <v>49941.247265103069</v>
      </c>
    </row>
    <row r="80" spans="1:11" x14ac:dyDescent="0.25"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" t="s">
        <v>90</v>
      </c>
      <c r="D81" s="7">
        <f>Mortgage!I13</f>
        <v>4454288.5576817235</v>
      </c>
      <c r="E81" s="7">
        <f>Mortgage!I27</f>
        <v>4405272.6315022036</v>
      </c>
      <c r="F81" s="7">
        <f>Mortgage!I41</f>
        <v>4352713.340055923</v>
      </c>
      <c r="G81" s="7">
        <f>+Mortgage!I55</f>
        <v>4296354.5331812445</v>
      </c>
      <c r="H81" s="12">
        <f>Mortgage!I69</f>
        <v>4281632.9859189112</v>
      </c>
      <c r="I81" s="12">
        <f>Mortgage!I83</f>
        <v>4265847.2168146539</v>
      </c>
      <c r="J81" s="12">
        <f>Mortgage!I97</f>
        <v>4248920.2931854734</v>
      </c>
      <c r="K81" s="12">
        <f>Mortgage!I111</f>
        <v>4230769.7208784912</v>
      </c>
    </row>
    <row r="82" spans="1:11" x14ac:dyDescent="0.25">
      <c r="A82" s="1" t="s">
        <v>19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</row>
    <row r="83" spans="1:11" x14ac:dyDescent="0.25">
      <c r="D83" s="7"/>
      <c r="E83" s="7"/>
      <c r="F83" s="7"/>
      <c r="G83" s="7"/>
    </row>
    <row r="84" spans="1:11" x14ac:dyDescent="0.25">
      <c r="A84" s="1" t="s">
        <v>20</v>
      </c>
      <c r="D84" s="7">
        <f t="shared" ref="D84:K84" si="32">5000000*0.2</f>
        <v>1000000</v>
      </c>
      <c r="E84" s="7">
        <f t="shared" si="32"/>
        <v>1000000</v>
      </c>
      <c r="F84" s="7">
        <f t="shared" si="32"/>
        <v>1000000</v>
      </c>
      <c r="G84" s="7">
        <f t="shared" si="32"/>
        <v>1000000</v>
      </c>
      <c r="H84" s="7">
        <f t="shared" si="32"/>
        <v>1000000</v>
      </c>
      <c r="I84" s="7">
        <f t="shared" si="32"/>
        <v>1000000</v>
      </c>
      <c r="J84" s="7">
        <f t="shared" si="32"/>
        <v>1000000</v>
      </c>
      <c r="K84" s="7">
        <f t="shared" si="32"/>
        <v>1000000</v>
      </c>
    </row>
    <row r="85" spans="1:11" x14ac:dyDescent="0.25">
      <c r="A85" s="1" t="s">
        <v>21</v>
      </c>
      <c r="D85" s="7">
        <f>+D64</f>
        <v>47171.678836359919</v>
      </c>
      <c r="E85" s="7">
        <f t="shared" ref="E85:K85" si="33">+E64+D85</f>
        <v>113482.34712971453</v>
      </c>
      <c r="F85" s="7">
        <f t="shared" si="33"/>
        <v>199752.21010370343</v>
      </c>
      <c r="G85" s="7">
        <f t="shared" si="33"/>
        <v>306839.37053992553</v>
      </c>
      <c r="H85" s="7">
        <f t="shared" si="33"/>
        <v>435641.75298403797</v>
      </c>
      <c r="I85" s="7">
        <f t="shared" si="33"/>
        <v>587099.13585391222</v>
      </c>
      <c r="J85" s="7">
        <f t="shared" si="33"/>
        <v>762195.29805161851</v>
      </c>
      <c r="K85" s="7">
        <f t="shared" si="33"/>
        <v>961960.28711203078</v>
      </c>
    </row>
    <row r="86" spans="1:11" x14ac:dyDescent="0.25">
      <c r="D86" s="7"/>
      <c r="E86" s="7"/>
      <c r="F86" s="7"/>
      <c r="G86" s="7"/>
    </row>
    <row r="87" spans="1:11" x14ac:dyDescent="0.25">
      <c r="A87" s="4" t="s">
        <v>22</v>
      </c>
      <c r="D87" s="7">
        <f t="shared" ref="D87:K87" si="34">+D78+D79+D81+D82+D84+D85</f>
        <v>5516394.8228938393</v>
      </c>
      <c r="E87" s="7">
        <f t="shared" si="34"/>
        <v>5538493.5623719236</v>
      </c>
      <c r="F87" s="7">
        <f t="shared" si="34"/>
        <v>5577213.7600697903</v>
      </c>
      <c r="G87" s="7">
        <f t="shared" si="34"/>
        <v>5633166.8603218924</v>
      </c>
      <c r="H87" s="7">
        <f t="shared" si="34"/>
        <v>5752697.5360003933</v>
      </c>
      <c r="I87" s="7">
        <f t="shared" si="34"/>
        <v>5894054.565917043</v>
      </c>
      <c r="J87" s="7">
        <f t="shared" si="34"/>
        <v>6058155.8153434582</v>
      </c>
      <c r="K87" s="7">
        <f t="shared" si="34"/>
        <v>6245960.4243192729</v>
      </c>
    </row>
    <row r="89" spans="1:11" x14ac:dyDescent="0.25">
      <c r="B89" s="1" t="s">
        <v>126</v>
      </c>
      <c r="D89" s="8">
        <f t="shared" ref="D89:K89" si="35">+D75-D87</f>
        <v>-1072009.3031531963</v>
      </c>
      <c r="E89" s="8">
        <f t="shared" si="35"/>
        <v>-1161694.9136906369</v>
      </c>
      <c r="F89" s="8">
        <f t="shared" si="35"/>
        <v>-1267999.0307509713</v>
      </c>
      <c r="G89" s="8">
        <f t="shared" si="35"/>
        <v>-1391532.9859000444</v>
      </c>
      <c r="H89" s="8">
        <f t="shared" si="35"/>
        <v>-1578641.3349142335</v>
      </c>
      <c r="I89" s="8">
        <f t="shared" si="35"/>
        <v>-1787572.7350155795</v>
      </c>
      <c r="J89" s="8">
        <f t="shared" si="35"/>
        <v>-2019244.9252188713</v>
      </c>
      <c r="K89" s="8">
        <f t="shared" si="35"/>
        <v>-2274616.9144598972</v>
      </c>
    </row>
    <row r="92" spans="1:11" x14ac:dyDescent="0.25">
      <c r="B92" s="29" t="s">
        <v>102</v>
      </c>
      <c r="C92" s="29"/>
      <c r="D92" s="29" t="s">
        <v>130</v>
      </c>
      <c r="E92" s="29" t="s">
        <v>131</v>
      </c>
    </row>
    <row r="93" spans="1:11" x14ac:dyDescent="0.25">
      <c r="B93" s="1" t="s">
        <v>103</v>
      </c>
      <c r="E93" s="1" t="s">
        <v>132</v>
      </c>
      <c r="F93" s="1" t="s">
        <v>133</v>
      </c>
      <c r="G93" s="1" t="s">
        <v>134</v>
      </c>
    </row>
    <row r="94" spans="1:11" x14ac:dyDescent="0.25">
      <c r="B94" s="1" t="s">
        <v>104</v>
      </c>
      <c r="D94" s="8">
        <f>D46</f>
        <v>551040</v>
      </c>
      <c r="E94" s="8">
        <f>((D23*(D7/D6))+(D24*(D8/D6))+(D25*(D9/D6)))</f>
        <v>98.867924528301899</v>
      </c>
      <c r="F94" s="8">
        <f>D31</f>
        <v>90</v>
      </c>
      <c r="G94" s="11">
        <f>AVERAGE(E94:F94)</f>
        <v>94.433962264150949</v>
      </c>
      <c r="H94" s="8"/>
      <c r="I94" s="8"/>
      <c r="J94" s="8"/>
      <c r="K94" s="8"/>
    </row>
    <row r="95" spans="1:11" x14ac:dyDescent="0.25">
      <c r="E95" s="1" t="s">
        <v>139</v>
      </c>
      <c r="F95" s="12">
        <f>(D45/D20)/12</f>
        <v>22.162162162162161</v>
      </c>
      <c r="G95" s="41">
        <f>(E45/E20)/12</f>
        <v>22.773446079743106</v>
      </c>
    </row>
    <row r="96" spans="1:11" x14ac:dyDescent="0.25">
      <c r="G96" s="34">
        <f>SUM(G94:G95)</f>
        <v>117.20740834389406</v>
      </c>
    </row>
    <row r="97" spans="2:9" x14ac:dyDescent="0.25">
      <c r="B97" s="1" t="s">
        <v>105</v>
      </c>
      <c r="G97" s="34"/>
    </row>
    <row r="98" spans="2:9" x14ac:dyDescent="0.25">
      <c r="B98" s="1" t="s">
        <v>106</v>
      </c>
      <c r="D98" s="11">
        <f>D49</f>
        <v>2700</v>
      </c>
      <c r="G98" s="34">
        <f>D98/($D$6+$D$27)</f>
        <v>5.0467289719626169</v>
      </c>
    </row>
    <row r="99" spans="2:9" x14ac:dyDescent="0.25">
      <c r="B99" s="1" t="s">
        <v>107</v>
      </c>
      <c r="D99" s="31">
        <f>D50</f>
        <v>1110</v>
      </c>
      <c r="G99" s="34">
        <f>D99/($D$6+$D$27)</f>
        <v>2.0747663551401869</v>
      </c>
    </row>
    <row r="100" spans="2:9" x14ac:dyDescent="0.25">
      <c r="B100" s="1" t="s">
        <v>111</v>
      </c>
      <c r="D100" s="30">
        <f>D53</f>
        <v>5000</v>
      </c>
      <c r="G100" s="35">
        <f>D100/($D$6+$D$27)</f>
        <v>9.3457943925233646</v>
      </c>
    </row>
    <row r="101" spans="2:9" x14ac:dyDescent="0.25">
      <c r="B101" s="1" t="s">
        <v>108</v>
      </c>
      <c r="D101" s="28">
        <f>SUM(D98:D100)</f>
        <v>8810</v>
      </c>
      <c r="G101" s="34">
        <f>SUM(G98:G100)</f>
        <v>16.467289719626169</v>
      </c>
    </row>
    <row r="102" spans="2:9" x14ac:dyDescent="0.25">
      <c r="G102" s="34"/>
    </row>
    <row r="103" spans="2:9" x14ac:dyDescent="0.25">
      <c r="B103" s="29" t="s">
        <v>109</v>
      </c>
      <c r="C103" s="29"/>
      <c r="D103" s="28">
        <f>D94-D101</f>
        <v>542230</v>
      </c>
      <c r="E103" s="36"/>
      <c r="G103" s="11">
        <f>G96-G101</f>
        <v>100.74011862426789</v>
      </c>
      <c r="H103" s="5"/>
    </row>
    <row r="104" spans="2:9" x14ac:dyDescent="0.25">
      <c r="G104" s="34"/>
      <c r="H104" s="37"/>
      <c r="I104" s="9"/>
    </row>
    <row r="105" spans="2:9" x14ac:dyDescent="0.25">
      <c r="B105" s="1" t="s">
        <v>110</v>
      </c>
      <c r="D105" s="8">
        <f>D51+D52+D58+D59+D54</f>
        <v>483265.4014545501</v>
      </c>
      <c r="E105" s="36"/>
      <c r="G105" s="34">
        <f>D105</f>
        <v>483265.4014545501</v>
      </c>
    </row>
    <row r="107" spans="2:9" x14ac:dyDescent="0.25">
      <c r="B107" s="1" t="s">
        <v>112</v>
      </c>
      <c r="D107" s="24">
        <f>D105/D103</f>
        <v>0.89125537401942001</v>
      </c>
      <c r="F107" s="29" t="s">
        <v>135</v>
      </c>
      <c r="G107" s="44">
        <f>G105/G103</f>
        <v>4797.1494182669485</v>
      </c>
    </row>
    <row r="108" spans="2:9" x14ac:dyDescent="0.25">
      <c r="F108" s="29" t="s">
        <v>136</v>
      </c>
      <c r="G108" s="44">
        <f>G107/12</f>
        <v>399.76245152224573</v>
      </c>
    </row>
    <row r="109" spans="2:9" x14ac:dyDescent="0.25">
      <c r="F109" s="29" t="s">
        <v>137</v>
      </c>
      <c r="G109" s="44">
        <f>D6+D27</f>
        <v>535</v>
      </c>
    </row>
    <row r="110" spans="2:9" x14ac:dyDescent="0.25">
      <c r="F110" s="1" t="s">
        <v>138</v>
      </c>
      <c r="G110" s="24">
        <f>G108/G109</f>
        <v>0.7472195355555995</v>
      </c>
    </row>
    <row r="112" spans="2:9" s="62" customFormat="1" x14ac:dyDescent="0.25"/>
    <row r="113" spans="1:6" x14ac:dyDescent="0.25">
      <c r="B113" s="1" t="s">
        <v>158</v>
      </c>
      <c r="D113" s="24">
        <v>0.2</v>
      </c>
    </row>
    <row r="115" spans="1:6" x14ac:dyDescent="0.25">
      <c r="B115" s="1" t="s">
        <v>159</v>
      </c>
      <c r="D115" s="8">
        <f>K81</f>
        <v>4230769.7208784912</v>
      </c>
      <c r="E115" s="42">
        <f>Mortgage!J2</f>
        <v>7.0000000000000007E-2</v>
      </c>
      <c r="F115" s="24">
        <f>D115/D117</f>
        <v>1</v>
      </c>
    </row>
    <row r="116" spans="1:6" x14ac:dyDescent="0.25">
      <c r="B116" s="1" t="s">
        <v>19</v>
      </c>
      <c r="D116" s="8">
        <f>K82</f>
        <v>0</v>
      </c>
      <c r="E116" s="42">
        <f>L60</f>
        <v>0.05</v>
      </c>
      <c r="F116" s="24">
        <f>D116/D117</f>
        <v>0</v>
      </c>
    </row>
    <row r="117" spans="1:6" x14ac:dyDescent="0.25">
      <c r="D117" s="8">
        <f>SUM(D115:D116)</f>
        <v>4230769.7208784912</v>
      </c>
    </row>
    <row r="119" spans="1:6" x14ac:dyDescent="0.25">
      <c r="B119" s="29" t="s">
        <v>160</v>
      </c>
      <c r="C119" s="29"/>
      <c r="D119" s="43">
        <f>(E115*F115)+(F116*E116)</f>
        <v>7.0000000000000007E-2</v>
      </c>
    </row>
    <row r="121" spans="1:6" x14ac:dyDescent="0.25">
      <c r="A121" s="1" t="s">
        <v>154</v>
      </c>
    </row>
    <row r="122" spans="1:6" x14ac:dyDescent="0.25">
      <c r="B122" s="1" t="s">
        <v>153</v>
      </c>
      <c r="D122" s="1">
        <v>0.9</v>
      </c>
      <c r="E122" s="1" t="s">
        <v>155</v>
      </c>
    </row>
    <row r="123" spans="1:6" x14ac:dyDescent="0.25">
      <c r="B123" s="1" t="s">
        <v>156</v>
      </c>
      <c r="D123" s="24">
        <v>1E-3</v>
      </c>
    </row>
    <row r="124" spans="1:6" x14ac:dyDescent="0.25">
      <c r="B124" s="1" t="s">
        <v>157</v>
      </c>
      <c r="D124" s="24">
        <v>0.1183</v>
      </c>
    </row>
    <row r="126" spans="1:6" x14ac:dyDescent="0.25">
      <c r="B126" s="29" t="s">
        <v>161</v>
      </c>
      <c r="C126" s="29"/>
      <c r="D126" s="43">
        <f>D122*(D124-D123)+D123</f>
        <v>0.10657</v>
      </c>
    </row>
    <row r="128" spans="1:6" x14ac:dyDescent="0.25">
      <c r="B128" s="1" t="s">
        <v>159</v>
      </c>
      <c r="D128" s="8">
        <f>D115</f>
        <v>4230769.7208784912</v>
      </c>
      <c r="E128" s="42"/>
      <c r="F128" s="24">
        <f>F115</f>
        <v>1</v>
      </c>
    </row>
    <row r="129" spans="1:12" x14ac:dyDescent="0.25">
      <c r="B129" s="1" t="s">
        <v>19</v>
      </c>
      <c r="D129" s="8">
        <f>D116</f>
        <v>0</v>
      </c>
      <c r="E129" s="42"/>
      <c r="F129" s="24">
        <f>F116</f>
        <v>0</v>
      </c>
    </row>
    <row r="130" spans="1:12" x14ac:dyDescent="0.25">
      <c r="D130" s="8">
        <f>SUM(D128:D129)</f>
        <v>4230769.7208784912</v>
      </c>
      <c r="E130" s="42">
        <f>D119</f>
        <v>7.0000000000000007E-2</v>
      </c>
      <c r="F130" s="42">
        <f>D130/(D130+D134)</f>
        <v>0.68318329967873614</v>
      </c>
    </row>
    <row r="132" spans="1:12" x14ac:dyDescent="0.25">
      <c r="B132" s="1" t="s">
        <v>20</v>
      </c>
      <c r="D132" s="8">
        <f>K84</f>
        <v>1000000</v>
      </c>
    </row>
    <row r="133" spans="1:12" x14ac:dyDescent="0.25">
      <c r="B133" s="1" t="s">
        <v>21</v>
      </c>
      <c r="D133" s="8">
        <f>K85</f>
        <v>961960.28711203078</v>
      </c>
    </row>
    <row r="134" spans="1:12" x14ac:dyDescent="0.25">
      <c r="D134" s="8">
        <f>SUM(D132:D133)</f>
        <v>1961960.2871120307</v>
      </c>
      <c r="E134" s="42">
        <f>D126</f>
        <v>0.10657</v>
      </c>
      <c r="F134" s="24">
        <f>D134/(D130+D134)</f>
        <v>0.31681670032126374</v>
      </c>
    </row>
    <row r="136" spans="1:12" x14ac:dyDescent="0.25">
      <c r="B136" s="29" t="s">
        <v>152</v>
      </c>
      <c r="C136" s="29"/>
      <c r="D136" s="43">
        <f>(F130*E130)*(1-D113)+(F134*E134)</f>
        <v>7.2021420535246308E-2</v>
      </c>
    </row>
    <row r="137" spans="1:12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</row>
    <row r="138" spans="1:12" x14ac:dyDescent="0.25">
      <c r="A138" s="45"/>
      <c r="B138" s="45"/>
      <c r="C138" s="46">
        <v>0</v>
      </c>
      <c r="D138" s="47">
        <v>1</v>
      </c>
      <c r="E138" s="48">
        <v>2</v>
      </c>
      <c r="F138" s="49">
        <v>3</v>
      </c>
      <c r="G138" s="48">
        <v>4</v>
      </c>
      <c r="H138" s="49">
        <v>5</v>
      </c>
      <c r="I138" s="48">
        <v>6</v>
      </c>
      <c r="J138" s="49">
        <v>7</v>
      </c>
      <c r="K138" s="48">
        <v>8</v>
      </c>
      <c r="L138" s="48"/>
    </row>
    <row r="139" spans="1:12" x14ac:dyDescent="0.25">
      <c r="A139" s="45"/>
      <c r="B139" s="45"/>
      <c r="C139" s="45"/>
      <c r="D139" s="45"/>
      <c r="E139" s="50"/>
      <c r="F139" s="50"/>
      <c r="G139" s="50"/>
      <c r="H139" s="50"/>
      <c r="I139" s="50"/>
      <c r="J139" s="50"/>
    </row>
    <row r="140" spans="1:12" x14ac:dyDescent="0.25">
      <c r="A140" s="52" t="s">
        <v>162</v>
      </c>
      <c r="B140" s="45"/>
      <c r="C140" s="45"/>
      <c r="D140" s="45"/>
      <c r="E140" s="50"/>
      <c r="F140" s="50"/>
      <c r="G140" s="50"/>
      <c r="H140" s="50"/>
      <c r="I140" s="50"/>
      <c r="J140" s="50"/>
    </row>
    <row r="141" spans="1:12" x14ac:dyDescent="0.25">
      <c r="A141" s="45"/>
      <c r="B141" s="45" t="s">
        <v>163</v>
      </c>
      <c r="C141" s="45"/>
      <c r="D141" s="55">
        <f t="shared" ref="D141:K141" si="36">D56</f>
        <v>440180.98388328939</v>
      </c>
      <c r="E141" s="55">
        <f t="shared" si="36"/>
        <v>460800.23684328934</v>
      </c>
      <c r="F141" s="55">
        <f t="shared" si="36"/>
        <v>482205.86492732144</v>
      </c>
      <c r="G141" s="55">
        <f t="shared" si="36"/>
        <v>504427.97132671491</v>
      </c>
      <c r="H141" s="55">
        <f t="shared" si="36"/>
        <v>527497.81613064627</v>
      </c>
      <c r="I141" s="55">
        <f t="shared" si="36"/>
        <v>551447.86095968215</v>
      </c>
      <c r="J141" s="55">
        <f t="shared" si="36"/>
        <v>576311.81532778696</v>
      </c>
      <c r="K141" s="55">
        <f t="shared" si="36"/>
        <v>602124.68479997048</v>
      </c>
    </row>
    <row r="142" spans="1:12" x14ac:dyDescent="0.25">
      <c r="A142" s="45"/>
      <c r="B142" s="45" t="s">
        <v>186</v>
      </c>
      <c r="C142" s="45"/>
      <c r="D142" s="56">
        <f t="shared" ref="D142:K142" si="37">D58</f>
        <v>67664.480259356918</v>
      </c>
      <c r="E142" s="56">
        <f t="shared" si="37"/>
        <v>67664.480259356918</v>
      </c>
      <c r="F142" s="56">
        <f t="shared" si="37"/>
        <v>67664.480259356918</v>
      </c>
      <c r="G142" s="56">
        <f t="shared" si="37"/>
        <v>67664.480259356918</v>
      </c>
      <c r="H142" s="56">
        <f t="shared" si="37"/>
        <v>67664.480259356918</v>
      </c>
      <c r="I142" s="56">
        <f t="shared" si="37"/>
        <v>67664.480259356918</v>
      </c>
      <c r="J142" s="56">
        <f t="shared" si="37"/>
        <v>67664.480259356918</v>
      </c>
      <c r="K142" s="56">
        <f t="shared" si="37"/>
        <v>67664.480259356918</v>
      </c>
    </row>
    <row r="143" spans="1:12" x14ac:dyDescent="0.25">
      <c r="A143" s="45"/>
      <c r="B143" s="45"/>
      <c r="C143" s="45"/>
      <c r="D143" s="55">
        <f>D141-D142</f>
        <v>372516.50362393248</v>
      </c>
      <c r="E143" s="55">
        <f t="shared" ref="E143:K143" si="38">E141-E142</f>
        <v>393135.75658393244</v>
      </c>
      <c r="F143" s="55">
        <f t="shared" si="38"/>
        <v>414541.38466796454</v>
      </c>
      <c r="G143" s="55">
        <f t="shared" si="38"/>
        <v>436763.491067358</v>
      </c>
      <c r="H143" s="55">
        <f t="shared" si="38"/>
        <v>459833.33587128937</v>
      </c>
      <c r="I143" s="55">
        <f t="shared" si="38"/>
        <v>483783.38070032524</v>
      </c>
      <c r="J143" s="55">
        <f t="shared" si="38"/>
        <v>508647.33506843005</v>
      </c>
      <c r="K143" s="55">
        <f t="shared" si="38"/>
        <v>534460.20454061357</v>
      </c>
    </row>
    <row r="144" spans="1:12" x14ac:dyDescent="0.25">
      <c r="A144" s="45"/>
      <c r="B144" s="45" t="s">
        <v>164</v>
      </c>
      <c r="C144" s="45"/>
      <c r="D144" s="10">
        <f>D143*$D$113</f>
        <v>74503.300724786503</v>
      </c>
      <c r="E144" s="10">
        <f t="shared" ref="E144:K144" si="39">E143*$D$113</f>
        <v>78627.15131678649</v>
      </c>
      <c r="F144" s="10">
        <f t="shared" si="39"/>
        <v>82908.276933592919</v>
      </c>
      <c r="G144" s="10">
        <f t="shared" si="39"/>
        <v>87352.698213471609</v>
      </c>
      <c r="H144" s="10">
        <f t="shared" si="39"/>
        <v>91966.667174257876</v>
      </c>
      <c r="I144" s="10">
        <f t="shared" si="39"/>
        <v>96756.676140065058</v>
      </c>
      <c r="J144" s="10">
        <f t="shared" si="39"/>
        <v>101729.46701368602</v>
      </c>
      <c r="K144" s="10">
        <f t="shared" si="39"/>
        <v>106892.04090812273</v>
      </c>
    </row>
    <row r="145" spans="1:13" x14ac:dyDescent="0.25">
      <c r="A145" s="45"/>
      <c r="B145" s="45"/>
      <c r="C145" s="45"/>
      <c r="D145" s="45"/>
      <c r="E145" s="50"/>
      <c r="F145" s="50"/>
      <c r="G145" s="50"/>
      <c r="H145" s="50"/>
      <c r="I145" s="51"/>
      <c r="J145" s="50"/>
    </row>
    <row r="146" spans="1:13" x14ac:dyDescent="0.25">
      <c r="A146" s="45"/>
      <c r="B146" s="45" t="s">
        <v>187</v>
      </c>
      <c r="C146" s="45"/>
      <c r="D146" s="55">
        <f>D142</f>
        <v>67664.480259356918</v>
      </c>
      <c r="E146" s="55">
        <f t="shared" ref="E146:K146" si="40">E142</f>
        <v>67664.480259356918</v>
      </c>
      <c r="F146" s="55">
        <f t="shared" si="40"/>
        <v>67664.480259356918</v>
      </c>
      <c r="G146" s="55">
        <f t="shared" si="40"/>
        <v>67664.480259356918</v>
      </c>
      <c r="H146" s="55">
        <f t="shared" si="40"/>
        <v>67664.480259356918</v>
      </c>
      <c r="I146" s="55">
        <f t="shared" si="40"/>
        <v>67664.480259356918</v>
      </c>
      <c r="J146" s="55">
        <f t="shared" si="40"/>
        <v>67664.480259356918</v>
      </c>
      <c r="K146" s="55">
        <f t="shared" si="40"/>
        <v>67664.480259356918</v>
      </c>
    </row>
    <row r="147" spans="1:13" x14ac:dyDescent="0.25">
      <c r="A147" s="52"/>
      <c r="B147" s="66" t="s">
        <v>165</v>
      </c>
      <c r="C147" s="52"/>
      <c r="D147" s="57">
        <f>+D143-D144+D146</f>
        <v>365677.68315850291</v>
      </c>
      <c r="E147" s="57">
        <f t="shared" ref="E147:J147" si="41">+E143-E144+E146</f>
        <v>382173.08552650287</v>
      </c>
      <c r="F147" s="57">
        <f t="shared" si="41"/>
        <v>399297.58799372852</v>
      </c>
      <c r="G147" s="57">
        <f t="shared" si="41"/>
        <v>417075.27311324328</v>
      </c>
      <c r="H147" s="57">
        <f t="shared" si="41"/>
        <v>435531.14895638841</v>
      </c>
      <c r="I147" s="57">
        <f t="shared" si="41"/>
        <v>454691.18481961708</v>
      </c>
      <c r="J147" s="57">
        <f t="shared" si="41"/>
        <v>474582.34831410093</v>
      </c>
      <c r="K147" s="57">
        <f>+K143-K144+K146</f>
        <v>495232.64389184775</v>
      </c>
    </row>
    <row r="148" spans="1:13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45"/>
    </row>
    <row r="149" spans="1:13" x14ac:dyDescent="0.25">
      <c r="A149" s="52" t="s">
        <v>166</v>
      </c>
      <c r="B149" s="52"/>
      <c r="C149" s="52"/>
      <c r="D149" s="52"/>
      <c r="E149" s="52"/>
      <c r="F149" s="52"/>
      <c r="G149" s="52"/>
      <c r="H149" s="52"/>
      <c r="I149" s="52"/>
      <c r="J149" s="45"/>
    </row>
    <row r="150" spans="1:13" x14ac:dyDescent="0.25">
      <c r="A150" s="52"/>
      <c r="B150" s="65" t="s">
        <v>167</v>
      </c>
      <c r="C150" s="68">
        <f>-D72</f>
        <v>-2029934.4077807073</v>
      </c>
      <c r="D150" s="23"/>
      <c r="E150" s="68"/>
      <c r="F150" s="68"/>
      <c r="G150" s="68"/>
      <c r="H150" s="68"/>
      <c r="I150" s="68"/>
      <c r="J150" s="66"/>
    </row>
    <row r="151" spans="1:13" x14ac:dyDescent="0.25">
      <c r="A151" s="52"/>
      <c r="B151" s="65" t="s">
        <v>178</v>
      </c>
      <c r="C151" s="68">
        <f>-D74</f>
        <v>-2470065.5922192927</v>
      </c>
      <c r="D151" s="23"/>
      <c r="E151" s="68"/>
      <c r="F151" s="68"/>
      <c r="G151" s="68"/>
      <c r="H151" s="68"/>
      <c r="I151" s="68"/>
      <c r="J151" s="66"/>
      <c r="K151" s="53"/>
      <c r="L151" s="58" t="s">
        <v>168</v>
      </c>
      <c r="M151" s="58" t="s">
        <v>168</v>
      </c>
    </row>
    <row r="152" spans="1:13" x14ac:dyDescent="0.25">
      <c r="A152" s="52"/>
      <c r="B152" s="65" t="s">
        <v>169</v>
      </c>
      <c r="C152" s="65"/>
      <c r="D152" s="68"/>
      <c r="E152" s="68"/>
      <c r="F152" s="68"/>
      <c r="G152" s="68"/>
      <c r="H152" s="68"/>
      <c r="I152" s="69"/>
      <c r="J152" s="66"/>
      <c r="K152" s="68">
        <f>L152*1.1</f>
        <v>1637480.4222764375</v>
      </c>
      <c r="L152" s="59">
        <f>K72-K73</f>
        <v>1488618.5657058521</v>
      </c>
      <c r="M152" s="60">
        <f>K74</f>
        <v>2470065.5922192927</v>
      </c>
    </row>
    <row r="153" spans="1:13" x14ac:dyDescent="0.25">
      <c r="A153" s="52"/>
      <c r="B153" s="65" t="s">
        <v>179</v>
      </c>
      <c r="C153" s="65"/>
      <c r="D153" s="68"/>
      <c r="E153" s="68"/>
      <c r="F153" s="68"/>
      <c r="G153" s="68"/>
      <c r="H153" s="68"/>
      <c r="I153" s="69"/>
      <c r="J153" s="66"/>
      <c r="K153" s="68">
        <f>M152*1.1</f>
        <v>2717072.1514412221</v>
      </c>
      <c r="L153" s="61" t="s">
        <v>170</v>
      </c>
      <c r="M153" s="61" t="s">
        <v>170</v>
      </c>
    </row>
    <row r="154" spans="1:13" x14ac:dyDescent="0.25">
      <c r="A154" s="52"/>
      <c r="B154" s="65" t="s">
        <v>180</v>
      </c>
      <c r="C154" s="65"/>
      <c r="D154" s="66"/>
      <c r="E154" s="68"/>
      <c r="F154" s="68"/>
      <c r="G154" s="68"/>
      <c r="H154" s="68"/>
      <c r="I154" s="70"/>
      <c r="J154" s="66"/>
      <c r="K154" s="72">
        <f>-L154*D113</f>
        <v>-29772.371314117081</v>
      </c>
      <c r="L154" s="58">
        <f>K152-L152</f>
        <v>148861.8565705854</v>
      </c>
      <c r="M154" s="58">
        <f>K153-M152</f>
        <v>247006.5592219294</v>
      </c>
    </row>
    <row r="155" spans="1:13" x14ac:dyDescent="0.25">
      <c r="A155" s="52"/>
      <c r="B155" s="65" t="s">
        <v>181</v>
      </c>
      <c r="C155" s="65"/>
      <c r="D155" s="66"/>
      <c r="E155" s="68"/>
      <c r="F155" s="68"/>
      <c r="G155" s="68"/>
      <c r="H155" s="68"/>
      <c r="I155" s="70"/>
      <c r="J155" s="66"/>
      <c r="K155" s="73">
        <f>-M154*D113</f>
        <v>-49401.311844385884</v>
      </c>
    </row>
    <row r="156" spans="1:13" x14ac:dyDescent="0.25">
      <c r="A156" s="52"/>
      <c r="B156" s="54"/>
      <c r="C156" s="71"/>
      <c r="D156" s="68"/>
      <c r="E156" s="68"/>
      <c r="F156" s="68"/>
      <c r="G156" s="66"/>
      <c r="H156" s="66"/>
      <c r="I156" s="68"/>
      <c r="J156" s="66"/>
      <c r="K156" s="23"/>
    </row>
    <row r="157" spans="1:13" x14ac:dyDescent="0.25">
      <c r="A157" s="52" t="s">
        <v>171</v>
      </c>
      <c r="B157" s="52"/>
      <c r="C157" s="66"/>
      <c r="D157" s="68"/>
      <c r="E157" s="68"/>
      <c r="F157" s="68"/>
      <c r="G157" s="68"/>
      <c r="H157" s="68"/>
      <c r="I157" s="68"/>
      <c r="J157" s="66"/>
      <c r="K157" s="23"/>
    </row>
    <row r="158" spans="1:13" x14ac:dyDescent="0.25">
      <c r="A158" s="52" t="s">
        <v>172</v>
      </c>
      <c r="B158" s="66" t="s">
        <v>173</v>
      </c>
      <c r="C158" s="66"/>
      <c r="D158" s="68">
        <f>-D70</f>
        <v>-2050</v>
      </c>
      <c r="E158" s="68">
        <f>D70-E70</f>
        <v>-77.609199999999873</v>
      </c>
      <c r="F158" s="68">
        <f t="shared" ref="F158:K158" si="42">E70-F70</f>
        <v>-80.560896890000095</v>
      </c>
      <c r="G158" s="68">
        <f t="shared" si="42"/>
        <v>-83.625362386136658</v>
      </c>
      <c r="H158" s="68">
        <f t="shared" si="42"/>
        <v>-86.806923668271338</v>
      </c>
      <c r="I158" s="68">
        <f t="shared" si="42"/>
        <v>-90.110074660181908</v>
      </c>
      <c r="J158" s="68">
        <f t="shared" si="42"/>
        <v>-93.539482480744937</v>
      </c>
      <c r="K158" s="68">
        <f t="shared" si="42"/>
        <v>-97.099994145660276</v>
      </c>
    </row>
    <row r="159" spans="1:13" x14ac:dyDescent="0.25">
      <c r="A159" s="52" t="s">
        <v>174</v>
      </c>
      <c r="B159" s="66" t="s">
        <v>18</v>
      </c>
      <c r="C159" s="66"/>
      <c r="D159" s="68">
        <f>D144</f>
        <v>74503.300724786503</v>
      </c>
      <c r="E159" s="68">
        <f>E144-D144</f>
        <v>4123.850591999988</v>
      </c>
      <c r="F159" s="68">
        <f t="shared" ref="F159:K159" si="43">F144-E144</f>
        <v>4281.1256168064283</v>
      </c>
      <c r="G159" s="68">
        <f t="shared" si="43"/>
        <v>4444.4212798786903</v>
      </c>
      <c r="H159" s="68">
        <f t="shared" si="43"/>
        <v>4613.9689607862674</v>
      </c>
      <c r="I159" s="68">
        <f t="shared" si="43"/>
        <v>4790.0089658071811</v>
      </c>
      <c r="J159" s="68">
        <f t="shared" si="43"/>
        <v>4972.7908736209647</v>
      </c>
      <c r="K159" s="68">
        <f t="shared" si="43"/>
        <v>5162.573894436704</v>
      </c>
    </row>
    <row r="160" spans="1:13" x14ac:dyDescent="0.25">
      <c r="A160" s="52" t="s">
        <v>174</v>
      </c>
      <c r="B160" s="66" t="s">
        <v>175</v>
      </c>
      <c r="C160" s="66"/>
      <c r="D160" s="68">
        <f>D78</f>
        <v>3141.6666666666665</v>
      </c>
      <c r="E160" s="68">
        <f>E78-D78</f>
        <v>19.25</v>
      </c>
      <c r="F160" s="68">
        <f t="shared" ref="F160:K160" si="44">F78-E78</f>
        <v>19.827499999999873</v>
      </c>
      <c r="G160" s="68">
        <f t="shared" si="44"/>
        <v>20.422325000000455</v>
      </c>
      <c r="H160" s="68">
        <f t="shared" si="44"/>
        <v>21.034994749999896</v>
      </c>
      <c r="I160" s="68">
        <f t="shared" si="44"/>
        <v>21.666044592499475</v>
      </c>
      <c r="J160" s="68">
        <f t="shared" si="44"/>
        <v>22.316025930275373</v>
      </c>
      <c r="K160" s="68">
        <f t="shared" si="44"/>
        <v>22.985506708183493</v>
      </c>
    </row>
    <row r="161" spans="1:11" x14ac:dyDescent="0.25">
      <c r="A161" s="52"/>
      <c r="B161" s="52"/>
      <c r="C161" s="66"/>
      <c r="D161" s="68"/>
      <c r="E161" s="68"/>
      <c r="F161" s="68"/>
      <c r="G161" s="68"/>
      <c r="H161" s="68"/>
      <c r="I161" s="68"/>
      <c r="J161" s="66"/>
      <c r="K161" s="23"/>
    </row>
    <row r="162" spans="1:11" x14ac:dyDescent="0.25">
      <c r="A162" s="52" t="s">
        <v>176</v>
      </c>
      <c r="B162" s="52"/>
      <c r="C162" s="52"/>
      <c r="D162" s="53"/>
      <c r="E162" s="53"/>
      <c r="F162" s="53"/>
      <c r="G162" s="53"/>
      <c r="H162" s="53"/>
      <c r="I162" s="53"/>
      <c r="J162" s="45"/>
      <c r="K162" s="23"/>
    </row>
    <row r="163" spans="1:11" x14ac:dyDescent="0.25">
      <c r="A163" s="52"/>
      <c r="B163" s="66" t="s">
        <v>177</v>
      </c>
      <c r="C163" s="52"/>
      <c r="D163" s="53"/>
      <c r="E163" s="53"/>
      <c r="F163" s="53"/>
      <c r="G163" s="53"/>
      <c r="I163" s="53"/>
      <c r="J163" s="45"/>
      <c r="K163" s="68">
        <f>-SUM(D158:K160)</f>
        <v>-107521.85803753936</v>
      </c>
    </row>
    <row r="164" spans="1:11" x14ac:dyDescent="0.25">
      <c r="A164" s="52"/>
      <c r="B164" s="66" t="s">
        <v>173</v>
      </c>
      <c r="C164" s="52"/>
      <c r="D164" s="53"/>
      <c r="E164" s="53"/>
      <c r="F164" s="53"/>
      <c r="G164" s="53"/>
      <c r="H164" s="53"/>
      <c r="I164" s="53"/>
      <c r="J164" s="45"/>
      <c r="K164" s="74">
        <f>-SUM(D158:K158)</f>
        <v>2659.3519342309951</v>
      </c>
    </row>
    <row r="165" spans="1:11" x14ac:dyDescent="0.25">
      <c r="A165" s="52"/>
      <c r="B165" s="66" t="s">
        <v>18</v>
      </c>
      <c r="C165" s="52"/>
      <c r="D165" s="53"/>
      <c r="E165" s="53"/>
      <c r="F165" s="53"/>
      <c r="G165" s="53"/>
      <c r="H165" s="53"/>
      <c r="I165" s="53"/>
      <c r="J165" s="45"/>
      <c r="K165" s="74">
        <f>-SUM(D159:K159)</f>
        <v>-106892.04090812273</v>
      </c>
    </row>
    <row r="166" spans="1:11" x14ac:dyDescent="0.25">
      <c r="A166" s="52"/>
      <c r="B166" s="66" t="s">
        <v>175</v>
      </c>
      <c r="C166" s="52"/>
      <c r="D166" s="53"/>
      <c r="E166" s="53"/>
      <c r="F166" s="53"/>
      <c r="G166" s="53"/>
      <c r="H166" s="53"/>
      <c r="I166" s="53"/>
      <c r="J166" s="45"/>
      <c r="K166" s="74">
        <f>-SUM(D160:K160)</f>
        <v>-3289.1690636476251</v>
      </c>
    </row>
    <row r="167" spans="1:11" x14ac:dyDescent="0.25">
      <c r="A167" s="52"/>
      <c r="B167" s="52"/>
      <c r="C167" s="52"/>
      <c r="D167" s="53"/>
      <c r="E167" s="53"/>
      <c r="F167" s="53"/>
      <c r="G167" s="53"/>
      <c r="H167" s="53"/>
      <c r="I167" s="53"/>
      <c r="J167" s="45"/>
    </row>
    <row r="168" spans="1:11" x14ac:dyDescent="0.25">
      <c r="A168" s="52"/>
      <c r="B168" s="66" t="s">
        <v>185</v>
      </c>
      <c r="C168" s="68">
        <f>SUM(C147:C167)</f>
        <v>-4500000</v>
      </c>
      <c r="D168" s="68">
        <f>SUM(D147:D167)</f>
        <v>441272.65054995607</v>
      </c>
      <c r="E168" s="68">
        <f t="shared" ref="E168:K168" si="45">SUM(E147:E167)</f>
        <v>386238.57691850286</v>
      </c>
      <c r="F168" s="68">
        <f t="shared" si="45"/>
        <v>403517.98021364497</v>
      </c>
      <c r="G168" s="68">
        <f t="shared" si="45"/>
        <v>421456.49135573587</v>
      </c>
      <c r="H168" s="68">
        <f t="shared" si="45"/>
        <v>440079.34598825645</v>
      </c>
      <c r="I168" s="68">
        <f t="shared" si="45"/>
        <v>459412.74975535658</v>
      </c>
      <c r="J168" s="68">
        <f t="shared" si="45"/>
        <v>479483.91573117144</v>
      </c>
      <c r="K168" s="68">
        <f t="shared" si="45"/>
        <v>4560656.2777829254</v>
      </c>
    </row>
    <row r="169" spans="1:11" x14ac:dyDescent="0.25">
      <c r="A169" s="45"/>
      <c r="B169" s="66" t="s">
        <v>184</v>
      </c>
      <c r="C169" s="45">
        <v>0</v>
      </c>
      <c r="D169" s="45">
        <v>1</v>
      </c>
      <c r="E169" s="45">
        <v>2</v>
      </c>
      <c r="F169" s="45">
        <v>3</v>
      </c>
      <c r="G169" s="45">
        <v>4</v>
      </c>
      <c r="H169" s="45">
        <v>5</v>
      </c>
      <c r="I169" s="45">
        <v>6</v>
      </c>
      <c r="J169" s="45">
        <v>7</v>
      </c>
      <c r="K169" s="45">
        <v>8</v>
      </c>
    </row>
    <row r="170" spans="1:11" x14ac:dyDescent="0.25">
      <c r="A170" s="45"/>
      <c r="B170" s="66" t="s">
        <v>183</v>
      </c>
      <c r="C170" s="64">
        <f t="shared" ref="C170:K170" si="46">-PV($B$176,C169,,C168)</f>
        <v>-4500000</v>
      </c>
      <c r="D170" s="64">
        <f t="shared" si="46"/>
        <v>411626.71015438705</v>
      </c>
      <c r="E170" s="64">
        <f t="shared" si="46"/>
        <v>336084.68431883026</v>
      </c>
      <c r="F170" s="64">
        <f t="shared" si="46"/>
        <v>327531.06792565808</v>
      </c>
      <c r="G170" s="64">
        <f t="shared" si="46"/>
        <v>319108.88332781912</v>
      </c>
      <c r="H170" s="64">
        <f t="shared" si="46"/>
        <v>310823.37381422671</v>
      </c>
      <c r="I170" s="64">
        <f t="shared" si="46"/>
        <v>302678.98159046308</v>
      </c>
      <c r="J170" s="64">
        <f t="shared" si="46"/>
        <v>294679.41596559098</v>
      </c>
      <c r="K170" s="64">
        <f t="shared" si="46"/>
        <v>2614566.1601285832</v>
      </c>
    </row>
    <row r="171" spans="1:1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1" x14ac:dyDescent="0.25">
      <c r="A172" s="52" t="s">
        <v>188</v>
      </c>
      <c r="B172" s="67">
        <f>SUM(C170:K170)</f>
        <v>417099.27722555818</v>
      </c>
      <c r="C172" s="45"/>
      <c r="D172" s="45"/>
      <c r="E172" s="45"/>
      <c r="F172" s="45"/>
      <c r="G172" s="45"/>
      <c r="H172" s="45"/>
      <c r="I172" s="45"/>
      <c r="J172" s="45"/>
    </row>
    <row r="173" spans="1:1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1" x14ac:dyDescent="0.25">
      <c r="A174" s="29" t="s">
        <v>182</v>
      </c>
      <c r="B174" s="43">
        <f>IRR(C168:K168)</f>
        <v>8.7999289348906995E-2</v>
      </c>
    </row>
    <row r="176" spans="1:11" x14ac:dyDescent="0.25">
      <c r="A176" s="29" t="s">
        <v>152</v>
      </c>
      <c r="B176" s="43">
        <f>D136</f>
        <v>7.2021420535246308E-2</v>
      </c>
    </row>
  </sheetData>
  <sheetProtection selectLockedCells="1" selectUnlockedCells="1"/>
  <pageMargins left="0.7" right="0.7" top="0.75" bottom="0.75" header="0.51180555555555551" footer="0.51180555555555551"/>
  <pageSetup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workbookViewId="0">
      <selection activeCell="J2" sqref="J2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9" max="9" width="14.7109375" customWidth="1"/>
    <col min="10" max="10" width="12.7109375" bestFit="1" customWidth="1"/>
  </cols>
  <sheetData>
    <row r="1" spans="1:12" x14ac:dyDescent="0.2">
      <c r="B1" t="s">
        <v>31</v>
      </c>
      <c r="C1" t="s">
        <v>32</v>
      </c>
      <c r="D1" t="s">
        <v>33</v>
      </c>
      <c r="E1" t="s">
        <v>34</v>
      </c>
      <c r="F1" t="s">
        <v>35</v>
      </c>
      <c r="I1" t="s">
        <v>32</v>
      </c>
      <c r="J1" s="13">
        <v>4500000</v>
      </c>
      <c r="L1" t="s">
        <v>36</v>
      </c>
    </row>
    <row r="2" spans="1:12" ht="15" x14ac:dyDescent="0.25">
      <c r="A2" s="14" t="s">
        <v>37</v>
      </c>
      <c r="B2" s="15">
        <f>J1</f>
        <v>4500000</v>
      </c>
      <c r="C2" s="15">
        <f>E2-D2</f>
        <v>3688.6122830632412</v>
      </c>
      <c r="D2" s="15">
        <f>+B2*$J$2/12</f>
        <v>26250.000000000004</v>
      </c>
      <c r="E2" s="15">
        <f>-$L$5</f>
        <v>29938.612283063245</v>
      </c>
      <c r="F2" s="15">
        <f t="shared" ref="F2:F13" si="0">+B2-C2</f>
        <v>4496311.3877169369</v>
      </c>
      <c r="G2">
        <v>1</v>
      </c>
      <c r="I2" t="s">
        <v>38</v>
      </c>
      <c r="J2" s="24">
        <v>7.0000000000000007E-2</v>
      </c>
      <c r="L2">
        <f>J2/12</f>
        <v>5.8333333333333336E-3</v>
      </c>
    </row>
    <row r="3" spans="1:12" x14ac:dyDescent="0.2">
      <c r="A3" s="14" t="s">
        <v>39</v>
      </c>
      <c r="B3" s="15">
        <f t="shared" ref="B3:B13" si="1">+F2</f>
        <v>4496311.3877169369</v>
      </c>
      <c r="C3" s="15">
        <f t="shared" ref="C3:C13" si="2">E3-D3</f>
        <v>3710.1291880477766</v>
      </c>
      <c r="D3" s="15">
        <f t="shared" ref="D3:D13" si="3">+B3*$J$2/12</f>
        <v>26228.483095015468</v>
      </c>
      <c r="E3" s="15">
        <f t="shared" ref="E3:E13" si="4">-$L$5</f>
        <v>29938.612283063245</v>
      </c>
      <c r="F3" s="15">
        <f t="shared" si="0"/>
        <v>4492601.2585288892</v>
      </c>
      <c r="G3">
        <v>2</v>
      </c>
      <c r="I3" t="s">
        <v>40</v>
      </c>
      <c r="J3">
        <v>30</v>
      </c>
      <c r="L3">
        <f>J3*12</f>
        <v>360</v>
      </c>
    </row>
    <row r="4" spans="1:12" x14ac:dyDescent="0.2">
      <c r="A4" s="14" t="s">
        <v>41</v>
      </c>
      <c r="B4" s="15">
        <f t="shared" si="1"/>
        <v>4492601.2585288892</v>
      </c>
      <c r="C4" s="15">
        <f t="shared" si="2"/>
        <v>3731.7716083113883</v>
      </c>
      <c r="D4" s="15">
        <f t="shared" si="3"/>
        <v>26206.840674751857</v>
      </c>
      <c r="E4" s="15">
        <f t="shared" si="4"/>
        <v>29938.612283063245</v>
      </c>
      <c r="F4" s="15">
        <f t="shared" si="0"/>
        <v>4488869.4869205775</v>
      </c>
      <c r="G4">
        <v>3</v>
      </c>
    </row>
    <row r="5" spans="1:12" x14ac:dyDescent="0.2">
      <c r="A5" s="14" t="s">
        <v>42</v>
      </c>
      <c r="B5" s="15">
        <f t="shared" si="1"/>
        <v>4488869.4869205775</v>
      </c>
      <c r="C5" s="15">
        <f t="shared" si="2"/>
        <v>3753.5402760265388</v>
      </c>
      <c r="D5" s="15">
        <f t="shared" si="3"/>
        <v>26185.072007036706</v>
      </c>
      <c r="E5" s="15">
        <f t="shared" si="4"/>
        <v>29938.612283063245</v>
      </c>
      <c r="F5" s="15">
        <f t="shared" si="0"/>
        <v>4485115.9466445511</v>
      </c>
      <c r="G5">
        <v>4</v>
      </c>
      <c r="I5" t="s">
        <v>34</v>
      </c>
      <c r="L5" s="16">
        <f>PMT(L2,L3,J1,,0)</f>
        <v>-29938.612283063245</v>
      </c>
    </row>
    <row r="6" spans="1:12" x14ac:dyDescent="0.2">
      <c r="A6" s="14" t="s">
        <v>43</v>
      </c>
      <c r="B6" s="15">
        <f t="shared" si="1"/>
        <v>4485115.9466445511</v>
      </c>
      <c r="C6" s="15">
        <f t="shared" si="2"/>
        <v>3775.4359276366959</v>
      </c>
      <c r="D6" s="15">
        <f t="shared" si="3"/>
        <v>26163.176355426549</v>
      </c>
      <c r="E6" s="15">
        <f t="shared" si="4"/>
        <v>29938.612283063245</v>
      </c>
      <c r="F6" s="15">
        <f t="shared" si="0"/>
        <v>4481340.5107169142</v>
      </c>
      <c r="G6">
        <v>5</v>
      </c>
    </row>
    <row r="7" spans="1:12" x14ac:dyDescent="0.2">
      <c r="A7" s="14" t="s">
        <v>44</v>
      </c>
      <c r="B7" s="15">
        <f t="shared" si="1"/>
        <v>4481340.5107169142</v>
      </c>
      <c r="C7" s="15">
        <f t="shared" si="2"/>
        <v>3797.4593038812418</v>
      </c>
      <c r="D7" s="15">
        <f t="shared" si="3"/>
        <v>26141.152979182003</v>
      </c>
      <c r="E7" s="15">
        <f t="shared" si="4"/>
        <v>29938.612283063245</v>
      </c>
      <c r="F7" s="15">
        <f t="shared" si="0"/>
        <v>4477543.0514130332</v>
      </c>
      <c r="G7">
        <v>6</v>
      </c>
    </row>
    <row r="8" spans="1:12" x14ac:dyDescent="0.2">
      <c r="A8" s="14" t="s">
        <v>45</v>
      </c>
      <c r="B8" s="15">
        <f t="shared" si="1"/>
        <v>4477543.0514130332</v>
      </c>
      <c r="C8" s="15">
        <f t="shared" si="2"/>
        <v>3819.6111498205501</v>
      </c>
      <c r="D8" s="15">
        <f t="shared" si="3"/>
        <v>26119.001133242695</v>
      </c>
      <c r="E8" s="15">
        <f t="shared" si="4"/>
        <v>29938.612283063245</v>
      </c>
      <c r="F8" s="15">
        <f t="shared" si="0"/>
        <v>4473723.4402632127</v>
      </c>
      <c r="G8">
        <v>7</v>
      </c>
    </row>
    <row r="9" spans="1:12" x14ac:dyDescent="0.2">
      <c r="A9" s="14" t="s">
        <v>46</v>
      </c>
      <c r="B9" s="15">
        <f t="shared" si="1"/>
        <v>4473723.4402632127</v>
      </c>
      <c r="C9" s="15">
        <f t="shared" si="2"/>
        <v>3841.8922148611673</v>
      </c>
      <c r="D9" s="15">
        <f t="shared" si="3"/>
        <v>26096.720068202078</v>
      </c>
      <c r="E9" s="15">
        <f t="shared" si="4"/>
        <v>29938.612283063245</v>
      </c>
      <c r="F9" s="15">
        <f t="shared" si="0"/>
        <v>4469881.5480483519</v>
      </c>
      <c r="G9">
        <v>8</v>
      </c>
    </row>
    <row r="10" spans="1:12" x14ac:dyDescent="0.2">
      <c r="A10" s="14" t="s">
        <v>47</v>
      </c>
      <c r="B10" s="15">
        <f t="shared" si="1"/>
        <v>4469881.5480483519</v>
      </c>
      <c r="C10" s="15">
        <f t="shared" si="2"/>
        <v>3864.303252781192</v>
      </c>
      <c r="D10" s="15">
        <f t="shared" si="3"/>
        <v>26074.309030282053</v>
      </c>
      <c r="E10" s="15">
        <f t="shared" si="4"/>
        <v>29938.612283063245</v>
      </c>
      <c r="F10" s="15">
        <f t="shared" si="0"/>
        <v>4466017.2447955711</v>
      </c>
      <c r="G10">
        <v>9</v>
      </c>
      <c r="I10" s="17" t="s">
        <v>48</v>
      </c>
    </row>
    <row r="11" spans="1:12" x14ac:dyDescent="0.2">
      <c r="A11" s="14" t="s">
        <v>49</v>
      </c>
      <c r="B11" s="15">
        <f t="shared" si="1"/>
        <v>4466017.2447955711</v>
      </c>
      <c r="C11" s="15">
        <f t="shared" si="2"/>
        <v>3886.8450217557438</v>
      </c>
      <c r="D11" s="15">
        <f t="shared" si="3"/>
        <v>26051.767261307501</v>
      </c>
      <c r="E11" s="15">
        <f t="shared" si="4"/>
        <v>29938.612283063245</v>
      </c>
      <c r="F11" s="15">
        <f t="shared" si="0"/>
        <v>4462130.3997738156</v>
      </c>
      <c r="G11">
        <v>10</v>
      </c>
    </row>
    <row r="12" spans="1:12" x14ac:dyDescent="0.2">
      <c r="A12" s="14" t="s">
        <v>50</v>
      </c>
      <c r="B12" s="15">
        <f t="shared" si="1"/>
        <v>4462130.3997738156</v>
      </c>
      <c r="C12" s="15">
        <f t="shared" si="2"/>
        <v>3909.5182843826515</v>
      </c>
      <c r="D12" s="15">
        <f t="shared" si="3"/>
        <v>26029.093998680593</v>
      </c>
      <c r="E12" s="15">
        <f t="shared" si="4"/>
        <v>29938.612283063245</v>
      </c>
      <c r="F12" s="15">
        <f t="shared" si="0"/>
        <v>4458220.8814894333</v>
      </c>
      <c r="G12">
        <v>11</v>
      </c>
      <c r="I12" t="s">
        <v>32</v>
      </c>
      <c r="J12" t="s">
        <v>51</v>
      </c>
    </row>
    <row r="13" spans="1:12" ht="15" x14ac:dyDescent="0.25">
      <c r="A13" s="14" t="s">
        <v>52</v>
      </c>
      <c r="B13" s="15">
        <f t="shared" si="1"/>
        <v>4458220.8814894333</v>
      </c>
      <c r="C13" s="15">
        <f t="shared" si="2"/>
        <v>3932.3238077082133</v>
      </c>
      <c r="D13" s="15">
        <f t="shared" si="3"/>
        <v>26006.288475355032</v>
      </c>
      <c r="E13" s="15">
        <f t="shared" si="4"/>
        <v>29938.612283063245</v>
      </c>
      <c r="F13" s="18">
        <f t="shared" si="0"/>
        <v>4454288.5576817254</v>
      </c>
      <c r="G13">
        <v>12</v>
      </c>
      <c r="I13" s="19">
        <f>$B$2+CUMPRINC($L$2,$L$3,$B$2,G2,G13,0)</f>
        <v>4454288.5576817235</v>
      </c>
      <c r="J13" s="20">
        <f>-CUMIPMT($L$2,$L$3,$B$2,G2,G13,0)</f>
        <v>313551.90507848258</v>
      </c>
    </row>
    <row r="14" spans="1:12" x14ac:dyDescent="0.2">
      <c r="A14" s="21" t="s">
        <v>53</v>
      </c>
      <c r="B14" s="21"/>
      <c r="C14" s="22">
        <f>SUM(C2:C13)</f>
        <v>45711.442318276393</v>
      </c>
      <c r="D14" s="18">
        <f>SUM(D2:D13)</f>
        <v>313551.90507848252</v>
      </c>
      <c r="E14" s="15"/>
      <c r="F14" s="15"/>
    </row>
    <row r="15" spans="1:12" x14ac:dyDescent="0.2">
      <c r="A15" s="14"/>
      <c r="B15" s="14"/>
      <c r="C15" s="15"/>
      <c r="D15" s="15"/>
      <c r="E15" s="15"/>
      <c r="F15" s="15"/>
    </row>
    <row r="16" spans="1:12" x14ac:dyDescent="0.2">
      <c r="A16" s="14" t="s">
        <v>54</v>
      </c>
      <c r="B16" s="15">
        <f>+F13</f>
        <v>4454288.5576817254</v>
      </c>
      <c r="C16" s="15">
        <f t="shared" ref="C16:C27" si="5">E16-D16</f>
        <v>3955.2623632531795</v>
      </c>
      <c r="D16" s="15">
        <f>+B16*$J$2/12</f>
        <v>25983.349919810065</v>
      </c>
      <c r="E16" s="15">
        <f t="shared" ref="E16:E27" si="6">-$L$5</f>
        <v>29938.612283063245</v>
      </c>
      <c r="F16" s="15">
        <f t="shared" ref="F16:F27" si="7">+B16-C16</f>
        <v>4450333.2953184722</v>
      </c>
      <c r="G16">
        <v>13</v>
      </c>
    </row>
    <row r="17" spans="1:10" x14ac:dyDescent="0.2">
      <c r="A17" s="14" t="s">
        <v>55</v>
      </c>
      <c r="B17" s="15">
        <f t="shared" ref="B17:B27" si="8">+F16</f>
        <v>4450333.2953184722</v>
      </c>
      <c r="C17" s="15">
        <f t="shared" si="5"/>
        <v>3978.3347270388222</v>
      </c>
      <c r="D17" s="15">
        <f t="shared" ref="D17:D27" si="9">+B17*$J$2/12</f>
        <v>25960.277556024423</v>
      </c>
      <c r="E17" s="15">
        <f t="shared" si="6"/>
        <v>29938.612283063245</v>
      </c>
      <c r="F17" s="15">
        <f t="shared" si="7"/>
        <v>4446354.9605914336</v>
      </c>
      <c r="G17">
        <v>14</v>
      </c>
    </row>
    <row r="18" spans="1:10" x14ac:dyDescent="0.2">
      <c r="A18" s="14" t="s">
        <v>56</v>
      </c>
      <c r="B18" s="15">
        <f t="shared" si="8"/>
        <v>4446354.9605914336</v>
      </c>
      <c r="C18" s="15">
        <f t="shared" si="5"/>
        <v>4001.5416796132122</v>
      </c>
      <c r="D18" s="15">
        <f t="shared" si="9"/>
        <v>25937.070603450033</v>
      </c>
      <c r="E18" s="15">
        <f t="shared" si="6"/>
        <v>29938.612283063245</v>
      </c>
      <c r="F18" s="15">
        <f t="shared" si="7"/>
        <v>4442353.4189118203</v>
      </c>
      <c r="G18">
        <v>15</v>
      </c>
    </row>
    <row r="19" spans="1:10" x14ac:dyDescent="0.2">
      <c r="A19" s="14" t="s">
        <v>57</v>
      </c>
      <c r="B19" s="15">
        <f t="shared" si="8"/>
        <v>4442353.4189118203</v>
      </c>
      <c r="C19" s="15">
        <f t="shared" si="5"/>
        <v>4024.8840060776238</v>
      </c>
      <c r="D19" s="15">
        <f t="shared" si="9"/>
        <v>25913.728276985621</v>
      </c>
      <c r="E19" s="15">
        <f t="shared" si="6"/>
        <v>29938.612283063245</v>
      </c>
      <c r="F19" s="15">
        <f t="shared" si="7"/>
        <v>4438328.5349057429</v>
      </c>
      <c r="G19">
        <v>16</v>
      </c>
    </row>
    <row r="20" spans="1:10" x14ac:dyDescent="0.2">
      <c r="A20" s="14" t="s">
        <v>58</v>
      </c>
      <c r="B20" s="15">
        <f t="shared" si="8"/>
        <v>4438328.5349057429</v>
      </c>
      <c r="C20" s="15">
        <f t="shared" si="5"/>
        <v>4048.3624961130772</v>
      </c>
      <c r="D20" s="15">
        <f t="shared" si="9"/>
        <v>25890.249786950168</v>
      </c>
      <c r="E20" s="15">
        <f t="shared" si="6"/>
        <v>29938.612283063245</v>
      </c>
      <c r="F20" s="15">
        <f t="shared" si="7"/>
        <v>4434280.1724096294</v>
      </c>
      <c r="G20">
        <v>17</v>
      </c>
    </row>
    <row r="21" spans="1:10" x14ac:dyDescent="0.2">
      <c r="A21" s="14" t="s">
        <v>59</v>
      </c>
      <c r="B21" s="15">
        <f t="shared" si="8"/>
        <v>4434280.1724096294</v>
      </c>
      <c r="C21" s="15">
        <f t="shared" si="5"/>
        <v>4071.977944007067</v>
      </c>
      <c r="D21" s="15">
        <f t="shared" si="9"/>
        <v>25866.634339056178</v>
      </c>
      <c r="E21" s="15">
        <f t="shared" si="6"/>
        <v>29938.612283063245</v>
      </c>
      <c r="F21" s="15">
        <f t="shared" si="7"/>
        <v>4430208.1944656223</v>
      </c>
      <c r="G21">
        <v>18</v>
      </c>
    </row>
    <row r="22" spans="1:10" x14ac:dyDescent="0.2">
      <c r="A22" s="14" t="s">
        <v>60</v>
      </c>
      <c r="B22" s="15">
        <f t="shared" si="8"/>
        <v>4430208.1944656223</v>
      </c>
      <c r="C22" s="15">
        <f t="shared" si="5"/>
        <v>4095.7311486804465</v>
      </c>
      <c r="D22" s="15">
        <f t="shared" si="9"/>
        <v>25842.881134382798</v>
      </c>
      <c r="E22" s="15">
        <f t="shared" si="6"/>
        <v>29938.612283063245</v>
      </c>
      <c r="F22" s="15">
        <f t="shared" si="7"/>
        <v>4426112.4633169416</v>
      </c>
      <c r="G22">
        <v>19</v>
      </c>
    </row>
    <row r="23" spans="1:10" x14ac:dyDescent="0.2">
      <c r="A23" s="14" t="s">
        <v>61</v>
      </c>
      <c r="B23" s="15">
        <f t="shared" si="8"/>
        <v>4426112.4633169416</v>
      </c>
      <c r="C23" s="15">
        <f t="shared" si="5"/>
        <v>4119.6229137144182</v>
      </c>
      <c r="D23" s="15">
        <f t="shared" si="9"/>
        <v>25818.989369348827</v>
      </c>
      <c r="E23" s="15">
        <f t="shared" si="6"/>
        <v>29938.612283063245</v>
      </c>
      <c r="F23" s="15">
        <f t="shared" si="7"/>
        <v>4421992.8404032271</v>
      </c>
      <c r="G23">
        <v>20</v>
      </c>
    </row>
    <row r="24" spans="1:10" x14ac:dyDescent="0.2">
      <c r="A24" s="14" t="s">
        <v>62</v>
      </c>
      <c r="B24" s="15">
        <f t="shared" si="8"/>
        <v>4421992.8404032271</v>
      </c>
      <c r="C24" s="15">
        <f t="shared" si="5"/>
        <v>4143.6540473777495</v>
      </c>
      <c r="D24" s="15">
        <f t="shared" si="9"/>
        <v>25794.958235685495</v>
      </c>
      <c r="E24" s="15">
        <f t="shared" si="6"/>
        <v>29938.612283063245</v>
      </c>
      <c r="F24" s="15">
        <f t="shared" si="7"/>
        <v>4417849.1863558497</v>
      </c>
      <c r="G24">
        <v>21</v>
      </c>
    </row>
    <row r="25" spans="1:10" x14ac:dyDescent="0.2">
      <c r="A25" s="14" t="s">
        <v>63</v>
      </c>
      <c r="B25" s="15">
        <f t="shared" si="8"/>
        <v>4417849.1863558497</v>
      </c>
      <c r="C25" s="15">
        <f t="shared" si="5"/>
        <v>4167.8253626541191</v>
      </c>
      <c r="D25" s="15">
        <f t="shared" si="9"/>
        <v>25770.786920409126</v>
      </c>
      <c r="E25" s="15">
        <f t="shared" si="6"/>
        <v>29938.612283063245</v>
      </c>
      <c r="F25" s="15">
        <f t="shared" si="7"/>
        <v>4413681.3609931953</v>
      </c>
      <c r="G25">
        <v>22</v>
      </c>
    </row>
    <row r="26" spans="1:10" x14ac:dyDescent="0.2">
      <c r="A26" s="14" t="s">
        <v>64</v>
      </c>
      <c r="B26" s="15">
        <f t="shared" si="8"/>
        <v>4413681.3609931953</v>
      </c>
      <c r="C26" s="15">
        <f t="shared" si="5"/>
        <v>4192.1376772696021</v>
      </c>
      <c r="D26" s="15">
        <f t="shared" si="9"/>
        <v>25746.474605793643</v>
      </c>
      <c r="E26" s="15">
        <f t="shared" si="6"/>
        <v>29938.612283063245</v>
      </c>
      <c r="F26" s="15">
        <f t="shared" si="7"/>
        <v>4409489.2233159253</v>
      </c>
      <c r="G26">
        <v>23</v>
      </c>
      <c r="I26" t="s">
        <v>32</v>
      </c>
      <c r="J26" t="s">
        <v>51</v>
      </c>
    </row>
    <row r="27" spans="1:10" ht="15" x14ac:dyDescent="0.25">
      <c r="A27" s="14" t="s">
        <v>65</v>
      </c>
      <c r="B27" s="15">
        <f t="shared" si="8"/>
        <v>4409489.2233159253</v>
      </c>
      <c r="C27" s="15">
        <f t="shared" si="5"/>
        <v>4216.5918137203444</v>
      </c>
      <c r="D27" s="15">
        <f t="shared" si="9"/>
        <v>25722.0204693429</v>
      </c>
      <c r="E27" s="15">
        <f t="shared" si="6"/>
        <v>29938.612283063245</v>
      </c>
      <c r="F27" s="22">
        <f t="shared" si="7"/>
        <v>4405272.6315022046</v>
      </c>
      <c r="G27">
        <v>24</v>
      </c>
      <c r="I27" s="19">
        <f>$B$2+CUMPRINC($L$2,$L$3,$B$2,G2,G27,0)</f>
        <v>4405272.6315022036</v>
      </c>
      <c r="J27" s="20">
        <f>-CUMIPMT($L$2,$L$3,$B$2,G16,G27,0)</f>
        <v>310247.42121723917</v>
      </c>
    </row>
    <row r="28" spans="1:10" x14ac:dyDescent="0.2">
      <c r="A28" s="21" t="s">
        <v>53</v>
      </c>
      <c r="B28" s="21"/>
      <c r="C28" s="22">
        <f>SUM(C16:C27)</f>
        <v>49015.926179519665</v>
      </c>
      <c r="D28" s="22">
        <f>SUM(D16:D27)</f>
        <v>310247.42121723929</v>
      </c>
      <c r="E28" s="15"/>
      <c r="F28" s="15"/>
    </row>
    <row r="29" spans="1:10" x14ac:dyDescent="0.2">
      <c r="A29" s="14"/>
      <c r="B29" s="14"/>
      <c r="C29" s="15"/>
      <c r="D29" s="15"/>
      <c r="E29" s="15"/>
      <c r="F29" s="15"/>
    </row>
    <row r="30" spans="1:10" x14ac:dyDescent="0.2">
      <c r="A30" s="14" t="s">
        <v>66</v>
      </c>
      <c r="B30" s="15">
        <f>+F27</f>
        <v>4405272.6315022046</v>
      </c>
      <c r="C30" s="15">
        <f>E30-D30</f>
        <v>4241.1885993003852</v>
      </c>
      <c r="D30" s="15">
        <f>+B30*$J$2/12</f>
        <v>25697.42368376286</v>
      </c>
      <c r="E30" s="15">
        <f t="shared" ref="E30:E41" si="10">-$L$5</f>
        <v>29938.612283063245</v>
      </c>
      <c r="F30" s="15">
        <f t="shared" ref="F30:F41" si="11">+B30-C30</f>
        <v>4401031.442902904</v>
      </c>
      <c r="G30">
        <v>25</v>
      </c>
    </row>
    <row r="31" spans="1:10" x14ac:dyDescent="0.2">
      <c r="A31" s="14" t="s">
        <v>67</v>
      </c>
      <c r="B31" s="15">
        <f t="shared" ref="B31:B41" si="12">+F30</f>
        <v>4401031.442902904</v>
      </c>
      <c r="C31" s="15">
        <f t="shared" ref="C31:C41" si="13">E31-D31</f>
        <v>4265.9288661296378</v>
      </c>
      <c r="D31" s="15">
        <f t="shared" ref="D31:D41" si="14">+B31*$J$2/12</f>
        <v>25672.683416933607</v>
      </c>
      <c r="E31" s="15">
        <f t="shared" si="10"/>
        <v>29938.612283063245</v>
      </c>
      <c r="F31" s="15">
        <f t="shared" si="11"/>
        <v>4396765.5140367746</v>
      </c>
      <c r="G31">
        <v>26</v>
      </c>
    </row>
    <row r="32" spans="1:10" x14ac:dyDescent="0.2">
      <c r="A32" s="14" t="s">
        <v>68</v>
      </c>
      <c r="B32" s="15">
        <f t="shared" si="12"/>
        <v>4396765.5140367746</v>
      </c>
      <c r="C32" s="15">
        <f t="shared" si="13"/>
        <v>4290.8134511820572</v>
      </c>
      <c r="D32" s="15">
        <f t="shared" si="14"/>
        <v>25647.798831881188</v>
      </c>
      <c r="E32" s="15">
        <f t="shared" si="10"/>
        <v>29938.612283063245</v>
      </c>
      <c r="F32" s="15">
        <f t="shared" si="11"/>
        <v>4392474.7005855925</v>
      </c>
      <c r="G32">
        <v>27</v>
      </c>
    </row>
    <row r="33" spans="1:10" x14ac:dyDescent="0.2">
      <c r="A33" s="14" t="s">
        <v>69</v>
      </c>
      <c r="B33" s="15">
        <f t="shared" si="12"/>
        <v>4392474.7005855925</v>
      </c>
      <c r="C33" s="15">
        <f t="shared" si="13"/>
        <v>4315.8431963139519</v>
      </c>
      <c r="D33" s="15">
        <f t="shared" si="14"/>
        <v>25622.769086749293</v>
      </c>
      <c r="E33" s="15">
        <f t="shared" si="10"/>
        <v>29938.612283063245</v>
      </c>
      <c r="F33" s="15">
        <f t="shared" si="11"/>
        <v>4388158.8573892787</v>
      </c>
      <c r="G33">
        <v>28</v>
      </c>
    </row>
    <row r="34" spans="1:10" x14ac:dyDescent="0.2">
      <c r="A34" s="14" t="s">
        <v>70</v>
      </c>
      <c r="B34" s="15">
        <f t="shared" si="12"/>
        <v>4388158.8573892787</v>
      </c>
      <c r="C34" s="15">
        <f t="shared" si="13"/>
        <v>4341.0189482924507</v>
      </c>
      <c r="D34" s="15">
        <f t="shared" si="14"/>
        <v>25597.593334770794</v>
      </c>
      <c r="E34" s="15">
        <f t="shared" si="10"/>
        <v>29938.612283063245</v>
      </c>
      <c r="F34" s="15">
        <f t="shared" si="11"/>
        <v>4383817.8384409864</v>
      </c>
      <c r="G34">
        <v>29</v>
      </c>
    </row>
    <row r="35" spans="1:10" x14ac:dyDescent="0.2">
      <c r="A35" s="14" t="s">
        <v>71</v>
      </c>
      <c r="B35" s="15">
        <f t="shared" si="12"/>
        <v>4383817.8384409864</v>
      </c>
      <c r="C35" s="15">
        <f t="shared" si="13"/>
        <v>4366.3415588241551</v>
      </c>
      <c r="D35" s="15">
        <f t="shared" si="14"/>
        <v>25572.27072423909</v>
      </c>
      <c r="E35" s="15">
        <f t="shared" si="10"/>
        <v>29938.612283063245</v>
      </c>
      <c r="F35" s="15">
        <f t="shared" si="11"/>
        <v>4379451.4968821621</v>
      </c>
      <c r="G35">
        <v>30</v>
      </c>
    </row>
    <row r="36" spans="1:10" x14ac:dyDescent="0.2">
      <c r="A36" s="14" t="s">
        <v>72</v>
      </c>
      <c r="B36" s="15">
        <f t="shared" si="12"/>
        <v>4379451.4968821621</v>
      </c>
      <c r="C36" s="15">
        <f t="shared" si="13"/>
        <v>4391.8118845839672</v>
      </c>
      <c r="D36" s="15">
        <f t="shared" si="14"/>
        <v>25546.800398479278</v>
      </c>
      <c r="E36" s="15">
        <f t="shared" si="10"/>
        <v>29938.612283063245</v>
      </c>
      <c r="F36" s="15">
        <f t="shared" si="11"/>
        <v>4375059.6849975782</v>
      </c>
      <c r="G36">
        <v>31</v>
      </c>
    </row>
    <row r="37" spans="1:10" x14ac:dyDescent="0.2">
      <c r="A37" s="14" t="s">
        <v>73</v>
      </c>
      <c r="B37" s="15">
        <f t="shared" si="12"/>
        <v>4375059.6849975782</v>
      </c>
      <c r="C37" s="15">
        <f t="shared" si="13"/>
        <v>4417.4307872440368</v>
      </c>
      <c r="D37" s="15">
        <f t="shared" si="14"/>
        <v>25521.181495819208</v>
      </c>
      <c r="E37" s="15">
        <f t="shared" si="10"/>
        <v>29938.612283063245</v>
      </c>
      <c r="F37" s="15">
        <f t="shared" si="11"/>
        <v>4370642.2542103343</v>
      </c>
      <c r="G37">
        <v>32</v>
      </c>
    </row>
    <row r="38" spans="1:10" x14ac:dyDescent="0.2">
      <c r="A38" s="14" t="s">
        <v>74</v>
      </c>
      <c r="B38" s="15">
        <f t="shared" si="12"/>
        <v>4370642.2542103343</v>
      </c>
      <c r="C38" s="15">
        <f t="shared" si="13"/>
        <v>4443.1991335029561</v>
      </c>
      <c r="D38" s="15">
        <f t="shared" si="14"/>
        <v>25495.413149560289</v>
      </c>
      <c r="E38" s="15">
        <f t="shared" si="10"/>
        <v>29938.612283063245</v>
      </c>
      <c r="F38" s="15">
        <f t="shared" si="11"/>
        <v>4366199.055076831</v>
      </c>
      <c r="G38">
        <v>33</v>
      </c>
    </row>
    <row r="39" spans="1:10" x14ac:dyDescent="0.2">
      <c r="A39" s="14" t="s">
        <v>75</v>
      </c>
      <c r="B39" s="15">
        <f t="shared" si="12"/>
        <v>4366199.055076831</v>
      </c>
      <c r="C39" s="15">
        <f t="shared" si="13"/>
        <v>4469.1177951150639</v>
      </c>
      <c r="D39" s="15">
        <f t="shared" si="14"/>
        <v>25469.494487948181</v>
      </c>
      <c r="E39" s="15">
        <f t="shared" si="10"/>
        <v>29938.612283063245</v>
      </c>
      <c r="F39" s="15">
        <f t="shared" si="11"/>
        <v>4361729.9372817157</v>
      </c>
      <c r="G39">
        <v>34</v>
      </c>
    </row>
    <row r="40" spans="1:10" x14ac:dyDescent="0.2">
      <c r="A40" s="14" t="s">
        <v>76</v>
      </c>
      <c r="B40" s="15">
        <f t="shared" si="12"/>
        <v>4361729.9372817157</v>
      </c>
      <c r="C40" s="15">
        <f t="shared" si="13"/>
        <v>4495.1876489199021</v>
      </c>
      <c r="D40" s="15">
        <f t="shared" si="14"/>
        <v>25443.424634143343</v>
      </c>
      <c r="E40" s="15">
        <f t="shared" si="10"/>
        <v>29938.612283063245</v>
      </c>
      <c r="F40" s="15">
        <f t="shared" si="11"/>
        <v>4357234.7496327953</v>
      </c>
      <c r="G40">
        <v>35</v>
      </c>
      <c r="I40" t="s">
        <v>32</v>
      </c>
      <c r="J40" t="s">
        <v>51</v>
      </c>
    </row>
    <row r="41" spans="1:10" ht="15" x14ac:dyDescent="0.25">
      <c r="A41" s="14" t="s">
        <v>77</v>
      </c>
      <c r="B41" s="15">
        <f t="shared" si="12"/>
        <v>4357234.7496327953</v>
      </c>
      <c r="C41" s="15">
        <f t="shared" si="13"/>
        <v>4521.4095768719344</v>
      </c>
      <c r="D41" s="15">
        <f t="shared" si="14"/>
        <v>25417.20270619131</v>
      </c>
      <c r="E41" s="15">
        <f t="shared" si="10"/>
        <v>29938.612283063245</v>
      </c>
      <c r="F41" s="22">
        <f t="shared" si="11"/>
        <v>4352713.340055923</v>
      </c>
      <c r="G41">
        <v>36</v>
      </c>
      <c r="I41" s="19">
        <f>$B$2+CUMPRINC($L$2,$L$3,$B$2,G2,G41,0)</f>
        <v>4352713.340055923</v>
      </c>
      <c r="J41" s="20">
        <f>-CUMIPMT($L$2,$L$3,$B$2,G30,G41,0)</f>
        <v>306704.05595047842</v>
      </c>
    </row>
    <row r="42" spans="1:10" x14ac:dyDescent="0.2">
      <c r="A42" s="21" t="s">
        <v>53</v>
      </c>
      <c r="B42" s="21"/>
      <c r="C42" s="22">
        <f>SUM(C30:C41)</f>
        <v>52559.291446280498</v>
      </c>
      <c r="D42" s="22">
        <f>SUM(D30:D41)</f>
        <v>306704.05595047842</v>
      </c>
      <c r="E42" s="15"/>
      <c r="F42" s="15"/>
    </row>
    <row r="43" spans="1:10" x14ac:dyDescent="0.2">
      <c r="A43" s="14"/>
      <c r="B43" s="14"/>
      <c r="C43" s="15"/>
      <c r="D43" s="15"/>
      <c r="E43" s="15"/>
      <c r="F43" s="15"/>
    </row>
    <row r="44" spans="1:10" x14ac:dyDescent="0.2">
      <c r="A44" s="14" t="s">
        <v>78</v>
      </c>
      <c r="B44" s="15">
        <f>+F41</f>
        <v>4352713.340055923</v>
      </c>
      <c r="C44" s="15">
        <f>E44-D44</f>
        <v>4547.7844660703595</v>
      </c>
      <c r="D44" s="15">
        <f>+B44*$J$2/12</f>
        <v>25390.827816992885</v>
      </c>
      <c r="E44" s="15">
        <f t="shared" ref="E44:E107" si="15">-$L$5</f>
        <v>29938.612283063245</v>
      </c>
      <c r="F44" s="15">
        <f t="shared" ref="F44:F55" si="16">+B44-C44</f>
        <v>4348165.5555898529</v>
      </c>
      <c r="G44">
        <v>37</v>
      </c>
    </row>
    <row r="45" spans="1:10" x14ac:dyDescent="0.2">
      <c r="A45" s="14" t="s">
        <v>79</v>
      </c>
      <c r="B45" s="15">
        <f t="shared" ref="B45:B55" si="17">+F44</f>
        <v>4348165.5555898529</v>
      </c>
      <c r="C45" s="15">
        <f t="shared" ref="C45:C55" si="18">E45-D45</f>
        <v>4574.3132087891026</v>
      </c>
      <c r="D45" s="15">
        <f t="shared" ref="D45:D55" si="19">+B45*$J$2/12</f>
        <v>25364.299074274142</v>
      </c>
      <c r="E45" s="15">
        <f t="shared" si="15"/>
        <v>29938.612283063245</v>
      </c>
      <c r="F45" s="15">
        <f t="shared" si="16"/>
        <v>4343591.2423810633</v>
      </c>
      <c r="G45">
        <v>38</v>
      </c>
    </row>
    <row r="46" spans="1:10" x14ac:dyDescent="0.2">
      <c r="A46" s="14" t="s">
        <v>80</v>
      </c>
      <c r="B46" s="15">
        <f t="shared" si="17"/>
        <v>4343591.2423810633</v>
      </c>
      <c r="C46" s="15">
        <f t="shared" si="18"/>
        <v>4600.99670250704</v>
      </c>
      <c r="D46" s="15">
        <f t="shared" si="19"/>
        <v>25337.615580556205</v>
      </c>
      <c r="E46" s="15">
        <f t="shared" si="15"/>
        <v>29938.612283063245</v>
      </c>
      <c r="F46" s="15">
        <f t="shared" si="16"/>
        <v>4338990.2456785562</v>
      </c>
      <c r="G46">
        <v>39</v>
      </c>
    </row>
    <row r="47" spans="1:10" x14ac:dyDescent="0.2">
      <c r="A47" s="14" t="s">
        <v>81</v>
      </c>
      <c r="B47" s="15">
        <f t="shared" si="17"/>
        <v>4338990.2456785562</v>
      </c>
      <c r="C47" s="15">
        <f t="shared" si="18"/>
        <v>4627.8358499383285</v>
      </c>
      <c r="D47" s="15">
        <f t="shared" si="19"/>
        <v>25310.776433124916</v>
      </c>
      <c r="E47" s="15">
        <f t="shared" si="15"/>
        <v>29938.612283063245</v>
      </c>
      <c r="F47" s="15">
        <f t="shared" si="16"/>
        <v>4334362.4098286182</v>
      </c>
      <c r="G47">
        <v>40</v>
      </c>
    </row>
    <row r="48" spans="1:10" x14ac:dyDescent="0.2">
      <c r="A48" s="14" t="s">
        <v>82</v>
      </c>
      <c r="B48" s="15">
        <f t="shared" si="17"/>
        <v>4334362.4098286182</v>
      </c>
      <c r="C48" s="15">
        <f t="shared" si="18"/>
        <v>4654.8315590629718</v>
      </c>
      <c r="D48" s="15">
        <f t="shared" si="19"/>
        <v>25283.780724000273</v>
      </c>
      <c r="E48" s="15">
        <f t="shared" si="15"/>
        <v>29938.612283063245</v>
      </c>
      <c r="F48" s="15">
        <f t="shared" si="16"/>
        <v>4329707.5782695552</v>
      </c>
      <c r="G48">
        <v>41</v>
      </c>
    </row>
    <row r="49" spans="1:10" x14ac:dyDescent="0.2">
      <c r="A49" s="14" t="s">
        <v>83</v>
      </c>
      <c r="B49" s="15">
        <f t="shared" si="17"/>
        <v>4329707.5782695552</v>
      </c>
      <c r="C49" s="15">
        <f t="shared" si="18"/>
        <v>4681.9847431575072</v>
      </c>
      <c r="D49" s="15">
        <f t="shared" si="19"/>
        <v>25256.627539905738</v>
      </c>
      <c r="E49" s="15">
        <f t="shared" si="15"/>
        <v>29938.612283063245</v>
      </c>
      <c r="F49" s="15">
        <f t="shared" si="16"/>
        <v>4325025.5935263978</v>
      </c>
      <c r="G49">
        <v>42</v>
      </c>
    </row>
    <row r="50" spans="1:10" x14ac:dyDescent="0.2">
      <c r="A50" s="14" t="s">
        <v>84</v>
      </c>
      <c r="B50" s="15">
        <f t="shared" si="17"/>
        <v>4325025.5935263978</v>
      </c>
      <c r="C50" s="15">
        <f t="shared" si="18"/>
        <v>4709.2963208259207</v>
      </c>
      <c r="D50" s="15">
        <f t="shared" si="19"/>
        <v>25229.315962237324</v>
      </c>
      <c r="E50" s="15">
        <f t="shared" si="15"/>
        <v>29938.612283063245</v>
      </c>
      <c r="F50" s="15">
        <f t="shared" si="16"/>
        <v>4320316.297205572</v>
      </c>
      <c r="G50">
        <v>43</v>
      </c>
    </row>
    <row r="51" spans="1:10" x14ac:dyDescent="0.2">
      <c r="A51" s="14" t="s">
        <v>85</v>
      </c>
      <c r="B51" s="15">
        <f t="shared" si="17"/>
        <v>4320316.297205572</v>
      </c>
      <c r="C51" s="15">
        <f t="shared" si="18"/>
        <v>4736.7672160307375</v>
      </c>
      <c r="D51" s="15">
        <f t="shared" si="19"/>
        <v>25201.845067032507</v>
      </c>
      <c r="E51" s="15">
        <f t="shared" si="15"/>
        <v>29938.612283063245</v>
      </c>
      <c r="F51" s="15">
        <f t="shared" si="16"/>
        <v>4315579.5299895415</v>
      </c>
      <c r="G51">
        <v>44</v>
      </c>
    </row>
    <row r="52" spans="1:10" x14ac:dyDescent="0.2">
      <c r="A52" s="14" t="s">
        <v>86</v>
      </c>
      <c r="B52" s="15">
        <f t="shared" si="17"/>
        <v>4315579.5299895415</v>
      </c>
      <c r="C52" s="15">
        <f t="shared" si="18"/>
        <v>4764.3983581242537</v>
      </c>
      <c r="D52" s="15">
        <f t="shared" si="19"/>
        <v>25174.213924938991</v>
      </c>
      <c r="E52" s="15">
        <f t="shared" si="15"/>
        <v>29938.612283063245</v>
      </c>
      <c r="F52" s="15">
        <f t="shared" si="16"/>
        <v>4310815.1316314172</v>
      </c>
      <c r="G52">
        <v>45</v>
      </c>
    </row>
    <row r="53" spans="1:10" x14ac:dyDescent="0.2">
      <c r="A53" s="14" t="s">
        <v>87</v>
      </c>
      <c r="B53" s="15">
        <f t="shared" si="17"/>
        <v>4310815.1316314172</v>
      </c>
      <c r="C53" s="15">
        <f t="shared" si="18"/>
        <v>4792.1906818799725</v>
      </c>
      <c r="D53" s="15">
        <f t="shared" si="19"/>
        <v>25146.421601183272</v>
      </c>
      <c r="E53" s="15">
        <f t="shared" si="15"/>
        <v>29938.612283063245</v>
      </c>
      <c r="F53" s="15">
        <f t="shared" si="16"/>
        <v>4306022.9409495369</v>
      </c>
      <c r="G53">
        <v>46</v>
      </c>
    </row>
    <row r="54" spans="1:10" x14ac:dyDescent="0.2">
      <c r="A54" s="14" t="s">
        <v>88</v>
      </c>
      <c r="B54" s="15">
        <f t="shared" si="17"/>
        <v>4306022.9409495369</v>
      </c>
      <c r="C54" s="15">
        <f t="shared" si="18"/>
        <v>4820.1451275242798</v>
      </c>
      <c r="D54" s="15">
        <f t="shared" si="19"/>
        <v>25118.467155538965</v>
      </c>
      <c r="E54" s="15">
        <f t="shared" si="15"/>
        <v>29938.612283063245</v>
      </c>
      <c r="F54" s="15">
        <f t="shared" si="16"/>
        <v>4301202.7958220122</v>
      </c>
      <c r="G54">
        <v>47</v>
      </c>
      <c r="I54" t="s">
        <v>32</v>
      </c>
      <c r="J54" t="s">
        <v>51</v>
      </c>
    </row>
    <row r="55" spans="1:10" ht="15" x14ac:dyDescent="0.25">
      <c r="A55" s="14" t="s">
        <v>89</v>
      </c>
      <c r="B55" s="15">
        <f t="shared" si="17"/>
        <v>4301202.7958220122</v>
      </c>
      <c r="C55" s="15">
        <f t="shared" si="18"/>
        <v>4848.262640768171</v>
      </c>
      <c r="D55" s="15">
        <f t="shared" si="19"/>
        <v>25090.349642295074</v>
      </c>
      <c r="E55" s="15">
        <f t="shared" si="15"/>
        <v>29938.612283063245</v>
      </c>
      <c r="F55" s="22">
        <f t="shared" si="16"/>
        <v>4296354.5331812445</v>
      </c>
      <c r="G55">
        <v>48</v>
      </c>
      <c r="H55" s="15"/>
      <c r="I55" s="19">
        <f>$B$2+CUMPRINC($L$2,$L$3,$B$2,G2,G55,0)</f>
        <v>4296354.5331812445</v>
      </c>
      <c r="J55" s="20">
        <f>-CUMIPMT($L$2,$L$3,$B$2,G44,G55,0)</f>
        <v>302904.54052208038</v>
      </c>
    </row>
    <row r="56" spans="1:10" x14ac:dyDescent="0.2">
      <c r="A56" s="21" t="s">
        <v>53</v>
      </c>
      <c r="B56" s="17"/>
      <c r="C56" s="22">
        <f>SUM(C44:C55)</f>
        <v>56358.806874678645</v>
      </c>
      <c r="D56" s="22">
        <f>SUM(D44:D55)</f>
        <v>302904.54052208032</v>
      </c>
    </row>
    <row r="58" spans="1:10" x14ac:dyDescent="0.2">
      <c r="A58" s="14" t="s">
        <v>78</v>
      </c>
      <c r="B58" s="15">
        <f>+F55</f>
        <v>4296354.5331812445</v>
      </c>
      <c r="C58" s="15">
        <f t="shared" ref="C58:C69" si="20">E58-D58</f>
        <v>4876.5441728393162</v>
      </c>
      <c r="D58" s="15">
        <f t="shared" ref="D58:D69" si="21">+B58*$J$2/12</f>
        <v>25062.068110223929</v>
      </c>
      <c r="E58" s="15">
        <f t="shared" si="15"/>
        <v>29938.612283063245</v>
      </c>
      <c r="F58" s="15">
        <f t="shared" ref="F58:F69" si="22">+B58-C58</f>
        <v>4291477.9890084052</v>
      </c>
      <c r="G58">
        <v>49</v>
      </c>
    </row>
    <row r="59" spans="1:10" x14ac:dyDescent="0.2">
      <c r="A59" s="14" t="s">
        <v>79</v>
      </c>
      <c r="B59" s="15">
        <f t="shared" ref="B59:B69" si="23">+F58</f>
        <v>4291477.9890084052</v>
      </c>
      <c r="C59" s="15">
        <f t="shared" si="20"/>
        <v>4904.9906805142127</v>
      </c>
      <c r="D59" s="15">
        <f t="shared" si="21"/>
        <v>25033.621602549032</v>
      </c>
      <c r="E59" s="15">
        <f t="shared" si="15"/>
        <v>29938.612283063245</v>
      </c>
      <c r="F59" s="15">
        <f t="shared" si="22"/>
        <v>4286572.9983278913</v>
      </c>
      <c r="G59">
        <v>50</v>
      </c>
    </row>
    <row r="60" spans="1:10" x14ac:dyDescent="0.2">
      <c r="A60" s="14" t="s">
        <v>80</v>
      </c>
      <c r="B60" s="15">
        <f t="shared" si="23"/>
        <v>4286572.9983278913</v>
      </c>
      <c r="C60" s="15">
        <f t="shared" si="20"/>
        <v>4933.603126150545</v>
      </c>
      <c r="D60" s="15">
        <f t="shared" si="21"/>
        <v>25005.0091569127</v>
      </c>
      <c r="E60" s="15">
        <f t="shared" si="15"/>
        <v>29938.612283063245</v>
      </c>
      <c r="F60" s="15">
        <f t="shared" si="22"/>
        <v>4281639.3952017408</v>
      </c>
      <c r="G60">
        <v>51</v>
      </c>
    </row>
    <row r="61" spans="1:10" x14ac:dyDescent="0.2">
      <c r="A61" s="14" t="s">
        <v>81</v>
      </c>
      <c r="B61" s="15">
        <f t="shared" si="23"/>
        <v>4281639.3952017408</v>
      </c>
      <c r="C61" s="15">
        <f t="shared" si="20"/>
        <v>4962.3824777197551</v>
      </c>
      <c r="D61" s="15">
        <f t="shared" si="21"/>
        <v>24976.22980534349</v>
      </c>
      <c r="E61" s="15">
        <f t="shared" si="15"/>
        <v>29938.612283063245</v>
      </c>
      <c r="F61" s="15">
        <f t="shared" si="22"/>
        <v>4276677.0127240214</v>
      </c>
      <c r="G61">
        <v>52</v>
      </c>
    </row>
    <row r="62" spans="1:10" x14ac:dyDescent="0.2">
      <c r="A62" s="14" t="s">
        <v>82</v>
      </c>
      <c r="B62" s="15">
        <f t="shared" si="23"/>
        <v>4276677.0127240214</v>
      </c>
      <c r="C62" s="15">
        <f t="shared" si="20"/>
        <v>4991.3297088397849</v>
      </c>
      <c r="D62" s="15">
        <f t="shared" si="21"/>
        <v>24947.28257422346</v>
      </c>
      <c r="E62" s="15">
        <f t="shared" si="15"/>
        <v>29938.612283063245</v>
      </c>
      <c r="F62" s="15">
        <f t="shared" si="22"/>
        <v>4271685.6830151817</v>
      </c>
      <c r="G62">
        <v>53</v>
      </c>
    </row>
    <row r="63" spans="1:10" x14ac:dyDescent="0.2">
      <c r="A63" s="14" t="s">
        <v>83</v>
      </c>
      <c r="B63" s="15">
        <f t="shared" si="23"/>
        <v>4271685.6830151817</v>
      </c>
      <c r="C63" s="15">
        <f t="shared" si="20"/>
        <v>5020.4457988080176</v>
      </c>
      <c r="D63" s="15">
        <f t="shared" si="21"/>
        <v>24918.166484255227</v>
      </c>
      <c r="E63" s="15">
        <f t="shared" si="15"/>
        <v>29938.612283063245</v>
      </c>
      <c r="F63" s="15">
        <f t="shared" si="22"/>
        <v>4266665.2372163739</v>
      </c>
      <c r="G63">
        <v>54</v>
      </c>
    </row>
    <row r="64" spans="1:10" x14ac:dyDescent="0.2">
      <c r="A64" s="14" t="s">
        <v>84</v>
      </c>
      <c r="B64" s="15">
        <f t="shared" si="23"/>
        <v>4266665.2372163739</v>
      </c>
      <c r="C64" s="15">
        <f t="shared" si="20"/>
        <v>5049.7317326343946</v>
      </c>
      <c r="D64" s="15">
        <f t="shared" si="21"/>
        <v>24888.88055042885</v>
      </c>
      <c r="E64" s="15">
        <f t="shared" si="15"/>
        <v>29938.612283063245</v>
      </c>
      <c r="F64" s="15">
        <f t="shared" si="22"/>
        <v>4261615.5054837391</v>
      </c>
      <c r="G64">
        <v>55</v>
      </c>
    </row>
    <row r="65" spans="1:10" x14ac:dyDescent="0.2">
      <c r="A65" s="14" t="s">
        <v>85</v>
      </c>
      <c r="B65" s="15">
        <f t="shared" si="23"/>
        <v>4261615.5054837391</v>
      </c>
      <c r="C65" s="15">
        <f t="shared" si="20"/>
        <v>5079.188501074761</v>
      </c>
      <c r="D65" s="15">
        <f t="shared" si="21"/>
        <v>24859.423781988484</v>
      </c>
      <c r="E65" s="15">
        <f t="shared" si="15"/>
        <v>29938.612283063245</v>
      </c>
      <c r="F65" s="15">
        <f t="shared" si="22"/>
        <v>4256536.3169826642</v>
      </c>
      <c r="G65">
        <v>56</v>
      </c>
    </row>
    <row r="66" spans="1:10" x14ac:dyDescent="0.2">
      <c r="A66" s="14" t="s">
        <v>86</v>
      </c>
      <c r="B66" s="15">
        <f t="shared" si="23"/>
        <v>4256536.3169826642</v>
      </c>
      <c r="C66" s="15">
        <f t="shared" si="20"/>
        <v>5108.8171006643715</v>
      </c>
      <c r="D66" s="15">
        <f t="shared" si="21"/>
        <v>24829.795182398873</v>
      </c>
      <c r="E66" s="15">
        <f t="shared" si="15"/>
        <v>29938.612283063245</v>
      </c>
      <c r="F66" s="15">
        <f t="shared" si="22"/>
        <v>4251427.4998819996</v>
      </c>
      <c r="G66">
        <v>57</v>
      </c>
    </row>
    <row r="67" spans="1:10" x14ac:dyDescent="0.2">
      <c r="A67" s="14" t="s">
        <v>87</v>
      </c>
      <c r="B67" s="15">
        <f t="shared" si="23"/>
        <v>4251427.4998819996</v>
      </c>
      <c r="C67" s="15">
        <f t="shared" si="20"/>
        <v>5138.6185337515817</v>
      </c>
      <c r="D67" s="15">
        <f t="shared" si="21"/>
        <v>24799.993749311663</v>
      </c>
      <c r="E67" s="15">
        <f t="shared" si="15"/>
        <v>29938.612283063245</v>
      </c>
      <c r="F67" s="15">
        <f t="shared" si="22"/>
        <v>4246288.8813482476</v>
      </c>
      <c r="G67">
        <v>58</v>
      </c>
    </row>
    <row r="68" spans="1:10" x14ac:dyDescent="0.2">
      <c r="A68" s="14" t="s">
        <v>88</v>
      </c>
      <c r="B68" s="15">
        <f t="shared" si="23"/>
        <v>4246288.8813482476</v>
      </c>
      <c r="C68" s="15">
        <f t="shared" si="20"/>
        <v>5168.5938085317975</v>
      </c>
      <c r="D68" s="15">
        <f t="shared" si="21"/>
        <v>24770.018474531447</v>
      </c>
      <c r="E68" s="15">
        <f t="shared" si="15"/>
        <v>29938.612283063245</v>
      </c>
      <c r="F68" s="15">
        <f t="shared" si="22"/>
        <v>4241120.2875397159</v>
      </c>
      <c r="G68">
        <v>59</v>
      </c>
      <c r="I68" t="s">
        <v>32</v>
      </c>
      <c r="J68" t="s">
        <v>51</v>
      </c>
    </row>
    <row r="69" spans="1:10" ht="15" x14ac:dyDescent="0.25">
      <c r="A69" s="14" t="s">
        <v>89</v>
      </c>
      <c r="B69" s="15">
        <f t="shared" si="23"/>
        <v>4241120.2875397159</v>
      </c>
      <c r="C69" s="15">
        <f t="shared" si="20"/>
        <v>5198.7439390815671</v>
      </c>
      <c r="D69" s="15">
        <f t="shared" si="21"/>
        <v>24739.868343981678</v>
      </c>
      <c r="E69" s="15">
        <f t="shared" si="15"/>
        <v>29938.612283063245</v>
      </c>
      <c r="F69" s="22">
        <f t="shared" si="22"/>
        <v>4235921.5436006347</v>
      </c>
      <c r="G69">
        <v>60</v>
      </c>
      <c r="I69" s="19">
        <f>$B$2+CUMPRINC($L$2,$L$3,$B$2,G16,G69,0)</f>
        <v>4281632.9859189112</v>
      </c>
      <c r="J69" s="20">
        <f>-CUMIPMT($L$2,$L$3,$B$2,G58,G69,0)</f>
        <v>298830.35781614884</v>
      </c>
    </row>
    <row r="70" spans="1:10" x14ac:dyDescent="0.2">
      <c r="A70" s="21" t="s">
        <v>53</v>
      </c>
      <c r="B70" s="17"/>
      <c r="C70" s="22">
        <f>SUM(C58:C69)</f>
        <v>60432.989580610098</v>
      </c>
      <c r="D70" s="22">
        <f>SUM(D58:D69)</f>
        <v>298830.35781614878</v>
      </c>
    </row>
    <row r="72" spans="1:10" x14ac:dyDescent="0.2">
      <c r="A72" s="14" t="s">
        <v>78</v>
      </c>
      <c r="B72" s="15">
        <f>+F69</f>
        <v>4235921.5436006347</v>
      </c>
      <c r="C72" s="15">
        <f t="shared" ref="C72:C83" si="24">E72-D72</f>
        <v>5229.0699453928755</v>
      </c>
      <c r="D72" s="15">
        <f t="shared" ref="D72:D83" si="25">+B72*$J$2/12</f>
        <v>24709.542337670369</v>
      </c>
      <c r="E72" s="15">
        <f t="shared" si="15"/>
        <v>29938.612283063245</v>
      </c>
      <c r="F72" s="15">
        <f t="shared" ref="F72:F83" si="26">+B72-C72</f>
        <v>4230692.4736552415</v>
      </c>
      <c r="G72">
        <v>61</v>
      </c>
    </row>
    <row r="73" spans="1:10" x14ac:dyDescent="0.2">
      <c r="A73" s="14" t="s">
        <v>79</v>
      </c>
      <c r="B73" s="15">
        <f t="shared" ref="B73:B83" si="27">+F72</f>
        <v>4230692.4736552415</v>
      </c>
      <c r="C73" s="15">
        <f t="shared" si="24"/>
        <v>5259.5728534076661</v>
      </c>
      <c r="D73" s="15">
        <f t="shared" si="25"/>
        <v>24679.039429655579</v>
      </c>
      <c r="E73" s="15">
        <f t="shared" si="15"/>
        <v>29938.612283063245</v>
      </c>
      <c r="F73" s="15">
        <f t="shared" si="26"/>
        <v>4225432.9008018337</v>
      </c>
      <c r="G73">
        <v>62</v>
      </c>
    </row>
    <row r="74" spans="1:10" x14ac:dyDescent="0.2">
      <c r="A74" s="14" t="s">
        <v>80</v>
      </c>
      <c r="B74" s="15">
        <f t="shared" si="27"/>
        <v>4225432.9008018337</v>
      </c>
      <c r="C74" s="15">
        <f t="shared" si="24"/>
        <v>5290.2536950525464</v>
      </c>
      <c r="D74" s="15">
        <f t="shared" si="25"/>
        <v>24648.358588010698</v>
      </c>
      <c r="E74" s="15">
        <f t="shared" si="15"/>
        <v>29938.612283063245</v>
      </c>
      <c r="F74" s="15">
        <f t="shared" si="26"/>
        <v>4220142.6471067816</v>
      </c>
      <c r="G74">
        <v>63</v>
      </c>
    </row>
    <row r="75" spans="1:10" x14ac:dyDescent="0.2">
      <c r="A75" s="14" t="s">
        <v>81</v>
      </c>
      <c r="B75" s="15">
        <f t="shared" si="27"/>
        <v>4220142.6471067816</v>
      </c>
      <c r="C75" s="15">
        <f t="shared" si="24"/>
        <v>5321.1135082736837</v>
      </c>
      <c r="D75" s="15">
        <f t="shared" si="25"/>
        <v>24617.498774789561</v>
      </c>
      <c r="E75" s="15">
        <f t="shared" si="15"/>
        <v>29938.612283063245</v>
      </c>
      <c r="F75" s="15">
        <f t="shared" si="26"/>
        <v>4214821.5335985078</v>
      </c>
      <c r="G75">
        <v>64</v>
      </c>
    </row>
    <row r="76" spans="1:10" x14ac:dyDescent="0.2">
      <c r="A76" s="14" t="s">
        <v>82</v>
      </c>
      <c r="B76" s="15">
        <f t="shared" si="27"/>
        <v>4214821.5335985078</v>
      </c>
      <c r="C76" s="15">
        <f t="shared" si="24"/>
        <v>5352.153337071948</v>
      </c>
      <c r="D76" s="15">
        <f t="shared" si="25"/>
        <v>24586.458945991297</v>
      </c>
      <c r="E76" s="15">
        <f t="shared" si="15"/>
        <v>29938.612283063245</v>
      </c>
      <c r="F76" s="15">
        <f t="shared" si="26"/>
        <v>4209469.3802614361</v>
      </c>
      <c r="G76">
        <v>65</v>
      </c>
    </row>
    <row r="77" spans="1:10" x14ac:dyDescent="0.2">
      <c r="A77" s="14" t="s">
        <v>83</v>
      </c>
      <c r="B77" s="15">
        <f t="shared" si="27"/>
        <v>4209469.3802614361</v>
      </c>
      <c r="C77" s="15">
        <f t="shared" si="24"/>
        <v>5383.3742315382005</v>
      </c>
      <c r="D77" s="15">
        <f t="shared" si="25"/>
        <v>24555.238051525044</v>
      </c>
      <c r="E77" s="15">
        <f t="shared" si="15"/>
        <v>29938.612283063245</v>
      </c>
      <c r="F77" s="15">
        <f t="shared" si="26"/>
        <v>4204086.0060298983</v>
      </c>
      <c r="G77">
        <v>66</v>
      </c>
    </row>
    <row r="78" spans="1:10" x14ac:dyDescent="0.2">
      <c r="A78" s="14" t="s">
        <v>84</v>
      </c>
      <c r="B78" s="15">
        <f t="shared" si="27"/>
        <v>4204086.0060298983</v>
      </c>
      <c r="C78" s="15">
        <f t="shared" si="24"/>
        <v>5414.7772478888328</v>
      </c>
      <c r="D78" s="15">
        <f t="shared" si="25"/>
        <v>24523.835035174412</v>
      </c>
      <c r="E78" s="15">
        <f t="shared" si="15"/>
        <v>29938.612283063245</v>
      </c>
      <c r="F78" s="15">
        <f t="shared" si="26"/>
        <v>4198671.2287820093</v>
      </c>
      <c r="G78">
        <v>67</v>
      </c>
    </row>
    <row r="79" spans="1:10" x14ac:dyDescent="0.2">
      <c r="A79" s="14" t="s">
        <v>85</v>
      </c>
      <c r="B79" s="15">
        <f t="shared" si="27"/>
        <v>4198671.2287820093</v>
      </c>
      <c r="C79" s="15">
        <f t="shared" si="24"/>
        <v>5446.3634485015245</v>
      </c>
      <c r="D79" s="15">
        <f t="shared" si="25"/>
        <v>24492.24883456172</v>
      </c>
      <c r="E79" s="15">
        <f t="shared" si="15"/>
        <v>29938.612283063245</v>
      </c>
      <c r="F79" s="15">
        <f t="shared" si="26"/>
        <v>4193224.8653335078</v>
      </c>
      <c r="G79">
        <v>68</v>
      </c>
    </row>
    <row r="80" spans="1:10" x14ac:dyDescent="0.2">
      <c r="A80" s="14" t="s">
        <v>86</v>
      </c>
      <c r="B80" s="15">
        <f t="shared" si="27"/>
        <v>4193224.8653335078</v>
      </c>
      <c r="C80" s="15">
        <f t="shared" si="24"/>
        <v>5478.1339019511142</v>
      </c>
      <c r="D80" s="15">
        <f t="shared" si="25"/>
        <v>24460.478381112131</v>
      </c>
      <c r="E80" s="15">
        <f t="shared" si="15"/>
        <v>29938.612283063245</v>
      </c>
      <c r="F80" s="15">
        <f t="shared" si="26"/>
        <v>4187746.7314315569</v>
      </c>
      <c r="G80">
        <v>69</v>
      </c>
    </row>
    <row r="81" spans="1:10" x14ac:dyDescent="0.2">
      <c r="A81" s="14" t="s">
        <v>87</v>
      </c>
      <c r="B81" s="15">
        <f t="shared" si="27"/>
        <v>4187746.7314315569</v>
      </c>
      <c r="C81" s="15">
        <f t="shared" si="24"/>
        <v>5510.0896830458296</v>
      </c>
      <c r="D81" s="15">
        <f t="shared" si="25"/>
        <v>24428.522600017415</v>
      </c>
      <c r="E81" s="15">
        <f t="shared" si="15"/>
        <v>29938.612283063245</v>
      </c>
      <c r="F81" s="15">
        <f t="shared" si="26"/>
        <v>4182236.6417485112</v>
      </c>
      <c r="G81">
        <v>70</v>
      </c>
    </row>
    <row r="82" spans="1:10" x14ac:dyDescent="0.2">
      <c r="A82" s="14" t="s">
        <v>88</v>
      </c>
      <c r="B82" s="15">
        <f t="shared" si="27"/>
        <v>4182236.6417485112</v>
      </c>
      <c r="C82" s="15">
        <f t="shared" si="24"/>
        <v>5542.2318728635946</v>
      </c>
      <c r="D82" s="15">
        <f t="shared" si="25"/>
        <v>24396.38041019965</v>
      </c>
      <c r="E82" s="15">
        <f t="shared" si="15"/>
        <v>29938.612283063245</v>
      </c>
      <c r="F82" s="15">
        <f t="shared" si="26"/>
        <v>4176694.4098756476</v>
      </c>
      <c r="G82">
        <v>71</v>
      </c>
      <c r="I82" t="s">
        <v>32</v>
      </c>
      <c r="J82" t="s">
        <v>51</v>
      </c>
    </row>
    <row r="83" spans="1:10" ht="15" x14ac:dyDescent="0.25">
      <c r="A83" s="14" t="s">
        <v>89</v>
      </c>
      <c r="B83" s="15">
        <f t="shared" si="27"/>
        <v>4176694.4098756476</v>
      </c>
      <c r="C83" s="15">
        <f t="shared" si="24"/>
        <v>5574.5615587886314</v>
      </c>
      <c r="D83" s="15">
        <f t="shared" si="25"/>
        <v>24364.050724274613</v>
      </c>
      <c r="E83" s="15">
        <f t="shared" si="15"/>
        <v>29938.612283063245</v>
      </c>
      <c r="F83" s="22">
        <f t="shared" si="26"/>
        <v>4171119.848316859</v>
      </c>
      <c r="G83">
        <v>72</v>
      </c>
      <c r="I83" s="19">
        <f>$B$2+CUMPRINC($L$2,$L$3,$B$2,G30,G83,0)</f>
        <v>4265847.2168146539</v>
      </c>
      <c r="J83" s="20">
        <f>-CUMIPMT($L$2,$L$3,$B$2,G72,G83,0)</f>
        <v>294461.65211298253</v>
      </c>
    </row>
    <row r="84" spans="1:10" x14ac:dyDescent="0.2">
      <c r="A84" s="21" t="s">
        <v>53</v>
      </c>
      <c r="B84" s="17"/>
      <c r="C84" s="22">
        <f>SUM(C72:C83)</f>
        <v>64801.695283776455</v>
      </c>
      <c r="D84" s="22">
        <f>SUM(D72:D83)</f>
        <v>294461.65211298247</v>
      </c>
    </row>
    <row r="86" spans="1:10" x14ac:dyDescent="0.2">
      <c r="A86" s="14" t="s">
        <v>78</v>
      </c>
      <c r="B86" s="15">
        <f>+F83</f>
        <v>4171119.848316859</v>
      </c>
      <c r="C86" s="15">
        <f t="shared" ref="C86:C97" si="28">E86-D86</f>
        <v>5607.079834548229</v>
      </c>
      <c r="D86" s="15">
        <f t="shared" ref="D86:D97" si="29">+B86*$J$2/12</f>
        <v>24331.532448515016</v>
      </c>
      <c r="E86" s="15">
        <f t="shared" si="15"/>
        <v>29938.612283063245</v>
      </c>
      <c r="F86" s="15">
        <f t="shared" ref="F86:F97" si="30">+B86-C86</f>
        <v>4165512.7684823107</v>
      </c>
      <c r="G86">
        <v>73</v>
      </c>
    </row>
    <row r="87" spans="1:10" x14ac:dyDescent="0.2">
      <c r="A87" s="14" t="s">
        <v>79</v>
      </c>
      <c r="B87" s="15">
        <f t="shared" ref="B87:B97" si="31">+F86</f>
        <v>4165512.7684823107</v>
      </c>
      <c r="C87" s="15">
        <f t="shared" si="28"/>
        <v>5639.7878002497637</v>
      </c>
      <c r="D87" s="15">
        <f t="shared" si="29"/>
        <v>24298.824482813481</v>
      </c>
      <c r="E87" s="15">
        <f t="shared" si="15"/>
        <v>29938.612283063245</v>
      </c>
      <c r="F87" s="15">
        <f t="shared" si="30"/>
        <v>4159872.9806820611</v>
      </c>
      <c r="G87">
        <v>74</v>
      </c>
    </row>
    <row r="88" spans="1:10" x14ac:dyDescent="0.2">
      <c r="A88" s="14" t="s">
        <v>80</v>
      </c>
      <c r="B88" s="15">
        <f t="shared" si="31"/>
        <v>4159872.9806820611</v>
      </c>
      <c r="C88" s="15">
        <f t="shared" si="28"/>
        <v>5672.6865624178863</v>
      </c>
      <c r="D88" s="15">
        <f t="shared" si="29"/>
        <v>24265.925720645359</v>
      </c>
      <c r="E88" s="15">
        <f t="shared" si="15"/>
        <v>29938.612283063245</v>
      </c>
      <c r="F88" s="15">
        <f t="shared" si="30"/>
        <v>4154200.294119643</v>
      </c>
      <c r="G88">
        <v>75</v>
      </c>
    </row>
    <row r="89" spans="1:10" x14ac:dyDescent="0.2">
      <c r="A89" s="14" t="s">
        <v>81</v>
      </c>
      <c r="B89" s="15">
        <f t="shared" si="31"/>
        <v>4154200.294119643</v>
      </c>
      <c r="C89" s="15">
        <f t="shared" si="28"/>
        <v>5705.7772340319898</v>
      </c>
      <c r="D89" s="15">
        <f t="shared" si="29"/>
        <v>24232.835049031255</v>
      </c>
      <c r="E89" s="15">
        <f t="shared" si="15"/>
        <v>29938.612283063245</v>
      </c>
      <c r="F89" s="15">
        <f t="shared" si="30"/>
        <v>4148494.5168856112</v>
      </c>
      <c r="G89">
        <v>76</v>
      </c>
    </row>
    <row r="90" spans="1:10" x14ac:dyDescent="0.2">
      <c r="A90" s="14" t="s">
        <v>82</v>
      </c>
      <c r="B90" s="15">
        <f t="shared" si="31"/>
        <v>4148494.5168856112</v>
      </c>
      <c r="C90" s="15">
        <f t="shared" si="28"/>
        <v>5739.0609345638441</v>
      </c>
      <c r="D90" s="15">
        <f t="shared" si="29"/>
        <v>24199.551348499401</v>
      </c>
      <c r="E90" s="15">
        <f t="shared" si="15"/>
        <v>29938.612283063245</v>
      </c>
      <c r="F90" s="15">
        <f t="shared" si="30"/>
        <v>4142755.4559510476</v>
      </c>
      <c r="G90">
        <v>77</v>
      </c>
    </row>
    <row r="91" spans="1:10" x14ac:dyDescent="0.2">
      <c r="A91" s="14" t="s">
        <v>83</v>
      </c>
      <c r="B91" s="15">
        <f t="shared" si="31"/>
        <v>4142755.4559510476</v>
      </c>
      <c r="C91" s="15">
        <f t="shared" si="28"/>
        <v>5772.5387900154637</v>
      </c>
      <c r="D91" s="15">
        <f t="shared" si="29"/>
        <v>24166.073493047781</v>
      </c>
      <c r="E91" s="15">
        <f t="shared" si="15"/>
        <v>29938.612283063245</v>
      </c>
      <c r="F91" s="15">
        <f t="shared" si="30"/>
        <v>4136982.9171610321</v>
      </c>
      <c r="G91">
        <v>78</v>
      </c>
    </row>
    <row r="92" spans="1:10" x14ac:dyDescent="0.2">
      <c r="A92" s="14" t="s">
        <v>84</v>
      </c>
      <c r="B92" s="15">
        <f t="shared" si="31"/>
        <v>4136982.9171610321</v>
      </c>
      <c r="C92" s="15">
        <f t="shared" si="28"/>
        <v>5806.2119329572233</v>
      </c>
      <c r="D92" s="15">
        <f t="shared" si="29"/>
        <v>24132.400350106022</v>
      </c>
      <c r="E92" s="15">
        <f t="shared" si="15"/>
        <v>29938.612283063245</v>
      </c>
      <c r="F92" s="15">
        <f t="shared" si="30"/>
        <v>4131176.7052280749</v>
      </c>
      <c r="G92">
        <v>79</v>
      </c>
    </row>
    <row r="93" spans="1:10" x14ac:dyDescent="0.2">
      <c r="A93" s="14" t="s">
        <v>85</v>
      </c>
      <c r="B93" s="15">
        <f t="shared" si="31"/>
        <v>4131176.7052280749</v>
      </c>
      <c r="C93" s="15">
        <f t="shared" si="28"/>
        <v>5840.0815025661395</v>
      </c>
      <c r="D93" s="15">
        <f t="shared" si="29"/>
        <v>24098.530780497105</v>
      </c>
      <c r="E93" s="15">
        <f t="shared" si="15"/>
        <v>29938.612283063245</v>
      </c>
      <c r="F93" s="15">
        <f t="shared" si="30"/>
        <v>4125336.6237255088</v>
      </c>
      <c r="G93">
        <v>80</v>
      </c>
    </row>
    <row r="94" spans="1:10" x14ac:dyDescent="0.2">
      <c r="A94" s="14" t="s">
        <v>86</v>
      </c>
      <c r="B94" s="15">
        <f t="shared" si="31"/>
        <v>4125336.6237255088</v>
      </c>
      <c r="C94" s="15">
        <f t="shared" si="28"/>
        <v>5874.1486446644376</v>
      </c>
      <c r="D94" s="15">
        <f t="shared" si="29"/>
        <v>24064.463638398807</v>
      </c>
      <c r="E94" s="15">
        <f t="shared" si="15"/>
        <v>29938.612283063245</v>
      </c>
      <c r="F94" s="15">
        <f t="shared" si="30"/>
        <v>4119462.4750808445</v>
      </c>
      <c r="G94">
        <v>81</v>
      </c>
    </row>
    <row r="95" spans="1:10" x14ac:dyDescent="0.2">
      <c r="A95" s="14" t="s">
        <v>87</v>
      </c>
      <c r="B95" s="15">
        <f t="shared" si="31"/>
        <v>4119462.4750808445</v>
      </c>
      <c r="C95" s="15">
        <f t="shared" si="28"/>
        <v>5908.4145117583175</v>
      </c>
      <c r="D95" s="15">
        <f t="shared" si="29"/>
        <v>24030.197771304927</v>
      </c>
      <c r="E95" s="15">
        <f t="shared" si="15"/>
        <v>29938.612283063245</v>
      </c>
      <c r="F95" s="15">
        <f t="shared" si="30"/>
        <v>4113554.0605690861</v>
      </c>
      <c r="G95">
        <v>82</v>
      </c>
    </row>
    <row r="96" spans="1:10" x14ac:dyDescent="0.2">
      <c r="A96" s="14" t="s">
        <v>88</v>
      </c>
      <c r="B96" s="15">
        <f t="shared" si="31"/>
        <v>4113554.0605690861</v>
      </c>
      <c r="C96" s="15">
        <f t="shared" si="28"/>
        <v>5942.8802630769096</v>
      </c>
      <c r="D96" s="15">
        <f t="shared" si="29"/>
        <v>23995.732019986335</v>
      </c>
      <c r="E96" s="15">
        <f t="shared" si="15"/>
        <v>29938.612283063245</v>
      </c>
      <c r="F96" s="15">
        <f t="shared" si="30"/>
        <v>4107611.180306009</v>
      </c>
      <c r="G96">
        <v>83</v>
      </c>
      <c r="I96" t="s">
        <v>32</v>
      </c>
      <c r="J96" t="s">
        <v>51</v>
      </c>
    </row>
    <row r="97" spans="1:10" ht="15" x14ac:dyDescent="0.25">
      <c r="A97" s="14" t="s">
        <v>89</v>
      </c>
      <c r="B97" s="15">
        <f t="shared" si="31"/>
        <v>4107611.180306009</v>
      </c>
      <c r="C97" s="15">
        <f t="shared" si="28"/>
        <v>5977.5470646115209</v>
      </c>
      <c r="D97" s="15">
        <f t="shared" si="29"/>
        <v>23961.065218451724</v>
      </c>
      <c r="E97" s="15">
        <f t="shared" si="15"/>
        <v>29938.612283063245</v>
      </c>
      <c r="F97" s="22">
        <f t="shared" si="30"/>
        <v>4101633.6332413973</v>
      </c>
      <c r="G97">
        <v>84</v>
      </c>
      <c r="I97" s="19">
        <f>$B$2+CUMPRINC($L$2,$L$3,$B$2,G44,G97,0)</f>
        <v>4248920.2931854734</v>
      </c>
      <c r="J97" s="20">
        <f>-CUMIPMT($L$2,$L$3,$B$2,G86,G97,0)</f>
        <v>289777.13232129719</v>
      </c>
    </row>
    <row r="98" spans="1:10" x14ac:dyDescent="0.2">
      <c r="A98" s="21" t="s">
        <v>53</v>
      </c>
      <c r="B98" s="17"/>
      <c r="C98" s="22">
        <f>SUM(C86:C97)</f>
        <v>69486.215075461718</v>
      </c>
      <c r="D98" s="22">
        <f>SUM(D86:D97)</f>
        <v>289777.13232129719</v>
      </c>
    </row>
    <row r="100" spans="1:10" x14ac:dyDescent="0.2">
      <c r="A100" s="14" t="s">
        <v>78</v>
      </c>
      <c r="B100" s="15">
        <f>+F97</f>
        <v>4101633.6332413973</v>
      </c>
      <c r="C100" s="15">
        <f t="shared" ref="C100:C111" si="32">E100-D100</f>
        <v>6012.4160891550928</v>
      </c>
      <c r="D100" s="15">
        <f t="shared" ref="D100:D111" si="33">+B100*$J$2/12</f>
        <v>23926.196193908152</v>
      </c>
      <c r="E100" s="15">
        <f t="shared" si="15"/>
        <v>29938.612283063245</v>
      </c>
      <c r="F100" s="15">
        <f t="shared" ref="F100:F111" si="34">+B100-C100</f>
        <v>4095621.2171522421</v>
      </c>
      <c r="G100">
        <v>85</v>
      </c>
    </row>
    <row r="101" spans="1:10" x14ac:dyDescent="0.2">
      <c r="A101" s="14" t="s">
        <v>79</v>
      </c>
      <c r="B101" s="15">
        <f t="shared" ref="B101:B111" si="35">+F100</f>
        <v>4095621.2171522421</v>
      </c>
      <c r="C101" s="15">
        <f t="shared" si="32"/>
        <v>6047.4885163418294</v>
      </c>
      <c r="D101" s="15">
        <f t="shared" si="33"/>
        <v>23891.123766721415</v>
      </c>
      <c r="E101" s="15">
        <f t="shared" si="15"/>
        <v>29938.612283063245</v>
      </c>
      <c r="F101" s="15">
        <f t="shared" si="34"/>
        <v>4089573.7286359002</v>
      </c>
      <c r="G101">
        <v>86</v>
      </c>
    </row>
    <row r="102" spans="1:10" x14ac:dyDescent="0.2">
      <c r="A102" s="14" t="s">
        <v>80</v>
      </c>
      <c r="B102" s="15">
        <f t="shared" si="35"/>
        <v>4089573.7286359002</v>
      </c>
      <c r="C102" s="15">
        <f t="shared" si="32"/>
        <v>6082.7655326871572</v>
      </c>
      <c r="D102" s="15">
        <f t="shared" si="33"/>
        <v>23855.846750376088</v>
      </c>
      <c r="E102" s="15">
        <f t="shared" si="15"/>
        <v>29938.612283063245</v>
      </c>
      <c r="F102" s="15">
        <f t="shared" si="34"/>
        <v>4083490.9631032129</v>
      </c>
      <c r="G102">
        <v>87</v>
      </c>
    </row>
    <row r="103" spans="1:10" x14ac:dyDescent="0.2">
      <c r="A103" s="14" t="s">
        <v>81</v>
      </c>
      <c r="B103" s="15">
        <f t="shared" si="35"/>
        <v>4083490.9631032129</v>
      </c>
      <c r="C103" s="15">
        <f t="shared" si="32"/>
        <v>6118.248331627834</v>
      </c>
      <c r="D103" s="15">
        <f t="shared" si="33"/>
        <v>23820.363951435411</v>
      </c>
      <c r="E103" s="15">
        <f t="shared" si="15"/>
        <v>29938.612283063245</v>
      </c>
      <c r="F103" s="15">
        <f t="shared" si="34"/>
        <v>4077372.7147715851</v>
      </c>
      <c r="G103">
        <v>88</v>
      </c>
    </row>
    <row r="104" spans="1:10" x14ac:dyDescent="0.2">
      <c r="A104" s="14" t="s">
        <v>82</v>
      </c>
      <c r="B104" s="15">
        <f t="shared" si="35"/>
        <v>4077372.7147715851</v>
      </c>
      <c r="C104" s="15">
        <f t="shared" si="32"/>
        <v>6153.9381135623298</v>
      </c>
      <c r="D104" s="15">
        <f t="shared" si="33"/>
        <v>23784.674169500915</v>
      </c>
      <c r="E104" s="15">
        <f t="shared" si="15"/>
        <v>29938.612283063245</v>
      </c>
      <c r="F104" s="15">
        <f t="shared" si="34"/>
        <v>4071218.7766580228</v>
      </c>
      <c r="G104">
        <v>89</v>
      </c>
    </row>
    <row r="105" spans="1:10" x14ac:dyDescent="0.2">
      <c r="A105" s="14" t="s">
        <v>83</v>
      </c>
      <c r="B105" s="15">
        <f t="shared" si="35"/>
        <v>4071218.7766580228</v>
      </c>
      <c r="C105" s="15">
        <f t="shared" si="32"/>
        <v>6189.8360858914421</v>
      </c>
      <c r="D105" s="15">
        <f t="shared" si="33"/>
        <v>23748.776197171803</v>
      </c>
      <c r="E105" s="15">
        <f t="shared" si="15"/>
        <v>29938.612283063245</v>
      </c>
      <c r="F105" s="15">
        <f t="shared" si="34"/>
        <v>4065028.9405721314</v>
      </c>
      <c r="G105">
        <v>90</v>
      </c>
    </row>
    <row r="106" spans="1:10" x14ac:dyDescent="0.2">
      <c r="A106" s="14" t="s">
        <v>84</v>
      </c>
      <c r="B106" s="15">
        <f t="shared" si="35"/>
        <v>4065028.9405721314</v>
      </c>
      <c r="C106" s="15">
        <f t="shared" si="32"/>
        <v>6225.9434630591459</v>
      </c>
      <c r="D106" s="15">
        <f t="shared" si="33"/>
        <v>23712.668820004099</v>
      </c>
      <c r="E106" s="15">
        <f t="shared" si="15"/>
        <v>29938.612283063245</v>
      </c>
      <c r="F106" s="15">
        <f t="shared" si="34"/>
        <v>4058802.9971090723</v>
      </c>
      <c r="G106">
        <v>91</v>
      </c>
    </row>
    <row r="107" spans="1:10" x14ac:dyDescent="0.2">
      <c r="A107" s="14" t="s">
        <v>85</v>
      </c>
      <c r="B107" s="15">
        <f t="shared" si="35"/>
        <v>4058802.9971090723</v>
      </c>
      <c r="C107" s="15">
        <f t="shared" si="32"/>
        <v>6262.2614665936526</v>
      </c>
      <c r="D107" s="15">
        <f t="shared" si="33"/>
        <v>23676.350816469592</v>
      </c>
      <c r="E107" s="15">
        <f t="shared" si="15"/>
        <v>29938.612283063245</v>
      </c>
      <c r="F107" s="15">
        <f t="shared" si="34"/>
        <v>4052540.7356424788</v>
      </c>
      <c r="G107">
        <v>92</v>
      </c>
    </row>
    <row r="108" spans="1:10" x14ac:dyDescent="0.2">
      <c r="A108" s="14" t="s">
        <v>86</v>
      </c>
      <c r="B108" s="15">
        <f t="shared" si="35"/>
        <v>4052540.7356424788</v>
      </c>
      <c r="C108" s="15">
        <f t="shared" si="32"/>
        <v>6298.7913251487844</v>
      </c>
      <c r="D108" s="15">
        <f t="shared" si="33"/>
        <v>23639.82095791446</v>
      </c>
      <c r="E108" s="15">
        <f>-$L$5</f>
        <v>29938.612283063245</v>
      </c>
      <c r="F108" s="15">
        <f t="shared" si="34"/>
        <v>4046241.9443173301</v>
      </c>
      <c r="G108">
        <v>93</v>
      </c>
    </row>
    <row r="109" spans="1:10" x14ac:dyDescent="0.2">
      <c r="A109" s="14" t="s">
        <v>87</v>
      </c>
      <c r="B109" s="15">
        <f t="shared" si="35"/>
        <v>4046241.9443173301</v>
      </c>
      <c r="C109" s="15">
        <f t="shared" si="32"/>
        <v>6335.53427454548</v>
      </c>
      <c r="D109" s="15">
        <f t="shared" si="33"/>
        <v>23603.078008517765</v>
      </c>
      <c r="E109" s="15">
        <f>-$L$5</f>
        <v>29938.612283063245</v>
      </c>
      <c r="F109" s="15">
        <f t="shared" si="34"/>
        <v>4039906.4100427846</v>
      </c>
      <c r="G109">
        <v>94</v>
      </c>
    </row>
    <row r="110" spans="1:10" x14ac:dyDescent="0.2">
      <c r="A110" s="14" t="s">
        <v>88</v>
      </c>
      <c r="B110" s="15">
        <f t="shared" si="35"/>
        <v>4039906.4100427846</v>
      </c>
      <c r="C110" s="15">
        <f t="shared" si="32"/>
        <v>6372.4915578136643</v>
      </c>
      <c r="D110" s="15">
        <f t="shared" si="33"/>
        <v>23566.120725249581</v>
      </c>
      <c r="E110" s="15">
        <f>-$L$5</f>
        <v>29938.612283063245</v>
      </c>
      <c r="F110" s="15">
        <f t="shared" si="34"/>
        <v>4033533.9184849709</v>
      </c>
      <c r="G110">
        <v>95</v>
      </c>
      <c r="I110" t="s">
        <v>32</v>
      </c>
      <c r="J110" t="s">
        <v>51</v>
      </c>
    </row>
    <row r="111" spans="1:10" ht="15" x14ac:dyDescent="0.25">
      <c r="A111" s="14" t="s">
        <v>89</v>
      </c>
      <c r="B111" s="15">
        <f t="shared" si="35"/>
        <v>4033533.9184849709</v>
      </c>
      <c r="C111" s="15">
        <f t="shared" si="32"/>
        <v>6409.6644252342448</v>
      </c>
      <c r="D111" s="15">
        <f t="shared" si="33"/>
        <v>23528.947857829</v>
      </c>
      <c r="E111" s="15">
        <f>-$L$5</f>
        <v>29938.612283063245</v>
      </c>
      <c r="F111" s="22">
        <f t="shared" si="34"/>
        <v>4027124.2540597366</v>
      </c>
      <c r="G111">
        <v>96</v>
      </c>
      <c r="I111" s="19">
        <f>$B$2+CUMPRINC($L$2,$L$3,$B$2,G58,G111,0)</f>
        <v>4230769.7208784912</v>
      </c>
      <c r="J111" s="20">
        <f>-CUMIPMT($L$2,$L$3,$B$2,G100,G111,0)</f>
        <v>284753.96821509826</v>
      </c>
    </row>
    <row r="112" spans="1:10" x14ac:dyDescent="0.2">
      <c r="A112" s="21" t="s">
        <v>53</v>
      </c>
      <c r="B112" s="17"/>
      <c r="C112" s="22">
        <f>SUM(C100:C111)</f>
        <v>74509.379181660654</v>
      </c>
      <c r="D112" s="22">
        <f>SUM(D100:D111)</f>
        <v>284753.96821509826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3" sqref="D13"/>
    </sheetView>
  </sheetViews>
  <sheetFormatPr defaultRowHeight="15" x14ac:dyDescent="0.25"/>
  <cols>
    <col min="1" max="1" width="12.28515625" style="10" bestFit="1" customWidth="1"/>
    <col min="2" max="2" width="9.28515625" style="38" bestFit="1" customWidth="1"/>
    <col min="3" max="3" width="17.7109375" style="10" bestFit="1" customWidth="1"/>
    <col min="4" max="4" width="14" style="10" bestFit="1" customWidth="1"/>
    <col min="5" max="16384" width="9.140625" style="10"/>
  </cols>
  <sheetData>
    <row r="1" spans="1:4" x14ac:dyDescent="0.25">
      <c r="D1" s="10" t="s">
        <v>147</v>
      </c>
    </row>
    <row r="2" spans="1:4" x14ac:dyDescent="0.25">
      <c r="A2" s="10" t="s">
        <v>151</v>
      </c>
      <c r="B2" s="38">
        <v>2.17</v>
      </c>
      <c r="C2" s="10">
        <v>1415000</v>
      </c>
      <c r="D2" s="10">
        <f>C2/B2</f>
        <v>652073.73271889403</v>
      </c>
    </row>
    <row r="3" spans="1:4" x14ac:dyDescent="0.25">
      <c r="A3" s="10" t="s">
        <v>146</v>
      </c>
      <c r="B3" s="38">
        <v>3.08</v>
      </c>
      <c r="C3" s="10">
        <v>1125000</v>
      </c>
      <c r="D3" s="10">
        <f>C3/B3</f>
        <v>365259.74025974027</v>
      </c>
    </row>
    <row r="4" spans="1:4" x14ac:dyDescent="0.25">
      <c r="A4" s="10" t="s">
        <v>146</v>
      </c>
      <c r="B4" s="38">
        <v>1.7</v>
      </c>
      <c r="C4" s="10">
        <v>790000</v>
      </c>
      <c r="D4" s="39">
        <f>C4/B4</f>
        <v>464705.8823529412</v>
      </c>
    </row>
    <row r="5" spans="1:4" x14ac:dyDescent="0.25">
      <c r="C5" s="10" t="s">
        <v>148</v>
      </c>
      <c r="D5" s="10">
        <f>AVERAGE(D2:D4)</f>
        <v>494013.11844385852</v>
      </c>
    </row>
    <row r="6" spans="1:4" x14ac:dyDescent="0.25">
      <c r="C6" s="10" t="s">
        <v>149</v>
      </c>
      <c r="D6" s="40">
        <v>5</v>
      </c>
    </row>
    <row r="7" spans="1:4" x14ac:dyDescent="0.25">
      <c r="C7" s="63" t="s">
        <v>150</v>
      </c>
      <c r="D7" s="63">
        <f>D5*D6</f>
        <v>2470065.5922192927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</vt:lpstr>
      <vt:lpstr>Mortgage</vt:lpstr>
      <vt:lpstr>Land 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2013-12-02T20:53:52Z</dcterms:created>
  <dcterms:modified xsi:type="dcterms:W3CDTF">2013-12-02T20:54:10Z</dcterms:modified>
</cp:coreProperties>
</file>