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105" yWindow="0" windowWidth="20730" windowHeight="11760"/>
  </bookViews>
  <sheets>
    <sheet name="Magic Hot Springs" sheetId="1" r:id="rId1"/>
    <sheet name="Mortgage" sheetId="2" r:id="rId2"/>
    <sheet name="Assumptions" sheetId="3" r:id="rId3"/>
  </sheets>
  <calcPr calcId="145621" concurrentCalc="0"/>
</workbook>
</file>

<file path=xl/calcChain.xml><?xml version="1.0" encoding="utf-8"?>
<calcChain xmlns="http://schemas.openxmlformats.org/spreadsheetml/2006/main">
  <c r="J1" i="2" l="1"/>
  <c r="B2" i="2"/>
  <c r="K2" i="2"/>
  <c r="D2" i="2"/>
  <c r="K3" i="2"/>
  <c r="K5" i="2"/>
  <c r="E2" i="2"/>
  <c r="C2" i="2"/>
  <c r="F2" i="2"/>
  <c r="B3" i="2"/>
  <c r="D3" i="2"/>
  <c r="E3" i="2"/>
  <c r="C3" i="2"/>
  <c r="F3" i="2"/>
  <c r="B4" i="2"/>
  <c r="D4" i="2"/>
  <c r="E4" i="2"/>
  <c r="C4" i="2"/>
  <c r="F4" i="2"/>
  <c r="B5" i="2"/>
  <c r="D5" i="2"/>
  <c r="E5" i="2"/>
  <c r="C5" i="2"/>
  <c r="F5" i="2"/>
  <c r="B6" i="2"/>
  <c r="D6" i="2"/>
  <c r="E6" i="2"/>
  <c r="C6" i="2"/>
  <c r="F6" i="2"/>
  <c r="B7" i="2"/>
  <c r="D7" i="2"/>
  <c r="E7" i="2"/>
  <c r="C7" i="2"/>
  <c r="F7" i="2"/>
  <c r="B8" i="2"/>
  <c r="D8" i="2"/>
  <c r="E8" i="2"/>
  <c r="C8" i="2"/>
  <c r="F8" i="2"/>
  <c r="B9" i="2"/>
  <c r="D9" i="2"/>
  <c r="E9" i="2"/>
  <c r="C9" i="2"/>
  <c r="F9" i="2"/>
  <c r="B10" i="2"/>
  <c r="D10" i="2"/>
  <c r="E10" i="2"/>
  <c r="C10" i="2"/>
  <c r="F10" i="2"/>
  <c r="B11" i="2"/>
  <c r="D11" i="2"/>
  <c r="E11" i="2"/>
  <c r="C11" i="2"/>
  <c r="F11" i="2"/>
  <c r="B12" i="2"/>
  <c r="D12" i="2"/>
  <c r="E12" i="2"/>
  <c r="C12" i="2"/>
  <c r="F12" i="2"/>
  <c r="B13" i="2"/>
  <c r="D13" i="2"/>
  <c r="D14" i="2"/>
  <c r="D33" i="1"/>
  <c r="D34" i="1"/>
  <c r="D4" i="1"/>
  <c r="D16" i="1"/>
  <c r="O6" i="1"/>
  <c r="O7" i="1"/>
  <c r="O9" i="1"/>
  <c r="O10" i="1"/>
  <c r="D6" i="1"/>
  <c r="D17" i="1"/>
  <c r="D8" i="1"/>
  <c r="D18" i="1"/>
  <c r="D19" i="1"/>
  <c r="D23" i="1"/>
  <c r="O23" i="1"/>
  <c r="D24" i="1"/>
  <c r="D25" i="1"/>
  <c r="D49" i="1"/>
  <c r="D26" i="1"/>
  <c r="D27" i="1"/>
  <c r="D28" i="1"/>
  <c r="D30" i="1"/>
  <c r="D32" i="1"/>
  <c r="D36" i="1"/>
  <c r="D37" i="1"/>
  <c r="D38" i="1"/>
  <c r="D62" i="1"/>
  <c r="E13" i="2"/>
  <c r="C13" i="2"/>
  <c r="F13" i="2"/>
  <c r="B16" i="2"/>
  <c r="D16" i="2"/>
  <c r="E16" i="2"/>
  <c r="C16" i="2"/>
  <c r="F16" i="2"/>
  <c r="B17" i="2"/>
  <c r="D17" i="2"/>
  <c r="E17" i="2"/>
  <c r="C17" i="2"/>
  <c r="F17" i="2"/>
  <c r="B18" i="2"/>
  <c r="D18" i="2"/>
  <c r="E18" i="2"/>
  <c r="C18" i="2"/>
  <c r="F18" i="2"/>
  <c r="B19" i="2"/>
  <c r="D19" i="2"/>
  <c r="E19" i="2"/>
  <c r="C19" i="2"/>
  <c r="F19" i="2"/>
  <c r="B20" i="2"/>
  <c r="D20" i="2"/>
  <c r="E20" i="2"/>
  <c r="C20" i="2"/>
  <c r="F20" i="2"/>
  <c r="B21" i="2"/>
  <c r="D21" i="2"/>
  <c r="E21" i="2"/>
  <c r="C21" i="2"/>
  <c r="F21" i="2"/>
  <c r="B22" i="2"/>
  <c r="D22" i="2"/>
  <c r="E22" i="2"/>
  <c r="C22" i="2"/>
  <c r="F22" i="2"/>
  <c r="B23" i="2"/>
  <c r="D23" i="2"/>
  <c r="E23" i="2"/>
  <c r="C23" i="2"/>
  <c r="F23" i="2"/>
  <c r="B24" i="2"/>
  <c r="D24" i="2"/>
  <c r="E24" i="2"/>
  <c r="C24" i="2"/>
  <c r="F24" i="2"/>
  <c r="B25" i="2"/>
  <c r="D25" i="2"/>
  <c r="E25" i="2"/>
  <c r="C25" i="2"/>
  <c r="F25" i="2"/>
  <c r="B26" i="2"/>
  <c r="D26" i="2"/>
  <c r="E26" i="2"/>
  <c r="C26" i="2"/>
  <c r="F26" i="2"/>
  <c r="B27" i="2"/>
  <c r="D27" i="2"/>
  <c r="D28" i="2"/>
  <c r="E33" i="1"/>
  <c r="E34" i="1"/>
  <c r="E4" i="1"/>
  <c r="E5" i="1"/>
  <c r="E16" i="1"/>
  <c r="E7" i="1"/>
  <c r="E6" i="1"/>
  <c r="E17" i="1"/>
  <c r="E8" i="1"/>
  <c r="E9" i="1"/>
  <c r="E18" i="1"/>
  <c r="E19" i="1"/>
  <c r="M21" i="1"/>
  <c r="E21" i="1"/>
  <c r="E22" i="1"/>
  <c r="E23" i="1"/>
  <c r="E24" i="1"/>
  <c r="E25" i="1"/>
  <c r="E49" i="1"/>
  <c r="E48" i="1"/>
  <c r="E26" i="1"/>
  <c r="E27" i="1"/>
  <c r="E28" i="1"/>
  <c r="E30" i="1"/>
  <c r="E32" i="1"/>
  <c r="E36" i="1"/>
  <c r="E37" i="1"/>
  <c r="E38" i="1"/>
  <c r="E62" i="1"/>
  <c r="E27" i="2"/>
  <c r="C27" i="2"/>
  <c r="F27" i="2"/>
  <c r="B30" i="2"/>
  <c r="D30" i="2"/>
  <c r="E30" i="2"/>
  <c r="C30" i="2"/>
  <c r="F30" i="2"/>
  <c r="B31" i="2"/>
  <c r="D31" i="2"/>
  <c r="E31" i="2"/>
  <c r="C31" i="2"/>
  <c r="F31" i="2"/>
  <c r="B32" i="2"/>
  <c r="D32" i="2"/>
  <c r="E32" i="2"/>
  <c r="C32" i="2"/>
  <c r="F32" i="2"/>
  <c r="B33" i="2"/>
  <c r="D33" i="2"/>
  <c r="E33" i="2"/>
  <c r="C33" i="2"/>
  <c r="F33" i="2"/>
  <c r="B34" i="2"/>
  <c r="D34" i="2"/>
  <c r="E34" i="2"/>
  <c r="C34" i="2"/>
  <c r="F34" i="2"/>
  <c r="B35" i="2"/>
  <c r="D35" i="2"/>
  <c r="E35" i="2"/>
  <c r="C35" i="2"/>
  <c r="F35" i="2"/>
  <c r="B36" i="2"/>
  <c r="D36" i="2"/>
  <c r="E36" i="2"/>
  <c r="C36" i="2"/>
  <c r="F36" i="2"/>
  <c r="B37" i="2"/>
  <c r="D37" i="2"/>
  <c r="E37" i="2"/>
  <c r="C37" i="2"/>
  <c r="F37" i="2"/>
  <c r="B38" i="2"/>
  <c r="D38" i="2"/>
  <c r="E38" i="2"/>
  <c r="C38" i="2"/>
  <c r="F38" i="2"/>
  <c r="B39" i="2"/>
  <c r="D39" i="2"/>
  <c r="E39" i="2"/>
  <c r="C39" i="2"/>
  <c r="F39" i="2"/>
  <c r="B40" i="2"/>
  <c r="D40" i="2"/>
  <c r="E40" i="2"/>
  <c r="C40" i="2"/>
  <c r="F40" i="2"/>
  <c r="B41" i="2"/>
  <c r="D41" i="2"/>
  <c r="D42" i="2"/>
  <c r="F33" i="1"/>
  <c r="F34" i="1"/>
  <c r="F4" i="1"/>
  <c r="F5" i="1"/>
  <c r="F16" i="1"/>
  <c r="F7" i="1"/>
  <c r="F6" i="1"/>
  <c r="F17" i="1"/>
  <c r="F8" i="1"/>
  <c r="F9" i="1"/>
  <c r="F18" i="1"/>
  <c r="F19" i="1"/>
  <c r="F21" i="1"/>
  <c r="F22" i="1"/>
  <c r="F23" i="1"/>
  <c r="F24" i="1"/>
  <c r="F25" i="1"/>
  <c r="F49" i="1"/>
  <c r="F48" i="1"/>
  <c r="F26" i="1"/>
  <c r="F27" i="1"/>
  <c r="F28" i="1"/>
  <c r="F30" i="1"/>
  <c r="F32" i="1"/>
  <c r="F36" i="1"/>
  <c r="F37" i="1"/>
  <c r="F38" i="1"/>
  <c r="F62" i="1"/>
  <c r="E41" i="2"/>
  <c r="C41" i="2"/>
  <c r="F41" i="2"/>
  <c r="B44" i="2"/>
  <c r="D44" i="2"/>
  <c r="E44" i="2"/>
  <c r="C44" i="2"/>
  <c r="F44" i="2"/>
  <c r="B45" i="2"/>
  <c r="D45" i="2"/>
  <c r="E45" i="2"/>
  <c r="C45" i="2"/>
  <c r="F45" i="2"/>
  <c r="B46" i="2"/>
  <c r="D46" i="2"/>
  <c r="E46" i="2"/>
  <c r="C46" i="2"/>
  <c r="F46" i="2"/>
  <c r="B47" i="2"/>
  <c r="D47" i="2"/>
  <c r="E47" i="2"/>
  <c r="C47" i="2"/>
  <c r="F47" i="2"/>
  <c r="B48" i="2"/>
  <c r="D48" i="2"/>
  <c r="E48" i="2"/>
  <c r="C48" i="2"/>
  <c r="F48" i="2"/>
  <c r="B49" i="2"/>
  <c r="D49" i="2"/>
  <c r="E49" i="2"/>
  <c r="C49" i="2"/>
  <c r="F49" i="2"/>
  <c r="B50" i="2"/>
  <c r="D50" i="2"/>
  <c r="E50" i="2"/>
  <c r="C50" i="2"/>
  <c r="F50" i="2"/>
  <c r="B51" i="2"/>
  <c r="D51" i="2"/>
  <c r="E51" i="2"/>
  <c r="C51" i="2"/>
  <c r="F51" i="2"/>
  <c r="B52" i="2"/>
  <c r="D52" i="2"/>
  <c r="E52" i="2"/>
  <c r="C52" i="2"/>
  <c r="F52" i="2"/>
  <c r="B53" i="2"/>
  <c r="D53" i="2"/>
  <c r="E53" i="2"/>
  <c r="C53" i="2"/>
  <c r="F53" i="2"/>
  <c r="B54" i="2"/>
  <c r="D54" i="2"/>
  <c r="E54" i="2"/>
  <c r="C54" i="2"/>
  <c r="F54" i="2"/>
  <c r="B55" i="2"/>
  <c r="D55" i="2"/>
  <c r="D56" i="2"/>
  <c r="G33" i="1"/>
  <c r="G34" i="1"/>
  <c r="G4" i="1"/>
  <c r="G5" i="1"/>
  <c r="G16" i="1"/>
  <c r="G7" i="1"/>
  <c r="G6" i="1"/>
  <c r="G17" i="1"/>
  <c r="G8" i="1"/>
  <c r="G9" i="1"/>
  <c r="G18" i="1"/>
  <c r="G19" i="1"/>
  <c r="G21" i="1"/>
  <c r="G22" i="1"/>
  <c r="G23" i="1"/>
  <c r="G24" i="1"/>
  <c r="G25" i="1"/>
  <c r="G49" i="1"/>
  <c r="G48" i="1"/>
  <c r="G26" i="1"/>
  <c r="G27" i="1"/>
  <c r="G28" i="1"/>
  <c r="G30" i="1"/>
  <c r="G32" i="1"/>
  <c r="G36" i="1"/>
  <c r="G37" i="1"/>
  <c r="G38" i="1"/>
  <c r="G62" i="1"/>
  <c r="E55" i="2"/>
  <c r="C55" i="2"/>
  <c r="F55" i="2"/>
  <c r="B58" i="2"/>
  <c r="D58" i="2"/>
  <c r="E58" i="2"/>
  <c r="C58" i="2"/>
  <c r="F58" i="2"/>
  <c r="B59" i="2"/>
  <c r="D59" i="2"/>
  <c r="E59" i="2"/>
  <c r="C59" i="2"/>
  <c r="F59" i="2"/>
  <c r="B60" i="2"/>
  <c r="D60" i="2"/>
  <c r="E60" i="2"/>
  <c r="C60" i="2"/>
  <c r="F60" i="2"/>
  <c r="B61" i="2"/>
  <c r="D61" i="2"/>
  <c r="E61" i="2"/>
  <c r="C61" i="2"/>
  <c r="F61" i="2"/>
  <c r="B62" i="2"/>
  <c r="D62" i="2"/>
  <c r="E62" i="2"/>
  <c r="C62" i="2"/>
  <c r="F62" i="2"/>
  <c r="B63" i="2"/>
  <c r="D63" i="2"/>
  <c r="E63" i="2"/>
  <c r="C63" i="2"/>
  <c r="F63" i="2"/>
  <c r="B64" i="2"/>
  <c r="D64" i="2"/>
  <c r="E64" i="2"/>
  <c r="C64" i="2"/>
  <c r="F64" i="2"/>
  <c r="B65" i="2"/>
  <c r="D65" i="2"/>
  <c r="E65" i="2"/>
  <c r="C65" i="2"/>
  <c r="F65" i="2"/>
  <c r="B66" i="2"/>
  <c r="D66" i="2"/>
  <c r="E66" i="2"/>
  <c r="C66" i="2"/>
  <c r="F66" i="2"/>
  <c r="B67" i="2"/>
  <c r="D67" i="2"/>
  <c r="E67" i="2"/>
  <c r="C67" i="2"/>
  <c r="F67" i="2"/>
  <c r="B68" i="2"/>
  <c r="D68" i="2"/>
  <c r="E68" i="2"/>
  <c r="C68" i="2"/>
  <c r="F68" i="2"/>
  <c r="B69" i="2"/>
  <c r="D69" i="2"/>
  <c r="D70" i="2"/>
  <c r="H33" i="1"/>
  <c r="H34" i="1"/>
  <c r="H4" i="1"/>
  <c r="H5" i="1"/>
  <c r="H16" i="1"/>
  <c r="H7" i="1"/>
  <c r="H6" i="1"/>
  <c r="H17" i="1"/>
  <c r="H8" i="1"/>
  <c r="H9" i="1"/>
  <c r="H18" i="1"/>
  <c r="H19" i="1"/>
  <c r="H21" i="1"/>
  <c r="H23" i="1"/>
  <c r="H24" i="1"/>
  <c r="H25" i="1"/>
  <c r="H49" i="1"/>
  <c r="H48" i="1"/>
  <c r="H26" i="1"/>
  <c r="H27" i="1"/>
  <c r="H28" i="1"/>
  <c r="H30" i="1"/>
  <c r="H32" i="1"/>
  <c r="H36" i="1"/>
  <c r="H37" i="1"/>
  <c r="H38" i="1"/>
  <c r="H62" i="1"/>
  <c r="E69" i="2"/>
  <c r="C69" i="2"/>
  <c r="F69" i="2"/>
  <c r="B72" i="2"/>
  <c r="D72" i="2"/>
  <c r="E72" i="2"/>
  <c r="C72" i="2"/>
  <c r="F72" i="2"/>
  <c r="B73" i="2"/>
  <c r="D73" i="2"/>
  <c r="E73" i="2"/>
  <c r="C73" i="2"/>
  <c r="F73" i="2"/>
  <c r="B74" i="2"/>
  <c r="D74" i="2"/>
  <c r="E74" i="2"/>
  <c r="C74" i="2"/>
  <c r="F74" i="2"/>
  <c r="B75" i="2"/>
  <c r="D75" i="2"/>
  <c r="E75" i="2"/>
  <c r="C75" i="2"/>
  <c r="F75" i="2"/>
  <c r="B76" i="2"/>
  <c r="D76" i="2"/>
  <c r="E76" i="2"/>
  <c r="C76" i="2"/>
  <c r="F76" i="2"/>
  <c r="B77" i="2"/>
  <c r="D77" i="2"/>
  <c r="E77" i="2"/>
  <c r="C77" i="2"/>
  <c r="F77" i="2"/>
  <c r="B78" i="2"/>
  <c r="D78" i="2"/>
  <c r="E78" i="2"/>
  <c r="C78" i="2"/>
  <c r="F78" i="2"/>
  <c r="B79" i="2"/>
  <c r="D79" i="2"/>
  <c r="E79" i="2"/>
  <c r="C79" i="2"/>
  <c r="F79" i="2"/>
  <c r="B80" i="2"/>
  <c r="D80" i="2"/>
  <c r="E80" i="2"/>
  <c r="C80" i="2"/>
  <c r="F80" i="2"/>
  <c r="B81" i="2"/>
  <c r="D81" i="2"/>
  <c r="E81" i="2"/>
  <c r="C81" i="2"/>
  <c r="F81" i="2"/>
  <c r="B82" i="2"/>
  <c r="D82" i="2"/>
  <c r="E82" i="2"/>
  <c r="C82" i="2"/>
  <c r="F82" i="2"/>
  <c r="B83" i="2"/>
  <c r="D83" i="2"/>
  <c r="D84" i="2"/>
  <c r="I33" i="1"/>
  <c r="I34" i="1"/>
  <c r="I4" i="1"/>
  <c r="I5" i="1"/>
  <c r="I16" i="1"/>
  <c r="I7" i="1"/>
  <c r="I6" i="1"/>
  <c r="I17" i="1"/>
  <c r="I8" i="1"/>
  <c r="I9" i="1"/>
  <c r="I18" i="1"/>
  <c r="I19" i="1"/>
  <c r="I21" i="1"/>
  <c r="I22" i="1"/>
  <c r="I23" i="1"/>
  <c r="I24" i="1"/>
  <c r="I25" i="1"/>
  <c r="I49" i="1"/>
  <c r="I48" i="1"/>
  <c r="I26" i="1"/>
  <c r="I27" i="1"/>
  <c r="I28" i="1"/>
  <c r="I30" i="1"/>
  <c r="I32" i="1"/>
  <c r="I36" i="1"/>
  <c r="I37" i="1"/>
  <c r="I38" i="1"/>
  <c r="I62" i="1"/>
  <c r="E83" i="2"/>
  <c r="C83" i="2"/>
  <c r="F83" i="2"/>
  <c r="B86" i="2"/>
  <c r="D86" i="2"/>
  <c r="E86" i="2"/>
  <c r="C86" i="2"/>
  <c r="F86" i="2"/>
  <c r="B87" i="2"/>
  <c r="D87" i="2"/>
  <c r="E87" i="2"/>
  <c r="C87" i="2"/>
  <c r="F87" i="2"/>
  <c r="B88" i="2"/>
  <c r="D88" i="2"/>
  <c r="E88" i="2"/>
  <c r="C88" i="2"/>
  <c r="F88" i="2"/>
  <c r="B89" i="2"/>
  <c r="D89" i="2"/>
  <c r="E89" i="2"/>
  <c r="C89" i="2"/>
  <c r="F89" i="2"/>
  <c r="B90" i="2"/>
  <c r="D90" i="2"/>
  <c r="E90" i="2"/>
  <c r="C90" i="2"/>
  <c r="F90" i="2"/>
  <c r="B91" i="2"/>
  <c r="D91" i="2"/>
  <c r="E91" i="2"/>
  <c r="C91" i="2"/>
  <c r="F91" i="2"/>
  <c r="B92" i="2"/>
  <c r="D92" i="2"/>
  <c r="E92" i="2"/>
  <c r="C92" i="2"/>
  <c r="F92" i="2"/>
  <c r="B93" i="2"/>
  <c r="D93" i="2"/>
  <c r="E93" i="2"/>
  <c r="C93" i="2"/>
  <c r="F93" i="2"/>
  <c r="B94" i="2"/>
  <c r="D94" i="2"/>
  <c r="E94" i="2"/>
  <c r="C94" i="2"/>
  <c r="F94" i="2"/>
  <c r="B95" i="2"/>
  <c r="D95" i="2"/>
  <c r="E95" i="2"/>
  <c r="C95" i="2"/>
  <c r="F95" i="2"/>
  <c r="B96" i="2"/>
  <c r="D96" i="2"/>
  <c r="E96" i="2"/>
  <c r="C96" i="2"/>
  <c r="F96" i="2"/>
  <c r="B97" i="2"/>
  <c r="D97" i="2"/>
  <c r="D98" i="2"/>
  <c r="J33" i="1"/>
  <c r="J34" i="1"/>
  <c r="J4" i="1"/>
  <c r="J5" i="1"/>
  <c r="J16" i="1"/>
  <c r="J7" i="1"/>
  <c r="J6" i="1"/>
  <c r="J17" i="1"/>
  <c r="J8" i="1"/>
  <c r="J9" i="1"/>
  <c r="J18" i="1"/>
  <c r="J19" i="1"/>
  <c r="J21" i="1"/>
  <c r="J22" i="1"/>
  <c r="J23" i="1"/>
  <c r="J24" i="1"/>
  <c r="J25" i="1"/>
  <c r="J49" i="1"/>
  <c r="J48" i="1"/>
  <c r="J26" i="1"/>
  <c r="J27" i="1"/>
  <c r="J28" i="1"/>
  <c r="J30" i="1"/>
  <c r="J32" i="1"/>
  <c r="J36" i="1"/>
  <c r="J37" i="1"/>
  <c r="J38" i="1"/>
  <c r="J62" i="1"/>
  <c r="E97" i="2"/>
  <c r="C97" i="2"/>
  <c r="F97" i="2"/>
  <c r="B100" i="2"/>
  <c r="D100" i="2"/>
  <c r="E100" i="2"/>
  <c r="C100" i="2"/>
  <c r="F100" i="2"/>
  <c r="B101" i="2"/>
  <c r="D101" i="2"/>
  <c r="E101" i="2"/>
  <c r="C101" i="2"/>
  <c r="F101" i="2"/>
  <c r="B102" i="2"/>
  <c r="D102" i="2"/>
  <c r="E102" i="2"/>
  <c r="C102" i="2"/>
  <c r="F102" i="2"/>
  <c r="B103" i="2"/>
  <c r="D103" i="2"/>
  <c r="E103" i="2"/>
  <c r="C103" i="2"/>
  <c r="F103" i="2"/>
  <c r="B104" i="2"/>
  <c r="D104" i="2"/>
  <c r="E104" i="2"/>
  <c r="C104" i="2"/>
  <c r="F104" i="2"/>
  <c r="B105" i="2"/>
  <c r="D105" i="2"/>
  <c r="E105" i="2"/>
  <c r="C105" i="2"/>
  <c r="F105" i="2"/>
  <c r="B106" i="2"/>
  <c r="D106" i="2"/>
  <c r="E106" i="2"/>
  <c r="C106" i="2"/>
  <c r="F106" i="2"/>
  <c r="B107" i="2"/>
  <c r="D107" i="2"/>
  <c r="E107" i="2"/>
  <c r="C107" i="2"/>
  <c r="F107" i="2"/>
  <c r="B108" i="2"/>
  <c r="D108" i="2"/>
  <c r="E108" i="2"/>
  <c r="C108" i="2"/>
  <c r="F108" i="2"/>
  <c r="B109" i="2"/>
  <c r="D109" i="2"/>
  <c r="E109" i="2"/>
  <c r="C109" i="2"/>
  <c r="F109" i="2"/>
  <c r="B110" i="2"/>
  <c r="D110" i="2"/>
  <c r="E110" i="2"/>
  <c r="C110" i="2"/>
  <c r="F110" i="2"/>
  <c r="B111" i="2"/>
  <c r="D111" i="2"/>
  <c r="D112" i="2"/>
  <c r="K33" i="1"/>
  <c r="K34" i="1"/>
  <c r="K4" i="1"/>
  <c r="K5" i="1"/>
  <c r="K16" i="1"/>
  <c r="K7" i="1"/>
  <c r="K6" i="1"/>
  <c r="K17" i="1"/>
  <c r="K8" i="1"/>
  <c r="K9" i="1"/>
  <c r="K18" i="1"/>
  <c r="K19" i="1"/>
  <c r="K21" i="1"/>
  <c r="K22" i="1"/>
  <c r="K23" i="1"/>
  <c r="K24" i="1"/>
  <c r="K25" i="1"/>
  <c r="K49" i="1"/>
  <c r="K48" i="1"/>
  <c r="K26" i="1"/>
  <c r="K27" i="1"/>
  <c r="K28" i="1"/>
  <c r="K30" i="1"/>
  <c r="K32" i="1"/>
  <c r="K36" i="1"/>
  <c r="K37" i="1"/>
  <c r="K38" i="1"/>
  <c r="K62" i="1"/>
  <c r="E61" i="1"/>
  <c r="H61" i="1"/>
  <c r="K61" i="1"/>
  <c r="C98" i="1"/>
  <c r="D44" i="1"/>
  <c r="D45" i="1"/>
  <c r="D46" i="1"/>
  <c r="D51" i="1"/>
  <c r="D53" i="1"/>
  <c r="E44" i="1"/>
  <c r="E45" i="1"/>
  <c r="E46" i="1"/>
  <c r="E51" i="1"/>
  <c r="E53" i="1"/>
  <c r="F44" i="1"/>
  <c r="F45" i="1"/>
  <c r="F46" i="1"/>
  <c r="F51" i="1"/>
  <c r="F53" i="1"/>
  <c r="G44" i="1"/>
  <c r="G45" i="1"/>
  <c r="G46" i="1"/>
  <c r="G51" i="1"/>
  <c r="G53" i="1"/>
  <c r="D58" i="1"/>
  <c r="E58" i="1"/>
  <c r="F58" i="1"/>
  <c r="G58" i="1"/>
  <c r="K120" i="1"/>
  <c r="K121" i="1"/>
  <c r="K122" i="1"/>
  <c r="K123" i="1"/>
  <c r="K124" i="1"/>
  <c r="K126" i="1"/>
  <c r="C129" i="1"/>
  <c r="D121" i="1"/>
  <c r="E121" i="1"/>
  <c r="F121" i="1"/>
  <c r="G121" i="1"/>
  <c r="H121" i="1"/>
  <c r="I121" i="1"/>
  <c r="J121" i="1"/>
  <c r="M132" i="1"/>
  <c r="K132" i="1"/>
  <c r="C130" i="1"/>
  <c r="K133" i="1"/>
  <c r="M134" i="1"/>
  <c r="K134" i="1"/>
  <c r="K45" i="1"/>
  <c r="J45" i="1"/>
  <c r="K137" i="1"/>
  <c r="J120" i="1"/>
  <c r="J122" i="1"/>
  <c r="J123" i="1"/>
  <c r="K138" i="1"/>
  <c r="K141" i="1"/>
  <c r="K142" i="1"/>
  <c r="K144" i="1"/>
  <c r="E111" i="2"/>
  <c r="C111" i="2"/>
  <c r="F111" i="2"/>
  <c r="K58" i="1"/>
  <c r="C97" i="1"/>
  <c r="C99" i="1"/>
  <c r="C101" i="1"/>
  <c r="C102" i="1"/>
  <c r="C104" i="1"/>
  <c r="C114" i="1"/>
  <c r="H98" i="1"/>
  <c r="G98" i="1"/>
  <c r="I98" i="1"/>
  <c r="H99" i="1"/>
  <c r="G99" i="1"/>
  <c r="I99" i="1"/>
  <c r="I100" i="1"/>
  <c r="C111" i="1"/>
  <c r="C109" i="1"/>
  <c r="C113" i="1"/>
  <c r="C116" i="1"/>
  <c r="H51" i="1"/>
  <c r="I51" i="1"/>
  <c r="H44" i="1"/>
  <c r="H45" i="1"/>
  <c r="H46" i="1"/>
  <c r="H53" i="1"/>
  <c r="I44" i="1"/>
  <c r="I45" i="1"/>
  <c r="I46" i="1"/>
  <c r="I53" i="1"/>
  <c r="J44" i="1"/>
  <c r="J46" i="1"/>
  <c r="J51" i="1"/>
  <c r="J53" i="1"/>
  <c r="K44" i="1"/>
  <c r="K46" i="1"/>
  <c r="K51" i="1"/>
  <c r="K53" i="1"/>
  <c r="D120" i="1"/>
  <c r="D122" i="1"/>
  <c r="D123" i="1"/>
  <c r="D124" i="1"/>
  <c r="D126" i="1"/>
  <c r="D137" i="1"/>
  <c r="D138" i="1"/>
  <c r="D144" i="1"/>
  <c r="C144" i="1"/>
  <c r="F120" i="1"/>
  <c r="F122" i="1"/>
  <c r="F123" i="1"/>
  <c r="E120" i="1"/>
  <c r="E122" i="1"/>
  <c r="E123" i="1"/>
  <c r="F138" i="1"/>
  <c r="C148" i="1"/>
  <c r="D150" i="1"/>
  <c r="E124" i="1"/>
  <c r="E126" i="1"/>
  <c r="E137" i="1"/>
  <c r="E138" i="1"/>
  <c r="E144" i="1"/>
  <c r="E150" i="1"/>
  <c r="F124" i="1"/>
  <c r="F126" i="1"/>
  <c r="F137" i="1"/>
  <c r="F144" i="1"/>
  <c r="F150" i="1"/>
  <c r="G120" i="1"/>
  <c r="G122" i="1"/>
  <c r="G123" i="1"/>
  <c r="G124" i="1"/>
  <c r="G126" i="1"/>
  <c r="G137" i="1"/>
  <c r="G138" i="1"/>
  <c r="G144" i="1"/>
  <c r="G150" i="1"/>
  <c r="H120" i="1"/>
  <c r="H122" i="1"/>
  <c r="H123" i="1"/>
  <c r="H124" i="1"/>
  <c r="H126" i="1"/>
  <c r="H137" i="1"/>
  <c r="H138" i="1"/>
  <c r="H144" i="1"/>
  <c r="H150" i="1"/>
  <c r="I120" i="1"/>
  <c r="I122" i="1"/>
  <c r="I123" i="1"/>
  <c r="I124" i="1"/>
  <c r="I126" i="1"/>
  <c r="I137" i="1"/>
  <c r="I138" i="1"/>
  <c r="I144" i="1"/>
  <c r="I150" i="1"/>
  <c r="J124" i="1"/>
  <c r="J126" i="1"/>
  <c r="J137" i="1"/>
  <c r="J138" i="1"/>
  <c r="J144" i="1"/>
  <c r="J150" i="1"/>
  <c r="K150" i="1"/>
  <c r="C150" i="1"/>
  <c r="C146" i="1"/>
  <c r="C152" i="1"/>
  <c r="D71" i="1"/>
  <c r="C87" i="1"/>
  <c r="C85" i="1"/>
  <c r="C86" i="1"/>
  <c r="C88" i="1"/>
  <c r="C89" i="1"/>
  <c r="C91" i="1"/>
  <c r="C92" i="1"/>
  <c r="C77" i="1"/>
  <c r="C78" i="1"/>
  <c r="C79" i="1"/>
  <c r="C80" i="1"/>
  <c r="E80" i="1"/>
  <c r="D70" i="1"/>
  <c r="D72" i="1"/>
  <c r="D73" i="1"/>
  <c r="D80" i="1"/>
  <c r="D82" i="1"/>
  <c r="D94" i="1"/>
  <c r="E56" i="1"/>
  <c r="E64" i="1"/>
  <c r="E66" i="1"/>
  <c r="B78" i="1"/>
  <c r="H56" i="1"/>
  <c r="H58" i="1"/>
  <c r="H64" i="1"/>
  <c r="H66" i="1"/>
  <c r="I56" i="1"/>
  <c r="I58" i="1"/>
  <c r="F61" i="1"/>
  <c r="I61" i="1"/>
  <c r="I64" i="1"/>
  <c r="I66" i="1"/>
  <c r="J56" i="1"/>
  <c r="J58" i="1"/>
  <c r="G61" i="1"/>
  <c r="J61" i="1"/>
  <c r="J64" i="1"/>
  <c r="J66" i="1"/>
  <c r="K56" i="1"/>
  <c r="K64" i="1"/>
  <c r="K66" i="1"/>
  <c r="C112" i="2"/>
  <c r="C98" i="2"/>
  <c r="C84" i="2"/>
  <c r="C70" i="2"/>
  <c r="D56" i="1"/>
  <c r="F56" i="1"/>
  <c r="G56" i="1"/>
  <c r="C14" i="2"/>
  <c r="D64" i="1"/>
  <c r="D66" i="1"/>
  <c r="C28" i="2"/>
  <c r="C42" i="2"/>
  <c r="F64" i="1"/>
  <c r="F66" i="1"/>
  <c r="C56" i="2"/>
  <c r="G64" i="1"/>
  <c r="G66" i="1"/>
</calcChain>
</file>

<file path=xl/sharedStrings.xml><?xml version="1.0" encoding="utf-8"?>
<sst xmlns="http://schemas.openxmlformats.org/spreadsheetml/2006/main" count="245" uniqueCount="194">
  <si>
    <t>SALES UNIT FORECASTS</t>
  </si>
  <si>
    <t>Annual change</t>
  </si>
  <si>
    <t>RATIOS USED IN FORECAST</t>
  </si>
  <si>
    <t>As per schedule</t>
  </si>
  <si>
    <t>INCOME STATEMENT</t>
  </si>
  <si>
    <t>Revenues</t>
  </si>
  <si>
    <t>Operating Expenses</t>
  </si>
  <si>
    <t>Total Operating Expenses</t>
  </si>
  <si>
    <t>Mortgage Interest Expense</t>
  </si>
  <si>
    <t>Interest rate</t>
  </si>
  <si>
    <t>Profit Before Taxes</t>
  </si>
  <si>
    <t>Taxes</t>
  </si>
  <si>
    <t>Tax rate (zero if negative income)</t>
  </si>
  <si>
    <t>Net Profit After Taxes</t>
  </si>
  <si>
    <t>BALANCE SHEET</t>
  </si>
  <si>
    <t>Assets</t>
  </si>
  <si>
    <t>Accounts Receivable</t>
  </si>
  <si>
    <t>Less:  Accumulated Depreciation</t>
  </si>
  <si>
    <t>Total Assets</t>
  </si>
  <si>
    <t>Liabilities and Equity</t>
  </si>
  <si>
    <t>Shareholder Contributions</t>
  </si>
  <si>
    <t>Retained Earnings</t>
  </si>
  <si>
    <t>Total Liabilities and Equity</t>
  </si>
  <si>
    <t>Beg Balance</t>
  </si>
  <si>
    <t>Principal</t>
  </si>
  <si>
    <t xml:space="preserve">Interest </t>
  </si>
  <si>
    <t>Payment</t>
  </si>
  <si>
    <t>End Balance</t>
  </si>
  <si>
    <t>TOTALS</t>
  </si>
  <si>
    <t>Mimimum Cash Balance</t>
  </si>
  <si>
    <t>Cash Above Minimum Cash Balance</t>
  </si>
  <si>
    <t>Depreciation Expense</t>
  </si>
  <si>
    <t>DFN</t>
  </si>
  <si>
    <t>Rate</t>
  </si>
  <si>
    <t>Term</t>
  </si>
  <si>
    <t>Monthly</t>
  </si>
  <si>
    <t>Extra Bank Loan</t>
  </si>
  <si>
    <t>Extra Bank Loan Interest Expense</t>
  </si>
  <si>
    <t>Sale Price</t>
  </si>
  <si>
    <t>Sales Price</t>
  </si>
  <si>
    <t>Collection Period (Days)</t>
  </si>
  <si>
    <t xml:space="preserve">Building Maintenance </t>
  </si>
  <si>
    <t>Inflation Growth</t>
  </si>
  <si>
    <t>Days in a Year</t>
  </si>
  <si>
    <t>Total Revenue</t>
  </si>
  <si>
    <t>Total Current Assets</t>
  </si>
  <si>
    <t>Minimum Balance</t>
  </si>
  <si>
    <t>Magic Hot Springs</t>
  </si>
  <si>
    <t>Rentals</t>
  </si>
  <si>
    <t>Utilities- Gas/Propane</t>
  </si>
  <si>
    <t>Admissions</t>
  </si>
  <si>
    <t>Labor</t>
  </si>
  <si>
    <t>Campground</t>
  </si>
  <si>
    <t>Lots</t>
  </si>
  <si>
    <t>Annual Change</t>
  </si>
  <si>
    <t>Weekends</t>
  </si>
  <si>
    <t>Admissions to Hot Springs</t>
  </si>
  <si>
    <t>Admissions to Springs</t>
  </si>
  <si>
    <t>Population</t>
  </si>
  <si>
    <t>Attend</t>
  </si>
  <si>
    <t>Occupancy</t>
  </si>
  <si>
    <t>Weekdays</t>
  </si>
  <si>
    <t>Total Weekend</t>
  </si>
  <si>
    <t>Total Weekday</t>
  </si>
  <si>
    <t>Revenue</t>
  </si>
  <si>
    <t>Cabin Rental</t>
  </si>
  <si>
    <t>Days in Year</t>
  </si>
  <si>
    <t>Hot Springs Labor</t>
  </si>
  <si>
    <t>Rental</t>
  </si>
  <si>
    <t>For groups and families we set a price of $250 a night, and that it would start out with an occupancy of 45% for the year increasing as it becomes more popular.</t>
  </si>
  <si>
    <t>Expenses</t>
  </si>
  <si>
    <t>General and Admin</t>
  </si>
  <si>
    <t>This includes paying any legal fees, accounting fees, marketing etc. As sales increase we will have more money to put into this fund and expand our operations.</t>
  </si>
  <si>
    <t>General &amp; Administrative</t>
  </si>
  <si>
    <t>Percentage of Sales</t>
  </si>
  <si>
    <t>Building Maintance</t>
  </si>
  <si>
    <t>http://boxcanyonouray.com/hot-springs/chem-analysis</t>
  </si>
  <si>
    <t>http://www.idahohotsprings.com/</t>
  </si>
  <si>
    <t>http://www.lavahotsprings.org/natural-hot-springs-idaho.html</t>
  </si>
  <si>
    <t xml:space="preserve">We found that are chemicals would cost about $70 every two weeks during the summer. We also included upkeep for the Hot Springs that would keep our guest coming back year after year with a 1% annual change. </t>
  </si>
  <si>
    <t>Hot Springs Maint.</t>
  </si>
  <si>
    <t>Hours a Day</t>
  </si>
  <si>
    <t>Days a Year</t>
  </si>
  <si>
    <t>Hour</t>
  </si>
  <si>
    <t>Utilities</t>
  </si>
  <si>
    <t>Fuel</t>
  </si>
  <si>
    <t>Sources Used</t>
  </si>
  <si>
    <t>Insurance Expense</t>
  </si>
  <si>
    <t>Hot Springs Maintenance</t>
  </si>
  <si>
    <t>Insurance</t>
  </si>
  <si>
    <t>Land</t>
  </si>
  <si>
    <t>Sales</t>
  </si>
  <si>
    <t>Breakeven</t>
  </si>
  <si>
    <t>Fixed Costs</t>
  </si>
  <si>
    <t>Variable</t>
  </si>
  <si>
    <t>Totals</t>
  </si>
  <si>
    <t>Contribution Margin</t>
  </si>
  <si>
    <t>Breakeven Units</t>
  </si>
  <si>
    <t xml:space="preserve">Rentals </t>
  </si>
  <si>
    <t>Units</t>
  </si>
  <si>
    <t xml:space="preserve">Building Maintenance - Variable  </t>
  </si>
  <si>
    <t xml:space="preserve">Building Maintenance - Fixed </t>
  </si>
  <si>
    <t xml:space="preserve">Average Sales </t>
  </si>
  <si>
    <t xml:space="preserve">Insurance Expense (Property and Liability) </t>
  </si>
  <si>
    <t xml:space="preserve">In years to come it would be smart to sell food, souvenirs, and other gift shop items. However for the first few years you are just going to want to focus on the sources of revenue that is readily available to you. </t>
  </si>
  <si>
    <t>In this expense we included salary ($25,000 fixed the rest is variable) for a couple/family to bring their camping trailer and live on site for the summer to deal with any maintance of the buildings and upkeep that is required. This would also include landscaping and the need for any craftsman to come in for special projects. Also during the winter if someone would like a cabin the fee for someone to check in and make sure everything is functioning and clean.</t>
  </si>
  <si>
    <t>From a near by town we could hire a few local teenagers during the summer to accept money for those coming into the Hot Springs. Being open 8 hours a day for the general public and having just one person take money making $8 hour working 6 days a week during the summer we figured how much we would have in labor. There would still be the maintance person who could help out, who would preferably have his wife also to help, when needed. There is someone that lives on the property right now that was previously the caretaker for this facility, we have the option of keeping him or adding new laborers.</t>
  </si>
  <si>
    <t xml:space="preserve">This is a combined expense of property and liability insurance with a cost of $500 each per month. </t>
  </si>
  <si>
    <t>Balance Sheet</t>
  </si>
  <si>
    <t>Account Receivable</t>
  </si>
  <si>
    <t>Building, Property and Land</t>
  </si>
  <si>
    <t>Taxes Payable</t>
  </si>
  <si>
    <t>Mortgage/Shareholder Contribution</t>
  </si>
  <si>
    <t>Property Tax</t>
  </si>
  <si>
    <t>Buildings and Equipment</t>
  </si>
  <si>
    <t>Of Building and Property</t>
  </si>
  <si>
    <t>Mortgage</t>
  </si>
  <si>
    <t>With a surrounding population of Jackpot Nevada and Twin Falls of 75,000 people and a potential tourist population with those traveling from California and Boise to Jackpot of 75,000. We figured that less than 5% would attend, hopefully bringing family and friends. Then this would increase by 5% as the hot springs becomes more popular.</t>
  </si>
  <si>
    <t>Figuring that occupancy is higher on the weekends than weekdays we figured a percent of occupancy for each of our 10 campground spots. Also that camping would be seasonal from May to September. Each year we would hopefully add more camping spots.</t>
  </si>
  <si>
    <t>Assuming that we are going more geothermal each year we will rely less upon electricity generated by our powerhouse which requires 2000 gallons of Diesel, and more upon the natural resources available to us through research and development.</t>
  </si>
  <si>
    <t>Cash</t>
  </si>
  <si>
    <t>We assume that we want a minimum balance of $1000, in excess of that would be contributed to balancing the balance statement.</t>
  </si>
  <si>
    <t>We assumed that there would be a 14 day accounts receivable just on Rental of the Cabin, and that only 1% of those renting the cabin would need this fourteen days, such as companies and other commercial organizations.</t>
  </si>
  <si>
    <t xml:space="preserve">For this we assumed that we would only pay taxes based on whether we had a net income. </t>
  </si>
  <si>
    <t>We assumed that this would be a simple 1% of the land and buildings which we own.</t>
  </si>
  <si>
    <t>A/R</t>
  </si>
  <si>
    <t>WACC</t>
  </si>
  <si>
    <t>Total</t>
  </si>
  <si>
    <t>Per Unit</t>
  </si>
  <si>
    <t>(1 Unit= 1 Admissions + .5 Campground + .5 Rental)</t>
  </si>
  <si>
    <t>Debt</t>
  </si>
  <si>
    <t>Equity</t>
  </si>
  <si>
    <t>Portion Debt</t>
  </si>
  <si>
    <t>Portion Equity</t>
  </si>
  <si>
    <t>CAPM</t>
  </si>
  <si>
    <t>Beta</t>
  </si>
  <si>
    <t>T-Bills</t>
  </si>
  <si>
    <t>S&amp;P</t>
  </si>
  <si>
    <t>Tax Rate</t>
  </si>
  <si>
    <t>Interest Rate</t>
  </si>
  <si>
    <t>Cost Debt</t>
  </si>
  <si>
    <t>Cost Equity</t>
  </si>
  <si>
    <t>Average Blended Interest Rate</t>
  </si>
  <si>
    <t>Bank Loan</t>
  </si>
  <si>
    <t>Cash from Operations</t>
  </si>
  <si>
    <t>Operating Income</t>
  </si>
  <si>
    <t>Less: Depreciation</t>
  </si>
  <si>
    <t>Taxable Operating Income</t>
  </si>
  <si>
    <t>After-Tax Operating Income</t>
  </si>
  <si>
    <t>Operating Income w/ Depreciation</t>
  </si>
  <si>
    <t>Cash from Capital Expenditures</t>
  </si>
  <si>
    <t>Cash from Working Captial Changes</t>
  </si>
  <si>
    <t>Income Taxes Payable (Operations Only)</t>
  </si>
  <si>
    <t>Cash From Liquidatiing Working Captial</t>
  </si>
  <si>
    <t>Free Cash Flows from Operations (FCF)</t>
  </si>
  <si>
    <t>Internal Rate of Return (IRR)</t>
  </si>
  <si>
    <t>Present Value (PV) of FCF's</t>
  </si>
  <si>
    <t>Net Present Value (NPV)</t>
  </si>
  <si>
    <t>FCF, NPV, IRR</t>
  </si>
  <si>
    <t>Unit</t>
  </si>
  <si>
    <t>One unit equals one admissions, half a campground rental, and half a cabin rental</t>
  </si>
  <si>
    <t>Variable Expenses</t>
  </si>
  <si>
    <t>Betas</t>
  </si>
  <si>
    <t>We figured our variable costs to be partly building maintance, general and administrative, and hot springs maintenance.</t>
  </si>
  <si>
    <t>While our fixed costs were those other expenses not included in variable.</t>
  </si>
  <si>
    <t>We found our T-Bills by looking on the website treasurydirect.gov</t>
  </si>
  <si>
    <t xml:space="preserve">To find our S&amp;P we looked on the website morningstar.com </t>
  </si>
  <si>
    <t>Bank Loan Interest Expense</t>
  </si>
  <si>
    <t>Buy Building</t>
  </si>
  <si>
    <t>Buy Land</t>
  </si>
  <si>
    <t>Sell Building</t>
  </si>
  <si>
    <t>Sell Land</t>
  </si>
  <si>
    <t>Refurbishing</t>
  </si>
  <si>
    <t>Refurbishings</t>
  </si>
  <si>
    <t xml:space="preserve">Book Value </t>
  </si>
  <si>
    <t>Land Appreciates</t>
  </si>
  <si>
    <t>Sell Building and Land</t>
  </si>
  <si>
    <t>In the last year of the forecast we sale the building at book value, and the Land at a 3% apprecation over the forecast.</t>
  </si>
  <si>
    <t>Liquidate Working Capital</t>
  </si>
  <si>
    <t>Also in the last year of the forecast the Working Capital accounts are liquidated.</t>
  </si>
  <si>
    <t>Tax on Sale</t>
  </si>
  <si>
    <t>Gain</t>
  </si>
  <si>
    <t>Operation Tax Expense (Payable)</t>
  </si>
  <si>
    <t>In year three the company will use $10,000 to refurbish the building, it will depreciate over five years.</t>
  </si>
  <si>
    <t>Refurbish</t>
  </si>
  <si>
    <t>In year three we used $10,000 to refurbish parts of the hot springs, with it being fully depreciated by the end of the forecast.</t>
  </si>
  <si>
    <t>We broke up the Buildings and Land, figuring that each acre costed us about $2500 per acre. And that the building costed us $400,000 this way we can depreciated just the building.</t>
  </si>
  <si>
    <t>Assuming that we can get a $549,000 mortgage with around a 7% interest rate, which was found by finding the house mortgage rate plus 3%.  The amortization is included with the forecast. The shareholders contributed $300,000 about 35% of the cost of buying the facility and land.</t>
  </si>
  <si>
    <t>To find beta we found a similar beta in the recreation sector.</t>
  </si>
  <si>
    <t>http://www.brankrate.com</t>
  </si>
  <si>
    <t>http://morningstar.com</t>
  </si>
  <si>
    <t>http://www.treasurydirect.gov</t>
  </si>
  <si>
    <t>http://magichotsprings.com</t>
  </si>
  <si>
    <t>Years Depreciation Life (straight line)</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</si>
</sst>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_);[Red]\(&quot;$&quot;#,##0.00\)"/>
    <numFmt numFmtId="43" formatCode="_(* #,##0.00_);_(* \(#,##0.00\);_(* &quot;-&quot;??_);_(@_)"/>
    <numFmt numFmtId="164" formatCode="_(\$* #,##0.00_);_(\$* \(#,##0.00\);_(\$* \-??_);_(@_)"/>
    <numFmt numFmtId="165" formatCode="_(* #,##0.00_);_(* \(#,##0.00\);_(* \-??_);_(@_)"/>
    <numFmt numFmtId="166" formatCode="_(\$* #,##0_);_(\$* \(#,##0\);_(\$* \-??_);_(@_)"/>
    <numFmt numFmtId="167" formatCode="[$$-409]#,##0.00;[Red]\-[$$-409]#,##0.00"/>
    <numFmt numFmtId="168" formatCode="[$$-409]#,##0.00;[Red][$$-409]#,##0.00"/>
    <numFmt numFmtId="169" formatCode="_(* #,##0_);_(* \(#,##0\);_(* \-??_);_(@_)"/>
    <numFmt numFmtId="170" formatCode="0.0000"/>
    <numFmt numFmtId="171" formatCode="_(* #,##0_);_(* \(#,##0\);_(* &quot;-&quot;??_);_(@_)"/>
  </numFmts>
  <fonts count="16">
    <font>
      <sz val="10"/>
      <name val="Arial"/>
    </font>
    <font>
      <sz val="11"/>
      <color indexed="8"/>
      <name val="Calibri"/>
      <family val="2"/>
    </font>
    <font>
      <b/>
      <sz val="11"/>
      <color indexed="8"/>
      <name val="Calibri"/>
      <family val="2"/>
    </font>
    <font>
      <b/>
      <sz val="11"/>
      <color indexed="8"/>
      <name val="Calibri"/>
      <family val="2"/>
    </font>
    <font>
      <b/>
      <sz val="10"/>
      <name val="Arial"/>
      <family val="2"/>
    </font>
    <font>
      <sz val="10"/>
      <name val="Arial"/>
      <family val="2"/>
    </font>
    <font>
      <sz val="11"/>
      <color indexed="8"/>
      <name val="Wingdings"/>
      <family val="2"/>
    </font>
    <font>
      <b/>
      <sz val="12"/>
      <color indexed="8"/>
      <name val="Calibri"/>
      <family val="2"/>
    </font>
    <font>
      <sz val="12"/>
      <color indexed="8"/>
      <name val="Calibri"/>
      <family val="2"/>
    </font>
    <font>
      <sz val="8"/>
      <name val="Arial"/>
      <family val="2"/>
    </font>
    <font>
      <sz val="12"/>
      <name val="Arial"/>
      <family val="2"/>
    </font>
    <font>
      <sz val="11"/>
      <name val="Arial"/>
      <family val="2"/>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s>
  <fills count="2">
    <fill>
      <patternFill patternType="none"/>
    </fill>
    <fill>
      <patternFill patternType="gray125"/>
    </fill>
  </fills>
  <borders count="13">
    <border>
      <left/>
      <right/>
      <top/>
      <bottom/>
      <diagonal/>
    </border>
    <border>
      <left/>
      <right/>
      <top/>
      <bottom style="thin">
        <color indexed="8"/>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5">
    <xf numFmtId="0" fontId="0" fillId="0" borderId="0"/>
    <xf numFmtId="165" fontId="1" fillId="0" borderId="0"/>
    <xf numFmtId="164" fontId="1" fillId="0" borderId="0"/>
    <xf numFmtId="0" fontId="1" fillId="0" borderId="0"/>
    <xf numFmtId="9" fontId="1" fillId="0" borderId="0"/>
  </cellStyleXfs>
  <cellXfs count="107">
    <xf numFmtId="0" fontId="0" fillId="0" borderId="0" xfId="0"/>
    <xf numFmtId="0" fontId="2" fillId="0" borderId="1" xfId="3" applyFont="1" applyBorder="1"/>
    <xf numFmtId="0" fontId="2" fillId="0" borderId="0" xfId="3" applyFont="1"/>
    <xf numFmtId="164" fontId="1" fillId="0" borderId="0" xfId="2" applyFont="1" applyFill="1" applyBorder="1" applyAlignment="1" applyProtection="1"/>
    <xf numFmtId="0" fontId="1" fillId="0" borderId="0" xfId="3" applyFont="1"/>
    <xf numFmtId="166" fontId="1" fillId="0" borderId="0" xfId="2" applyNumberFormat="1" applyFont="1" applyFill="1" applyBorder="1" applyAlignment="1" applyProtection="1"/>
    <xf numFmtId="0" fontId="0" fillId="0" borderId="0" xfId="0" applyFont="1" applyAlignment="1">
      <alignment wrapText="1"/>
    </xf>
    <xf numFmtId="167" fontId="0" fillId="0" borderId="0" xfId="0" applyNumberFormat="1" applyFont="1" applyAlignment="1">
      <alignment wrapText="1"/>
    </xf>
    <xf numFmtId="167" fontId="4" fillId="0" borderId="0" xfId="0" applyNumberFormat="1" applyFont="1" applyAlignment="1">
      <alignment wrapText="1"/>
    </xf>
    <xf numFmtId="0" fontId="4" fillId="0" borderId="0" xfId="0" applyFont="1" applyAlignment="1">
      <alignment wrapText="1"/>
    </xf>
    <xf numFmtId="0" fontId="4" fillId="0" borderId="0" xfId="0" applyFont="1"/>
    <xf numFmtId="167" fontId="0" fillId="0" borderId="0" xfId="0" applyNumberFormat="1"/>
    <xf numFmtId="8" fontId="0" fillId="0" borderId="0" xfId="0" applyNumberFormat="1"/>
    <xf numFmtId="166" fontId="1" fillId="0" borderId="2" xfId="2" applyNumberFormat="1" applyFont="1" applyFill="1" applyBorder="1" applyAlignment="1" applyProtection="1"/>
    <xf numFmtId="170" fontId="0" fillId="0" borderId="0" xfId="0" applyNumberFormat="1"/>
    <xf numFmtId="171" fontId="1" fillId="0" borderId="0" xfId="2" applyNumberFormat="1" applyFont="1" applyFill="1" applyBorder="1" applyAlignment="1" applyProtection="1"/>
    <xf numFmtId="17" fontId="0" fillId="0" borderId="0" xfId="0" applyNumberFormat="1" applyFont="1" applyAlignment="1">
      <alignment horizontal="left" wrapText="1"/>
    </xf>
    <xf numFmtId="0" fontId="0" fillId="0" borderId="0" xfId="0" applyAlignment="1">
      <alignment horizontal="left"/>
    </xf>
    <xf numFmtId="0" fontId="4" fillId="0" borderId="0" xfId="0" applyFont="1" applyAlignment="1">
      <alignment horizontal="left" wrapText="1"/>
    </xf>
    <xf numFmtId="0" fontId="0" fillId="0" borderId="0" xfId="0" applyFont="1" applyAlignment="1">
      <alignment horizontal="left" wrapText="1"/>
    </xf>
    <xf numFmtId="0" fontId="0" fillId="0" borderId="0" xfId="0" applyBorder="1"/>
    <xf numFmtId="168" fontId="4" fillId="0" borderId="0" xfId="0" applyNumberFormat="1" applyFont="1" applyBorder="1"/>
    <xf numFmtId="164" fontId="3" fillId="0" borderId="0" xfId="2" applyNumberFormat="1" applyFont="1" applyBorder="1"/>
    <xf numFmtId="0" fontId="2" fillId="0" borderId="2" xfId="3" applyFont="1" applyBorder="1"/>
    <xf numFmtId="0" fontId="0" fillId="0" borderId="0" xfId="0" applyAlignment="1">
      <alignment horizontal="left" vertical="top" wrapText="1"/>
    </xf>
    <xf numFmtId="0" fontId="5" fillId="0" borderId="0" xfId="0" applyFont="1"/>
    <xf numFmtId="0" fontId="0" fillId="0" borderId="0" xfId="0" applyAlignment="1">
      <alignment horizontal="left" vertical="top"/>
    </xf>
    <xf numFmtId="0" fontId="5" fillId="0" borderId="0" xfId="0" applyFont="1" applyAlignment="1">
      <alignment vertical="top"/>
    </xf>
    <xf numFmtId="0" fontId="0" fillId="0" borderId="0" xfId="0" applyAlignment="1">
      <alignment vertical="top"/>
    </xf>
    <xf numFmtId="0" fontId="0" fillId="0" borderId="0" xfId="0" applyFont="1" applyAlignment="1">
      <alignment horizontal="left" vertical="top" wrapText="1"/>
    </xf>
    <xf numFmtId="0" fontId="14" fillId="0" borderId="0" xfId="0" applyFont="1" applyBorder="1"/>
    <xf numFmtId="0" fontId="6" fillId="0" borderId="0" xfId="3" applyFont="1"/>
    <xf numFmtId="0" fontId="15" fillId="0" borderId="0" xfId="0" applyFont="1" applyBorder="1"/>
    <xf numFmtId="0" fontId="8" fillId="0" borderId="0" xfId="3" applyFont="1"/>
    <xf numFmtId="0" fontId="7" fillId="0" borderId="2" xfId="3" applyFont="1" applyBorder="1"/>
    <xf numFmtId="0" fontId="8" fillId="0" borderId="2" xfId="3" applyFont="1" applyBorder="1"/>
    <xf numFmtId="0" fontId="10" fillId="0" borderId="2" xfId="0" applyFont="1" applyBorder="1"/>
    <xf numFmtId="1" fontId="8" fillId="0" borderId="0" xfId="3" applyNumberFormat="1" applyFont="1"/>
    <xf numFmtId="10" fontId="8" fillId="0" borderId="0" xfId="4" applyNumberFormat="1" applyFont="1"/>
    <xf numFmtId="164" fontId="8" fillId="0" borderId="0" xfId="2" applyFont="1"/>
    <xf numFmtId="0" fontId="10" fillId="0" borderId="0" xfId="0" applyFont="1"/>
    <xf numFmtId="0" fontId="7" fillId="0" borderId="0" xfId="3" applyFont="1"/>
    <xf numFmtId="0" fontId="8" fillId="0" borderId="0" xfId="3" applyFont="1" applyFill="1"/>
    <xf numFmtId="9" fontId="8" fillId="0" borderId="0" xfId="3" applyNumberFormat="1" applyFont="1"/>
    <xf numFmtId="9" fontId="8" fillId="0" borderId="0" xfId="4" applyFont="1"/>
    <xf numFmtId="166" fontId="8" fillId="0" borderId="0" xfId="3" applyNumberFormat="1" applyFont="1"/>
    <xf numFmtId="169" fontId="8" fillId="0" borderId="0" xfId="3" applyNumberFormat="1" applyFont="1"/>
    <xf numFmtId="164" fontId="8" fillId="0" borderId="0" xfId="3" applyNumberFormat="1" applyFont="1"/>
    <xf numFmtId="169" fontId="8" fillId="0" borderId="0" xfId="3" applyNumberFormat="1" applyFont="1" applyFill="1"/>
    <xf numFmtId="166" fontId="8" fillId="0" borderId="2" xfId="3" applyNumberFormat="1" applyFont="1" applyBorder="1"/>
    <xf numFmtId="43" fontId="8" fillId="0" borderId="0" xfId="3" applyNumberFormat="1" applyFont="1"/>
    <xf numFmtId="166" fontId="8" fillId="0" borderId="0" xfId="3" applyNumberFormat="1" applyFont="1" applyBorder="1"/>
    <xf numFmtId="164" fontId="8" fillId="0" borderId="2" xfId="2" applyFont="1" applyBorder="1"/>
    <xf numFmtId="0" fontId="10" fillId="0" borderId="0" xfId="0" applyFont="1" applyBorder="1"/>
    <xf numFmtId="9" fontId="10" fillId="0" borderId="2" xfId="0" applyNumberFormat="1" applyFont="1" applyBorder="1"/>
    <xf numFmtId="10" fontId="8" fillId="0" borderId="0" xfId="3" applyNumberFormat="1" applyFont="1"/>
    <xf numFmtId="0" fontId="1" fillId="0" borderId="1" xfId="3" applyFont="1" applyBorder="1"/>
    <xf numFmtId="14" fontId="1" fillId="0" borderId="0" xfId="3" applyNumberFormat="1" applyFont="1"/>
    <xf numFmtId="0" fontId="1" fillId="0" borderId="2" xfId="3" applyFont="1" applyBorder="1"/>
    <xf numFmtId="0" fontId="11" fillId="0" borderId="2" xfId="0" applyFont="1" applyBorder="1"/>
    <xf numFmtId="0" fontId="1" fillId="0" borderId="3" xfId="3" applyFont="1" applyBorder="1"/>
    <xf numFmtId="0" fontId="1" fillId="0" borderId="4" xfId="3" applyFont="1" applyBorder="1"/>
    <xf numFmtId="169" fontId="1" fillId="0" borderId="0" xfId="1" applyNumberFormat="1" applyFont="1"/>
    <xf numFmtId="1" fontId="1" fillId="0" borderId="0" xfId="3" applyNumberFormat="1" applyFont="1"/>
    <xf numFmtId="10" fontId="1" fillId="0" borderId="0" xfId="4" applyNumberFormat="1" applyFont="1"/>
    <xf numFmtId="0" fontId="1" fillId="0" borderId="5" xfId="3" applyFont="1" applyBorder="1"/>
    <xf numFmtId="0" fontId="1" fillId="0" borderId="6" xfId="3" applyFont="1" applyBorder="1"/>
    <xf numFmtId="164" fontId="1" fillId="0" borderId="0" xfId="2" applyFont="1"/>
    <xf numFmtId="9" fontId="1" fillId="0" borderId="5" xfId="4" applyFont="1" applyBorder="1"/>
    <xf numFmtId="9" fontId="1" fillId="0" borderId="7" xfId="4" applyFont="1" applyBorder="1"/>
    <xf numFmtId="0" fontId="1" fillId="0" borderId="8" xfId="3" applyFont="1" applyBorder="1"/>
    <xf numFmtId="0" fontId="1" fillId="0" borderId="9" xfId="3" applyFont="1" applyBorder="1"/>
    <xf numFmtId="9" fontId="1" fillId="0" borderId="5" xfId="3" applyNumberFormat="1" applyFont="1" applyBorder="1"/>
    <xf numFmtId="9" fontId="1" fillId="0" borderId="7" xfId="3" applyNumberFormat="1" applyFont="1" applyBorder="1"/>
    <xf numFmtId="0" fontId="11" fillId="0" borderId="0" xfId="0" applyFont="1"/>
    <xf numFmtId="0" fontId="1" fillId="0" borderId="0" xfId="3" applyNumberFormat="1" applyFont="1"/>
    <xf numFmtId="0" fontId="1" fillId="0" borderId="0" xfId="3" applyFont="1" applyFill="1"/>
    <xf numFmtId="9" fontId="1" fillId="0" borderId="0" xfId="3" applyNumberFormat="1" applyFont="1"/>
    <xf numFmtId="9" fontId="1" fillId="0" borderId="0" xfId="4" applyFont="1"/>
    <xf numFmtId="164" fontId="1" fillId="0" borderId="10" xfId="2" applyFont="1" applyBorder="1"/>
    <xf numFmtId="169" fontId="1" fillId="0" borderId="11" xfId="1" applyNumberFormat="1" applyFont="1" applyBorder="1"/>
    <xf numFmtId="164" fontId="1" fillId="0" borderId="7" xfId="2" applyFont="1" applyBorder="1"/>
    <xf numFmtId="164" fontId="1" fillId="0" borderId="0" xfId="2" applyFont="1" applyBorder="1"/>
    <xf numFmtId="0" fontId="1" fillId="0" borderId="0" xfId="3" applyFont="1" applyBorder="1"/>
    <xf numFmtId="166" fontId="1" fillId="0" borderId="0" xfId="2" applyNumberFormat="1" applyFont="1"/>
    <xf numFmtId="166" fontId="1" fillId="0" borderId="2" xfId="2" applyNumberFormat="1" applyFont="1" applyBorder="1"/>
    <xf numFmtId="166" fontId="1" fillId="0" borderId="0" xfId="3" applyNumberFormat="1" applyFont="1"/>
    <xf numFmtId="164" fontId="1" fillId="0" borderId="0" xfId="3" applyNumberFormat="1" applyFont="1"/>
    <xf numFmtId="43" fontId="1" fillId="0" borderId="0" xfId="3" applyNumberFormat="1" applyFont="1"/>
    <xf numFmtId="0" fontId="11" fillId="0" borderId="0" xfId="0" applyFont="1" applyBorder="1"/>
    <xf numFmtId="10" fontId="1" fillId="0" borderId="0" xfId="3" applyNumberFormat="1" applyFont="1"/>
    <xf numFmtId="0" fontId="13" fillId="0" borderId="0" xfId="0" applyFont="1" applyBorder="1"/>
    <xf numFmtId="0" fontId="1" fillId="0" borderId="12" xfId="3" applyFont="1" applyBorder="1"/>
    <xf numFmtId="0" fontId="11" fillId="0" borderId="12" xfId="0" applyFont="1" applyBorder="1"/>
    <xf numFmtId="166" fontId="1" fillId="0" borderId="12" xfId="3" applyNumberFormat="1" applyFont="1" applyBorder="1"/>
    <xf numFmtId="166" fontId="11" fillId="0" borderId="0" xfId="0" applyNumberFormat="1" applyFont="1"/>
    <xf numFmtId="0" fontId="1" fillId="0" borderId="0" xfId="3" quotePrefix="1" applyFont="1"/>
    <xf numFmtId="8" fontId="1" fillId="0" borderId="0" xfId="3" applyNumberFormat="1" applyFont="1"/>
    <xf numFmtId="165" fontId="1" fillId="0" borderId="0" xfId="3" applyNumberFormat="1" applyFont="1"/>
    <xf numFmtId="0" fontId="12" fillId="0" borderId="0" xfId="0" applyFont="1" applyBorder="1"/>
    <xf numFmtId="167" fontId="4" fillId="0" borderId="0" xfId="0" applyNumberFormat="1" applyFont="1" applyBorder="1" applyAlignment="1">
      <alignment wrapText="1"/>
    </xf>
    <xf numFmtId="0" fontId="0" fillId="0" borderId="0" xfId="0" applyAlignment="1">
      <alignment horizontal="left" vertical="top" wrapText="1"/>
    </xf>
    <xf numFmtId="0" fontId="1" fillId="0" borderId="0" xfId="3"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vertical="top"/>
    </xf>
    <xf numFmtId="0" fontId="0" fillId="0" borderId="0" xfId="0" applyFont="1" applyAlignment="1">
      <alignment horizontal="left" vertical="top" wrapText="1"/>
    </xf>
    <xf numFmtId="0" fontId="0" fillId="0" borderId="0" xfId="0" applyAlignment="1">
      <alignment horizontal="left" vertical="top"/>
    </xf>
  </cellXfs>
  <cellStyles count="5">
    <cellStyle name="Comma" xfId="1" builtinId="3"/>
    <cellStyle name="Currency" xfId="2" builtinId="4"/>
    <cellStyle name="Excel Built-in Normal" xfId="3"/>
    <cellStyle name="Normal" xfId="0" builtinId="0"/>
    <cellStyle name="Percent" xfId="4"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6"/>
  <sheetViews>
    <sheetView tabSelected="1" zoomScale="85" zoomScaleNormal="85" workbookViewId="0">
      <selection activeCell="A117" sqref="A117"/>
    </sheetView>
  </sheetViews>
  <sheetFormatPr defaultColWidth="9.42578125" defaultRowHeight="15"/>
  <cols>
    <col min="1" max="1" width="6.140625" style="4" customWidth="1"/>
    <col min="2" max="2" width="33" style="4" bestFit="1" customWidth="1"/>
    <col min="3" max="3" width="13.28515625" style="4" bestFit="1" customWidth="1"/>
    <col min="4" max="4" width="14.140625" style="4" customWidth="1"/>
    <col min="5" max="5" width="12" style="4" customWidth="1"/>
    <col min="6" max="6" width="12.42578125" style="4" customWidth="1"/>
    <col min="7" max="7" width="12.140625" style="4" customWidth="1"/>
    <col min="8" max="8" width="11.85546875" style="74" bestFit="1" customWidth="1"/>
    <col min="9" max="9" width="11.7109375" style="74" bestFit="1" customWidth="1"/>
    <col min="10" max="10" width="11.85546875" style="74" bestFit="1" customWidth="1"/>
    <col min="11" max="11" width="12.7109375" style="74" bestFit="1" customWidth="1"/>
    <col min="12" max="12" width="3.85546875" style="4" customWidth="1"/>
    <col min="13" max="13" width="12.140625" style="4" customWidth="1"/>
    <col min="14" max="14" width="17.7109375" style="4" customWidth="1"/>
    <col min="15" max="15" width="8" style="4" customWidth="1"/>
    <col min="16" max="16" width="12.85546875" style="4" customWidth="1"/>
    <col min="17" max="17" width="9.7109375" style="4" bestFit="1" customWidth="1"/>
    <col min="18" max="18" width="10" style="4" customWidth="1"/>
    <col min="19" max="16384" width="9.42578125" style="4"/>
  </cols>
  <sheetData>
    <row r="1" spans="1:18" s="56" customFormat="1">
      <c r="A1" s="1" t="s">
        <v>47</v>
      </c>
    </row>
    <row r="2" spans="1:18">
      <c r="C2" s="57"/>
      <c r="D2" s="57">
        <v>41639</v>
      </c>
      <c r="E2" s="57">
        <v>42004</v>
      </c>
      <c r="F2" s="57">
        <v>42369</v>
      </c>
      <c r="G2" s="57">
        <v>42735</v>
      </c>
      <c r="H2" s="57">
        <v>43100</v>
      </c>
      <c r="I2" s="57">
        <v>43465</v>
      </c>
      <c r="J2" s="57">
        <v>43830</v>
      </c>
      <c r="K2" s="57">
        <v>44196</v>
      </c>
    </row>
    <row r="3" spans="1:18" s="58" customFormat="1">
      <c r="A3" s="23" t="s">
        <v>0</v>
      </c>
      <c r="H3" s="59"/>
      <c r="I3" s="59"/>
      <c r="J3" s="59"/>
      <c r="K3" s="59"/>
      <c r="O3" s="60" t="s">
        <v>52</v>
      </c>
      <c r="P3" s="61"/>
      <c r="Q3" s="60" t="s">
        <v>57</v>
      </c>
      <c r="R3" s="61"/>
    </row>
    <row r="4" spans="1:18">
      <c r="A4" s="4" t="s">
        <v>56</v>
      </c>
      <c r="D4" s="62">
        <f>Q4*Q5</f>
        <v>7500</v>
      </c>
      <c r="E4" s="62">
        <f t="shared" ref="E4:K4" si="0">D4*(1+$M$4)</f>
        <v>7875</v>
      </c>
      <c r="F4" s="62">
        <f t="shared" si="0"/>
        <v>8268.75</v>
      </c>
      <c r="G4" s="62">
        <f t="shared" si="0"/>
        <v>8682.1875</v>
      </c>
      <c r="H4" s="62">
        <f t="shared" si="0"/>
        <v>9116.296875</v>
      </c>
      <c r="I4" s="62">
        <f t="shared" si="0"/>
        <v>9572.1117187500004</v>
      </c>
      <c r="J4" s="62">
        <f t="shared" si="0"/>
        <v>10050.717304687501</v>
      </c>
      <c r="K4" s="62">
        <f t="shared" si="0"/>
        <v>10553.253169921876</v>
      </c>
      <c r="L4" s="63"/>
      <c r="M4" s="64">
        <v>0.05</v>
      </c>
      <c r="N4" s="4" t="s">
        <v>1</v>
      </c>
      <c r="O4" s="65">
        <v>10</v>
      </c>
      <c r="P4" s="66" t="s">
        <v>53</v>
      </c>
      <c r="Q4" s="65">
        <v>150000</v>
      </c>
      <c r="R4" s="66" t="s">
        <v>58</v>
      </c>
    </row>
    <row r="5" spans="1:18">
      <c r="B5" s="4" t="s">
        <v>38</v>
      </c>
      <c r="D5" s="67">
        <v>7</v>
      </c>
      <c r="E5" s="67">
        <f>D5+$M$5</f>
        <v>7.5</v>
      </c>
      <c r="F5" s="67">
        <f t="shared" ref="F5:K5" si="1">E5+$M$5</f>
        <v>8</v>
      </c>
      <c r="G5" s="67">
        <f t="shared" si="1"/>
        <v>8.5</v>
      </c>
      <c r="H5" s="67">
        <f t="shared" si="1"/>
        <v>9</v>
      </c>
      <c r="I5" s="67">
        <f t="shared" si="1"/>
        <v>9.5</v>
      </c>
      <c r="J5" s="67">
        <f t="shared" si="1"/>
        <v>10</v>
      </c>
      <c r="K5" s="67">
        <f t="shared" si="1"/>
        <v>10.5</v>
      </c>
      <c r="L5" s="63"/>
      <c r="M5" s="67">
        <v>0.5</v>
      </c>
      <c r="N5" s="4" t="s">
        <v>1</v>
      </c>
      <c r="O5" s="68">
        <v>0.3</v>
      </c>
      <c r="P5" s="66" t="s">
        <v>60</v>
      </c>
      <c r="Q5" s="69">
        <v>0.05</v>
      </c>
      <c r="R5" s="70" t="s">
        <v>59</v>
      </c>
    </row>
    <row r="6" spans="1:18">
      <c r="A6" s="4" t="s">
        <v>52</v>
      </c>
      <c r="D6" s="62">
        <f>O7+O10</f>
        <v>540</v>
      </c>
      <c r="E6" s="62">
        <f>D6*(1+$M$6)</f>
        <v>567</v>
      </c>
      <c r="F6" s="62">
        <f t="shared" ref="F6:K6" si="2">E6*(1+$M$6)</f>
        <v>595.35</v>
      </c>
      <c r="G6" s="62">
        <f t="shared" si="2"/>
        <v>625.11750000000006</v>
      </c>
      <c r="H6" s="62">
        <f t="shared" si="2"/>
        <v>656.37337500000012</v>
      </c>
      <c r="I6" s="62">
        <f t="shared" si="2"/>
        <v>689.19204375000015</v>
      </c>
      <c r="J6" s="62">
        <f t="shared" si="2"/>
        <v>723.65164593750023</v>
      </c>
      <c r="K6" s="62">
        <f t="shared" si="2"/>
        <v>759.83422823437525</v>
      </c>
      <c r="L6" s="63"/>
      <c r="M6" s="64">
        <v>0.05</v>
      </c>
      <c r="N6" s="4" t="s">
        <v>54</v>
      </c>
      <c r="O6" s="65">
        <f>15*5</f>
        <v>75</v>
      </c>
      <c r="P6" s="66" t="s">
        <v>61</v>
      </c>
    </row>
    <row r="7" spans="1:18">
      <c r="B7" s="4" t="s">
        <v>38</v>
      </c>
      <c r="D7" s="67">
        <v>10</v>
      </c>
      <c r="E7" s="67">
        <f>D7+$M$7</f>
        <v>12</v>
      </c>
      <c r="F7" s="67">
        <f t="shared" ref="F7:K7" si="3">E7+$M$7</f>
        <v>14</v>
      </c>
      <c r="G7" s="67">
        <f t="shared" si="3"/>
        <v>16</v>
      </c>
      <c r="H7" s="67">
        <f t="shared" si="3"/>
        <v>18</v>
      </c>
      <c r="I7" s="67">
        <f t="shared" si="3"/>
        <v>20</v>
      </c>
      <c r="J7" s="67">
        <f t="shared" si="3"/>
        <v>22</v>
      </c>
      <c r="K7" s="67">
        <f t="shared" si="3"/>
        <v>24</v>
      </c>
      <c r="L7" s="63"/>
      <c r="M7" s="67">
        <v>2</v>
      </c>
      <c r="N7" s="4" t="s">
        <v>54</v>
      </c>
      <c r="O7" s="71">
        <f>O4*O5*O6</f>
        <v>225</v>
      </c>
      <c r="P7" s="66" t="s">
        <v>63</v>
      </c>
      <c r="Q7" s="60" t="s">
        <v>65</v>
      </c>
      <c r="R7" s="61"/>
    </row>
    <row r="8" spans="1:18">
      <c r="A8" s="4" t="s">
        <v>48</v>
      </c>
      <c r="D8" s="62">
        <f>Q8*Q9</f>
        <v>162</v>
      </c>
      <c r="E8" s="62">
        <f t="shared" ref="E8:K8" si="4">D8*(1+$M$8)</f>
        <v>170.1</v>
      </c>
      <c r="F8" s="62">
        <f t="shared" si="4"/>
        <v>178.60499999999999</v>
      </c>
      <c r="G8" s="62">
        <f t="shared" si="4"/>
        <v>187.53524999999999</v>
      </c>
      <c r="H8" s="62">
        <f t="shared" si="4"/>
        <v>196.9120125</v>
      </c>
      <c r="I8" s="62">
        <f t="shared" si="4"/>
        <v>206.75761312500001</v>
      </c>
      <c r="J8" s="62">
        <f t="shared" si="4"/>
        <v>217.09549378125001</v>
      </c>
      <c r="K8" s="62">
        <f t="shared" si="4"/>
        <v>227.95026847031252</v>
      </c>
      <c r="L8" s="3"/>
      <c r="M8" s="64">
        <v>0.05</v>
      </c>
      <c r="N8" s="4" t="s">
        <v>1</v>
      </c>
      <c r="O8" s="72">
        <v>0.7</v>
      </c>
      <c r="P8" s="66" t="s">
        <v>60</v>
      </c>
      <c r="Q8" s="65">
        <v>360</v>
      </c>
      <c r="R8" s="66" t="s">
        <v>66</v>
      </c>
    </row>
    <row r="9" spans="1:18">
      <c r="B9" s="4" t="s">
        <v>39</v>
      </c>
      <c r="D9" s="67">
        <v>250</v>
      </c>
      <c r="E9" s="67">
        <f t="shared" ref="E9:K9" si="5">+D9*(1+$M$9)</f>
        <v>252.5</v>
      </c>
      <c r="F9" s="67">
        <f t="shared" si="5"/>
        <v>255.02500000000001</v>
      </c>
      <c r="G9" s="67">
        <f t="shared" si="5"/>
        <v>257.57524999999998</v>
      </c>
      <c r="H9" s="67">
        <f t="shared" si="5"/>
        <v>260.1510025</v>
      </c>
      <c r="I9" s="67">
        <f t="shared" si="5"/>
        <v>262.75251252499999</v>
      </c>
      <c r="J9" s="67">
        <f t="shared" si="5"/>
        <v>265.38003765024996</v>
      </c>
      <c r="K9" s="67">
        <f t="shared" si="5"/>
        <v>268.03383802675245</v>
      </c>
      <c r="L9" s="3"/>
      <c r="M9" s="64">
        <v>0.01</v>
      </c>
      <c r="N9" s="4" t="s">
        <v>1</v>
      </c>
      <c r="O9" s="65">
        <f>15*3</f>
        <v>45</v>
      </c>
      <c r="P9" s="66" t="s">
        <v>55</v>
      </c>
      <c r="Q9" s="73">
        <v>0.45</v>
      </c>
      <c r="R9" s="70" t="s">
        <v>60</v>
      </c>
    </row>
    <row r="10" spans="1:18">
      <c r="D10" s="3"/>
      <c r="E10" s="3"/>
      <c r="F10" s="3"/>
      <c r="G10" s="3"/>
      <c r="L10" s="3"/>
      <c r="O10" s="71">
        <f>O4*O8*O9</f>
        <v>315</v>
      </c>
      <c r="P10" s="70" t="s">
        <v>62</v>
      </c>
    </row>
    <row r="11" spans="1:18">
      <c r="A11" s="2" t="s">
        <v>2</v>
      </c>
      <c r="M11" s="62">
        <v>360</v>
      </c>
      <c r="N11" s="4" t="s">
        <v>43</v>
      </c>
    </row>
    <row r="12" spans="1:18">
      <c r="A12" s="4" t="s">
        <v>40</v>
      </c>
      <c r="D12" s="75">
        <v>14</v>
      </c>
      <c r="E12" s="4">
        <v>14</v>
      </c>
      <c r="F12" s="4">
        <v>14</v>
      </c>
      <c r="G12" s="4">
        <v>14</v>
      </c>
      <c r="H12" s="76">
        <v>14</v>
      </c>
      <c r="I12" s="76">
        <v>14</v>
      </c>
      <c r="J12" s="76">
        <v>14</v>
      </c>
      <c r="K12" s="76">
        <v>14</v>
      </c>
      <c r="M12" s="77">
        <v>0.01</v>
      </c>
      <c r="N12" s="4" t="s">
        <v>125</v>
      </c>
    </row>
    <row r="14" spans="1:18" s="58" customFormat="1">
      <c r="A14" s="23" t="s">
        <v>4</v>
      </c>
      <c r="H14" s="59"/>
      <c r="I14" s="59"/>
      <c r="J14" s="59"/>
      <c r="K14" s="59"/>
    </row>
    <row r="15" spans="1:18">
      <c r="A15" s="4" t="s">
        <v>5</v>
      </c>
      <c r="L15" s="5"/>
    </row>
    <row r="16" spans="1:18">
      <c r="B16" s="4" t="s">
        <v>50</v>
      </c>
      <c r="D16" s="5">
        <f t="shared" ref="D16:K16" si="6">D4*D5</f>
        <v>52500</v>
      </c>
      <c r="E16" s="5">
        <f t="shared" si="6"/>
        <v>59062.5</v>
      </c>
      <c r="F16" s="5">
        <f t="shared" si="6"/>
        <v>66150</v>
      </c>
      <c r="G16" s="5">
        <f t="shared" si="6"/>
        <v>73798.59375</v>
      </c>
      <c r="H16" s="5">
        <f t="shared" si="6"/>
        <v>82046.671875</v>
      </c>
      <c r="I16" s="5">
        <f t="shared" si="6"/>
        <v>90935.061328124997</v>
      </c>
      <c r="J16" s="5">
        <f t="shared" si="6"/>
        <v>100507.17304687502</v>
      </c>
      <c r="K16" s="5">
        <f t="shared" si="6"/>
        <v>110809.15828417971</v>
      </c>
      <c r="L16" s="5"/>
    </row>
    <row r="17" spans="1:17">
      <c r="B17" s="4" t="s">
        <v>52</v>
      </c>
      <c r="D17" s="5">
        <f>D7*D6</f>
        <v>5400</v>
      </c>
      <c r="E17" s="5">
        <f t="shared" ref="E17:K17" si="7">E7*E6</f>
        <v>6804</v>
      </c>
      <c r="F17" s="5">
        <f t="shared" si="7"/>
        <v>8334.9</v>
      </c>
      <c r="G17" s="5">
        <f t="shared" si="7"/>
        <v>10001.880000000001</v>
      </c>
      <c r="H17" s="5">
        <f t="shared" si="7"/>
        <v>11814.720750000002</v>
      </c>
      <c r="I17" s="5">
        <f t="shared" si="7"/>
        <v>13783.840875000004</v>
      </c>
      <c r="J17" s="5">
        <f t="shared" si="7"/>
        <v>15920.336210625006</v>
      </c>
      <c r="K17" s="5">
        <f t="shared" si="7"/>
        <v>18236.021477625007</v>
      </c>
      <c r="L17" s="5"/>
    </row>
    <row r="18" spans="1:17">
      <c r="B18" s="4" t="s">
        <v>48</v>
      </c>
      <c r="D18" s="5">
        <f t="shared" ref="D18:K18" si="8">D8*D9</f>
        <v>40500</v>
      </c>
      <c r="E18" s="5">
        <f t="shared" si="8"/>
        <v>42950.25</v>
      </c>
      <c r="F18" s="5">
        <f t="shared" si="8"/>
        <v>45548.740124999997</v>
      </c>
      <c r="G18" s="5">
        <f t="shared" si="8"/>
        <v>48304.438902562491</v>
      </c>
      <c r="H18" s="5">
        <f t="shared" si="8"/>
        <v>51226.857456167534</v>
      </c>
      <c r="I18" s="5">
        <f t="shared" si="8"/>
        <v>54326.082332265665</v>
      </c>
      <c r="J18" s="5">
        <f t="shared" si="8"/>
        <v>57612.810313367736</v>
      </c>
      <c r="K18" s="5">
        <f t="shared" si="8"/>
        <v>61098.385337326479</v>
      </c>
      <c r="L18" s="5"/>
    </row>
    <row r="19" spans="1:17">
      <c r="B19" s="4" t="s">
        <v>44</v>
      </c>
      <c r="D19" s="13">
        <f>SUM(D16:D18)</f>
        <v>98400</v>
      </c>
      <c r="E19" s="13">
        <f t="shared" ref="E19:K19" si="9">SUM(E16:E18)</f>
        <v>108816.75</v>
      </c>
      <c r="F19" s="13">
        <f t="shared" si="9"/>
        <v>120033.64012499999</v>
      </c>
      <c r="G19" s="13">
        <f t="shared" si="9"/>
        <v>132104.91265256249</v>
      </c>
      <c r="H19" s="13">
        <f t="shared" si="9"/>
        <v>145088.25008116756</v>
      </c>
      <c r="I19" s="13">
        <f t="shared" si="9"/>
        <v>159044.98453539069</v>
      </c>
      <c r="J19" s="13">
        <f t="shared" si="9"/>
        <v>174040.31957086775</v>
      </c>
      <c r="K19" s="13">
        <f t="shared" si="9"/>
        <v>190143.5650991312</v>
      </c>
      <c r="L19" s="5"/>
    </row>
    <row r="20" spans="1:17">
      <c r="A20" s="4" t="s">
        <v>6</v>
      </c>
      <c r="D20" s="5"/>
      <c r="E20" s="5"/>
      <c r="F20" s="5"/>
      <c r="G20" s="5"/>
      <c r="L20" s="5"/>
    </row>
    <row r="21" spans="1:17">
      <c r="B21" s="4" t="s">
        <v>73</v>
      </c>
      <c r="D21" s="5">
        <v>10000</v>
      </c>
      <c r="E21" s="15">
        <f t="shared" ref="E21:K21" si="10">E19*$M$21</f>
        <v>11058.612804878048</v>
      </c>
      <c r="F21" s="15">
        <f t="shared" si="10"/>
        <v>12198.540663109756</v>
      </c>
      <c r="G21" s="15">
        <f t="shared" si="10"/>
        <v>13425.296001276676</v>
      </c>
      <c r="H21" s="15">
        <f t="shared" si="10"/>
        <v>14744.740861907272</v>
      </c>
      <c r="I21" s="15">
        <f t="shared" si="10"/>
        <v>16163.108184490922</v>
      </c>
      <c r="J21" s="15">
        <f t="shared" si="10"/>
        <v>17687.024346632901</v>
      </c>
      <c r="K21" s="15">
        <f t="shared" si="10"/>
        <v>19323.533038529593</v>
      </c>
      <c r="L21" s="5"/>
      <c r="M21" s="78">
        <f>D21/D19</f>
        <v>0.1016260162601626</v>
      </c>
      <c r="N21" s="4" t="s">
        <v>74</v>
      </c>
      <c r="O21" s="60" t="s">
        <v>51</v>
      </c>
      <c r="P21" s="61"/>
      <c r="Q21" s="71" t="s">
        <v>85</v>
      </c>
    </row>
    <row r="22" spans="1:17">
      <c r="B22" s="4" t="s">
        <v>41</v>
      </c>
      <c r="D22" s="5">
        <v>55000</v>
      </c>
      <c r="E22" s="5">
        <f>D22*(1+$M$22)</f>
        <v>56650</v>
      </c>
      <c r="F22" s="5">
        <f>E22*(1+$M$22)</f>
        <v>58349.5</v>
      </c>
      <c r="G22" s="5">
        <f>F22*(1+$M$22)</f>
        <v>60099.985000000001</v>
      </c>
      <c r="H22" s="5">
        <v>55000</v>
      </c>
      <c r="I22" s="5">
        <f>H22*(1+$M$22)</f>
        <v>56650</v>
      </c>
      <c r="J22" s="5">
        <f>I22*(1+$M$22)</f>
        <v>58349.5</v>
      </c>
      <c r="K22" s="5">
        <f>J22*(1+$M$22)</f>
        <v>60099.985000000001</v>
      </c>
      <c r="L22" s="5"/>
      <c r="M22" s="64">
        <v>0.03</v>
      </c>
      <c r="N22" s="4" t="s">
        <v>42</v>
      </c>
      <c r="O22" s="65">
        <v>8</v>
      </c>
      <c r="P22" s="66" t="s">
        <v>81</v>
      </c>
      <c r="Q22" s="79">
        <v>4</v>
      </c>
    </row>
    <row r="23" spans="1:17">
      <c r="B23" s="4" t="s">
        <v>88</v>
      </c>
      <c r="D23" s="5">
        <f>70*7+4*70+430</f>
        <v>1200</v>
      </c>
      <c r="E23" s="5">
        <f>D23*(1+$M$23)</f>
        <v>1212</v>
      </c>
      <c r="F23" s="5">
        <f t="shared" ref="F23:K23" si="11">E23*(1+$M$23)</f>
        <v>1224.1200000000001</v>
      </c>
      <c r="G23" s="5">
        <f t="shared" si="11"/>
        <v>1236.3612000000001</v>
      </c>
      <c r="H23" s="5">
        <f t="shared" si="11"/>
        <v>1248.7248120000002</v>
      </c>
      <c r="I23" s="5">
        <f t="shared" si="11"/>
        <v>1261.2120601200002</v>
      </c>
      <c r="J23" s="5">
        <f t="shared" si="11"/>
        <v>1273.8241807212003</v>
      </c>
      <c r="K23" s="5">
        <f t="shared" si="11"/>
        <v>1286.5624225284123</v>
      </c>
      <c r="L23" s="5"/>
      <c r="M23" s="64">
        <v>0.01</v>
      </c>
      <c r="N23" s="4" t="s">
        <v>54</v>
      </c>
      <c r="O23" s="65">
        <f>15*6</f>
        <v>90</v>
      </c>
      <c r="P23" s="66" t="s">
        <v>82</v>
      </c>
      <c r="Q23" s="80">
        <v>2000</v>
      </c>
    </row>
    <row r="24" spans="1:17">
      <c r="B24" s="4" t="s">
        <v>67</v>
      </c>
      <c r="D24" s="5">
        <f>O22*O23*O24</f>
        <v>5760</v>
      </c>
      <c r="E24" s="5">
        <f>D24*(1+$M$24)</f>
        <v>5932.8</v>
      </c>
      <c r="F24" s="5">
        <f t="shared" ref="F24:K24" si="12">E24*(1+$M$24)</f>
        <v>6110.7840000000006</v>
      </c>
      <c r="G24" s="5">
        <f t="shared" si="12"/>
        <v>6294.1075200000005</v>
      </c>
      <c r="H24" s="5">
        <f t="shared" si="12"/>
        <v>6482.9307456000006</v>
      </c>
      <c r="I24" s="5">
        <f t="shared" si="12"/>
        <v>6677.4186679680006</v>
      </c>
      <c r="J24" s="5">
        <f t="shared" si="12"/>
        <v>6877.7412280070412</v>
      </c>
      <c r="K24" s="5">
        <f t="shared" si="12"/>
        <v>7084.0734648472526</v>
      </c>
      <c r="L24" s="5"/>
      <c r="M24" s="64">
        <v>0.03</v>
      </c>
      <c r="N24" s="4" t="s">
        <v>54</v>
      </c>
      <c r="O24" s="81">
        <v>8</v>
      </c>
      <c r="P24" s="70" t="s">
        <v>83</v>
      </c>
    </row>
    <row r="25" spans="1:17">
      <c r="B25" s="4" t="s">
        <v>103</v>
      </c>
      <c r="D25" s="5">
        <f>1000*12</f>
        <v>12000</v>
      </c>
      <c r="E25" s="5">
        <f>+D25</f>
        <v>12000</v>
      </c>
      <c r="F25" s="5">
        <f t="shared" ref="F25:K25" si="13">+E25</f>
        <v>12000</v>
      </c>
      <c r="G25" s="5">
        <f t="shared" si="13"/>
        <v>12000</v>
      </c>
      <c r="H25" s="5">
        <f t="shared" si="13"/>
        <v>12000</v>
      </c>
      <c r="I25" s="5">
        <f t="shared" si="13"/>
        <v>12000</v>
      </c>
      <c r="J25" s="5">
        <f t="shared" si="13"/>
        <v>12000</v>
      </c>
      <c r="K25" s="5">
        <f t="shared" si="13"/>
        <v>12000</v>
      </c>
      <c r="L25" s="5"/>
      <c r="M25" s="64"/>
      <c r="O25" s="82"/>
      <c r="P25" s="83"/>
    </row>
    <row r="26" spans="1:17">
      <c r="B26" s="4" t="s">
        <v>113</v>
      </c>
      <c r="D26" s="5">
        <f>(D49+D48)*$M$26</f>
        <v>8490</v>
      </c>
      <c r="E26" s="5">
        <f t="shared" ref="E26:K26" si="14">(E49+E48)*$M$26</f>
        <v>8490</v>
      </c>
      <c r="F26" s="5">
        <f t="shared" si="14"/>
        <v>8490</v>
      </c>
      <c r="G26" s="5">
        <f t="shared" si="14"/>
        <v>8490</v>
      </c>
      <c r="H26" s="5">
        <f t="shared" si="14"/>
        <v>8490</v>
      </c>
      <c r="I26" s="5">
        <f t="shared" si="14"/>
        <v>8490</v>
      </c>
      <c r="J26" s="5">
        <f t="shared" si="14"/>
        <v>8490</v>
      </c>
      <c r="K26" s="5">
        <f t="shared" si="14"/>
        <v>8490</v>
      </c>
      <c r="L26" s="5"/>
      <c r="M26" s="64">
        <v>0.01</v>
      </c>
      <c r="N26" s="4" t="s">
        <v>115</v>
      </c>
      <c r="O26" s="82"/>
      <c r="P26" s="83"/>
    </row>
    <row r="27" spans="1:17">
      <c r="B27" s="4" t="s">
        <v>49</v>
      </c>
      <c r="D27" s="5">
        <f>Q22*Q23</f>
        <v>8000</v>
      </c>
      <c r="E27" s="5">
        <f>D27*(1+$M$27)</f>
        <v>7200</v>
      </c>
      <c r="F27" s="5">
        <f t="shared" ref="F27:K27" si="15">E27*(1+$M$27)</f>
        <v>6480</v>
      </c>
      <c r="G27" s="5">
        <f t="shared" si="15"/>
        <v>5832</v>
      </c>
      <c r="H27" s="5">
        <f t="shared" si="15"/>
        <v>5248.8</v>
      </c>
      <c r="I27" s="5">
        <f t="shared" si="15"/>
        <v>4723.92</v>
      </c>
      <c r="J27" s="5">
        <f t="shared" si="15"/>
        <v>4251.5280000000002</v>
      </c>
      <c r="K27" s="5">
        <f t="shared" si="15"/>
        <v>3826.3752000000004</v>
      </c>
      <c r="L27" s="5"/>
      <c r="M27" s="64">
        <v>-0.1</v>
      </c>
      <c r="N27" s="4" t="s">
        <v>54</v>
      </c>
    </row>
    <row r="28" spans="1:17">
      <c r="B28" s="4" t="s">
        <v>7</v>
      </c>
      <c r="D28" s="13">
        <f>SUM(D21:D27)</f>
        <v>100450</v>
      </c>
      <c r="E28" s="13">
        <f t="shared" ref="E28:K28" si="16">SUM(E21:E27)</f>
        <v>102543.41280487805</v>
      </c>
      <c r="F28" s="13">
        <f t="shared" si="16"/>
        <v>104852.94466310975</v>
      </c>
      <c r="G28" s="13">
        <f t="shared" si="16"/>
        <v>107377.74972127668</v>
      </c>
      <c r="H28" s="13">
        <f t="shared" si="16"/>
        <v>103215.19641950727</v>
      </c>
      <c r="I28" s="13">
        <f t="shared" si="16"/>
        <v>105965.65891257892</v>
      </c>
      <c r="J28" s="13">
        <f t="shared" si="16"/>
        <v>108929.61775536115</v>
      </c>
      <c r="K28" s="13">
        <f t="shared" si="16"/>
        <v>112110.52912590526</v>
      </c>
      <c r="L28" s="5"/>
    </row>
    <row r="29" spans="1:17">
      <c r="D29" s="5"/>
      <c r="E29" s="5"/>
      <c r="F29" s="5"/>
      <c r="G29" s="5"/>
      <c r="L29" s="5"/>
    </row>
    <row r="30" spans="1:17">
      <c r="A30" s="4" t="s">
        <v>145</v>
      </c>
      <c r="D30" s="5">
        <f t="shared" ref="D30:K30" si="17">D19-D28</f>
        <v>-2050</v>
      </c>
      <c r="E30" s="5">
        <f t="shared" si="17"/>
        <v>6273.3371951219451</v>
      </c>
      <c r="F30" s="5">
        <f t="shared" si="17"/>
        <v>15180.695461890238</v>
      </c>
      <c r="G30" s="5">
        <f t="shared" si="17"/>
        <v>24727.162931285813</v>
      </c>
      <c r="H30" s="5">
        <f t="shared" si="17"/>
        <v>41873.053661660291</v>
      </c>
      <c r="I30" s="5">
        <f t="shared" si="17"/>
        <v>53079.325622811768</v>
      </c>
      <c r="J30" s="5">
        <f t="shared" si="17"/>
        <v>65110.701815506603</v>
      </c>
      <c r="K30" s="5">
        <f t="shared" si="17"/>
        <v>78033.035973225939</v>
      </c>
      <c r="L30" s="5"/>
    </row>
    <row r="31" spans="1:17">
      <c r="D31" s="5"/>
      <c r="E31" s="5"/>
      <c r="F31" s="5"/>
      <c r="G31" s="5"/>
      <c r="L31" s="5"/>
    </row>
    <row r="32" spans="1:17">
      <c r="A32" s="76" t="s">
        <v>31</v>
      </c>
      <c r="B32" s="76"/>
      <c r="D32" s="5">
        <f>+D48/$M$48</f>
        <v>13333.333333333334</v>
      </c>
      <c r="E32" s="5">
        <f>+E48/$M$48</f>
        <v>13333.333333333334</v>
      </c>
      <c r="F32" s="5">
        <f>+F48/$M$48</f>
        <v>13333.333333333334</v>
      </c>
      <c r="G32" s="15">
        <f>+G48/$M$48+G50/$M$50</f>
        <v>15333.333333333334</v>
      </c>
      <c r="H32" s="15">
        <f>+H48/$M$48+H50/$M$50</f>
        <v>15333.333333333334</v>
      </c>
      <c r="I32" s="15">
        <f>+I48/$M$48+I50/$M$50</f>
        <v>15333.333333333334</v>
      </c>
      <c r="J32" s="15">
        <f>+J48/$M$48+J50/$M$50</f>
        <v>15333.333333333334</v>
      </c>
      <c r="K32" s="15">
        <f>+K48/$M$48+K50/$M$50</f>
        <v>15333.333333333334</v>
      </c>
      <c r="L32" s="5"/>
    </row>
    <row r="33" spans="1:14">
      <c r="A33" s="4" t="s">
        <v>8</v>
      </c>
      <c r="D33" s="5">
        <f>Mortgage!D14</f>
        <v>38264.330681322819</v>
      </c>
      <c r="E33" s="5">
        <f>Mortgage!D28</f>
        <v>37861.220137333403</v>
      </c>
      <c r="F33" s="5">
        <f>Mortgage!D42</f>
        <v>37428.960104554753</v>
      </c>
      <c r="G33" s="5">
        <f>Mortgage!D56</f>
        <v>36965.442742571053</v>
      </c>
      <c r="H33" s="5">
        <f>Mortgage!D70</f>
        <v>36468.407790069774</v>
      </c>
      <c r="I33" s="5">
        <f>Mortgage!D84</f>
        <v>35935.431543072962</v>
      </c>
      <c r="J33" s="5">
        <f>Mortgage!D98</f>
        <v>35363.915036168772</v>
      </c>
      <c r="K33" s="5">
        <f>Mortgage!D112</f>
        <v>34751.071369111487</v>
      </c>
      <c r="L33" s="5"/>
      <c r="M33" s="64">
        <v>0.03</v>
      </c>
      <c r="N33" s="4" t="s">
        <v>3</v>
      </c>
    </row>
    <row r="34" spans="1:14">
      <c r="A34" s="4" t="s">
        <v>167</v>
      </c>
      <c r="D34" s="5">
        <f t="shared" ref="D34:K34" si="18">+D59*$M$34</f>
        <v>5211.6364107325944</v>
      </c>
      <c r="E34" s="5">
        <f t="shared" si="18"/>
        <v>9964.7730537552652</v>
      </c>
      <c r="F34" s="5">
        <f t="shared" si="18"/>
        <v>14256.335921799253</v>
      </c>
      <c r="G34" s="5">
        <f t="shared" si="18"/>
        <v>19075.138404881774</v>
      </c>
      <c r="H34" s="5">
        <f t="shared" si="18"/>
        <v>21413.160508872825</v>
      </c>
      <c r="I34" s="5">
        <f t="shared" si="18"/>
        <v>22765.829157403154</v>
      </c>
      <c r="J34" s="5">
        <f t="shared" si="18"/>
        <v>22931.982847456791</v>
      </c>
      <c r="K34" s="5">
        <f t="shared" si="18"/>
        <v>21680.791744370403</v>
      </c>
      <c r="L34" s="5"/>
      <c r="M34" s="64">
        <v>0.1</v>
      </c>
      <c r="N34" s="4" t="s">
        <v>9</v>
      </c>
    </row>
    <row r="35" spans="1:14">
      <c r="D35" s="5"/>
      <c r="E35" s="5"/>
      <c r="F35" s="5"/>
      <c r="G35" s="5"/>
      <c r="L35" s="5"/>
    </row>
    <row r="36" spans="1:14">
      <c r="A36" s="4" t="s">
        <v>10</v>
      </c>
      <c r="D36" s="5">
        <f t="shared" ref="D36:K36" si="19">D30-D32-D33-D34</f>
        <v>-58859.300425388748</v>
      </c>
      <c r="E36" s="5">
        <f t="shared" si="19"/>
        <v>-54885.989329300057</v>
      </c>
      <c r="F36" s="5">
        <f>F30-F32-F33-F34</f>
        <v>-49837.933897797106</v>
      </c>
      <c r="G36" s="5">
        <f t="shared" si="19"/>
        <v>-46646.751549500346</v>
      </c>
      <c r="H36" s="5">
        <f t="shared" si="19"/>
        <v>-31341.847970615643</v>
      </c>
      <c r="I36" s="5">
        <f t="shared" si="19"/>
        <v>-20955.268410997684</v>
      </c>
      <c r="J36" s="5">
        <f t="shared" si="19"/>
        <v>-8518.5294014522951</v>
      </c>
      <c r="K36" s="5">
        <f t="shared" si="19"/>
        <v>6267.839526410713</v>
      </c>
      <c r="L36" s="5"/>
    </row>
    <row r="37" spans="1:14">
      <c r="A37" s="4" t="s">
        <v>11</v>
      </c>
      <c r="D37" s="5">
        <f t="shared" ref="D37:K37" si="20">IF(D36&lt;0,0,D36*$M$37)</f>
        <v>0</v>
      </c>
      <c r="E37" s="5">
        <f t="shared" si="20"/>
        <v>0</v>
      </c>
      <c r="F37" s="5">
        <f t="shared" si="20"/>
        <v>0</v>
      </c>
      <c r="G37" s="5">
        <f t="shared" si="20"/>
        <v>0</v>
      </c>
      <c r="H37" s="5">
        <f t="shared" si="20"/>
        <v>0</v>
      </c>
      <c r="I37" s="5">
        <f t="shared" si="20"/>
        <v>0</v>
      </c>
      <c r="J37" s="5">
        <f t="shared" si="20"/>
        <v>0</v>
      </c>
      <c r="K37" s="5">
        <f t="shared" si="20"/>
        <v>1566.9598816026783</v>
      </c>
      <c r="L37" s="5"/>
      <c r="M37" s="64">
        <v>0.25</v>
      </c>
      <c r="N37" s="4" t="s">
        <v>12</v>
      </c>
    </row>
    <row r="38" spans="1:14">
      <c r="A38" s="2" t="s">
        <v>13</v>
      </c>
      <c r="D38" s="84">
        <f t="shared" ref="D38:K38" si="21">D36-D37</f>
        <v>-58859.300425388748</v>
      </c>
      <c r="E38" s="84">
        <f t="shared" si="21"/>
        <v>-54885.989329300057</v>
      </c>
      <c r="F38" s="84">
        <f t="shared" si="21"/>
        <v>-49837.933897797106</v>
      </c>
      <c r="G38" s="84">
        <f t="shared" si="21"/>
        <v>-46646.751549500346</v>
      </c>
      <c r="H38" s="84">
        <f t="shared" si="21"/>
        <v>-31341.847970615643</v>
      </c>
      <c r="I38" s="84">
        <f t="shared" si="21"/>
        <v>-20955.268410997684</v>
      </c>
      <c r="J38" s="84">
        <f t="shared" si="21"/>
        <v>-8518.5294014522951</v>
      </c>
      <c r="K38" s="84">
        <f t="shared" si="21"/>
        <v>4700.8796448080348</v>
      </c>
      <c r="L38" s="5"/>
    </row>
    <row r="39" spans="1:14">
      <c r="A39" s="2"/>
      <c r="D39" s="5"/>
      <c r="E39" s="5"/>
      <c r="F39" s="5"/>
      <c r="G39" s="5"/>
      <c r="L39" s="5"/>
    </row>
    <row r="41" spans="1:14" s="58" customFormat="1">
      <c r="A41" s="23" t="s">
        <v>14</v>
      </c>
      <c r="H41" s="59"/>
      <c r="I41" s="59"/>
      <c r="J41" s="59"/>
      <c r="K41" s="59"/>
    </row>
    <row r="42" spans="1:14">
      <c r="A42" s="2" t="s">
        <v>15</v>
      </c>
    </row>
    <row r="43" spans="1:14">
      <c r="A43" s="4" t="s">
        <v>30</v>
      </c>
      <c r="D43" s="5"/>
      <c r="E43" s="5">
        <v>0</v>
      </c>
      <c r="F43" s="5">
        <v>0</v>
      </c>
      <c r="G43" s="5">
        <v>0</v>
      </c>
      <c r="H43" s="5">
        <v>0</v>
      </c>
      <c r="I43" s="5">
        <v>0</v>
      </c>
      <c r="J43" s="5">
        <v>0</v>
      </c>
      <c r="K43" s="5">
        <v>0</v>
      </c>
      <c r="L43" s="5"/>
    </row>
    <row r="44" spans="1:14">
      <c r="A44" s="4" t="s">
        <v>29</v>
      </c>
      <c r="D44" s="5">
        <f t="shared" ref="D44:K44" si="22">$M$44</f>
        <v>1000</v>
      </c>
      <c r="E44" s="5">
        <f t="shared" si="22"/>
        <v>1000</v>
      </c>
      <c r="F44" s="5">
        <f t="shared" si="22"/>
        <v>1000</v>
      </c>
      <c r="G44" s="5">
        <f t="shared" si="22"/>
        <v>1000</v>
      </c>
      <c r="H44" s="5">
        <f t="shared" si="22"/>
        <v>1000</v>
      </c>
      <c r="I44" s="5">
        <f t="shared" si="22"/>
        <v>1000</v>
      </c>
      <c r="J44" s="5">
        <f t="shared" si="22"/>
        <v>1000</v>
      </c>
      <c r="K44" s="5">
        <f t="shared" si="22"/>
        <v>1000</v>
      </c>
      <c r="L44" s="5"/>
      <c r="M44" s="84">
        <v>1000</v>
      </c>
      <c r="N44" s="4" t="s">
        <v>46</v>
      </c>
    </row>
    <row r="45" spans="1:14">
      <c r="A45" s="76" t="s">
        <v>16</v>
      </c>
      <c r="B45" s="76"/>
      <c r="D45" s="84">
        <f>(D18/$M$11*D12)*$M$12</f>
        <v>15.75</v>
      </c>
      <c r="E45" s="84">
        <f t="shared" ref="E45:K45" si="23">(E18/$M$11*E12)*$M$12</f>
        <v>16.702875000000002</v>
      </c>
      <c r="F45" s="84">
        <f t="shared" si="23"/>
        <v>17.713398937499999</v>
      </c>
      <c r="G45" s="84">
        <f t="shared" si="23"/>
        <v>18.785059573218749</v>
      </c>
      <c r="H45" s="84">
        <f t="shared" si="23"/>
        <v>19.921555677398487</v>
      </c>
      <c r="I45" s="84">
        <f t="shared" si="23"/>
        <v>21.126809795881091</v>
      </c>
      <c r="J45" s="84">
        <f t="shared" si="23"/>
        <v>22.404981788531895</v>
      </c>
      <c r="K45" s="84">
        <f t="shared" si="23"/>
        <v>23.760483186738075</v>
      </c>
    </row>
    <row r="46" spans="1:14">
      <c r="A46" s="4" t="s">
        <v>45</v>
      </c>
      <c r="D46" s="85">
        <f>SUM(D43:D45)</f>
        <v>1015.75</v>
      </c>
      <c r="E46" s="85">
        <f t="shared" ref="E46:K46" si="24">SUM(E43:E45)</f>
        <v>1016.7028749999999</v>
      </c>
      <c r="F46" s="85">
        <f t="shared" si="24"/>
        <v>1017.7133989375</v>
      </c>
      <c r="G46" s="85">
        <f t="shared" si="24"/>
        <v>1018.7850595732187</v>
      </c>
      <c r="H46" s="85">
        <f t="shared" si="24"/>
        <v>1019.9215556773985</v>
      </c>
      <c r="I46" s="85">
        <f t="shared" si="24"/>
        <v>1021.1268097958811</v>
      </c>
      <c r="J46" s="85">
        <f t="shared" si="24"/>
        <v>1022.4049817885319</v>
      </c>
      <c r="K46" s="85">
        <f t="shared" si="24"/>
        <v>1023.760483186738</v>
      </c>
    </row>
    <row r="47" spans="1:14">
      <c r="D47" s="84"/>
      <c r="E47" s="84"/>
      <c r="F47" s="84"/>
      <c r="G47" s="84"/>
    </row>
    <row r="48" spans="1:14">
      <c r="A48" s="4" t="s">
        <v>114</v>
      </c>
      <c r="D48" s="5">
        <v>400000</v>
      </c>
      <c r="E48" s="5">
        <f t="shared" ref="E48:K48" si="25">+D48</f>
        <v>400000</v>
      </c>
      <c r="F48" s="5">
        <f t="shared" si="25"/>
        <v>400000</v>
      </c>
      <c r="G48" s="5">
        <f t="shared" si="25"/>
        <v>400000</v>
      </c>
      <c r="H48" s="5">
        <f t="shared" si="25"/>
        <v>400000</v>
      </c>
      <c r="I48" s="5">
        <f t="shared" si="25"/>
        <v>400000</v>
      </c>
      <c r="J48" s="5">
        <f t="shared" si="25"/>
        <v>400000</v>
      </c>
      <c r="K48" s="5">
        <f t="shared" si="25"/>
        <v>400000</v>
      </c>
      <c r="L48" s="5"/>
      <c r="M48" s="4">
        <v>30</v>
      </c>
      <c r="N48" s="4" t="s">
        <v>193</v>
      </c>
    </row>
    <row r="49" spans="1:14">
      <c r="A49" s="4" t="s">
        <v>90</v>
      </c>
      <c r="D49" s="5">
        <f>849000-D48</f>
        <v>449000</v>
      </c>
      <c r="E49" s="5">
        <f>+D49</f>
        <v>449000</v>
      </c>
      <c r="F49" s="5">
        <f t="shared" ref="F49:K49" si="26">+E49</f>
        <v>449000</v>
      </c>
      <c r="G49" s="5">
        <f t="shared" si="26"/>
        <v>449000</v>
      </c>
      <c r="H49" s="5">
        <f t="shared" si="26"/>
        <v>449000</v>
      </c>
      <c r="I49" s="5">
        <f t="shared" si="26"/>
        <v>449000</v>
      </c>
      <c r="J49" s="5">
        <f t="shared" si="26"/>
        <v>449000</v>
      </c>
      <c r="K49" s="5">
        <f t="shared" si="26"/>
        <v>449000</v>
      </c>
      <c r="L49" s="5"/>
    </row>
    <row r="50" spans="1:14">
      <c r="A50" s="4" t="s">
        <v>173</v>
      </c>
      <c r="D50" s="5">
        <v>0</v>
      </c>
      <c r="E50" s="5">
        <v>0</v>
      </c>
      <c r="F50" s="5">
        <v>0</v>
      </c>
      <c r="G50" s="5">
        <v>10000</v>
      </c>
      <c r="H50" s="5">
        <v>10000</v>
      </c>
      <c r="I50" s="5">
        <v>10000</v>
      </c>
      <c r="J50" s="5">
        <v>10000</v>
      </c>
      <c r="K50" s="5">
        <v>10000</v>
      </c>
      <c r="L50" s="5"/>
      <c r="M50" s="4">
        <v>5</v>
      </c>
      <c r="N50" s="4" t="s">
        <v>193</v>
      </c>
    </row>
    <row r="51" spans="1:14">
      <c r="A51" s="4" t="s">
        <v>17</v>
      </c>
      <c r="D51" s="5">
        <f>+D32</f>
        <v>13333.333333333334</v>
      </c>
      <c r="E51" s="5">
        <f t="shared" ref="E51:K51" si="27">D51+E32</f>
        <v>26666.666666666668</v>
      </c>
      <c r="F51" s="5">
        <f>E51+F32</f>
        <v>40000</v>
      </c>
      <c r="G51" s="5">
        <f>F51+G32</f>
        <v>55333.333333333336</v>
      </c>
      <c r="H51" s="5">
        <f t="shared" si="27"/>
        <v>70666.666666666672</v>
      </c>
      <c r="I51" s="5">
        <f>H51+I32</f>
        <v>86000</v>
      </c>
      <c r="J51" s="5">
        <f t="shared" si="27"/>
        <v>101333.33333333333</v>
      </c>
      <c r="K51" s="5">
        <f t="shared" si="27"/>
        <v>116666.66666666666</v>
      </c>
      <c r="L51" s="5"/>
    </row>
    <row r="53" spans="1:14">
      <c r="A53" s="2" t="s">
        <v>18</v>
      </c>
      <c r="D53" s="84">
        <f t="shared" ref="D53:K53" si="28">SUM(D46:D50)-D51</f>
        <v>836682.41666666663</v>
      </c>
      <c r="E53" s="84">
        <f t="shared" si="28"/>
        <v>823350.03620833333</v>
      </c>
      <c r="F53" s="84">
        <f t="shared" si="28"/>
        <v>810017.71339893749</v>
      </c>
      <c r="G53" s="84">
        <f t="shared" si="28"/>
        <v>804685.45172623987</v>
      </c>
      <c r="H53" s="84">
        <f t="shared" si="28"/>
        <v>789353.2548890108</v>
      </c>
      <c r="I53" s="84">
        <f t="shared" si="28"/>
        <v>774021.12680979585</v>
      </c>
      <c r="J53" s="84">
        <f t="shared" si="28"/>
        <v>758689.07164845511</v>
      </c>
      <c r="K53" s="84">
        <f t="shared" si="28"/>
        <v>743357.09381652006</v>
      </c>
    </row>
    <row r="55" spans="1:14">
      <c r="A55" s="2" t="s">
        <v>19</v>
      </c>
    </row>
    <row r="56" spans="1:14">
      <c r="A56" s="4" t="s">
        <v>111</v>
      </c>
      <c r="D56" s="5">
        <f t="shared" ref="D56:K56" si="29">IF(D36&lt;0,0,D36*$M$37)</f>
        <v>0</v>
      </c>
      <c r="E56" s="5">
        <f t="shared" si="29"/>
        <v>0</v>
      </c>
      <c r="F56" s="5">
        <f t="shared" si="29"/>
        <v>0</v>
      </c>
      <c r="G56" s="5">
        <f t="shared" si="29"/>
        <v>0</v>
      </c>
      <c r="H56" s="5">
        <f t="shared" si="29"/>
        <v>0</v>
      </c>
      <c r="I56" s="5">
        <f t="shared" si="29"/>
        <v>0</v>
      </c>
      <c r="J56" s="5">
        <f t="shared" si="29"/>
        <v>0</v>
      </c>
      <c r="K56" s="5">
        <f t="shared" si="29"/>
        <v>1566.9598816026783</v>
      </c>
      <c r="L56" s="5"/>
    </row>
    <row r="57" spans="1:14">
      <c r="D57" s="5"/>
      <c r="E57" s="5"/>
      <c r="F57" s="5"/>
      <c r="G57" s="5"/>
      <c r="L57" s="5"/>
    </row>
    <row r="58" spans="1:14">
      <c r="A58" s="4" t="s">
        <v>116</v>
      </c>
      <c r="D58" s="5">
        <f>Mortgage!F13</f>
        <v>543425.35298472946</v>
      </c>
      <c r="E58" s="5">
        <f>Mortgage!F27</f>
        <v>537447.59542546957</v>
      </c>
      <c r="F58" s="5">
        <f>Mortgage!F41</f>
        <v>531037.57783343084</v>
      </c>
      <c r="G58" s="5">
        <f>Mortgage!F55</f>
        <v>524164.04287940834</v>
      </c>
      <c r="H58" s="84">
        <f>Mortgage!F69</f>
        <v>516793.47297288454</v>
      </c>
      <c r="I58" s="84">
        <f>Mortgage!F83</f>
        <v>508889.9268193639</v>
      </c>
      <c r="J58" s="84">
        <f>Mortgage!F97</f>
        <v>500414.86415893916</v>
      </c>
      <c r="K58" s="84">
        <f>Mortgage!F111</f>
        <v>491326.95783145708</v>
      </c>
      <c r="L58" s="5"/>
      <c r="N58" s="4" t="s">
        <v>3</v>
      </c>
    </row>
    <row r="59" spans="1:14">
      <c r="A59" s="4" t="s">
        <v>36</v>
      </c>
      <c r="D59" s="84">
        <v>52116.364107325942</v>
      </c>
      <c r="E59" s="84">
        <v>99647.730537552648</v>
      </c>
      <c r="F59" s="5">
        <v>142563.35921799252</v>
      </c>
      <c r="G59" s="5">
        <v>190751.38404881774</v>
      </c>
      <c r="H59" s="5">
        <v>214131.60508872825</v>
      </c>
      <c r="I59" s="5">
        <v>227658.29157403152</v>
      </c>
      <c r="J59" s="5">
        <v>229319.82847456788</v>
      </c>
      <c r="K59" s="5">
        <v>216807.91744370401</v>
      </c>
      <c r="L59" s="5"/>
      <c r="M59" s="78"/>
    </row>
    <row r="60" spans="1:14">
      <c r="D60" s="5"/>
      <c r="E60" s="5"/>
      <c r="F60" s="5"/>
      <c r="G60" s="5"/>
      <c r="L60" s="5"/>
    </row>
    <row r="61" spans="1:14">
      <c r="A61" s="4" t="s">
        <v>20</v>
      </c>
      <c r="D61" s="5">
        <v>300000</v>
      </c>
      <c r="E61" s="5">
        <f>D61</f>
        <v>300000</v>
      </c>
      <c r="F61" s="5">
        <f>D61</f>
        <v>300000</v>
      </c>
      <c r="G61" s="5">
        <f>D61</f>
        <v>300000</v>
      </c>
      <c r="H61" s="5">
        <f>E61</f>
        <v>300000</v>
      </c>
      <c r="I61" s="5">
        <f>F61</f>
        <v>300000</v>
      </c>
      <c r="J61" s="5">
        <f>G61</f>
        <v>300000</v>
      </c>
      <c r="K61" s="5">
        <f>H61</f>
        <v>300000</v>
      </c>
      <c r="L61" s="5"/>
    </row>
    <row r="62" spans="1:14">
      <c r="A62" s="4" t="s">
        <v>21</v>
      </c>
      <c r="D62" s="5">
        <f>D38</f>
        <v>-58859.300425388748</v>
      </c>
      <c r="E62" s="5">
        <f t="shared" ref="E62:K62" si="30">D62+E38</f>
        <v>-113745.2897546888</v>
      </c>
      <c r="F62" s="5">
        <f t="shared" si="30"/>
        <v>-163583.2236524859</v>
      </c>
      <c r="G62" s="5">
        <f t="shared" si="30"/>
        <v>-210229.97520198626</v>
      </c>
      <c r="H62" s="5">
        <f t="shared" si="30"/>
        <v>-241571.8231726019</v>
      </c>
      <c r="I62" s="5">
        <f t="shared" si="30"/>
        <v>-262527.09158359957</v>
      </c>
      <c r="J62" s="5">
        <f t="shared" si="30"/>
        <v>-271045.62098505185</v>
      </c>
      <c r="K62" s="5">
        <f t="shared" si="30"/>
        <v>-266344.74134024384</v>
      </c>
      <c r="L62" s="5"/>
    </row>
    <row r="63" spans="1:14">
      <c r="D63" s="5"/>
      <c r="E63" s="5"/>
      <c r="F63" s="5"/>
      <c r="G63" s="5"/>
      <c r="L63" s="5"/>
    </row>
    <row r="64" spans="1:14">
      <c r="A64" s="2" t="s">
        <v>22</v>
      </c>
      <c r="D64" s="5">
        <f t="shared" ref="D64:K64" si="31">SUM(D56:D62)</f>
        <v>836682.41666666663</v>
      </c>
      <c r="E64" s="5">
        <f t="shared" si="31"/>
        <v>823350.03620833345</v>
      </c>
      <c r="F64" s="5">
        <f t="shared" si="31"/>
        <v>810017.71339893749</v>
      </c>
      <c r="G64" s="5">
        <f t="shared" si="31"/>
        <v>804685.45172623987</v>
      </c>
      <c r="H64" s="5">
        <f t="shared" si="31"/>
        <v>789353.25488901092</v>
      </c>
      <c r="I64" s="5">
        <f t="shared" si="31"/>
        <v>774021.12680979585</v>
      </c>
      <c r="J64" s="5">
        <f t="shared" si="31"/>
        <v>758689.07164845522</v>
      </c>
      <c r="K64" s="5">
        <f t="shared" si="31"/>
        <v>743357.09381651995</v>
      </c>
      <c r="L64" s="5"/>
    </row>
    <row r="66" spans="1:11">
      <c r="A66" s="4" t="s">
        <v>32</v>
      </c>
      <c r="D66" s="86">
        <f t="shared" ref="D66:K66" si="32">+D53-D64</f>
        <v>0</v>
      </c>
      <c r="E66" s="86">
        <f>E53-E64</f>
        <v>0</v>
      </c>
      <c r="F66" s="86">
        <f t="shared" si="32"/>
        <v>0</v>
      </c>
      <c r="G66" s="86">
        <f t="shared" si="32"/>
        <v>0</v>
      </c>
      <c r="H66" s="86">
        <f t="shared" si="32"/>
        <v>0</v>
      </c>
      <c r="I66" s="86">
        <f t="shared" si="32"/>
        <v>0</v>
      </c>
      <c r="J66" s="86">
        <f t="shared" si="32"/>
        <v>0</v>
      </c>
      <c r="K66" s="86">
        <f t="shared" si="32"/>
        <v>0</v>
      </c>
    </row>
    <row r="68" spans="1:11" s="58" customFormat="1" ht="15.75">
      <c r="A68" s="34" t="s">
        <v>92</v>
      </c>
      <c r="B68" s="35"/>
      <c r="C68" s="35"/>
      <c r="D68" s="35"/>
      <c r="E68" s="35"/>
      <c r="F68" s="35"/>
      <c r="G68" s="35"/>
      <c r="H68" s="36"/>
      <c r="I68" s="36"/>
      <c r="J68" s="36"/>
      <c r="K68" s="59"/>
    </row>
    <row r="69" spans="1:11" ht="15.75">
      <c r="A69" s="41" t="s">
        <v>91</v>
      </c>
      <c r="B69" s="33"/>
      <c r="C69" s="33" t="s">
        <v>127</v>
      </c>
      <c r="D69" s="33" t="s">
        <v>128</v>
      </c>
      <c r="E69" s="33" t="s">
        <v>129</v>
      </c>
      <c r="F69" s="33"/>
      <c r="G69" s="33"/>
      <c r="H69" s="40"/>
      <c r="I69" s="40"/>
      <c r="J69" s="40"/>
    </row>
    <row r="70" spans="1:11" ht="15.75">
      <c r="A70" s="41"/>
      <c r="B70" s="33" t="s">
        <v>50</v>
      </c>
      <c r="C70" s="46"/>
      <c r="D70" s="47">
        <f>D5</f>
        <v>7</v>
      </c>
      <c r="E70" s="44"/>
      <c r="F70" s="33"/>
      <c r="G70" s="33"/>
      <c r="H70" s="40"/>
      <c r="I70" s="40"/>
      <c r="J70" s="40"/>
    </row>
    <row r="71" spans="1:11" ht="15.75">
      <c r="A71" s="41"/>
      <c r="B71" s="33" t="s">
        <v>52</v>
      </c>
      <c r="C71" s="33"/>
      <c r="D71" s="39">
        <f>D7*0.5</f>
        <v>5</v>
      </c>
      <c r="E71" s="44"/>
      <c r="F71" s="33"/>
      <c r="G71" s="33"/>
      <c r="H71" s="40"/>
      <c r="I71" s="40"/>
      <c r="J71" s="40"/>
    </row>
    <row r="72" spans="1:11" ht="15.75">
      <c r="A72" s="41"/>
      <c r="B72" s="33" t="s">
        <v>98</v>
      </c>
      <c r="C72" s="48"/>
      <c r="D72" s="39">
        <f>D9*0.5</f>
        <v>125</v>
      </c>
      <c r="E72" s="44"/>
      <c r="F72" s="33"/>
      <c r="G72" s="33"/>
      <c r="H72" s="40"/>
      <c r="I72" s="40"/>
      <c r="J72" s="40"/>
    </row>
    <row r="73" spans="1:11" ht="15.75">
      <c r="A73" s="41"/>
      <c r="B73" s="41" t="s">
        <v>95</v>
      </c>
      <c r="C73" s="33"/>
      <c r="D73" s="35">
        <f>+SUM(D70:D72)</f>
        <v>137</v>
      </c>
      <c r="E73" s="33"/>
      <c r="F73" s="33"/>
      <c r="G73" s="33"/>
      <c r="H73" s="40"/>
      <c r="I73" s="40"/>
      <c r="J73" s="40"/>
    </row>
    <row r="74" spans="1:11" ht="15.75">
      <c r="A74" s="41"/>
      <c r="B74" s="33"/>
      <c r="C74" s="33"/>
      <c r="D74" s="45"/>
      <c r="E74" s="47"/>
      <c r="F74" s="33"/>
      <c r="G74" s="33"/>
      <c r="H74" s="40"/>
      <c r="I74" s="40"/>
      <c r="J74" s="40"/>
    </row>
    <row r="75" spans="1:11" ht="15.75">
      <c r="A75" s="41"/>
      <c r="B75" s="33"/>
      <c r="C75" s="33"/>
      <c r="D75" s="33"/>
      <c r="E75" s="33"/>
      <c r="F75" s="33"/>
      <c r="G75" s="33"/>
      <c r="H75" s="40"/>
      <c r="I75" s="40"/>
      <c r="J75" s="40"/>
    </row>
    <row r="76" spans="1:11" ht="15.75">
      <c r="A76" s="41" t="s">
        <v>94</v>
      </c>
      <c r="B76" s="33"/>
      <c r="C76" s="33"/>
      <c r="D76" s="33"/>
      <c r="E76" s="33"/>
      <c r="F76" s="33"/>
      <c r="G76" s="33"/>
      <c r="H76" s="40"/>
      <c r="I76" s="40"/>
      <c r="J76" s="40"/>
    </row>
    <row r="77" spans="1:11" ht="15.75">
      <c r="A77" s="41"/>
      <c r="B77" s="33" t="s">
        <v>100</v>
      </c>
      <c r="C77" s="45">
        <f>+D22-C90</f>
        <v>30000</v>
      </c>
      <c r="D77" s="33"/>
      <c r="E77" s="33"/>
      <c r="F77" s="33"/>
      <c r="G77" s="33"/>
      <c r="H77" s="40"/>
      <c r="I77" s="40"/>
      <c r="J77" s="40"/>
    </row>
    <row r="78" spans="1:11" ht="15.75">
      <c r="A78" s="33"/>
      <c r="B78" s="33" t="str">
        <f>+B21</f>
        <v>General &amp; Administrative</v>
      </c>
      <c r="C78" s="45">
        <f>+D21</f>
        <v>10000</v>
      </c>
      <c r="D78" s="33"/>
      <c r="E78" s="33"/>
      <c r="F78" s="33"/>
      <c r="G78" s="33"/>
      <c r="H78" s="40"/>
      <c r="I78" s="40"/>
      <c r="J78" s="40"/>
    </row>
    <row r="79" spans="1:11" ht="15.75">
      <c r="A79" s="41"/>
      <c r="B79" s="33" t="s">
        <v>88</v>
      </c>
      <c r="C79" s="45">
        <f>+D23</f>
        <v>1200</v>
      </c>
      <c r="D79" s="33"/>
      <c r="E79" s="33"/>
      <c r="F79" s="33"/>
      <c r="G79" s="33"/>
      <c r="H79" s="40"/>
      <c r="I79" s="40"/>
      <c r="J79" s="40"/>
    </row>
    <row r="80" spans="1:11" ht="15.75">
      <c r="A80" s="41"/>
      <c r="B80" s="33"/>
      <c r="C80" s="49">
        <f>SUM(C77:C79)</f>
        <v>41200</v>
      </c>
      <c r="D80" s="50">
        <f>E80*D73</f>
        <v>37.940623393808309</v>
      </c>
      <c r="E80" s="50">
        <f>C80/(C80+C92)</f>
        <v>0.27693885688911174</v>
      </c>
      <c r="F80" s="33"/>
      <c r="G80" s="33"/>
      <c r="H80" s="40"/>
      <c r="I80" s="40"/>
      <c r="J80" s="40"/>
    </row>
    <row r="81" spans="1:11" ht="15.75">
      <c r="A81" s="41"/>
      <c r="B81" s="33"/>
      <c r="C81" s="51"/>
      <c r="D81" s="33"/>
      <c r="E81" s="33"/>
      <c r="F81" s="33"/>
      <c r="G81" s="33"/>
      <c r="H81" s="40"/>
      <c r="I81" s="40"/>
      <c r="J81" s="40"/>
    </row>
    <row r="82" spans="1:11" ht="15.75">
      <c r="A82" s="41" t="s">
        <v>96</v>
      </c>
      <c r="B82" s="33"/>
      <c r="C82" s="45"/>
      <c r="D82" s="50">
        <f>D73-D80</f>
        <v>99.059376606191691</v>
      </c>
      <c r="E82" s="33"/>
      <c r="F82" s="33"/>
      <c r="G82" s="33"/>
      <c r="H82" s="40"/>
      <c r="I82" s="40"/>
      <c r="J82" s="40"/>
    </row>
    <row r="83" spans="1:11" ht="15.75">
      <c r="A83" s="41"/>
      <c r="B83" s="33"/>
      <c r="C83" s="41"/>
      <c r="D83" s="44"/>
      <c r="E83" s="33"/>
      <c r="F83" s="33"/>
      <c r="G83" s="33"/>
      <c r="H83" s="40"/>
      <c r="I83" s="40"/>
      <c r="J83" s="40"/>
    </row>
    <row r="84" spans="1:11" ht="15.75">
      <c r="A84" s="41" t="s">
        <v>93</v>
      </c>
      <c r="B84" s="33"/>
      <c r="C84" s="33"/>
      <c r="D84" s="33"/>
      <c r="E84" s="33"/>
      <c r="F84" s="33"/>
      <c r="G84" s="33"/>
      <c r="H84" s="40"/>
      <c r="I84" s="40"/>
      <c r="J84" s="40"/>
    </row>
    <row r="85" spans="1:11" ht="15.75">
      <c r="A85" s="33"/>
      <c r="B85" s="33" t="s">
        <v>87</v>
      </c>
      <c r="C85" s="45">
        <f>+D25</f>
        <v>12000</v>
      </c>
      <c r="D85" s="33"/>
      <c r="E85" s="33"/>
      <c r="F85" s="33"/>
      <c r="G85" s="33"/>
      <c r="H85" s="40"/>
      <c r="I85" s="40"/>
      <c r="J85" s="40"/>
    </row>
    <row r="86" spans="1:11" ht="15.75">
      <c r="A86" s="33"/>
      <c r="B86" s="42" t="s">
        <v>31</v>
      </c>
      <c r="C86" s="45">
        <f>D32</f>
        <v>13333.333333333334</v>
      </c>
      <c r="D86" s="33"/>
      <c r="E86" s="33"/>
      <c r="F86" s="33"/>
      <c r="G86" s="33"/>
      <c r="H86" s="40"/>
      <c r="I86" s="40"/>
      <c r="J86" s="40"/>
    </row>
    <row r="87" spans="1:11" ht="15.75">
      <c r="A87" s="33"/>
      <c r="B87" s="33" t="s">
        <v>8</v>
      </c>
      <c r="C87" s="45">
        <f>D33</f>
        <v>38264.330681322819</v>
      </c>
      <c r="D87" s="33"/>
      <c r="E87" s="33"/>
      <c r="F87" s="33"/>
      <c r="G87" s="33"/>
      <c r="H87" s="40"/>
      <c r="I87" s="40"/>
      <c r="J87" s="40"/>
    </row>
    <row r="88" spans="1:11" ht="15.75">
      <c r="A88" s="33"/>
      <c r="B88" s="33" t="s">
        <v>37</v>
      </c>
      <c r="C88" s="45">
        <f>D34</f>
        <v>5211.6364107325944</v>
      </c>
      <c r="D88" s="33"/>
      <c r="E88" s="33"/>
      <c r="F88" s="33"/>
      <c r="G88" s="33"/>
      <c r="H88" s="40"/>
      <c r="I88" s="40"/>
      <c r="J88" s="40"/>
    </row>
    <row r="89" spans="1:11" ht="15.75">
      <c r="A89" s="41"/>
      <c r="B89" s="33" t="s">
        <v>67</v>
      </c>
      <c r="C89" s="45">
        <f>+D24</f>
        <v>5760</v>
      </c>
      <c r="D89" s="33"/>
      <c r="E89" s="33"/>
      <c r="F89" s="33"/>
      <c r="G89" s="33"/>
      <c r="H89" s="40"/>
      <c r="I89" s="40"/>
      <c r="J89" s="40"/>
    </row>
    <row r="90" spans="1:11" ht="15.75">
      <c r="A90" s="33"/>
      <c r="B90" s="33" t="s">
        <v>101</v>
      </c>
      <c r="C90" s="45">
        <v>25000</v>
      </c>
      <c r="D90" s="33"/>
      <c r="E90" s="33"/>
      <c r="F90" s="33"/>
      <c r="G90" s="33"/>
      <c r="H90" s="40"/>
      <c r="I90" s="40"/>
      <c r="J90" s="40"/>
    </row>
    <row r="91" spans="1:11" ht="15.75">
      <c r="A91" s="41"/>
      <c r="B91" s="33" t="s">
        <v>49</v>
      </c>
      <c r="C91" s="45">
        <f>+D27</f>
        <v>8000</v>
      </c>
      <c r="D91" s="33"/>
      <c r="E91" s="33"/>
      <c r="F91" s="33"/>
      <c r="G91" s="33"/>
      <c r="H91" s="40"/>
      <c r="I91" s="40"/>
      <c r="J91" s="40"/>
    </row>
    <row r="92" spans="1:11" ht="15.75">
      <c r="A92" s="33"/>
      <c r="B92" s="33"/>
      <c r="C92" s="52">
        <f>SUM(C85:C91)</f>
        <v>107569.30042538875</v>
      </c>
      <c r="D92" s="33"/>
      <c r="E92" s="33"/>
      <c r="F92" s="33"/>
      <c r="G92" s="33"/>
      <c r="H92" s="40"/>
      <c r="I92" s="40"/>
      <c r="J92" s="40"/>
    </row>
    <row r="93" spans="1:11" ht="15.75">
      <c r="A93" s="33"/>
      <c r="B93" s="33"/>
      <c r="C93" s="33"/>
      <c r="D93" s="33"/>
      <c r="E93" s="33"/>
      <c r="F93" s="33"/>
      <c r="G93" s="33"/>
      <c r="H93" s="40"/>
      <c r="I93" s="40"/>
      <c r="J93" s="40"/>
    </row>
    <row r="94" spans="1:11" ht="15.75">
      <c r="A94" s="41" t="s">
        <v>97</v>
      </c>
      <c r="B94" s="33"/>
      <c r="C94" s="33"/>
      <c r="D94" s="37">
        <f>C92/D82</f>
        <v>1085.9073023751005</v>
      </c>
      <c r="E94" s="33" t="s">
        <v>99</v>
      </c>
      <c r="F94" s="33"/>
      <c r="G94" s="33"/>
      <c r="H94" s="40"/>
      <c r="I94" s="40"/>
      <c r="J94" s="40"/>
    </row>
    <row r="95" spans="1:11" ht="15.75">
      <c r="A95" s="33"/>
      <c r="B95" s="33"/>
      <c r="C95" s="33"/>
      <c r="D95" s="50"/>
      <c r="E95" s="33"/>
      <c r="F95" s="33"/>
      <c r="G95" s="33"/>
      <c r="H95" s="40"/>
      <c r="I95" s="40"/>
      <c r="J95" s="40"/>
    </row>
    <row r="96" spans="1:11" s="58" customFormat="1" ht="15.75">
      <c r="A96" s="34" t="s">
        <v>126</v>
      </c>
      <c r="B96" s="35"/>
      <c r="C96" s="35"/>
      <c r="D96" s="35"/>
      <c r="E96" s="35"/>
      <c r="F96" s="35"/>
      <c r="G96" s="35"/>
      <c r="H96" s="36"/>
      <c r="I96" s="36"/>
      <c r="J96" s="36"/>
      <c r="K96" s="59"/>
    </row>
    <row r="97" spans="1:10" ht="15.75">
      <c r="A97" s="53" t="s">
        <v>130</v>
      </c>
      <c r="B97" s="53"/>
      <c r="C97" s="45">
        <f>$K$58+$K$59</f>
        <v>708134.87527516112</v>
      </c>
      <c r="D97" s="33"/>
      <c r="E97" s="33"/>
      <c r="F97" s="33" t="s">
        <v>142</v>
      </c>
      <c r="G97" s="33"/>
      <c r="H97" s="33"/>
      <c r="I97" s="33"/>
      <c r="J97" s="40"/>
    </row>
    <row r="98" spans="1:10" ht="15.75">
      <c r="A98" s="53" t="s">
        <v>131</v>
      </c>
      <c r="B98" s="53"/>
      <c r="C98" s="45">
        <f>$K$61+$K$62</f>
        <v>33655.25865975616</v>
      </c>
      <c r="D98" s="33"/>
      <c r="E98" s="33"/>
      <c r="F98" s="33" t="s">
        <v>116</v>
      </c>
      <c r="G98" s="43">
        <f>Mortgage!J2</f>
        <v>7.0019999999999999E-2</v>
      </c>
      <c r="H98" s="44">
        <f>$K$58/$C$97</f>
        <v>0.69383245337343591</v>
      </c>
      <c r="I98" s="38">
        <f>$H$98*$G$98</f>
        <v>4.8582148385207982E-2</v>
      </c>
      <c r="J98" s="40"/>
    </row>
    <row r="99" spans="1:10" ht="15.75">
      <c r="A99" s="53" t="s">
        <v>127</v>
      </c>
      <c r="B99" s="53"/>
      <c r="C99" s="49">
        <f>SUM(C97:C98)</f>
        <v>741790.13393491728</v>
      </c>
      <c r="D99" s="33"/>
      <c r="E99" s="33"/>
      <c r="F99" s="33" t="s">
        <v>143</v>
      </c>
      <c r="G99" s="43">
        <f>$M$34</f>
        <v>0.1</v>
      </c>
      <c r="H99" s="44">
        <f>$K$59/$C$97</f>
        <v>0.30616754662656404</v>
      </c>
      <c r="I99" s="38">
        <f>$H$99*$G$99</f>
        <v>3.0616754662656405E-2</v>
      </c>
      <c r="J99" s="40"/>
    </row>
    <row r="100" spans="1:10" ht="15.75">
      <c r="A100" s="53"/>
      <c r="B100" s="53"/>
      <c r="C100" s="33"/>
      <c r="D100" s="33"/>
      <c r="E100" s="33"/>
      <c r="F100" s="33"/>
      <c r="G100" s="33"/>
      <c r="H100" s="40"/>
      <c r="I100" s="54">
        <f>SUM(I98:I99)</f>
        <v>7.9198903047864394E-2</v>
      </c>
      <c r="J100" s="40"/>
    </row>
    <row r="101" spans="1:10" ht="15.75">
      <c r="A101" s="53" t="s">
        <v>132</v>
      </c>
      <c r="B101" s="53"/>
      <c r="C101" s="44">
        <f>$C$97/$C$99</f>
        <v>0.95462967607667182</v>
      </c>
      <c r="D101" s="33"/>
      <c r="E101" s="33"/>
      <c r="F101" s="33"/>
      <c r="G101" s="33"/>
      <c r="H101" s="40"/>
      <c r="I101" s="40"/>
      <c r="J101" s="40"/>
    </row>
    <row r="102" spans="1:10" ht="15.75">
      <c r="A102" s="53" t="s">
        <v>133</v>
      </c>
      <c r="B102" s="53"/>
      <c r="C102" s="44">
        <f>$C$98/$C$99</f>
        <v>4.537032392332814E-2</v>
      </c>
      <c r="D102" s="33"/>
      <c r="E102" s="33"/>
      <c r="F102" s="33"/>
      <c r="G102" s="33"/>
      <c r="H102" s="40"/>
      <c r="I102" s="40"/>
      <c r="J102" s="40"/>
    </row>
    <row r="103" spans="1:10" ht="15.75">
      <c r="A103" s="53"/>
      <c r="B103" s="53"/>
      <c r="C103" s="33"/>
      <c r="D103" s="33"/>
      <c r="E103" s="33"/>
      <c r="F103" s="33"/>
      <c r="G103" s="33"/>
      <c r="H103" s="40"/>
      <c r="I103" s="40"/>
      <c r="J103" s="40"/>
    </row>
    <row r="104" spans="1:10" ht="15.75">
      <c r="A104" s="53" t="s">
        <v>134</v>
      </c>
      <c r="B104" s="53"/>
      <c r="C104" s="38">
        <f>$C$106+$C$105*($C$107-$C$106)</f>
        <v>7.8785000000000008E-2</v>
      </c>
      <c r="D104" s="33"/>
      <c r="E104" s="33"/>
      <c r="F104" s="33"/>
      <c r="G104" s="33"/>
      <c r="H104" s="40"/>
      <c r="I104" s="40"/>
      <c r="J104" s="40"/>
    </row>
    <row r="105" spans="1:10" ht="15.75">
      <c r="A105" s="53"/>
      <c r="B105" s="53" t="s">
        <v>135</v>
      </c>
      <c r="C105" s="33">
        <v>1.45</v>
      </c>
      <c r="D105" s="33"/>
      <c r="E105" s="33"/>
      <c r="F105" s="33"/>
      <c r="G105" s="33"/>
      <c r="H105" s="40"/>
      <c r="I105" s="40"/>
      <c r="J105" s="40"/>
    </row>
    <row r="106" spans="1:10" ht="15.75">
      <c r="A106" s="53"/>
      <c r="B106" s="53" t="s">
        <v>136</v>
      </c>
      <c r="C106" s="55">
        <v>3.6299999999999999E-2</v>
      </c>
      <c r="D106" s="33"/>
      <c r="E106" s="33"/>
      <c r="F106" s="33"/>
      <c r="G106" s="33"/>
      <c r="H106" s="40"/>
      <c r="I106" s="40"/>
      <c r="J106" s="40"/>
    </row>
    <row r="107" spans="1:10" ht="15.75">
      <c r="A107" s="53"/>
      <c r="B107" s="53" t="s">
        <v>137</v>
      </c>
      <c r="C107" s="55">
        <v>6.5600000000000006E-2</v>
      </c>
      <c r="D107" s="33"/>
      <c r="E107" s="33"/>
      <c r="F107" s="33"/>
      <c r="G107" s="33"/>
      <c r="H107" s="40"/>
      <c r="I107" s="40"/>
      <c r="J107" s="40"/>
    </row>
    <row r="108" spans="1:10" ht="15.75">
      <c r="A108" s="53"/>
      <c r="B108" s="53"/>
      <c r="C108" s="33"/>
      <c r="D108" s="33"/>
      <c r="E108" s="33"/>
      <c r="F108" s="33"/>
      <c r="G108" s="33"/>
      <c r="H108" s="40"/>
      <c r="I108" s="40"/>
      <c r="J108" s="40"/>
    </row>
    <row r="109" spans="1:10" ht="15.75">
      <c r="A109" s="53" t="s">
        <v>138</v>
      </c>
      <c r="B109" s="53"/>
      <c r="C109" s="55">
        <f>$M$37</f>
        <v>0.25</v>
      </c>
      <c r="D109" s="33"/>
      <c r="E109" s="33"/>
      <c r="F109" s="33"/>
      <c r="G109" s="33"/>
      <c r="H109" s="40"/>
      <c r="I109" s="40"/>
      <c r="J109" s="40"/>
    </row>
    <row r="110" spans="1:10" ht="15.75">
      <c r="A110" s="53"/>
      <c r="B110" s="53"/>
      <c r="C110" s="33"/>
      <c r="D110" s="33"/>
      <c r="E110" s="33"/>
      <c r="F110" s="33"/>
      <c r="G110" s="33"/>
      <c r="H110" s="40"/>
      <c r="I110" s="40"/>
      <c r="J110" s="40"/>
    </row>
    <row r="111" spans="1:10" ht="15.75">
      <c r="A111" s="53" t="s">
        <v>139</v>
      </c>
      <c r="B111" s="53"/>
      <c r="C111" s="43">
        <f>$I$100</f>
        <v>7.9198903047864394E-2</v>
      </c>
      <c r="D111" s="33"/>
      <c r="E111" s="33"/>
      <c r="F111" s="33"/>
      <c r="G111" s="33"/>
      <c r="H111" s="40"/>
      <c r="I111" s="40"/>
      <c r="J111" s="40"/>
    </row>
    <row r="112" spans="1:10" ht="15.75">
      <c r="A112" s="53"/>
      <c r="B112" s="53"/>
      <c r="C112" s="33"/>
      <c r="D112" s="33"/>
      <c r="E112" s="33"/>
      <c r="F112" s="33"/>
      <c r="G112" s="33"/>
      <c r="H112" s="40"/>
      <c r="I112" s="40"/>
      <c r="J112" s="40"/>
    </row>
    <row r="113" spans="1:11" ht="15.75">
      <c r="A113" s="53" t="s">
        <v>140</v>
      </c>
      <c r="B113" s="53"/>
      <c r="C113" s="44">
        <f>$C$101*$C$111*(1-$C$109)</f>
        <v>5.6704217371657886E-2</v>
      </c>
      <c r="D113" s="33"/>
      <c r="E113" s="33"/>
      <c r="F113" s="33"/>
      <c r="G113" s="33"/>
      <c r="H113" s="40"/>
      <c r="I113" s="40"/>
      <c r="J113" s="40"/>
    </row>
    <row r="114" spans="1:11" ht="15.75">
      <c r="A114" s="53" t="s">
        <v>141</v>
      </c>
      <c r="B114" s="53"/>
      <c r="C114" s="44">
        <f>$C$102*$C$104</f>
        <v>3.5745009702994081E-3</v>
      </c>
      <c r="D114" s="33"/>
      <c r="E114" s="33"/>
      <c r="F114" s="33"/>
      <c r="G114" s="33"/>
      <c r="H114" s="40"/>
      <c r="I114" s="40"/>
      <c r="J114" s="40"/>
    </row>
    <row r="115" spans="1:11" ht="15.75">
      <c r="A115" s="53"/>
      <c r="B115" s="53"/>
      <c r="C115" s="33"/>
      <c r="D115" s="33"/>
      <c r="E115" s="33"/>
      <c r="F115" s="33"/>
      <c r="G115" s="33"/>
      <c r="H115" s="40"/>
      <c r="I115" s="40"/>
      <c r="J115" s="40"/>
    </row>
    <row r="116" spans="1:11" ht="15.75">
      <c r="A116" s="32" t="s">
        <v>126</v>
      </c>
      <c r="B116" s="30"/>
      <c r="C116" s="55">
        <f>$C$114+$C$113</f>
        <v>6.0278718341957291E-2</v>
      </c>
      <c r="D116" s="33"/>
      <c r="E116" s="33"/>
      <c r="F116" s="33"/>
      <c r="G116" s="33"/>
      <c r="H116" s="40"/>
      <c r="I116" s="40"/>
      <c r="J116" s="40"/>
    </row>
    <row r="117" spans="1:11" s="92" customFormat="1">
      <c r="H117" s="93"/>
      <c r="I117" s="93"/>
      <c r="J117" s="93"/>
      <c r="K117" s="93"/>
    </row>
    <row r="118" spans="1:11">
      <c r="A118" s="2" t="s">
        <v>158</v>
      </c>
      <c r="C118" s="4">
        <v>0</v>
      </c>
      <c r="D118" s="4">
        <v>1</v>
      </c>
      <c r="E118" s="4">
        <v>2</v>
      </c>
      <c r="F118" s="4">
        <v>3</v>
      </c>
      <c r="G118" s="4">
        <v>4</v>
      </c>
      <c r="H118" s="76">
        <v>5</v>
      </c>
      <c r="I118" s="76">
        <v>6</v>
      </c>
      <c r="J118" s="76">
        <v>7</v>
      </c>
      <c r="K118" s="76">
        <v>8</v>
      </c>
    </row>
    <row r="119" spans="1:11">
      <c r="A119" s="2" t="s">
        <v>144</v>
      </c>
    </row>
    <row r="120" spans="1:11">
      <c r="B120" s="4" t="s">
        <v>145</v>
      </c>
      <c r="D120" s="86">
        <f t="shared" ref="D120:K120" si="33">D30</f>
        <v>-2050</v>
      </c>
      <c r="E120" s="86">
        <f t="shared" si="33"/>
        <v>6273.3371951219451</v>
      </c>
      <c r="F120" s="86">
        <f t="shared" si="33"/>
        <v>15180.695461890238</v>
      </c>
      <c r="G120" s="86">
        <f t="shared" si="33"/>
        <v>24727.162931285813</v>
      </c>
      <c r="H120" s="86">
        <f t="shared" si="33"/>
        <v>41873.053661660291</v>
      </c>
      <c r="I120" s="86">
        <f t="shared" si="33"/>
        <v>53079.325622811768</v>
      </c>
      <c r="J120" s="86">
        <f t="shared" si="33"/>
        <v>65110.701815506603</v>
      </c>
      <c r="K120" s="86">
        <f t="shared" si="33"/>
        <v>78033.035973225939</v>
      </c>
    </row>
    <row r="121" spans="1:11">
      <c r="B121" s="4" t="s">
        <v>146</v>
      </c>
      <c r="D121" s="94">
        <f t="shared" ref="D121:K121" si="34">D32</f>
        <v>13333.333333333334</v>
      </c>
      <c r="E121" s="94">
        <f t="shared" si="34"/>
        <v>13333.333333333334</v>
      </c>
      <c r="F121" s="94">
        <f t="shared" si="34"/>
        <v>13333.333333333334</v>
      </c>
      <c r="G121" s="94">
        <f t="shared" si="34"/>
        <v>15333.333333333334</v>
      </c>
      <c r="H121" s="94">
        <f t="shared" si="34"/>
        <v>15333.333333333334</v>
      </c>
      <c r="I121" s="94">
        <f t="shared" si="34"/>
        <v>15333.333333333334</v>
      </c>
      <c r="J121" s="94">
        <f t="shared" si="34"/>
        <v>15333.333333333334</v>
      </c>
      <c r="K121" s="94">
        <f t="shared" si="34"/>
        <v>15333.333333333334</v>
      </c>
    </row>
    <row r="122" spans="1:11">
      <c r="B122" s="4" t="s">
        <v>147</v>
      </c>
      <c r="D122" s="86">
        <f>D120-D121</f>
        <v>-15383.333333333334</v>
      </c>
      <c r="E122" s="86">
        <f t="shared" ref="E122:K122" si="35">E120-E121</f>
        <v>-7059.9961382113888</v>
      </c>
      <c r="F122" s="86">
        <f t="shared" si="35"/>
        <v>1847.3621285569043</v>
      </c>
      <c r="G122" s="86">
        <f t="shared" si="35"/>
        <v>9393.8295979524792</v>
      </c>
      <c r="H122" s="86">
        <f t="shared" si="35"/>
        <v>26539.720328326955</v>
      </c>
      <c r="I122" s="86">
        <f t="shared" si="35"/>
        <v>37745.992289478432</v>
      </c>
      <c r="J122" s="86">
        <f t="shared" si="35"/>
        <v>49777.368482173268</v>
      </c>
      <c r="K122" s="86">
        <f t="shared" si="35"/>
        <v>62699.702639892603</v>
      </c>
    </row>
    <row r="123" spans="1:11">
      <c r="B123" s="4" t="s">
        <v>182</v>
      </c>
      <c r="D123" s="67">
        <f>IF(D122&lt;0,0,D122*$M$37)</f>
        <v>0</v>
      </c>
      <c r="E123" s="67">
        <f t="shared" ref="E123:K123" si="36">IF(E122&lt;0,0,E122*$M$37)</f>
        <v>0</v>
      </c>
      <c r="F123" s="67">
        <f t="shared" si="36"/>
        <v>461.84053213922607</v>
      </c>
      <c r="G123" s="67">
        <f t="shared" si="36"/>
        <v>2348.4573994881198</v>
      </c>
      <c r="H123" s="67">
        <f t="shared" si="36"/>
        <v>6634.9300820817389</v>
      </c>
      <c r="I123" s="67">
        <f t="shared" si="36"/>
        <v>9436.4980723696081</v>
      </c>
      <c r="J123" s="67">
        <f t="shared" si="36"/>
        <v>12444.342120543317</v>
      </c>
      <c r="K123" s="67">
        <f t="shared" si="36"/>
        <v>15674.925659973151</v>
      </c>
    </row>
    <row r="124" spans="1:11">
      <c r="B124" s="4" t="s">
        <v>148</v>
      </c>
      <c r="D124" s="67">
        <f>D122-D123</f>
        <v>-15383.333333333334</v>
      </c>
      <c r="E124" s="67">
        <f t="shared" ref="E124:K124" si="37">E122-E123</f>
        <v>-7059.9961382113888</v>
      </c>
      <c r="F124" s="67">
        <f t="shared" si="37"/>
        <v>1385.5215964176782</v>
      </c>
      <c r="G124" s="67">
        <f t="shared" si="37"/>
        <v>7045.3721984643598</v>
      </c>
      <c r="H124" s="67">
        <f t="shared" si="37"/>
        <v>19904.790246245218</v>
      </c>
      <c r="I124" s="67">
        <f t="shared" si="37"/>
        <v>28309.494217108826</v>
      </c>
      <c r="J124" s="67">
        <f t="shared" si="37"/>
        <v>37333.026361629949</v>
      </c>
      <c r="K124" s="67">
        <f t="shared" si="37"/>
        <v>47024.77697991945</v>
      </c>
    </row>
    <row r="125" spans="1:11">
      <c r="D125" s="67"/>
      <c r="E125" s="67"/>
      <c r="F125" s="67"/>
      <c r="G125" s="67"/>
      <c r="H125" s="67"/>
      <c r="I125" s="67"/>
      <c r="J125" s="67"/>
      <c r="K125" s="67"/>
    </row>
    <row r="126" spans="1:11">
      <c r="B126" s="4" t="s">
        <v>149</v>
      </c>
      <c r="D126" s="67">
        <f>D124+D121</f>
        <v>-2050</v>
      </c>
      <c r="E126" s="67">
        <f t="shared" ref="E126:K126" si="38">E124+E121</f>
        <v>6273.3371951219451</v>
      </c>
      <c r="F126" s="67">
        <f t="shared" si="38"/>
        <v>14718.854929751013</v>
      </c>
      <c r="G126" s="67">
        <f t="shared" si="38"/>
        <v>22378.705531797692</v>
      </c>
      <c r="H126" s="67">
        <f t="shared" si="38"/>
        <v>35238.123579578554</v>
      </c>
      <c r="I126" s="67">
        <f t="shared" si="38"/>
        <v>43642.827550442162</v>
      </c>
      <c r="J126" s="67">
        <f t="shared" si="38"/>
        <v>52666.359694963285</v>
      </c>
      <c r="K126" s="67">
        <f t="shared" si="38"/>
        <v>62358.110313252786</v>
      </c>
    </row>
    <row r="128" spans="1:11">
      <c r="A128" s="2" t="s">
        <v>150</v>
      </c>
    </row>
    <row r="129" spans="1:14">
      <c r="B129" s="4" t="s">
        <v>168</v>
      </c>
      <c r="C129" s="84">
        <f>-D48</f>
        <v>-400000</v>
      </c>
    </row>
    <row r="130" spans="1:14">
      <c r="B130" s="4" t="s">
        <v>169</v>
      </c>
      <c r="C130" s="84">
        <f>-D49</f>
        <v>-449000</v>
      </c>
    </row>
    <row r="131" spans="1:14">
      <c r="B131" s="4" t="s">
        <v>172</v>
      </c>
      <c r="C131" s="84"/>
      <c r="F131" s="84">
        <v>-10000</v>
      </c>
      <c r="M131" s="86"/>
    </row>
    <row r="132" spans="1:14">
      <c r="B132" s="4" t="s">
        <v>170</v>
      </c>
      <c r="K132" s="95">
        <f>M132</f>
        <v>283333.33333333337</v>
      </c>
      <c r="M132" s="86">
        <f>-C129-SUM(D121:K121)</f>
        <v>283333.33333333337</v>
      </c>
      <c r="N132" s="4" t="s">
        <v>174</v>
      </c>
    </row>
    <row r="133" spans="1:14">
      <c r="B133" s="4" t="s">
        <v>171</v>
      </c>
      <c r="K133" s="84">
        <f>-C130*(1+M133)</f>
        <v>462470</v>
      </c>
      <c r="M133" s="77">
        <v>0.03</v>
      </c>
      <c r="N133" s="4" t="s">
        <v>175</v>
      </c>
    </row>
    <row r="134" spans="1:14">
      <c r="B134" s="4" t="s">
        <v>180</v>
      </c>
      <c r="K134" s="84">
        <f>-M134*$M$37</f>
        <v>-3367.5</v>
      </c>
      <c r="M134" s="86">
        <f>K133+C130</f>
        <v>13470</v>
      </c>
      <c r="N134" s="4" t="s">
        <v>181</v>
      </c>
    </row>
    <row r="136" spans="1:14">
      <c r="A136" s="2" t="s">
        <v>151</v>
      </c>
    </row>
    <row r="137" spans="1:14">
      <c r="A137" s="96"/>
      <c r="B137" s="4" t="s">
        <v>16</v>
      </c>
      <c r="D137" s="86">
        <f>-D45</f>
        <v>-15.75</v>
      </c>
      <c r="E137" s="86">
        <f t="shared" ref="E137:K137" si="39">-(E45-D45)</f>
        <v>-0.95287500000000236</v>
      </c>
      <c r="F137" s="86">
        <f t="shared" si="39"/>
        <v>-1.0105239374999968</v>
      </c>
      <c r="G137" s="86">
        <f t="shared" si="39"/>
        <v>-1.0716606357187501</v>
      </c>
      <c r="H137" s="86">
        <f t="shared" si="39"/>
        <v>-1.1364961041797379</v>
      </c>
      <c r="I137" s="86">
        <f t="shared" si="39"/>
        <v>-1.2052541184826033</v>
      </c>
      <c r="J137" s="86">
        <f t="shared" si="39"/>
        <v>-1.2781719926508046</v>
      </c>
      <c r="K137" s="86">
        <f t="shared" si="39"/>
        <v>-1.3555013982061794</v>
      </c>
    </row>
    <row r="138" spans="1:14">
      <c r="A138" s="96"/>
      <c r="B138" s="4" t="s">
        <v>152</v>
      </c>
      <c r="D138" s="67">
        <f>D123</f>
        <v>0</v>
      </c>
      <c r="E138" s="67">
        <f t="shared" ref="E138:K138" si="40">E123-D123</f>
        <v>0</v>
      </c>
      <c r="F138" s="67">
        <f t="shared" si="40"/>
        <v>461.84053213922607</v>
      </c>
      <c r="G138" s="67">
        <f t="shared" si="40"/>
        <v>1886.6168673488937</v>
      </c>
      <c r="H138" s="67">
        <f t="shared" si="40"/>
        <v>4286.4726825936195</v>
      </c>
      <c r="I138" s="67">
        <f t="shared" si="40"/>
        <v>2801.5679902878692</v>
      </c>
      <c r="J138" s="67">
        <f t="shared" si="40"/>
        <v>3007.8440481737089</v>
      </c>
      <c r="K138" s="67">
        <f t="shared" si="40"/>
        <v>3230.5835394298338</v>
      </c>
    </row>
    <row r="139" spans="1:14">
      <c r="A139" s="31"/>
    </row>
    <row r="140" spans="1:14">
      <c r="A140" s="2" t="s">
        <v>153</v>
      </c>
    </row>
    <row r="141" spans="1:14">
      <c r="B141" s="4" t="s">
        <v>16</v>
      </c>
      <c r="K141" s="95">
        <f>K45</f>
        <v>23.760483186738075</v>
      </c>
    </row>
    <row r="142" spans="1:14">
      <c r="B142" s="4" t="s">
        <v>152</v>
      </c>
      <c r="K142" s="67">
        <f>-K123</f>
        <v>-15674.925659973151</v>
      </c>
      <c r="M142" s="88"/>
    </row>
    <row r="143" spans="1:14">
      <c r="M143" s="87"/>
    </row>
    <row r="144" spans="1:14">
      <c r="A144" s="4" t="s">
        <v>154</v>
      </c>
      <c r="C144" s="67">
        <f t="shared" ref="C144:J144" si="41">SUM(C126:C142)</f>
        <v>-849000</v>
      </c>
      <c r="D144" s="67">
        <f t="shared" si="41"/>
        <v>-2065.75</v>
      </c>
      <c r="E144" s="67">
        <f t="shared" si="41"/>
        <v>6272.3843201219452</v>
      </c>
      <c r="F144" s="67">
        <f t="shared" si="41"/>
        <v>5179.6849379527393</v>
      </c>
      <c r="G144" s="67">
        <f t="shared" si="41"/>
        <v>24264.250738510866</v>
      </c>
      <c r="H144" s="67">
        <f t="shared" si="41"/>
        <v>39523.459766068001</v>
      </c>
      <c r="I144" s="67">
        <f t="shared" si="41"/>
        <v>46443.190286611549</v>
      </c>
      <c r="J144" s="67">
        <f t="shared" si="41"/>
        <v>55672.92557114434</v>
      </c>
      <c r="K144" s="67">
        <f>SUM(K126:K142)</f>
        <v>792372.00650783128</v>
      </c>
    </row>
    <row r="146" spans="1:11">
      <c r="A146" s="4" t="s">
        <v>155</v>
      </c>
      <c r="C146" s="90">
        <f>IRR(C144:K144)</f>
        <v>1.7447700476733496E-2</v>
      </c>
    </row>
    <row r="148" spans="1:11">
      <c r="A148" s="4" t="s">
        <v>126</v>
      </c>
      <c r="C148" s="90">
        <f>C116</f>
        <v>6.0278718341957291E-2</v>
      </c>
    </row>
    <row r="150" spans="1:11">
      <c r="A150" s="4" t="s">
        <v>156</v>
      </c>
      <c r="C150" s="97">
        <f t="shared" ref="C150:K150" si="42">-PV($C$148,C118,,C144)</f>
        <v>-849000</v>
      </c>
      <c r="D150" s="97">
        <f t="shared" si="42"/>
        <v>-1948.3084629203711</v>
      </c>
      <c r="E150" s="97">
        <f t="shared" si="42"/>
        <v>5579.4651799619442</v>
      </c>
      <c r="F150" s="97">
        <f t="shared" si="42"/>
        <v>4345.5345840539658</v>
      </c>
      <c r="G150" s="97">
        <f t="shared" si="42"/>
        <v>19199.358029821473</v>
      </c>
      <c r="H150" s="97">
        <f t="shared" si="42"/>
        <v>29495.430020073123</v>
      </c>
      <c r="I150" s="97">
        <f t="shared" si="42"/>
        <v>32689.01076105121</v>
      </c>
      <c r="J150" s="97">
        <f t="shared" si="42"/>
        <v>36957.597615783961</v>
      </c>
      <c r="K150" s="97">
        <f t="shared" si="42"/>
        <v>496099.47625470674</v>
      </c>
    </row>
    <row r="152" spans="1:11">
      <c r="A152" s="4" t="s">
        <v>157</v>
      </c>
      <c r="C152" s="97">
        <f>SUM(C150:K150)</f>
        <v>-226582.43601746811</v>
      </c>
    </row>
    <row r="154" spans="1:11" s="58" customFormat="1">
      <c r="A154" s="23"/>
      <c r="H154" s="59"/>
      <c r="I154" s="59"/>
      <c r="J154" s="59"/>
      <c r="K154" s="59"/>
    </row>
    <row r="155" spans="1:11">
      <c r="A155" s="89"/>
      <c r="B155" s="89"/>
      <c r="C155" s="78"/>
    </row>
    <row r="156" spans="1:11">
      <c r="A156" s="89"/>
      <c r="B156" s="89"/>
      <c r="C156" s="78"/>
    </row>
    <row r="157" spans="1:11">
      <c r="A157" s="89"/>
      <c r="B157" s="89"/>
    </row>
    <row r="158" spans="1:11">
      <c r="A158" s="89"/>
      <c r="B158" s="89"/>
      <c r="C158" s="64"/>
    </row>
    <row r="159" spans="1:11">
      <c r="A159" s="89"/>
      <c r="B159" s="89"/>
      <c r="C159" s="98"/>
    </row>
    <row r="160" spans="1:11">
      <c r="A160" s="89"/>
      <c r="B160" s="89"/>
      <c r="C160" s="90"/>
    </row>
    <row r="161" spans="1:11">
      <c r="A161" s="89"/>
      <c r="B161" s="89"/>
      <c r="C161" s="90"/>
    </row>
    <row r="162" spans="1:11">
      <c r="A162" s="89"/>
      <c r="B162" s="89"/>
    </row>
    <row r="163" spans="1:11">
      <c r="A163" s="89"/>
      <c r="B163" s="89"/>
      <c r="C163" s="90"/>
    </row>
    <row r="164" spans="1:11">
      <c r="A164" s="89"/>
      <c r="B164" s="89"/>
    </row>
    <row r="165" spans="1:11">
      <c r="A165" s="89"/>
      <c r="B165" s="89"/>
      <c r="C165" s="77"/>
    </row>
    <row r="166" spans="1:11">
      <c r="A166" s="89"/>
      <c r="B166" s="89"/>
    </row>
    <row r="167" spans="1:11">
      <c r="A167" s="89"/>
      <c r="B167" s="89"/>
      <c r="C167" s="78"/>
    </row>
    <row r="168" spans="1:11">
      <c r="A168" s="89"/>
      <c r="B168" s="89"/>
      <c r="C168" s="78"/>
    </row>
    <row r="169" spans="1:11">
      <c r="A169" s="89"/>
      <c r="B169" s="89"/>
    </row>
    <row r="170" spans="1:11">
      <c r="A170" s="99"/>
      <c r="B170" s="91"/>
      <c r="C170" s="90"/>
    </row>
    <row r="171" spans="1:11" s="83" customFormat="1">
      <c r="A171" s="99"/>
      <c r="B171" s="91"/>
      <c r="H171" s="89"/>
      <c r="I171" s="89"/>
      <c r="J171" s="89"/>
      <c r="K171" s="89"/>
    </row>
    <row r="172" spans="1:11" s="83" customFormat="1">
      <c r="A172" s="99"/>
      <c r="B172" s="91"/>
      <c r="H172" s="89"/>
      <c r="I172" s="89"/>
      <c r="J172" s="89"/>
      <c r="K172" s="89"/>
    </row>
    <row r="173" spans="1:11">
      <c r="A173" s="89"/>
      <c r="B173" s="89"/>
    </row>
    <row r="174" spans="1:11">
      <c r="A174" s="99"/>
      <c r="B174" s="91"/>
    </row>
    <row r="175" spans="1:11">
      <c r="A175" s="99"/>
      <c r="B175" s="91"/>
    </row>
    <row r="176" spans="1:11">
      <c r="A176" s="99"/>
      <c r="B176" s="91"/>
    </row>
  </sheetData>
  <sheetProtection selectLockedCells="1" selectUnlockedCells="1"/>
  <phoneticPr fontId="9" type="noConversion"/>
  <pageMargins left="0.7" right="0.7" top="0.75" bottom="0.75" header="0.51180555555555551" footer="0.51180555555555551"/>
  <pageSetup scale="62" firstPageNumber="0" fitToHeight="0" orientation="landscape" horizontalDpi="300" verticalDpi="300"/>
  <headerFooter alignWithMargins="0"/>
  <rowBreaks count="2" manualBreakCount="2">
    <brk id="66" max="16383" man="1"/>
    <brk id="11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2"/>
  <sheetViews>
    <sheetView zoomScaleNormal="100" workbookViewId="0">
      <selection activeCell="J3" sqref="J3"/>
    </sheetView>
  </sheetViews>
  <sheetFormatPr defaultColWidth="11.42578125" defaultRowHeight="12.75"/>
  <cols>
    <col min="1" max="1" width="7.85546875" style="17" bestFit="1" customWidth="1"/>
    <col min="2" max="2" width="10.85546875" bestFit="1" customWidth="1"/>
    <col min="3" max="4" width="9.7109375" bestFit="1" customWidth="1"/>
    <col min="5" max="5" width="8.7109375" bestFit="1" customWidth="1"/>
    <col min="6" max="6" width="10.85546875" bestFit="1" customWidth="1"/>
    <col min="7" max="7" width="3.140625" bestFit="1" customWidth="1"/>
  </cols>
  <sheetData>
    <row r="1" spans="1:11">
      <c r="B1" t="s">
        <v>23</v>
      </c>
      <c r="C1" t="s">
        <v>24</v>
      </c>
      <c r="D1" t="s">
        <v>25</v>
      </c>
      <c r="E1" t="s">
        <v>26</v>
      </c>
      <c r="F1" t="s">
        <v>27</v>
      </c>
      <c r="I1" t="s">
        <v>24</v>
      </c>
      <c r="J1" s="11">
        <f>849000-300000</f>
        <v>549000</v>
      </c>
      <c r="K1" t="s">
        <v>35</v>
      </c>
    </row>
    <row r="2" spans="1:11">
      <c r="A2" s="16">
        <v>41275</v>
      </c>
      <c r="B2" s="7">
        <f>J1</f>
        <v>549000</v>
      </c>
      <c r="C2" s="7">
        <f t="shared" ref="C2:C13" si="0">+E2-D2</f>
        <v>449.83314138279411</v>
      </c>
      <c r="D2" s="7">
        <f t="shared" ref="D2:D13" si="1">+B2*$K$2</f>
        <v>3203.415</v>
      </c>
      <c r="E2" s="7">
        <f t="shared" ref="E2:E13" si="2">-$K$5</f>
        <v>3653.2481413827941</v>
      </c>
      <c r="F2" s="7">
        <f t="shared" ref="F2:F13" si="3">+B2-C2</f>
        <v>548550.16685861722</v>
      </c>
      <c r="G2">
        <v>1</v>
      </c>
      <c r="I2" t="s">
        <v>33</v>
      </c>
      <c r="J2">
        <v>7.0019999999999999E-2</v>
      </c>
      <c r="K2" s="14">
        <f>J2/12</f>
        <v>5.8349999999999999E-3</v>
      </c>
    </row>
    <row r="3" spans="1:11">
      <c r="A3" s="16">
        <v>41306</v>
      </c>
      <c r="B3" s="7">
        <f t="shared" ref="B3:B13" si="4">+F2</f>
        <v>548550.16685861722</v>
      </c>
      <c r="C3" s="7">
        <f t="shared" si="0"/>
        <v>452.45791776276246</v>
      </c>
      <c r="D3" s="7">
        <f t="shared" si="1"/>
        <v>3200.7902236200316</v>
      </c>
      <c r="E3" s="7">
        <f t="shared" si="2"/>
        <v>3653.2481413827941</v>
      </c>
      <c r="F3" s="7">
        <f t="shared" si="3"/>
        <v>548097.70894085441</v>
      </c>
      <c r="G3">
        <v>2</v>
      </c>
      <c r="I3" t="s">
        <v>34</v>
      </c>
      <c r="J3">
        <v>30</v>
      </c>
      <c r="K3">
        <f>J3*12</f>
        <v>360</v>
      </c>
    </row>
    <row r="4" spans="1:11">
      <c r="A4" s="16">
        <v>41334</v>
      </c>
      <c r="B4" s="7">
        <f t="shared" si="4"/>
        <v>548097.70894085441</v>
      </c>
      <c r="C4" s="7">
        <f t="shared" si="0"/>
        <v>455.09800971290861</v>
      </c>
      <c r="D4" s="7">
        <f t="shared" si="1"/>
        <v>3198.1501316698855</v>
      </c>
      <c r="E4" s="7">
        <f t="shared" si="2"/>
        <v>3653.2481413827941</v>
      </c>
      <c r="F4" s="7">
        <f t="shared" si="3"/>
        <v>547642.61093114153</v>
      </c>
      <c r="G4">
        <v>3</v>
      </c>
    </row>
    <row r="5" spans="1:11">
      <c r="A5" s="16">
        <v>41365</v>
      </c>
      <c r="B5" s="7">
        <f t="shared" si="4"/>
        <v>547642.61093114153</v>
      </c>
      <c r="C5" s="7">
        <f t="shared" si="0"/>
        <v>457.75350659958349</v>
      </c>
      <c r="D5" s="7">
        <f t="shared" si="1"/>
        <v>3195.4946347832106</v>
      </c>
      <c r="E5" s="7">
        <f t="shared" si="2"/>
        <v>3653.2481413827941</v>
      </c>
      <c r="F5" s="7">
        <f t="shared" si="3"/>
        <v>547184.85742454196</v>
      </c>
      <c r="G5">
        <v>4</v>
      </c>
      <c r="I5" t="s">
        <v>26</v>
      </c>
      <c r="K5" s="12">
        <f>PMT(K2,K3,J1,,0)</f>
        <v>-3653.2481413827941</v>
      </c>
    </row>
    <row r="6" spans="1:11">
      <c r="A6" s="16">
        <v>41395</v>
      </c>
      <c r="B6" s="7">
        <f t="shared" si="4"/>
        <v>547184.85742454196</v>
      </c>
      <c r="C6" s="7">
        <f t="shared" si="0"/>
        <v>460.42449831059184</v>
      </c>
      <c r="D6" s="7">
        <f t="shared" si="1"/>
        <v>3192.8236430722022</v>
      </c>
      <c r="E6" s="7">
        <f t="shared" si="2"/>
        <v>3653.2481413827941</v>
      </c>
      <c r="F6" s="7">
        <f t="shared" si="3"/>
        <v>546724.43292623141</v>
      </c>
      <c r="G6">
        <v>5</v>
      </c>
    </row>
    <row r="7" spans="1:11">
      <c r="A7" s="16">
        <v>41426</v>
      </c>
      <c r="B7" s="7">
        <f t="shared" si="4"/>
        <v>546724.43292623141</v>
      </c>
      <c r="C7" s="7">
        <f t="shared" si="0"/>
        <v>463.111075258234</v>
      </c>
      <c r="D7" s="7">
        <f t="shared" si="1"/>
        <v>3190.1370661245601</v>
      </c>
      <c r="E7" s="7">
        <f t="shared" si="2"/>
        <v>3653.2481413827941</v>
      </c>
      <c r="F7" s="7">
        <f t="shared" si="3"/>
        <v>546261.32185097318</v>
      </c>
      <c r="G7">
        <v>6</v>
      </c>
    </row>
    <row r="8" spans="1:11">
      <c r="A8" s="16">
        <v>41456</v>
      </c>
      <c r="B8" s="7">
        <f t="shared" si="4"/>
        <v>546261.32185097318</v>
      </c>
      <c r="C8" s="7">
        <f t="shared" si="0"/>
        <v>465.8133283823654</v>
      </c>
      <c r="D8" s="7">
        <f t="shared" si="1"/>
        <v>3187.4348130004287</v>
      </c>
      <c r="E8" s="7">
        <f t="shared" si="2"/>
        <v>3653.2481413827941</v>
      </c>
      <c r="F8" s="7">
        <f t="shared" si="3"/>
        <v>545795.50852259086</v>
      </c>
      <c r="G8">
        <v>7</v>
      </c>
    </row>
    <row r="9" spans="1:11">
      <c r="A9" s="16">
        <v>41487</v>
      </c>
      <c r="B9" s="7">
        <f t="shared" si="4"/>
        <v>545795.50852259086</v>
      </c>
      <c r="C9" s="7">
        <f t="shared" si="0"/>
        <v>468.53134915347664</v>
      </c>
      <c r="D9" s="7">
        <f t="shared" si="1"/>
        <v>3184.7167922293174</v>
      </c>
      <c r="E9" s="7">
        <f t="shared" si="2"/>
        <v>3653.2481413827941</v>
      </c>
      <c r="F9" s="7">
        <f t="shared" si="3"/>
        <v>545326.97717343736</v>
      </c>
      <c r="G9">
        <v>8</v>
      </c>
    </row>
    <row r="10" spans="1:11">
      <c r="A10" s="16">
        <v>41518</v>
      </c>
      <c r="B10" s="7">
        <f t="shared" si="4"/>
        <v>545326.97717343736</v>
      </c>
      <c r="C10" s="7">
        <f t="shared" si="0"/>
        <v>471.26522957578709</v>
      </c>
      <c r="D10" s="7">
        <f t="shared" si="1"/>
        <v>3181.982911807007</v>
      </c>
      <c r="E10" s="7">
        <f t="shared" si="2"/>
        <v>3653.2481413827941</v>
      </c>
      <c r="F10" s="7">
        <f t="shared" si="3"/>
        <v>544855.71194386156</v>
      </c>
      <c r="G10">
        <v>9</v>
      </c>
      <c r="I10" s="10"/>
    </row>
    <row r="11" spans="1:11">
      <c r="A11" s="16">
        <v>41548</v>
      </c>
      <c r="B11" s="7">
        <f t="shared" si="4"/>
        <v>544855.71194386156</v>
      </c>
      <c r="C11" s="7">
        <f t="shared" si="0"/>
        <v>474.01506219036173</v>
      </c>
      <c r="D11" s="7">
        <f t="shared" si="1"/>
        <v>3179.2330791924323</v>
      </c>
      <c r="E11" s="7">
        <f t="shared" si="2"/>
        <v>3653.2481413827941</v>
      </c>
      <c r="F11" s="7">
        <f t="shared" si="3"/>
        <v>544381.6968816712</v>
      </c>
      <c r="G11">
        <v>10</v>
      </c>
      <c r="I11" s="20"/>
      <c r="J11" s="20"/>
    </row>
    <row r="12" spans="1:11">
      <c r="A12" s="16">
        <v>41579</v>
      </c>
      <c r="B12" s="7">
        <f t="shared" si="4"/>
        <v>544381.6968816712</v>
      </c>
      <c r="C12" s="7">
        <f t="shared" si="0"/>
        <v>476.78094007824257</v>
      </c>
      <c r="D12" s="7">
        <f t="shared" si="1"/>
        <v>3176.4672013045515</v>
      </c>
      <c r="E12" s="7">
        <f t="shared" si="2"/>
        <v>3653.2481413827941</v>
      </c>
      <c r="F12" s="7">
        <f t="shared" si="3"/>
        <v>543904.915941593</v>
      </c>
      <c r="G12">
        <v>11</v>
      </c>
      <c r="I12" s="20"/>
      <c r="J12" s="20"/>
    </row>
    <row r="13" spans="1:11" ht="15">
      <c r="A13" s="16">
        <v>41609</v>
      </c>
      <c r="B13" s="7">
        <f t="shared" si="4"/>
        <v>543904.915941593</v>
      </c>
      <c r="C13" s="7">
        <f t="shared" si="0"/>
        <v>479.56295686359908</v>
      </c>
      <c r="D13" s="7">
        <f t="shared" si="1"/>
        <v>3173.685184519195</v>
      </c>
      <c r="E13" s="7">
        <f t="shared" si="2"/>
        <v>3653.2481413827941</v>
      </c>
      <c r="F13" s="100">
        <f t="shared" si="3"/>
        <v>543425.35298472946</v>
      </c>
      <c r="G13">
        <v>12</v>
      </c>
      <c r="I13" s="21"/>
      <c r="J13" s="22"/>
    </row>
    <row r="14" spans="1:11" ht="25.5">
      <c r="A14" s="18" t="s">
        <v>28</v>
      </c>
      <c r="B14" s="9"/>
      <c r="C14" s="8">
        <f>SUM(C2:C13)</f>
        <v>5574.6470152707079</v>
      </c>
      <c r="D14" s="100">
        <f>SUM(D2:D13)</f>
        <v>38264.330681322819</v>
      </c>
      <c r="E14" s="7"/>
      <c r="F14" s="7"/>
      <c r="I14" s="20"/>
      <c r="J14" s="20"/>
    </row>
    <row r="15" spans="1:11">
      <c r="A15" s="19"/>
      <c r="B15" s="6"/>
      <c r="C15" s="7"/>
      <c r="D15" s="7"/>
      <c r="E15" s="7"/>
      <c r="F15" s="7"/>
      <c r="I15" s="20"/>
      <c r="J15" s="20"/>
    </row>
    <row r="16" spans="1:11">
      <c r="A16" s="16">
        <v>41653</v>
      </c>
      <c r="B16" s="7">
        <f>+F13</f>
        <v>543425.35298472946</v>
      </c>
      <c r="C16" s="7">
        <f t="shared" ref="C16:C27" si="5">+E16-D16</f>
        <v>482.36120671689787</v>
      </c>
      <c r="D16" s="7">
        <f t="shared" ref="D16:D27" si="6">+B16*$K$2</f>
        <v>3170.8869346658962</v>
      </c>
      <c r="E16" s="7">
        <f t="shared" ref="E16:E27" si="7">-$K$5</f>
        <v>3653.2481413827941</v>
      </c>
      <c r="F16" s="7">
        <f t="shared" ref="F16:F27" si="8">+B16-C16</f>
        <v>542942.9917780126</v>
      </c>
      <c r="G16">
        <v>13</v>
      </c>
      <c r="I16" s="20"/>
      <c r="J16" s="20"/>
    </row>
    <row r="17" spans="1:10">
      <c r="A17" s="16">
        <v>41684</v>
      </c>
      <c r="B17" s="7">
        <f t="shared" ref="B17:B27" si="9">+F16</f>
        <v>542942.9917780126</v>
      </c>
      <c r="C17" s="7">
        <f t="shared" si="5"/>
        <v>485.17578435809082</v>
      </c>
      <c r="D17" s="7">
        <f t="shared" si="6"/>
        <v>3168.0723570247033</v>
      </c>
      <c r="E17" s="7">
        <f t="shared" si="7"/>
        <v>3653.2481413827941</v>
      </c>
      <c r="F17" s="7">
        <f t="shared" si="8"/>
        <v>542457.81599365454</v>
      </c>
      <c r="G17">
        <v>14</v>
      </c>
      <c r="I17" s="20"/>
      <c r="J17" s="20"/>
    </row>
    <row r="18" spans="1:10">
      <c r="A18" s="16">
        <v>41712</v>
      </c>
      <c r="B18" s="7">
        <f t="shared" si="9"/>
        <v>542457.81599365454</v>
      </c>
      <c r="C18" s="7">
        <f t="shared" si="5"/>
        <v>488.00678505981978</v>
      </c>
      <c r="D18" s="7">
        <f t="shared" si="6"/>
        <v>3165.2413563229743</v>
      </c>
      <c r="E18" s="7">
        <f t="shared" si="7"/>
        <v>3653.2481413827941</v>
      </c>
      <c r="F18" s="7">
        <f t="shared" si="8"/>
        <v>541969.80920859473</v>
      </c>
      <c r="G18">
        <v>15</v>
      </c>
      <c r="I18" s="20"/>
      <c r="J18" s="20"/>
    </row>
    <row r="19" spans="1:10">
      <c r="A19" s="16">
        <v>41743</v>
      </c>
      <c r="B19" s="7">
        <f t="shared" si="9"/>
        <v>541969.80920859473</v>
      </c>
      <c r="C19" s="7">
        <f t="shared" si="5"/>
        <v>490.85430465064383</v>
      </c>
      <c r="D19" s="7">
        <f t="shared" si="6"/>
        <v>3162.3938367321502</v>
      </c>
      <c r="E19" s="7">
        <f t="shared" si="7"/>
        <v>3653.2481413827941</v>
      </c>
      <c r="F19" s="7">
        <f t="shared" si="8"/>
        <v>541478.95490394405</v>
      </c>
      <c r="G19">
        <v>16</v>
      </c>
      <c r="I19" s="20"/>
      <c r="J19" s="20"/>
    </row>
    <row r="20" spans="1:10">
      <c r="A20" s="16">
        <v>41773</v>
      </c>
      <c r="B20" s="7">
        <f t="shared" si="9"/>
        <v>541478.95490394405</v>
      </c>
      <c r="C20" s="7">
        <f t="shared" si="5"/>
        <v>493.71843951828077</v>
      </c>
      <c r="D20" s="7">
        <f t="shared" si="6"/>
        <v>3159.5297018645133</v>
      </c>
      <c r="E20" s="7">
        <f t="shared" si="7"/>
        <v>3653.2481413827941</v>
      </c>
      <c r="F20" s="7">
        <f t="shared" si="8"/>
        <v>540985.23646442581</v>
      </c>
      <c r="G20">
        <v>17</v>
      </c>
      <c r="I20" s="20"/>
      <c r="J20" s="20"/>
    </row>
    <row r="21" spans="1:10">
      <c r="A21" s="16">
        <v>41804</v>
      </c>
      <c r="B21" s="7">
        <f t="shared" si="9"/>
        <v>540985.23646442581</v>
      </c>
      <c r="C21" s="7">
        <f t="shared" si="5"/>
        <v>496.59928661286949</v>
      </c>
      <c r="D21" s="7">
        <f t="shared" si="6"/>
        <v>3156.6488547699246</v>
      </c>
      <c r="E21" s="7">
        <f t="shared" si="7"/>
        <v>3653.2481413827941</v>
      </c>
      <c r="F21" s="7">
        <f t="shared" si="8"/>
        <v>540488.63717781298</v>
      </c>
      <c r="G21">
        <v>18</v>
      </c>
      <c r="I21" s="20"/>
      <c r="J21" s="20"/>
    </row>
    <row r="22" spans="1:10">
      <c r="A22" s="16">
        <v>41834</v>
      </c>
      <c r="B22" s="7">
        <f t="shared" si="9"/>
        <v>540488.63717781298</v>
      </c>
      <c r="C22" s="7">
        <f t="shared" si="5"/>
        <v>499.49694345025546</v>
      </c>
      <c r="D22" s="7">
        <f t="shared" si="6"/>
        <v>3153.7511979325386</v>
      </c>
      <c r="E22" s="7">
        <f t="shared" si="7"/>
        <v>3653.2481413827941</v>
      </c>
      <c r="F22" s="7">
        <f t="shared" si="8"/>
        <v>539989.14023436268</v>
      </c>
      <c r="G22">
        <v>19</v>
      </c>
      <c r="I22" s="20"/>
      <c r="J22" s="20"/>
    </row>
    <row r="23" spans="1:10">
      <c r="A23" s="16">
        <v>41865</v>
      </c>
      <c r="B23" s="7">
        <f t="shared" si="9"/>
        <v>539989.14023436268</v>
      </c>
      <c r="C23" s="7">
        <f t="shared" si="5"/>
        <v>502.41150811528769</v>
      </c>
      <c r="D23" s="7">
        <f t="shared" si="6"/>
        <v>3150.8366332675064</v>
      </c>
      <c r="E23" s="7">
        <f t="shared" si="7"/>
        <v>3653.2481413827941</v>
      </c>
      <c r="F23" s="7">
        <f t="shared" si="8"/>
        <v>539486.72872624744</v>
      </c>
      <c r="G23">
        <v>20</v>
      </c>
      <c r="I23" s="20"/>
      <c r="J23" s="20"/>
    </row>
    <row r="24" spans="1:10">
      <c r="A24" s="16">
        <v>41896</v>
      </c>
      <c r="B24" s="7">
        <f t="shared" si="9"/>
        <v>539486.72872624744</v>
      </c>
      <c r="C24" s="7">
        <f t="shared" si="5"/>
        <v>505.3430792651402</v>
      </c>
      <c r="D24" s="7">
        <f t="shared" si="6"/>
        <v>3147.9050621176539</v>
      </c>
      <c r="E24" s="7">
        <f t="shared" si="7"/>
        <v>3653.2481413827941</v>
      </c>
      <c r="F24" s="7">
        <f t="shared" si="8"/>
        <v>538981.38564698235</v>
      </c>
      <c r="G24">
        <v>21</v>
      </c>
      <c r="I24" s="20"/>
      <c r="J24" s="20"/>
    </row>
    <row r="25" spans="1:10">
      <c r="A25" s="16">
        <v>41926</v>
      </c>
      <c r="B25" s="7">
        <f t="shared" si="9"/>
        <v>538981.38564698235</v>
      </c>
      <c r="C25" s="7">
        <f t="shared" si="5"/>
        <v>508.29175613265215</v>
      </c>
      <c r="D25" s="7">
        <f t="shared" si="6"/>
        <v>3144.9563852501419</v>
      </c>
      <c r="E25" s="7">
        <f t="shared" si="7"/>
        <v>3653.2481413827941</v>
      </c>
      <c r="F25" s="7">
        <f t="shared" si="8"/>
        <v>538473.09389084973</v>
      </c>
      <c r="G25">
        <v>22</v>
      </c>
      <c r="I25" s="20"/>
      <c r="J25" s="20"/>
    </row>
    <row r="26" spans="1:10">
      <c r="A26" s="16">
        <v>41957</v>
      </c>
      <c r="B26" s="7">
        <f t="shared" si="9"/>
        <v>538473.09389084973</v>
      </c>
      <c r="C26" s="7">
        <f t="shared" si="5"/>
        <v>511.25763852968612</v>
      </c>
      <c r="D26" s="7">
        <f t="shared" si="6"/>
        <v>3141.990502853108</v>
      </c>
      <c r="E26" s="7">
        <f t="shared" si="7"/>
        <v>3653.2481413827941</v>
      </c>
      <c r="F26" s="7">
        <f t="shared" si="8"/>
        <v>537961.83625232009</v>
      </c>
      <c r="G26">
        <v>23</v>
      </c>
      <c r="I26" s="20"/>
      <c r="J26" s="20"/>
    </row>
    <row r="27" spans="1:10" ht="15">
      <c r="A27" s="16">
        <v>41987</v>
      </c>
      <c r="B27" s="7">
        <f t="shared" si="9"/>
        <v>537961.83625232009</v>
      </c>
      <c r="C27" s="7">
        <f t="shared" si="5"/>
        <v>514.24082685050644</v>
      </c>
      <c r="D27" s="7">
        <f t="shared" si="6"/>
        <v>3139.0073145322876</v>
      </c>
      <c r="E27" s="7">
        <f t="shared" si="7"/>
        <v>3653.2481413827941</v>
      </c>
      <c r="F27" s="8">
        <f t="shared" si="8"/>
        <v>537447.59542546957</v>
      </c>
      <c r="G27">
        <v>24</v>
      </c>
      <c r="I27" s="21"/>
      <c r="J27" s="22"/>
    </row>
    <row r="28" spans="1:10" ht="25.5">
      <c r="A28" s="18" t="s">
        <v>28</v>
      </c>
      <c r="B28" s="9"/>
      <c r="C28" s="8">
        <f>SUM(C16:C27)</f>
        <v>5977.7575592601315</v>
      </c>
      <c r="D28" s="8">
        <f>SUM(D16:D27)</f>
        <v>37861.220137333403</v>
      </c>
      <c r="E28" s="7"/>
      <c r="F28" s="7"/>
      <c r="I28" s="20"/>
      <c r="J28" s="20"/>
    </row>
    <row r="29" spans="1:10">
      <c r="A29" s="19"/>
      <c r="B29" s="6"/>
      <c r="C29" s="7"/>
      <c r="D29" s="7"/>
      <c r="E29" s="7"/>
      <c r="F29" s="7"/>
      <c r="I29" s="20"/>
      <c r="J29" s="20"/>
    </row>
    <row r="30" spans="1:10">
      <c r="A30" s="16">
        <v>42005</v>
      </c>
      <c r="B30" s="7">
        <f>+F27</f>
        <v>537447.59542546957</v>
      </c>
      <c r="C30" s="7">
        <f t="shared" ref="C30:C41" si="10">+E30-D30</f>
        <v>517.24142207517934</v>
      </c>
      <c r="D30" s="7">
        <f t="shared" ref="D30:D41" si="11">+B30*$K$2</f>
        <v>3136.0067193076147</v>
      </c>
      <c r="E30" s="7">
        <f t="shared" ref="E30:E41" si="12">-$K$5</f>
        <v>3653.2481413827941</v>
      </c>
      <c r="F30" s="7">
        <f t="shared" ref="F30:F41" si="13">+B30-C30</f>
        <v>536930.35400339437</v>
      </c>
      <c r="G30">
        <v>25</v>
      </c>
      <c r="I30" s="20"/>
      <c r="J30" s="20"/>
    </row>
    <row r="31" spans="1:10">
      <c r="A31" s="16">
        <v>42036</v>
      </c>
      <c r="B31" s="7">
        <f t="shared" ref="B31:B41" si="14">+F30</f>
        <v>536930.35400339437</v>
      </c>
      <c r="C31" s="7">
        <f t="shared" si="10"/>
        <v>520.25952577298813</v>
      </c>
      <c r="D31" s="7">
        <f t="shared" si="11"/>
        <v>3132.9886156098059</v>
      </c>
      <c r="E31" s="7">
        <f t="shared" si="12"/>
        <v>3653.2481413827941</v>
      </c>
      <c r="F31" s="7">
        <f t="shared" si="13"/>
        <v>536410.09447762137</v>
      </c>
      <c r="G31">
        <v>26</v>
      </c>
      <c r="I31" s="20"/>
      <c r="J31" s="20"/>
    </row>
    <row r="32" spans="1:10">
      <c r="A32" s="16">
        <v>42064</v>
      </c>
      <c r="B32" s="7">
        <f t="shared" si="14"/>
        <v>536410.09447762137</v>
      </c>
      <c r="C32" s="7">
        <f t="shared" si="10"/>
        <v>523.29524010587329</v>
      </c>
      <c r="D32" s="7">
        <f t="shared" si="11"/>
        <v>3129.9529012769208</v>
      </c>
      <c r="E32" s="7">
        <f t="shared" si="12"/>
        <v>3653.2481413827941</v>
      </c>
      <c r="F32" s="7">
        <f t="shared" si="13"/>
        <v>535886.79923751554</v>
      </c>
      <c r="G32">
        <v>27</v>
      </c>
      <c r="I32" s="20"/>
      <c r="J32" s="20"/>
    </row>
    <row r="33" spans="1:10">
      <c r="A33" s="16">
        <v>42095</v>
      </c>
      <c r="B33" s="7">
        <f t="shared" si="14"/>
        <v>535886.79923751554</v>
      </c>
      <c r="C33" s="7">
        <f t="shared" si="10"/>
        <v>526.34866783189091</v>
      </c>
      <c r="D33" s="7">
        <f t="shared" si="11"/>
        <v>3126.8994735509032</v>
      </c>
      <c r="E33" s="7">
        <f t="shared" si="12"/>
        <v>3653.2481413827941</v>
      </c>
      <c r="F33" s="7">
        <f t="shared" si="13"/>
        <v>535360.45056968369</v>
      </c>
      <c r="G33">
        <v>28</v>
      </c>
      <c r="I33" s="20"/>
      <c r="J33" s="20"/>
    </row>
    <row r="34" spans="1:10">
      <c r="A34" s="16">
        <v>42125</v>
      </c>
      <c r="B34" s="7">
        <f t="shared" si="14"/>
        <v>535360.45056968369</v>
      </c>
      <c r="C34" s="7">
        <f t="shared" si="10"/>
        <v>529.41991230868962</v>
      </c>
      <c r="D34" s="7">
        <f t="shared" si="11"/>
        <v>3123.8282290741045</v>
      </c>
      <c r="E34" s="7">
        <f t="shared" si="12"/>
        <v>3653.2481413827941</v>
      </c>
      <c r="F34" s="7">
        <f t="shared" si="13"/>
        <v>534831.030657375</v>
      </c>
      <c r="G34">
        <v>29</v>
      </c>
      <c r="I34" s="20"/>
      <c r="J34" s="20"/>
    </row>
    <row r="35" spans="1:10">
      <c r="A35" s="16">
        <v>42156</v>
      </c>
      <c r="B35" s="7">
        <f t="shared" si="14"/>
        <v>534831.030657375</v>
      </c>
      <c r="C35" s="7">
        <f t="shared" si="10"/>
        <v>532.50907749701082</v>
      </c>
      <c r="D35" s="7">
        <f t="shared" si="11"/>
        <v>3120.7390638857833</v>
      </c>
      <c r="E35" s="7">
        <f t="shared" si="12"/>
        <v>3653.2481413827941</v>
      </c>
      <c r="F35" s="7">
        <f t="shared" si="13"/>
        <v>534298.52157987794</v>
      </c>
      <c r="G35">
        <v>30</v>
      </c>
      <c r="I35" s="20"/>
      <c r="J35" s="20"/>
    </row>
    <row r="36" spans="1:10">
      <c r="A36" s="16">
        <v>42186</v>
      </c>
      <c r="B36" s="7">
        <f t="shared" si="14"/>
        <v>534298.52157987794</v>
      </c>
      <c r="C36" s="7">
        <f t="shared" si="10"/>
        <v>535.61626796420614</v>
      </c>
      <c r="D36" s="7">
        <f t="shared" si="11"/>
        <v>3117.6318734185879</v>
      </c>
      <c r="E36" s="7">
        <f t="shared" si="12"/>
        <v>3653.2481413827941</v>
      </c>
      <c r="F36" s="7">
        <f t="shared" si="13"/>
        <v>533762.9053119137</v>
      </c>
      <c r="G36">
        <v>31</v>
      </c>
      <c r="I36" s="20"/>
      <c r="J36" s="20"/>
    </row>
    <row r="37" spans="1:10">
      <c r="A37" s="16">
        <v>42217</v>
      </c>
      <c r="B37" s="7">
        <f t="shared" si="14"/>
        <v>533762.9053119137</v>
      </c>
      <c r="C37" s="7">
        <f t="shared" si="10"/>
        <v>538.74158888777765</v>
      </c>
      <c r="D37" s="7">
        <f t="shared" si="11"/>
        <v>3114.5065524950164</v>
      </c>
      <c r="E37" s="7">
        <f t="shared" si="12"/>
        <v>3653.2481413827941</v>
      </c>
      <c r="F37" s="7">
        <f t="shared" si="13"/>
        <v>533224.16372302594</v>
      </c>
      <c r="G37">
        <v>32</v>
      </c>
      <c r="I37" s="20"/>
      <c r="J37" s="20"/>
    </row>
    <row r="38" spans="1:10">
      <c r="A38" s="16">
        <v>42248</v>
      </c>
      <c r="B38" s="7">
        <f t="shared" si="14"/>
        <v>533224.16372302594</v>
      </c>
      <c r="C38" s="7">
        <f t="shared" si="10"/>
        <v>541.88514605893761</v>
      </c>
      <c r="D38" s="7">
        <f t="shared" si="11"/>
        <v>3111.3629953238565</v>
      </c>
      <c r="E38" s="7">
        <f t="shared" si="12"/>
        <v>3653.2481413827941</v>
      </c>
      <c r="F38" s="7">
        <f t="shared" si="13"/>
        <v>532682.27857696696</v>
      </c>
      <c r="G38">
        <v>33</v>
      </c>
      <c r="I38" s="20"/>
      <c r="J38" s="20"/>
    </row>
    <row r="39" spans="1:10">
      <c r="A39" s="16">
        <v>42278</v>
      </c>
      <c r="B39" s="7">
        <f t="shared" si="14"/>
        <v>532682.27857696696</v>
      </c>
      <c r="C39" s="7">
        <f t="shared" si="10"/>
        <v>545.04704588619188</v>
      </c>
      <c r="D39" s="7">
        <f t="shared" si="11"/>
        <v>3108.2010954966022</v>
      </c>
      <c r="E39" s="7">
        <f t="shared" si="12"/>
        <v>3653.2481413827941</v>
      </c>
      <c r="F39" s="7">
        <f t="shared" si="13"/>
        <v>532137.23153108079</v>
      </c>
      <c r="G39">
        <v>34</v>
      </c>
      <c r="I39" s="20"/>
      <c r="J39" s="20"/>
    </row>
    <row r="40" spans="1:10">
      <c r="A40" s="16">
        <v>42309</v>
      </c>
      <c r="B40" s="7">
        <f t="shared" si="14"/>
        <v>532137.23153108079</v>
      </c>
      <c r="C40" s="7">
        <f t="shared" si="10"/>
        <v>548.22739539893792</v>
      </c>
      <c r="D40" s="7">
        <f t="shared" si="11"/>
        <v>3105.0207459838562</v>
      </c>
      <c r="E40" s="7">
        <f t="shared" si="12"/>
        <v>3653.2481413827941</v>
      </c>
      <c r="F40" s="7">
        <f t="shared" si="13"/>
        <v>531589.0041356819</v>
      </c>
      <c r="G40">
        <v>35</v>
      </c>
      <c r="I40" s="20"/>
      <c r="J40" s="20"/>
    </row>
    <row r="41" spans="1:10" ht="15">
      <c r="A41" s="16">
        <v>42339</v>
      </c>
      <c r="B41" s="7">
        <f t="shared" si="14"/>
        <v>531589.0041356819</v>
      </c>
      <c r="C41" s="7">
        <f t="shared" si="10"/>
        <v>551.42630225109042</v>
      </c>
      <c r="D41" s="7">
        <f t="shared" si="11"/>
        <v>3101.8218391317037</v>
      </c>
      <c r="E41" s="7">
        <f t="shared" si="12"/>
        <v>3653.2481413827941</v>
      </c>
      <c r="F41" s="8">
        <f t="shared" si="13"/>
        <v>531037.57783343084</v>
      </c>
      <c r="G41">
        <v>36</v>
      </c>
      <c r="I41" s="21"/>
      <c r="J41" s="22"/>
    </row>
    <row r="42" spans="1:10" ht="25.5">
      <c r="A42" s="18" t="s">
        <v>28</v>
      </c>
      <c r="B42" s="9"/>
      <c r="C42" s="8">
        <f>SUM(C30:C41)</f>
        <v>6410.0175920387737</v>
      </c>
      <c r="D42" s="8">
        <f>SUM(D30:D41)</f>
        <v>37428.960104554753</v>
      </c>
      <c r="E42" s="7"/>
      <c r="F42" s="7"/>
      <c r="I42" s="20"/>
      <c r="J42" s="20"/>
    </row>
    <row r="43" spans="1:10">
      <c r="A43" s="19"/>
      <c r="B43" s="6"/>
      <c r="C43" s="7"/>
      <c r="D43" s="7"/>
      <c r="E43" s="7"/>
      <c r="F43" s="7"/>
      <c r="I43" s="20"/>
      <c r="J43" s="20"/>
    </row>
    <row r="44" spans="1:10">
      <c r="A44" s="16">
        <v>42370</v>
      </c>
      <c r="B44" s="7">
        <f>+F41</f>
        <v>531037.57783343084</v>
      </c>
      <c r="C44" s="7">
        <f t="shared" ref="C44:C55" si="15">+E44-D44</f>
        <v>554.64387472472526</v>
      </c>
      <c r="D44" s="7">
        <f t="shared" ref="D44:D55" si="16">+B44*$K$2</f>
        <v>3098.6042666580688</v>
      </c>
      <c r="E44" s="7">
        <f t="shared" ref="E44:E55" si="17">-$K$5</f>
        <v>3653.2481413827941</v>
      </c>
      <c r="F44" s="7">
        <f t="shared" ref="F44:F55" si="18">+B44-C44</f>
        <v>530482.9339587061</v>
      </c>
      <c r="G44">
        <v>37</v>
      </c>
      <c r="I44" s="20"/>
      <c r="J44" s="20"/>
    </row>
    <row r="45" spans="1:10">
      <c r="A45" s="16">
        <v>42401</v>
      </c>
      <c r="B45" s="7">
        <f t="shared" ref="B45:B55" si="19">+F44</f>
        <v>530482.9339587061</v>
      </c>
      <c r="C45" s="7">
        <f t="shared" si="15"/>
        <v>557.88022173374384</v>
      </c>
      <c r="D45" s="7">
        <f t="shared" si="16"/>
        <v>3095.3679196490502</v>
      </c>
      <c r="E45" s="7">
        <f t="shared" si="17"/>
        <v>3653.2481413827941</v>
      </c>
      <c r="F45" s="7">
        <f t="shared" si="18"/>
        <v>529925.05373697239</v>
      </c>
      <c r="G45">
        <v>38</v>
      </c>
      <c r="I45" s="20"/>
      <c r="J45" s="20"/>
    </row>
    <row r="46" spans="1:10">
      <c r="A46" s="16">
        <v>42430</v>
      </c>
      <c r="B46" s="7">
        <f t="shared" si="19"/>
        <v>529925.05373697239</v>
      </c>
      <c r="C46" s="7">
        <f t="shared" si="15"/>
        <v>561.13545282756013</v>
      </c>
      <c r="D46" s="7">
        <f t="shared" si="16"/>
        <v>3092.1126885552339</v>
      </c>
      <c r="E46" s="7">
        <f t="shared" si="17"/>
        <v>3653.2481413827941</v>
      </c>
      <c r="F46" s="7">
        <f t="shared" si="18"/>
        <v>529363.91828414483</v>
      </c>
      <c r="G46">
        <v>39</v>
      </c>
      <c r="I46" s="20"/>
      <c r="J46" s="20"/>
    </row>
    <row r="47" spans="1:10">
      <c r="A47" s="16">
        <v>42461</v>
      </c>
      <c r="B47" s="7">
        <f t="shared" si="19"/>
        <v>529363.91828414483</v>
      </c>
      <c r="C47" s="7">
        <f t="shared" si="15"/>
        <v>564.4096781948092</v>
      </c>
      <c r="D47" s="7">
        <f t="shared" si="16"/>
        <v>3088.8384631879849</v>
      </c>
      <c r="E47" s="7">
        <f t="shared" si="17"/>
        <v>3653.2481413827941</v>
      </c>
      <c r="F47" s="7">
        <f t="shared" si="18"/>
        <v>528799.50860595005</v>
      </c>
      <c r="G47">
        <v>40</v>
      </c>
      <c r="I47" s="20"/>
      <c r="J47" s="20"/>
    </row>
    <row r="48" spans="1:10">
      <c r="A48" s="16">
        <v>42491</v>
      </c>
      <c r="B48" s="7">
        <f t="shared" si="19"/>
        <v>528799.50860595005</v>
      </c>
      <c r="C48" s="7">
        <f t="shared" si="15"/>
        <v>567.70300866707566</v>
      </c>
      <c r="D48" s="7">
        <f t="shared" si="16"/>
        <v>3085.5451327157184</v>
      </c>
      <c r="E48" s="7">
        <f t="shared" si="17"/>
        <v>3653.2481413827941</v>
      </c>
      <c r="F48" s="7">
        <f t="shared" si="18"/>
        <v>528231.80559728295</v>
      </c>
      <c r="G48">
        <v>41</v>
      </c>
      <c r="I48" s="20"/>
      <c r="J48" s="20"/>
    </row>
    <row r="49" spans="1:10">
      <c r="A49" s="16">
        <v>42522</v>
      </c>
      <c r="B49" s="7">
        <f t="shared" si="19"/>
        <v>528231.80559728295</v>
      </c>
      <c r="C49" s="7">
        <f t="shared" si="15"/>
        <v>571.01555572264806</v>
      </c>
      <c r="D49" s="7">
        <f t="shared" si="16"/>
        <v>3082.232585660146</v>
      </c>
      <c r="E49" s="7">
        <f t="shared" si="17"/>
        <v>3653.2481413827941</v>
      </c>
      <c r="F49" s="7">
        <f t="shared" si="18"/>
        <v>527660.79004156031</v>
      </c>
      <c r="G49">
        <v>42</v>
      </c>
      <c r="I49" s="20"/>
      <c r="J49" s="20"/>
    </row>
    <row r="50" spans="1:10">
      <c r="A50" s="16">
        <v>42552</v>
      </c>
      <c r="B50" s="7">
        <f t="shared" si="19"/>
        <v>527660.79004156031</v>
      </c>
      <c r="C50" s="7">
        <f t="shared" si="15"/>
        <v>574.34743149028964</v>
      </c>
      <c r="D50" s="7">
        <f t="shared" si="16"/>
        <v>3078.9007098925044</v>
      </c>
      <c r="E50" s="7">
        <f t="shared" si="17"/>
        <v>3653.2481413827941</v>
      </c>
      <c r="F50" s="7">
        <f t="shared" si="18"/>
        <v>527086.44261006999</v>
      </c>
      <c r="G50">
        <v>43</v>
      </c>
      <c r="I50" s="20"/>
      <c r="J50" s="20"/>
    </row>
    <row r="51" spans="1:10">
      <c r="A51" s="16">
        <v>42583</v>
      </c>
      <c r="B51" s="7">
        <f t="shared" si="19"/>
        <v>527086.44261006999</v>
      </c>
      <c r="C51" s="7">
        <f t="shared" si="15"/>
        <v>577.69874875303549</v>
      </c>
      <c r="D51" s="7">
        <f t="shared" si="16"/>
        <v>3075.5493926297586</v>
      </c>
      <c r="E51" s="7">
        <f t="shared" si="17"/>
        <v>3653.2481413827941</v>
      </c>
      <c r="F51" s="7">
        <f t="shared" si="18"/>
        <v>526508.74386131694</v>
      </c>
      <c r="G51">
        <v>44</v>
      </c>
      <c r="I51" s="20"/>
      <c r="J51" s="20"/>
    </row>
    <row r="52" spans="1:10">
      <c r="A52" s="16">
        <v>42614</v>
      </c>
      <c r="B52" s="7">
        <f t="shared" si="19"/>
        <v>526508.74386131694</v>
      </c>
      <c r="C52" s="7">
        <f t="shared" si="15"/>
        <v>581.0696209520097</v>
      </c>
      <c r="D52" s="7">
        <f t="shared" si="16"/>
        <v>3072.1785204307844</v>
      </c>
      <c r="E52" s="7">
        <f t="shared" si="17"/>
        <v>3653.2481413827941</v>
      </c>
      <c r="F52" s="7">
        <f t="shared" si="18"/>
        <v>525927.67424036493</v>
      </c>
      <c r="G52">
        <v>45</v>
      </c>
      <c r="I52" s="20"/>
      <c r="J52" s="20"/>
    </row>
    <row r="53" spans="1:10">
      <c r="A53" s="16">
        <v>42644</v>
      </c>
      <c r="B53" s="7">
        <f t="shared" si="19"/>
        <v>525927.67424036493</v>
      </c>
      <c r="C53" s="7">
        <f t="shared" si="15"/>
        <v>584.46016219026478</v>
      </c>
      <c r="D53" s="7">
        <f t="shared" si="16"/>
        <v>3068.7879791925293</v>
      </c>
      <c r="E53" s="7">
        <f t="shared" si="17"/>
        <v>3653.2481413827941</v>
      </c>
      <c r="F53" s="7">
        <f t="shared" si="18"/>
        <v>525343.21407817467</v>
      </c>
      <c r="G53">
        <v>46</v>
      </c>
      <c r="I53" s="20"/>
      <c r="J53" s="20"/>
    </row>
    <row r="54" spans="1:10">
      <c r="A54" s="16">
        <v>42675</v>
      </c>
      <c r="B54" s="7">
        <f t="shared" si="19"/>
        <v>525343.21407817467</v>
      </c>
      <c r="C54" s="7">
        <f t="shared" si="15"/>
        <v>587.87048723664475</v>
      </c>
      <c r="D54" s="7">
        <f t="shared" si="16"/>
        <v>3065.3776541461493</v>
      </c>
      <c r="E54" s="7">
        <f t="shared" si="17"/>
        <v>3653.2481413827941</v>
      </c>
      <c r="F54" s="7">
        <f t="shared" si="18"/>
        <v>524755.34359093802</v>
      </c>
      <c r="G54">
        <v>47</v>
      </c>
      <c r="I54" s="20"/>
      <c r="J54" s="20"/>
    </row>
    <row r="55" spans="1:10" ht="15">
      <c r="A55" s="16">
        <v>42705</v>
      </c>
      <c r="B55" s="7">
        <f t="shared" si="19"/>
        <v>524755.34359093802</v>
      </c>
      <c r="C55" s="7">
        <f t="shared" si="15"/>
        <v>591.30071152967093</v>
      </c>
      <c r="D55" s="7">
        <f t="shared" si="16"/>
        <v>3061.9474298531231</v>
      </c>
      <c r="E55" s="7">
        <f t="shared" si="17"/>
        <v>3653.2481413827941</v>
      </c>
      <c r="F55" s="8">
        <f t="shared" si="18"/>
        <v>524164.04287940834</v>
      </c>
      <c r="G55">
        <v>48</v>
      </c>
      <c r="H55" s="7"/>
      <c r="I55" s="21"/>
      <c r="J55" s="22"/>
    </row>
    <row r="56" spans="1:10" ht="25.5">
      <c r="A56" s="18" t="s">
        <v>28</v>
      </c>
      <c r="B56" s="10"/>
      <c r="C56" s="8">
        <f>SUM(C44:C55)</f>
        <v>6873.5349540224779</v>
      </c>
      <c r="D56" s="8">
        <f>SUM(D44:D55)</f>
        <v>36965.442742571053</v>
      </c>
      <c r="I56" s="20"/>
      <c r="J56" s="20"/>
    </row>
    <row r="57" spans="1:10">
      <c r="I57" s="20"/>
      <c r="J57" s="20"/>
    </row>
    <row r="58" spans="1:10">
      <c r="A58" s="16">
        <v>42736</v>
      </c>
      <c r="B58" s="7">
        <f>+F55</f>
        <v>524164.04287940834</v>
      </c>
      <c r="C58" s="7">
        <f t="shared" ref="C58:C69" si="20">+E58-D58</f>
        <v>594.75095118144645</v>
      </c>
      <c r="D58" s="7">
        <f t="shared" ref="D58:D69" si="21">+B58*$K$2</f>
        <v>3058.4971902013476</v>
      </c>
      <c r="E58" s="7">
        <f t="shared" ref="E58:E69" si="22">-$K$5</f>
        <v>3653.2481413827941</v>
      </c>
      <c r="F58" s="7">
        <f t="shared" ref="F58:F69" si="23">+B58-C58</f>
        <v>523569.29192822688</v>
      </c>
      <c r="G58">
        <v>37</v>
      </c>
      <c r="I58" s="20"/>
      <c r="J58" s="20"/>
    </row>
    <row r="59" spans="1:10">
      <c r="A59" s="16">
        <v>42767</v>
      </c>
      <c r="B59" s="7">
        <f t="shared" ref="B59:B69" si="24">+F58</f>
        <v>523569.29192822688</v>
      </c>
      <c r="C59" s="7">
        <f t="shared" si="20"/>
        <v>598.22132298159022</v>
      </c>
      <c r="D59" s="7">
        <f t="shared" si="21"/>
        <v>3055.0268184012039</v>
      </c>
      <c r="E59" s="7">
        <f t="shared" si="22"/>
        <v>3653.2481413827941</v>
      </c>
      <c r="F59" s="7">
        <f t="shared" si="23"/>
        <v>522971.0706052453</v>
      </c>
      <c r="G59">
        <v>38</v>
      </c>
      <c r="I59" s="20"/>
      <c r="J59" s="20"/>
    </row>
    <row r="60" spans="1:10">
      <c r="A60" s="16">
        <v>42795</v>
      </c>
      <c r="B60" s="7">
        <f t="shared" si="24"/>
        <v>522971.0706052453</v>
      </c>
      <c r="C60" s="7">
        <f t="shared" si="20"/>
        <v>601.71194440118779</v>
      </c>
      <c r="D60" s="7">
        <f t="shared" si="21"/>
        <v>3051.5361969816063</v>
      </c>
      <c r="E60" s="7">
        <f t="shared" si="22"/>
        <v>3653.2481413827941</v>
      </c>
      <c r="F60" s="7">
        <f t="shared" si="23"/>
        <v>522369.3586608441</v>
      </c>
      <c r="G60">
        <v>39</v>
      </c>
      <c r="I60" s="20"/>
      <c r="J60" s="20"/>
    </row>
    <row r="61" spans="1:10">
      <c r="A61" s="16">
        <v>42826</v>
      </c>
      <c r="B61" s="7">
        <f t="shared" si="24"/>
        <v>522369.3586608441</v>
      </c>
      <c r="C61" s="7">
        <f t="shared" si="20"/>
        <v>605.2229335967686</v>
      </c>
      <c r="D61" s="7">
        <f t="shared" si="21"/>
        <v>3048.0252077860255</v>
      </c>
      <c r="E61" s="7">
        <f t="shared" si="22"/>
        <v>3653.2481413827941</v>
      </c>
      <c r="F61" s="7">
        <f t="shared" si="23"/>
        <v>521764.13572724734</v>
      </c>
      <c r="G61">
        <v>40</v>
      </c>
      <c r="I61" s="20"/>
      <c r="J61" s="20"/>
    </row>
    <row r="62" spans="1:10">
      <c r="A62" s="16">
        <v>42856</v>
      </c>
      <c r="B62" s="7">
        <f t="shared" si="24"/>
        <v>521764.13572724734</v>
      </c>
      <c r="C62" s="7">
        <f t="shared" si="20"/>
        <v>608.75440941430588</v>
      </c>
      <c r="D62" s="7">
        <f t="shared" si="21"/>
        <v>3044.4937319684882</v>
      </c>
      <c r="E62" s="7">
        <f t="shared" si="22"/>
        <v>3653.2481413827941</v>
      </c>
      <c r="F62" s="7">
        <f t="shared" si="23"/>
        <v>521155.38131783303</v>
      </c>
      <c r="G62">
        <v>41</v>
      </c>
      <c r="I62" s="20"/>
      <c r="J62" s="20"/>
    </row>
    <row r="63" spans="1:10">
      <c r="A63" s="16">
        <v>42887</v>
      </c>
      <c r="B63" s="7">
        <f t="shared" si="24"/>
        <v>521155.38131783303</v>
      </c>
      <c r="C63" s="7">
        <f t="shared" si="20"/>
        <v>612.3064913932385</v>
      </c>
      <c r="D63" s="7">
        <f t="shared" si="21"/>
        <v>3040.9416499895556</v>
      </c>
      <c r="E63" s="7">
        <f t="shared" si="22"/>
        <v>3653.2481413827941</v>
      </c>
      <c r="F63" s="7">
        <f t="shared" si="23"/>
        <v>520543.07482643978</v>
      </c>
      <c r="G63">
        <v>42</v>
      </c>
      <c r="I63" s="20"/>
      <c r="J63" s="20"/>
    </row>
    <row r="64" spans="1:10">
      <c r="A64" s="16">
        <v>42917</v>
      </c>
      <c r="B64" s="7">
        <f t="shared" si="24"/>
        <v>520543.07482643978</v>
      </c>
      <c r="C64" s="7">
        <f t="shared" si="20"/>
        <v>615.87929977051817</v>
      </c>
      <c r="D64" s="7">
        <f t="shared" si="21"/>
        <v>3037.3688416122759</v>
      </c>
      <c r="E64" s="7">
        <f t="shared" si="22"/>
        <v>3653.2481413827941</v>
      </c>
      <c r="F64" s="7">
        <f t="shared" si="23"/>
        <v>519927.19552666927</v>
      </c>
      <c r="G64">
        <v>43</v>
      </c>
      <c r="I64" s="20"/>
      <c r="J64" s="20"/>
    </row>
    <row r="65" spans="1:10">
      <c r="A65" s="16">
        <v>42948</v>
      </c>
      <c r="B65" s="7">
        <f t="shared" si="24"/>
        <v>519927.19552666927</v>
      </c>
      <c r="C65" s="7">
        <f t="shared" si="20"/>
        <v>619.47295548467901</v>
      </c>
      <c r="D65" s="7">
        <f t="shared" si="21"/>
        <v>3033.7751858981151</v>
      </c>
      <c r="E65" s="7">
        <f t="shared" si="22"/>
        <v>3653.2481413827941</v>
      </c>
      <c r="F65" s="7">
        <f t="shared" si="23"/>
        <v>519307.72257118457</v>
      </c>
      <c r="G65">
        <v>44</v>
      </c>
      <c r="I65" s="20"/>
      <c r="J65" s="20"/>
    </row>
    <row r="66" spans="1:10">
      <c r="A66" s="16">
        <v>42979</v>
      </c>
      <c r="B66" s="7">
        <f t="shared" si="24"/>
        <v>519307.72257118457</v>
      </c>
      <c r="C66" s="7">
        <f t="shared" si="20"/>
        <v>623.08758017993205</v>
      </c>
      <c r="D66" s="7">
        <f t="shared" si="21"/>
        <v>3030.160561202862</v>
      </c>
      <c r="E66" s="7">
        <f t="shared" si="22"/>
        <v>3653.2481413827941</v>
      </c>
      <c r="F66" s="7">
        <f t="shared" si="23"/>
        <v>518684.63499100466</v>
      </c>
      <c r="G66">
        <v>45</v>
      </c>
      <c r="I66" s="20"/>
      <c r="J66" s="20"/>
    </row>
    <row r="67" spans="1:10">
      <c r="A67" s="16">
        <v>43009</v>
      </c>
      <c r="B67" s="7">
        <f t="shared" si="24"/>
        <v>518684.63499100466</v>
      </c>
      <c r="C67" s="7">
        <f t="shared" si="20"/>
        <v>626.72329621028211</v>
      </c>
      <c r="D67" s="7">
        <f t="shared" si="21"/>
        <v>3026.524845172512</v>
      </c>
      <c r="E67" s="7">
        <f t="shared" si="22"/>
        <v>3653.2481413827941</v>
      </c>
      <c r="F67" s="7">
        <f t="shared" si="23"/>
        <v>518057.91169479437</v>
      </c>
      <c r="G67">
        <v>46</v>
      </c>
      <c r="I67" s="20"/>
      <c r="J67" s="20"/>
    </row>
    <row r="68" spans="1:10">
      <c r="A68" s="16">
        <v>43040</v>
      </c>
      <c r="B68" s="7">
        <f t="shared" si="24"/>
        <v>518057.91169479437</v>
      </c>
      <c r="C68" s="7">
        <f t="shared" si="20"/>
        <v>630.38022664366918</v>
      </c>
      <c r="D68" s="7">
        <f t="shared" si="21"/>
        <v>3022.8679147391249</v>
      </c>
      <c r="E68" s="7">
        <f t="shared" si="22"/>
        <v>3653.2481413827941</v>
      </c>
      <c r="F68" s="7">
        <f t="shared" si="23"/>
        <v>517427.53146815067</v>
      </c>
      <c r="G68">
        <v>47</v>
      </c>
      <c r="I68" s="20"/>
      <c r="J68" s="20"/>
    </row>
    <row r="69" spans="1:10" ht="15">
      <c r="A69" s="16">
        <v>43070</v>
      </c>
      <c r="B69" s="7">
        <f t="shared" si="24"/>
        <v>517427.53146815067</v>
      </c>
      <c r="C69" s="7">
        <f t="shared" si="20"/>
        <v>634.05849526613474</v>
      </c>
      <c r="D69" s="7">
        <f t="shared" si="21"/>
        <v>3019.1896461166593</v>
      </c>
      <c r="E69" s="7">
        <f t="shared" si="22"/>
        <v>3653.2481413827941</v>
      </c>
      <c r="F69" s="8">
        <f t="shared" si="23"/>
        <v>516793.47297288454</v>
      </c>
      <c r="G69">
        <v>48</v>
      </c>
      <c r="H69" s="7"/>
      <c r="I69" s="21"/>
      <c r="J69" s="22"/>
    </row>
    <row r="70" spans="1:10" ht="25.5">
      <c r="A70" s="18" t="s">
        <v>28</v>
      </c>
      <c r="B70" s="10"/>
      <c r="C70" s="8">
        <f>SUM(C58:C69)</f>
        <v>7370.5699065237523</v>
      </c>
      <c r="D70" s="8">
        <f>SUM(D58:D69)</f>
        <v>36468.407790069774</v>
      </c>
      <c r="I70" s="20"/>
      <c r="J70" s="20"/>
    </row>
    <row r="71" spans="1:10">
      <c r="I71" s="20"/>
      <c r="J71" s="20"/>
    </row>
    <row r="72" spans="1:10">
      <c r="A72" s="16">
        <v>43101</v>
      </c>
      <c r="B72" s="7">
        <f>+F69</f>
        <v>516793.47297288454</v>
      </c>
      <c r="C72" s="7">
        <f t="shared" ref="C72:C83" si="25">+E72-D72</f>
        <v>637.75822658601282</v>
      </c>
      <c r="D72" s="7">
        <f t="shared" ref="D72:D83" si="26">+B72*$K$2</f>
        <v>3015.4899147967812</v>
      </c>
      <c r="E72" s="7">
        <f t="shared" ref="E72:E83" si="27">-$K$5</f>
        <v>3653.2481413827941</v>
      </c>
      <c r="F72" s="7">
        <f t="shared" ref="F72:F83" si="28">+B72-C72</f>
        <v>516155.7147462985</v>
      </c>
      <c r="G72">
        <v>37</v>
      </c>
      <c r="I72" s="20"/>
      <c r="J72" s="20"/>
    </row>
    <row r="73" spans="1:10">
      <c r="A73" s="16">
        <v>43132</v>
      </c>
      <c r="B73" s="7">
        <f t="shared" ref="B73:B83" si="29">+F72</f>
        <v>516155.7147462985</v>
      </c>
      <c r="C73" s="7">
        <f t="shared" si="25"/>
        <v>641.47954583814226</v>
      </c>
      <c r="D73" s="7">
        <f t="shared" si="26"/>
        <v>3011.7685955446518</v>
      </c>
      <c r="E73" s="7">
        <f t="shared" si="27"/>
        <v>3653.2481413827941</v>
      </c>
      <c r="F73" s="7">
        <f t="shared" si="28"/>
        <v>515514.23520046036</v>
      </c>
      <c r="G73">
        <v>38</v>
      </c>
      <c r="I73" s="20"/>
      <c r="J73" s="20"/>
    </row>
    <row r="74" spans="1:10">
      <c r="A74" s="16">
        <v>43160</v>
      </c>
      <c r="B74" s="7">
        <f t="shared" si="29"/>
        <v>515514.23520046036</v>
      </c>
      <c r="C74" s="7">
        <f t="shared" si="25"/>
        <v>645.22257898810813</v>
      </c>
      <c r="D74" s="7">
        <f t="shared" si="26"/>
        <v>3008.0255623946859</v>
      </c>
      <c r="E74" s="7">
        <f t="shared" si="27"/>
        <v>3653.2481413827941</v>
      </c>
      <c r="F74" s="7">
        <f t="shared" si="28"/>
        <v>514869.01262147224</v>
      </c>
      <c r="G74">
        <v>39</v>
      </c>
      <c r="I74" s="20"/>
      <c r="J74" s="20"/>
    </row>
    <row r="75" spans="1:10">
      <c r="A75" s="16">
        <v>43191</v>
      </c>
      <c r="B75" s="7">
        <f t="shared" si="29"/>
        <v>514869.01262147224</v>
      </c>
      <c r="C75" s="7">
        <f t="shared" si="25"/>
        <v>648.98745273650366</v>
      </c>
      <c r="D75" s="7">
        <f t="shared" si="26"/>
        <v>3004.2606886462904</v>
      </c>
      <c r="E75" s="7">
        <f t="shared" si="27"/>
        <v>3653.2481413827941</v>
      </c>
      <c r="F75" s="7">
        <f t="shared" si="28"/>
        <v>514220.02516873571</v>
      </c>
      <c r="G75">
        <v>40</v>
      </c>
      <c r="I75" s="20"/>
      <c r="J75" s="20"/>
    </row>
    <row r="76" spans="1:10">
      <c r="A76" s="16">
        <v>43221</v>
      </c>
      <c r="B76" s="7">
        <f t="shared" si="29"/>
        <v>514220.02516873571</v>
      </c>
      <c r="C76" s="7">
        <f t="shared" si="25"/>
        <v>652.77429452322122</v>
      </c>
      <c r="D76" s="7">
        <f t="shared" si="26"/>
        <v>3000.4738468595729</v>
      </c>
      <c r="E76" s="7">
        <f t="shared" si="27"/>
        <v>3653.2481413827941</v>
      </c>
      <c r="F76" s="7">
        <f t="shared" si="28"/>
        <v>513567.25087421248</v>
      </c>
      <c r="G76">
        <v>41</v>
      </c>
      <c r="I76" s="20"/>
      <c r="J76" s="20"/>
    </row>
    <row r="77" spans="1:10">
      <c r="A77" s="16">
        <v>43252</v>
      </c>
      <c r="B77" s="7">
        <f t="shared" si="29"/>
        <v>513567.25087421248</v>
      </c>
      <c r="C77" s="7">
        <f t="shared" si="25"/>
        <v>656.58323253176422</v>
      </c>
      <c r="D77" s="7">
        <f t="shared" si="26"/>
        <v>2996.6649088510298</v>
      </c>
      <c r="E77" s="7">
        <f t="shared" si="27"/>
        <v>3653.2481413827941</v>
      </c>
      <c r="F77" s="7">
        <f t="shared" si="28"/>
        <v>512910.66764168069</v>
      </c>
      <c r="G77">
        <v>42</v>
      </c>
      <c r="I77" s="20"/>
      <c r="J77" s="20"/>
    </row>
    <row r="78" spans="1:10">
      <c r="A78" s="16">
        <v>43282</v>
      </c>
      <c r="B78" s="7">
        <f t="shared" si="29"/>
        <v>512910.66764168069</v>
      </c>
      <c r="C78" s="7">
        <f t="shared" si="25"/>
        <v>660.41439569358727</v>
      </c>
      <c r="D78" s="7">
        <f t="shared" si="26"/>
        <v>2992.8337456892068</v>
      </c>
      <c r="E78" s="7">
        <f t="shared" si="27"/>
        <v>3653.2481413827941</v>
      </c>
      <c r="F78" s="7">
        <f t="shared" si="28"/>
        <v>512250.25324598711</v>
      </c>
      <c r="G78">
        <v>43</v>
      </c>
      <c r="I78" s="20"/>
      <c r="J78" s="20"/>
    </row>
    <row r="79" spans="1:10">
      <c r="A79" s="16">
        <v>43313</v>
      </c>
      <c r="B79" s="7">
        <f t="shared" si="29"/>
        <v>512250.25324598711</v>
      </c>
      <c r="C79" s="7">
        <f t="shared" si="25"/>
        <v>664.26791369245939</v>
      </c>
      <c r="D79" s="7">
        <f t="shared" si="26"/>
        <v>2988.9802276903347</v>
      </c>
      <c r="E79" s="7">
        <f t="shared" si="27"/>
        <v>3653.2481413827941</v>
      </c>
      <c r="F79" s="7">
        <f t="shared" si="28"/>
        <v>511585.98533229466</v>
      </c>
      <c r="G79">
        <v>44</v>
      </c>
      <c r="I79" s="20"/>
      <c r="J79" s="20"/>
    </row>
    <row r="80" spans="1:10">
      <c r="A80" s="16">
        <v>43344</v>
      </c>
      <c r="B80" s="7">
        <f t="shared" si="29"/>
        <v>511585.98533229466</v>
      </c>
      <c r="C80" s="7">
        <f t="shared" si="25"/>
        <v>668.14391696885468</v>
      </c>
      <c r="D80" s="7">
        <f t="shared" si="26"/>
        <v>2985.1042244139394</v>
      </c>
      <c r="E80" s="7">
        <f t="shared" si="27"/>
        <v>3653.2481413827941</v>
      </c>
      <c r="F80" s="7">
        <f t="shared" si="28"/>
        <v>510917.84141532582</v>
      </c>
      <c r="G80">
        <v>45</v>
      </c>
      <c r="I80" s="20"/>
      <c r="J80" s="20"/>
    </row>
    <row r="81" spans="1:10">
      <c r="A81" s="16">
        <v>43374</v>
      </c>
      <c r="B81" s="7">
        <f t="shared" si="29"/>
        <v>510917.84141532582</v>
      </c>
      <c r="C81" s="7">
        <f t="shared" si="25"/>
        <v>672.04253672436789</v>
      </c>
      <c r="D81" s="7">
        <f t="shared" si="26"/>
        <v>2981.2056046584262</v>
      </c>
      <c r="E81" s="7">
        <f t="shared" si="27"/>
        <v>3653.2481413827941</v>
      </c>
      <c r="F81" s="7">
        <f t="shared" si="28"/>
        <v>510245.79887860146</v>
      </c>
      <c r="G81">
        <v>46</v>
      </c>
      <c r="I81" s="20"/>
      <c r="J81" s="20"/>
    </row>
    <row r="82" spans="1:10">
      <c r="A82" s="16">
        <v>43405</v>
      </c>
      <c r="B82" s="7">
        <f t="shared" si="29"/>
        <v>510245.79887860146</v>
      </c>
      <c r="C82" s="7">
        <f t="shared" si="25"/>
        <v>675.96390492615456</v>
      </c>
      <c r="D82" s="7">
        <f t="shared" si="26"/>
        <v>2977.2842364566395</v>
      </c>
      <c r="E82" s="7">
        <f t="shared" si="27"/>
        <v>3653.2481413827941</v>
      </c>
      <c r="F82" s="7">
        <f t="shared" si="28"/>
        <v>509569.83497367532</v>
      </c>
      <c r="G82">
        <v>47</v>
      </c>
      <c r="I82" s="20"/>
      <c r="J82" s="20"/>
    </row>
    <row r="83" spans="1:10" ht="15">
      <c r="A83" s="16">
        <v>43435</v>
      </c>
      <c r="B83" s="7">
        <f t="shared" si="29"/>
        <v>509569.83497367532</v>
      </c>
      <c r="C83" s="7">
        <f t="shared" si="25"/>
        <v>679.90815431139845</v>
      </c>
      <c r="D83" s="7">
        <f t="shared" si="26"/>
        <v>2973.3399870713956</v>
      </c>
      <c r="E83" s="7">
        <f t="shared" si="27"/>
        <v>3653.2481413827941</v>
      </c>
      <c r="F83" s="8">
        <f t="shared" si="28"/>
        <v>508889.9268193639</v>
      </c>
      <c r="G83">
        <v>48</v>
      </c>
      <c r="H83" s="7"/>
      <c r="I83" s="21"/>
      <c r="J83" s="22"/>
    </row>
    <row r="84" spans="1:10" ht="25.5">
      <c r="A84" s="18" t="s">
        <v>28</v>
      </c>
      <c r="B84" s="10"/>
      <c r="C84" s="8">
        <f>SUM(C72:C83)</f>
        <v>7903.5461535205759</v>
      </c>
      <c r="D84" s="8">
        <f>SUM(D72:D83)</f>
        <v>35935.431543072962</v>
      </c>
      <c r="I84" s="20"/>
      <c r="J84" s="20"/>
    </row>
    <row r="85" spans="1:10">
      <c r="I85" s="20"/>
      <c r="J85" s="20"/>
    </row>
    <row r="86" spans="1:10">
      <c r="A86" s="16">
        <v>43466</v>
      </c>
      <c r="B86" s="7">
        <f>+F83</f>
        <v>508889.9268193639</v>
      </c>
      <c r="C86" s="7">
        <f t="shared" ref="C86:C97" si="30">+E86-D86</f>
        <v>683.87541839180585</v>
      </c>
      <c r="D86" s="7">
        <f t="shared" ref="D86:D97" si="31">+B86*$K$2</f>
        <v>2969.3727229909882</v>
      </c>
      <c r="E86" s="7">
        <f t="shared" ref="E86:E97" si="32">-$K$5</f>
        <v>3653.2481413827941</v>
      </c>
      <c r="F86" s="7">
        <f t="shared" ref="F86:F97" si="33">+B86-C86</f>
        <v>508206.05140097212</v>
      </c>
      <c r="G86">
        <v>37</v>
      </c>
      <c r="I86" s="20"/>
      <c r="J86" s="20"/>
    </row>
    <row r="87" spans="1:10">
      <c r="A87" s="16">
        <v>43497</v>
      </c>
      <c r="B87" s="7">
        <f t="shared" ref="B87:B97" si="34">+F86</f>
        <v>508206.05140097212</v>
      </c>
      <c r="C87" s="7">
        <f t="shared" si="30"/>
        <v>687.86583145812165</v>
      </c>
      <c r="D87" s="7">
        <f t="shared" si="31"/>
        <v>2965.3823099246724</v>
      </c>
      <c r="E87" s="7">
        <f t="shared" si="32"/>
        <v>3653.2481413827941</v>
      </c>
      <c r="F87" s="7">
        <f t="shared" si="33"/>
        <v>507518.185569514</v>
      </c>
      <c r="G87">
        <v>38</v>
      </c>
      <c r="I87" s="20"/>
      <c r="J87" s="20"/>
    </row>
    <row r="88" spans="1:10">
      <c r="A88" s="16">
        <v>43525</v>
      </c>
      <c r="B88" s="7">
        <f t="shared" si="34"/>
        <v>507518.185569514</v>
      </c>
      <c r="C88" s="7">
        <f t="shared" si="30"/>
        <v>691.87952858467997</v>
      </c>
      <c r="D88" s="7">
        <f t="shared" si="31"/>
        <v>2961.3686127981141</v>
      </c>
      <c r="E88" s="7">
        <f t="shared" si="32"/>
        <v>3653.2481413827941</v>
      </c>
      <c r="F88" s="7">
        <f t="shared" si="33"/>
        <v>506826.30604092934</v>
      </c>
      <c r="G88">
        <v>39</v>
      </c>
      <c r="I88" s="20"/>
      <c r="J88" s="20"/>
    </row>
    <row r="89" spans="1:10">
      <c r="A89" s="16">
        <v>43556</v>
      </c>
      <c r="B89" s="7">
        <f t="shared" si="34"/>
        <v>506826.30604092934</v>
      </c>
      <c r="C89" s="7">
        <f t="shared" si="30"/>
        <v>695.91664563397126</v>
      </c>
      <c r="D89" s="7">
        <f t="shared" si="31"/>
        <v>2957.3314957488228</v>
      </c>
      <c r="E89" s="7">
        <f t="shared" si="32"/>
        <v>3653.2481413827941</v>
      </c>
      <c r="F89" s="7">
        <f t="shared" si="33"/>
        <v>506130.38939529535</v>
      </c>
      <c r="G89">
        <v>40</v>
      </c>
      <c r="I89" s="20"/>
      <c r="J89" s="20"/>
    </row>
    <row r="90" spans="1:10">
      <c r="A90" s="16">
        <v>43586</v>
      </c>
      <c r="B90" s="7">
        <f t="shared" si="34"/>
        <v>506130.38939529535</v>
      </c>
      <c r="C90" s="7">
        <f t="shared" si="30"/>
        <v>699.97731926124561</v>
      </c>
      <c r="D90" s="7">
        <f t="shared" si="31"/>
        <v>2953.2708221215485</v>
      </c>
      <c r="E90" s="7">
        <f t="shared" si="32"/>
        <v>3653.2481413827941</v>
      </c>
      <c r="F90" s="7">
        <f t="shared" si="33"/>
        <v>505430.41207603412</v>
      </c>
      <c r="G90">
        <v>41</v>
      </c>
      <c r="I90" s="20"/>
      <c r="J90" s="20"/>
    </row>
    <row r="91" spans="1:10">
      <c r="A91" s="16">
        <v>43617</v>
      </c>
      <c r="B91" s="7">
        <f t="shared" si="34"/>
        <v>505430.41207603412</v>
      </c>
      <c r="C91" s="7">
        <f t="shared" si="30"/>
        <v>704.0616869191349</v>
      </c>
      <c r="D91" s="7">
        <f t="shared" si="31"/>
        <v>2949.1864544636592</v>
      </c>
      <c r="E91" s="7">
        <f t="shared" si="32"/>
        <v>3653.2481413827941</v>
      </c>
      <c r="F91" s="7">
        <f t="shared" si="33"/>
        <v>504726.35038911499</v>
      </c>
      <c r="G91">
        <v>42</v>
      </c>
      <c r="I91" s="20"/>
      <c r="J91" s="20"/>
    </row>
    <row r="92" spans="1:10">
      <c r="A92" s="16">
        <v>43647</v>
      </c>
      <c r="B92" s="7">
        <f t="shared" si="34"/>
        <v>504726.35038911499</v>
      </c>
      <c r="C92" s="7">
        <f t="shared" si="30"/>
        <v>708.16988686230798</v>
      </c>
      <c r="D92" s="7">
        <f t="shared" si="31"/>
        <v>2945.0782545204861</v>
      </c>
      <c r="E92" s="7">
        <f t="shared" si="32"/>
        <v>3653.2481413827941</v>
      </c>
      <c r="F92" s="7">
        <f t="shared" si="33"/>
        <v>504018.18050225265</v>
      </c>
      <c r="G92">
        <v>43</v>
      </c>
      <c r="I92" s="20"/>
      <c r="J92" s="20"/>
    </row>
    <row r="93" spans="1:10">
      <c r="A93" s="16">
        <v>43678</v>
      </c>
      <c r="B93" s="7">
        <f t="shared" si="34"/>
        <v>504018.18050225265</v>
      </c>
      <c r="C93" s="7">
        <f t="shared" si="30"/>
        <v>712.30205815215004</v>
      </c>
      <c r="D93" s="7">
        <f t="shared" si="31"/>
        <v>2940.946083230644</v>
      </c>
      <c r="E93" s="7">
        <f t="shared" si="32"/>
        <v>3653.2481413827941</v>
      </c>
      <c r="F93" s="7">
        <f t="shared" si="33"/>
        <v>503305.8784441005</v>
      </c>
      <c r="G93">
        <v>44</v>
      </c>
      <c r="I93" s="20"/>
      <c r="J93" s="20"/>
    </row>
    <row r="94" spans="1:10">
      <c r="A94" s="16">
        <v>43709</v>
      </c>
      <c r="B94" s="7">
        <f t="shared" si="34"/>
        <v>503305.8784441005</v>
      </c>
      <c r="C94" s="7">
        <f t="shared" si="30"/>
        <v>716.4583406614679</v>
      </c>
      <c r="D94" s="7">
        <f t="shared" si="31"/>
        <v>2936.7898007213262</v>
      </c>
      <c r="E94" s="7">
        <f t="shared" si="32"/>
        <v>3653.2481413827941</v>
      </c>
      <c r="F94" s="7">
        <f t="shared" si="33"/>
        <v>502589.42010343901</v>
      </c>
      <c r="G94">
        <v>45</v>
      </c>
      <c r="I94" s="20"/>
      <c r="J94" s="20"/>
    </row>
    <row r="95" spans="1:10">
      <c r="A95" s="16">
        <v>43739</v>
      </c>
      <c r="B95" s="7">
        <f t="shared" si="34"/>
        <v>502589.42010343901</v>
      </c>
      <c r="C95" s="7">
        <f t="shared" si="30"/>
        <v>720.63887507922755</v>
      </c>
      <c r="D95" s="7">
        <f t="shared" si="31"/>
        <v>2932.6092663035665</v>
      </c>
      <c r="E95" s="7">
        <f t="shared" si="32"/>
        <v>3653.2481413827941</v>
      </c>
      <c r="F95" s="7">
        <f t="shared" si="33"/>
        <v>501868.78122835979</v>
      </c>
      <c r="G95">
        <v>46</v>
      </c>
      <c r="I95" s="20"/>
      <c r="J95" s="20"/>
    </row>
    <row r="96" spans="1:10">
      <c r="A96" s="16">
        <v>43770</v>
      </c>
      <c r="B96" s="7">
        <f t="shared" si="34"/>
        <v>501868.78122835979</v>
      </c>
      <c r="C96" s="7">
        <f t="shared" si="30"/>
        <v>724.84380291531488</v>
      </c>
      <c r="D96" s="7">
        <f t="shared" si="31"/>
        <v>2928.4043384674792</v>
      </c>
      <c r="E96" s="7">
        <f t="shared" si="32"/>
        <v>3653.2481413827941</v>
      </c>
      <c r="F96" s="7">
        <f t="shared" si="33"/>
        <v>501143.93742544448</v>
      </c>
      <c r="G96">
        <v>47</v>
      </c>
      <c r="I96" s="20"/>
      <c r="J96" s="20"/>
    </row>
    <row r="97" spans="1:10" ht="15">
      <c r="A97" s="16">
        <v>43800</v>
      </c>
      <c r="B97" s="7">
        <f t="shared" si="34"/>
        <v>501143.93742544448</v>
      </c>
      <c r="C97" s="7">
        <f t="shared" si="30"/>
        <v>729.07326650532559</v>
      </c>
      <c r="D97" s="7">
        <f t="shared" si="31"/>
        <v>2924.1748748774685</v>
      </c>
      <c r="E97" s="7">
        <f t="shared" si="32"/>
        <v>3653.2481413827941</v>
      </c>
      <c r="F97" s="8">
        <f t="shared" si="33"/>
        <v>500414.86415893916</v>
      </c>
      <c r="G97">
        <v>48</v>
      </c>
      <c r="H97" s="7"/>
      <c r="I97" s="21"/>
      <c r="J97" s="22"/>
    </row>
    <row r="98" spans="1:10" ht="25.5">
      <c r="A98" s="18" t="s">
        <v>28</v>
      </c>
      <c r="B98" s="10"/>
      <c r="C98" s="8">
        <f>SUM(C86:C97)</f>
        <v>8475.0626604247518</v>
      </c>
      <c r="D98" s="8">
        <f>SUM(D86:D97)</f>
        <v>35363.915036168772</v>
      </c>
      <c r="I98" s="20"/>
      <c r="J98" s="20"/>
    </row>
    <row r="99" spans="1:10">
      <c r="I99" s="20"/>
      <c r="J99" s="20"/>
    </row>
    <row r="100" spans="1:10">
      <c r="A100" s="16">
        <v>43831</v>
      </c>
      <c r="B100" s="7">
        <f>+F97</f>
        <v>500414.86415893916</v>
      </c>
      <c r="C100" s="7">
        <f t="shared" ref="C100:C111" si="35">+E100-D100</f>
        <v>733.32740901538409</v>
      </c>
      <c r="D100" s="7">
        <f t="shared" ref="D100:D111" si="36">+B100*$K$2</f>
        <v>2919.92073236741</v>
      </c>
      <c r="E100" s="7">
        <f t="shared" ref="E100:E111" si="37">-$K$5</f>
        <v>3653.2481413827941</v>
      </c>
      <c r="F100" s="7">
        <f t="shared" ref="F100:F111" si="38">+B100-C100</f>
        <v>499681.53674992378</v>
      </c>
      <c r="G100">
        <v>37</v>
      </c>
      <c r="I100" s="20"/>
      <c r="J100" s="20"/>
    </row>
    <row r="101" spans="1:10">
      <c r="A101" s="16">
        <v>43862</v>
      </c>
      <c r="B101" s="7">
        <f t="shared" ref="B101:B111" si="39">+F100</f>
        <v>499681.53674992378</v>
      </c>
      <c r="C101" s="7">
        <f t="shared" si="35"/>
        <v>737.60637444698887</v>
      </c>
      <c r="D101" s="7">
        <f t="shared" si="36"/>
        <v>2915.6417669358052</v>
      </c>
      <c r="E101" s="7">
        <f t="shared" si="37"/>
        <v>3653.2481413827941</v>
      </c>
      <c r="F101" s="7">
        <f t="shared" si="38"/>
        <v>498943.93037547678</v>
      </c>
      <c r="G101">
        <v>38</v>
      </c>
      <c r="I101" s="20"/>
      <c r="J101" s="20"/>
    </row>
    <row r="102" spans="1:10">
      <c r="A102" s="16">
        <v>43891</v>
      </c>
      <c r="B102" s="7">
        <f t="shared" si="39"/>
        <v>498943.93037547678</v>
      </c>
      <c r="C102" s="7">
        <f t="shared" si="35"/>
        <v>741.91030764188736</v>
      </c>
      <c r="D102" s="7">
        <f t="shared" si="36"/>
        <v>2911.3378337409067</v>
      </c>
      <c r="E102" s="7">
        <f t="shared" si="37"/>
        <v>3653.2481413827941</v>
      </c>
      <c r="F102" s="7">
        <f t="shared" si="38"/>
        <v>498202.02006783488</v>
      </c>
      <c r="G102">
        <v>39</v>
      </c>
      <c r="I102" s="20"/>
      <c r="J102" s="20"/>
    </row>
    <row r="103" spans="1:10">
      <c r="A103" s="16">
        <v>43922</v>
      </c>
      <c r="B103" s="7">
        <f t="shared" si="39"/>
        <v>498202.02006783488</v>
      </c>
      <c r="C103" s="7">
        <f t="shared" si="35"/>
        <v>746.23935428697769</v>
      </c>
      <c r="D103" s="7">
        <f t="shared" si="36"/>
        <v>2907.0087870958164</v>
      </c>
      <c r="E103" s="7">
        <f t="shared" si="37"/>
        <v>3653.2481413827941</v>
      </c>
      <c r="F103" s="7">
        <f t="shared" si="38"/>
        <v>497455.78071354789</v>
      </c>
      <c r="G103">
        <v>40</v>
      </c>
      <c r="I103" s="20"/>
      <c r="J103" s="20"/>
    </row>
    <row r="104" spans="1:10">
      <c r="A104" s="16">
        <v>43952</v>
      </c>
      <c r="B104" s="7">
        <f t="shared" si="39"/>
        <v>497455.78071354789</v>
      </c>
      <c r="C104" s="7">
        <f t="shared" si="35"/>
        <v>750.59366091924221</v>
      </c>
      <c r="D104" s="7">
        <f t="shared" si="36"/>
        <v>2902.6544804635519</v>
      </c>
      <c r="E104" s="7">
        <f t="shared" si="37"/>
        <v>3653.2481413827941</v>
      </c>
      <c r="F104" s="7">
        <f t="shared" si="38"/>
        <v>496705.18705262867</v>
      </c>
      <c r="G104">
        <v>41</v>
      </c>
      <c r="I104" s="20"/>
      <c r="J104" s="20"/>
    </row>
    <row r="105" spans="1:10">
      <c r="A105" s="16">
        <v>43983</v>
      </c>
      <c r="B105" s="7">
        <f t="shared" si="39"/>
        <v>496705.18705262867</v>
      </c>
      <c r="C105" s="7">
        <f t="shared" si="35"/>
        <v>754.97337493070563</v>
      </c>
      <c r="D105" s="7">
        <f t="shared" si="36"/>
        <v>2898.2747664520884</v>
      </c>
      <c r="E105" s="7">
        <f t="shared" si="37"/>
        <v>3653.2481413827941</v>
      </c>
      <c r="F105" s="7">
        <f t="shared" si="38"/>
        <v>495950.21367769793</v>
      </c>
      <c r="G105">
        <v>42</v>
      </c>
      <c r="I105" s="20"/>
      <c r="J105" s="20"/>
    </row>
    <row r="106" spans="1:10">
      <c r="A106" s="16">
        <v>44013</v>
      </c>
      <c r="B106" s="7">
        <f t="shared" si="39"/>
        <v>495950.21367769793</v>
      </c>
      <c r="C106" s="7">
        <f t="shared" si="35"/>
        <v>759.37864457342675</v>
      </c>
      <c r="D106" s="7">
        <f t="shared" si="36"/>
        <v>2893.8694968093673</v>
      </c>
      <c r="E106" s="7">
        <f t="shared" si="37"/>
        <v>3653.2481413827941</v>
      </c>
      <c r="F106" s="7">
        <f t="shared" si="38"/>
        <v>495190.83503312449</v>
      </c>
      <c r="G106">
        <v>43</v>
      </c>
      <c r="I106" s="20"/>
      <c r="J106" s="20"/>
    </row>
    <row r="107" spans="1:10">
      <c r="A107" s="16">
        <v>44044</v>
      </c>
      <c r="B107" s="7">
        <f t="shared" si="39"/>
        <v>495190.83503312449</v>
      </c>
      <c r="C107" s="7">
        <f t="shared" si="35"/>
        <v>763.80961896451254</v>
      </c>
      <c r="D107" s="7">
        <f t="shared" si="36"/>
        <v>2889.4385224182815</v>
      </c>
      <c r="E107" s="7">
        <f t="shared" si="37"/>
        <v>3653.2481413827941</v>
      </c>
      <c r="F107" s="7">
        <f t="shared" si="38"/>
        <v>494427.02541415999</v>
      </c>
      <c r="G107">
        <v>44</v>
      </c>
      <c r="I107" s="20"/>
      <c r="J107" s="20"/>
    </row>
    <row r="108" spans="1:10">
      <c r="A108" s="16">
        <v>44075</v>
      </c>
      <c r="B108" s="7">
        <f t="shared" si="39"/>
        <v>494427.02541415999</v>
      </c>
      <c r="C108" s="7">
        <f t="shared" si="35"/>
        <v>768.26644809117079</v>
      </c>
      <c r="D108" s="7">
        <f t="shared" si="36"/>
        <v>2884.9816932916233</v>
      </c>
      <c r="E108" s="7">
        <f t="shared" si="37"/>
        <v>3653.2481413827941</v>
      </c>
      <c r="F108" s="7">
        <f t="shared" si="38"/>
        <v>493658.7589660688</v>
      </c>
      <c r="G108">
        <v>45</v>
      </c>
      <c r="I108" s="20"/>
      <c r="J108" s="20"/>
    </row>
    <row r="109" spans="1:10">
      <c r="A109" s="16">
        <v>44105</v>
      </c>
      <c r="B109" s="7">
        <f t="shared" si="39"/>
        <v>493658.7589660688</v>
      </c>
      <c r="C109" s="7">
        <f t="shared" si="35"/>
        <v>772.74928281578286</v>
      </c>
      <c r="D109" s="7">
        <f t="shared" si="36"/>
        <v>2880.4988585670112</v>
      </c>
      <c r="E109" s="7">
        <f t="shared" si="37"/>
        <v>3653.2481413827941</v>
      </c>
      <c r="F109" s="7">
        <f t="shared" si="38"/>
        <v>492886.00968325301</v>
      </c>
      <c r="G109">
        <v>46</v>
      </c>
      <c r="I109" s="20"/>
      <c r="J109" s="20"/>
    </row>
    <row r="110" spans="1:10">
      <c r="A110" s="16">
        <v>44136</v>
      </c>
      <c r="B110" s="7">
        <f t="shared" si="39"/>
        <v>492886.00968325301</v>
      </c>
      <c r="C110" s="7">
        <f t="shared" si="35"/>
        <v>777.25827488101277</v>
      </c>
      <c r="D110" s="7">
        <f t="shared" si="36"/>
        <v>2875.9898665017813</v>
      </c>
      <c r="E110" s="7">
        <f t="shared" si="37"/>
        <v>3653.2481413827941</v>
      </c>
      <c r="F110" s="7">
        <f t="shared" si="38"/>
        <v>492108.75140837202</v>
      </c>
      <c r="G110">
        <v>47</v>
      </c>
      <c r="I110" s="20"/>
      <c r="J110" s="20"/>
    </row>
    <row r="111" spans="1:10" ht="15">
      <c r="A111" s="16">
        <v>44166</v>
      </c>
      <c r="B111" s="7">
        <f t="shared" si="39"/>
        <v>492108.75140837202</v>
      </c>
      <c r="C111" s="7">
        <f t="shared" si="35"/>
        <v>781.79357691494351</v>
      </c>
      <c r="D111" s="7">
        <f t="shared" si="36"/>
        <v>2871.4545644678506</v>
      </c>
      <c r="E111" s="7">
        <f t="shared" si="37"/>
        <v>3653.2481413827941</v>
      </c>
      <c r="F111" s="8">
        <f t="shared" si="38"/>
        <v>491326.95783145708</v>
      </c>
      <c r="G111">
        <v>48</v>
      </c>
      <c r="H111" s="7"/>
      <c r="I111" s="21"/>
      <c r="J111" s="22"/>
    </row>
    <row r="112" spans="1:10" ht="25.5">
      <c r="A112" s="18" t="s">
        <v>28</v>
      </c>
      <c r="B112" s="10"/>
      <c r="C112" s="8">
        <f>SUM(C100:C111)</f>
        <v>9087.9063274820364</v>
      </c>
      <c r="D112" s="8">
        <f>SUM(D100:D111)</f>
        <v>34751.071369111487</v>
      </c>
    </row>
  </sheetData>
  <sheetProtection selectLockedCells="1" selectUnlockedCells="1"/>
  <phoneticPr fontId="9" type="noConversion"/>
  <pageMargins left="0.78749999999999998" right="0.78749999999999998" top="1.0527777777777778" bottom="1.0527777777777778" header="0.78749999999999998" footer="0.78749999999999998"/>
  <pageSetup scale="74" firstPageNumber="0" orientation="portrait" horizontalDpi="300" verticalDpi="300" r:id="rId1"/>
  <headerFooter alignWithMargins="0"/>
  <rowBreaks count="1" manualBreakCount="1">
    <brk id="70" max="16383" man="1"/>
  </rowBreaks>
  <colBreaks count="1" manualBreakCount="1">
    <brk id="1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zoomScale="120" zoomScaleNormal="120" workbookViewId="0">
      <selection activeCell="B74" sqref="B74"/>
    </sheetView>
  </sheetViews>
  <sheetFormatPr defaultColWidth="11.42578125" defaultRowHeight="12.75"/>
  <cols>
    <col min="1" max="1" width="4.28515625" customWidth="1"/>
    <col min="2" max="2" width="17.85546875" customWidth="1"/>
  </cols>
  <sheetData>
    <row r="1" spans="1:11">
      <c r="A1" t="s">
        <v>64</v>
      </c>
    </row>
    <row r="2" spans="1:11" ht="12" customHeight="1">
      <c r="B2" t="s">
        <v>50</v>
      </c>
      <c r="C2" s="102" t="s">
        <v>117</v>
      </c>
      <c r="D2" s="102"/>
      <c r="E2" s="102"/>
      <c r="F2" s="102"/>
      <c r="G2" s="102"/>
      <c r="H2" s="102"/>
      <c r="I2" s="102"/>
      <c r="J2" s="102"/>
      <c r="K2" s="102"/>
    </row>
    <row r="3" spans="1:11" ht="12" customHeight="1">
      <c r="C3" s="102"/>
      <c r="D3" s="102"/>
      <c r="E3" s="102"/>
      <c r="F3" s="102"/>
      <c r="G3" s="102"/>
      <c r="H3" s="102"/>
      <c r="I3" s="102"/>
      <c r="J3" s="102"/>
      <c r="K3" s="102"/>
    </row>
    <row r="4" spans="1:11" ht="12" customHeight="1">
      <c r="C4" s="102"/>
      <c r="D4" s="102"/>
      <c r="E4" s="102"/>
      <c r="F4" s="102"/>
      <c r="G4" s="102"/>
      <c r="H4" s="102"/>
      <c r="I4" s="102"/>
      <c r="J4" s="102"/>
      <c r="K4" s="102"/>
    </row>
    <row r="5" spans="1:11" ht="12" customHeight="1">
      <c r="C5" s="102"/>
      <c r="D5" s="102"/>
      <c r="E5" s="102"/>
      <c r="F5" s="102"/>
      <c r="G5" s="102"/>
      <c r="H5" s="102"/>
      <c r="I5" s="102"/>
      <c r="J5" s="102"/>
      <c r="K5" s="102"/>
    </row>
    <row r="6" spans="1:11" ht="12" customHeight="1">
      <c r="B6" t="s">
        <v>52</v>
      </c>
      <c r="C6" s="102" t="s">
        <v>118</v>
      </c>
      <c r="D6" s="102"/>
      <c r="E6" s="102"/>
      <c r="F6" s="102"/>
      <c r="G6" s="102"/>
      <c r="H6" s="102"/>
      <c r="I6" s="102"/>
      <c r="J6" s="102"/>
      <c r="K6" s="102"/>
    </row>
    <row r="7" spans="1:11" ht="12" customHeight="1">
      <c r="C7" s="102"/>
      <c r="D7" s="102"/>
      <c r="E7" s="102"/>
      <c r="F7" s="102"/>
      <c r="G7" s="102"/>
      <c r="H7" s="102"/>
      <c r="I7" s="102"/>
      <c r="J7" s="102"/>
      <c r="K7" s="102"/>
    </row>
    <row r="8" spans="1:11">
      <c r="C8" s="102"/>
      <c r="D8" s="102"/>
      <c r="E8" s="102"/>
      <c r="F8" s="102"/>
      <c r="G8" s="102"/>
      <c r="H8" s="102"/>
      <c r="I8" s="102"/>
      <c r="J8" s="102"/>
      <c r="K8" s="102"/>
    </row>
    <row r="9" spans="1:11">
      <c r="B9" t="s">
        <v>68</v>
      </c>
      <c r="C9" s="101" t="s">
        <v>69</v>
      </c>
      <c r="D9" s="101"/>
      <c r="E9" s="101"/>
      <c r="F9" s="101"/>
      <c r="G9" s="101"/>
      <c r="H9" s="101"/>
      <c r="I9" s="101"/>
      <c r="J9" s="101"/>
      <c r="K9" s="101"/>
    </row>
    <row r="10" spans="1:11" ht="12" customHeight="1">
      <c r="C10" s="101"/>
      <c r="D10" s="101"/>
      <c r="E10" s="101"/>
      <c r="F10" s="101"/>
      <c r="G10" s="101"/>
      <c r="H10" s="101"/>
      <c r="I10" s="101"/>
      <c r="J10" s="101"/>
      <c r="K10" s="101"/>
    </row>
    <row r="11" spans="1:11" ht="12.75" customHeight="1">
      <c r="B11" s="25" t="s">
        <v>102</v>
      </c>
      <c r="C11" s="103" t="s">
        <v>104</v>
      </c>
      <c r="D11" s="103"/>
      <c r="E11" s="103"/>
      <c r="F11" s="103"/>
      <c r="G11" s="103"/>
      <c r="H11" s="103"/>
      <c r="I11" s="103"/>
      <c r="J11" s="103"/>
      <c r="K11" s="103"/>
    </row>
    <row r="12" spans="1:11">
      <c r="C12" s="103"/>
      <c r="D12" s="103"/>
      <c r="E12" s="103"/>
      <c r="F12" s="103"/>
      <c r="G12" s="103"/>
      <c r="H12" s="103"/>
      <c r="I12" s="103"/>
      <c r="J12" s="103"/>
      <c r="K12" s="103"/>
    </row>
    <row r="13" spans="1:11">
      <c r="A13" t="s">
        <v>70</v>
      </c>
    </row>
    <row r="14" spans="1:11">
      <c r="B14" t="s">
        <v>71</v>
      </c>
      <c r="C14" s="101" t="s">
        <v>72</v>
      </c>
      <c r="D14" s="101"/>
      <c r="E14" s="101"/>
      <c r="F14" s="101"/>
      <c r="G14" s="101"/>
      <c r="H14" s="101"/>
      <c r="I14" s="101"/>
      <c r="J14" s="101"/>
      <c r="K14" s="101"/>
    </row>
    <row r="15" spans="1:11" ht="18.95" customHeight="1">
      <c r="C15" s="101"/>
      <c r="D15" s="101"/>
      <c r="E15" s="101"/>
      <c r="F15" s="101"/>
      <c r="G15" s="101"/>
      <c r="H15" s="101"/>
      <c r="I15" s="101"/>
      <c r="J15" s="101"/>
      <c r="K15" s="101"/>
    </row>
    <row r="16" spans="1:11">
      <c r="B16" t="s">
        <v>75</v>
      </c>
      <c r="C16" s="103" t="s">
        <v>105</v>
      </c>
      <c r="D16" s="101"/>
      <c r="E16" s="101"/>
      <c r="F16" s="101"/>
      <c r="G16" s="101"/>
      <c r="H16" s="101"/>
      <c r="I16" s="101"/>
      <c r="J16" s="101"/>
      <c r="K16" s="101"/>
    </row>
    <row r="17" spans="2:11">
      <c r="C17" s="101"/>
      <c r="D17" s="101"/>
      <c r="E17" s="101"/>
      <c r="F17" s="101"/>
      <c r="G17" s="101"/>
      <c r="H17" s="101"/>
      <c r="I17" s="101"/>
      <c r="J17" s="101"/>
      <c r="K17" s="101"/>
    </row>
    <row r="18" spans="2:11">
      <c r="C18" s="101"/>
      <c r="D18" s="101"/>
      <c r="E18" s="101"/>
      <c r="F18" s="101"/>
      <c r="G18" s="101"/>
      <c r="H18" s="101"/>
      <c r="I18" s="101"/>
      <c r="J18" s="101"/>
      <c r="K18" s="101"/>
    </row>
    <row r="19" spans="2:11" ht="20.100000000000001" customHeight="1">
      <c r="C19" s="101"/>
      <c r="D19" s="101"/>
      <c r="E19" s="101"/>
      <c r="F19" s="101"/>
      <c r="G19" s="101"/>
      <c r="H19" s="101"/>
      <c r="I19" s="101"/>
      <c r="J19" s="101"/>
      <c r="K19" s="101"/>
    </row>
    <row r="20" spans="2:11" ht="12.75" customHeight="1">
      <c r="B20" t="s">
        <v>80</v>
      </c>
      <c r="C20" s="101" t="s">
        <v>79</v>
      </c>
      <c r="D20" s="101"/>
      <c r="E20" s="101"/>
      <c r="F20" s="101"/>
      <c r="G20" s="101"/>
      <c r="H20" s="101"/>
      <c r="I20" s="101"/>
      <c r="J20" s="101"/>
      <c r="K20" s="101"/>
    </row>
    <row r="21" spans="2:11">
      <c r="C21" s="101"/>
      <c r="D21" s="101"/>
      <c r="E21" s="101"/>
      <c r="F21" s="101"/>
      <c r="G21" s="101"/>
      <c r="H21" s="101"/>
      <c r="I21" s="101"/>
      <c r="J21" s="101"/>
      <c r="K21" s="101"/>
    </row>
    <row r="22" spans="2:11">
      <c r="C22" s="101"/>
      <c r="D22" s="101"/>
      <c r="E22" s="101"/>
      <c r="F22" s="101"/>
      <c r="G22" s="101"/>
      <c r="H22" s="101"/>
      <c r="I22" s="101"/>
      <c r="J22" s="101"/>
      <c r="K22" s="101"/>
    </row>
    <row r="23" spans="2:11" ht="12" customHeight="1">
      <c r="B23" t="s">
        <v>67</v>
      </c>
      <c r="C23" s="103" t="s">
        <v>106</v>
      </c>
      <c r="D23" s="103"/>
      <c r="E23" s="103"/>
      <c r="F23" s="103"/>
      <c r="G23" s="103"/>
      <c r="H23" s="103"/>
      <c r="I23" s="103"/>
      <c r="J23" s="103"/>
      <c r="K23" s="103"/>
    </row>
    <row r="24" spans="2:11">
      <c r="C24" s="103"/>
      <c r="D24" s="103"/>
      <c r="E24" s="103"/>
      <c r="F24" s="103"/>
      <c r="G24" s="103"/>
      <c r="H24" s="103"/>
      <c r="I24" s="103"/>
      <c r="J24" s="103"/>
      <c r="K24" s="103"/>
    </row>
    <row r="25" spans="2:11">
      <c r="C25" s="103"/>
      <c r="D25" s="103"/>
      <c r="E25" s="103"/>
      <c r="F25" s="103"/>
      <c r="G25" s="103"/>
      <c r="H25" s="103"/>
      <c r="I25" s="103"/>
      <c r="J25" s="103"/>
      <c r="K25" s="103"/>
    </row>
    <row r="26" spans="2:11">
      <c r="C26" s="103"/>
      <c r="D26" s="103"/>
      <c r="E26" s="103"/>
      <c r="F26" s="103"/>
      <c r="G26" s="103"/>
      <c r="H26" s="103"/>
      <c r="I26" s="103"/>
      <c r="J26" s="103"/>
      <c r="K26" s="103"/>
    </row>
    <row r="27" spans="2:11" ht="20.100000000000001" customHeight="1">
      <c r="C27" s="103"/>
      <c r="D27" s="103"/>
      <c r="E27" s="103"/>
      <c r="F27" s="103"/>
      <c r="G27" s="103"/>
      <c r="H27" s="103"/>
      <c r="I27" s="103"/>
      <c r="J27" s="103"/>
      <c r="K27" s="103"/>
    </row>
    <row r="28" spans="2:11" ht="20.100000000000001" customHeight="1">
      <c r="B28" s="28" t="s">
        <v>113</v>
      </c>
      <c r="C28" s="105" t="s">
        <v>124</v>
      </c>
      <c r="D28" s="105"/>
      <c r="E28" s="105"/>
      <c r="F28" s="105"/>
      <c r="G28" s="105"/>
      <c r="H28" s="105"/>
      <c r="I28" s="105"/>
      <c r="J28" s="105"/>
      <c r="K28" s="105"/>
    </row>
    <row r="29" spans="2:11">
      <c r="B29" t="s">
        <v>84</v>
      </c>
      <c r="C29" s="101" t="s">
        <v>119</v>
      </c>
      <c r="D29" s="101"/>
      <c r="E29" s="101"/>
      <c r="F29" s="101"/>
      <c r="G29" s="101"/>
      <c r="H29" s="101"/>
      <c r="I29" s="101"/>
      <c r="J29" s="101"/>
      <c r="K29" s="101"/>
    </row>
    <row r="30" spans="2:11" ht="17.100000000000001" customHeight="1">
      <c r="C30" s="101"/>
      <c r="D30" s="101"/>
      <c r="E30" s="101"/>
      <c r="F30" s="101"/>
      <c r="G30" s="101"/>
      <c r="H30" s="101"/>
      <c r="I30" s="101"/>
      <c r="J30" s="101"/>
      <c r="K30" s="101"/>
    </row>
    <row r="31" spans="2:11">
      <c r="B31" t="s">
        <v>89</v>
      </c>
      <c r="C31" s="104" t="s">
        <v>107</v>
      </c>
      <c r="D31" s="104"/>
      <c r="E31" s="104"/>
      <c r="F31" s="104"/>
      <c r="G31" s="104"/>
      <c r="H31" s="104"/>
      <c r="I31" s="104"/>
      <c r="J31" s="104"/>
      <c r="K31" s="104"/>
    </row>
    <row r="32" spans="2:11">
      <c r="C32" s="104"/>
      <c r="D32" s="104"/>
      <c r="E32" s="104"/>
      <c r="F32" s="104"/>
      <c r="G32" s="104"/>
      <c r="H32" s="104"/>
      <c r="I32" s="104"/>
      <c r="J32" s="104"/>
      <c r="K32" s="104"/>
    </row>
    <row r="33" spans="1:11">
      <c r="C33" s="27"/>
      <c r="D33" s="28"/>
      <c r="E33" s="28"/>
      <c r="F33" s="28"/>
      <c r="G33" s="28"/>
      <c r="H33" s="28"/>
      <c r="I33" s="28"/>
      <c r="J33" s="28"/>
      <c r="K33" s="28"/>
    </row>
    <row r="34" spans="1:11">
      <c r="A34" t="s">
        <v>108</v>
      </c>
      <c r="C34" s="27"/>
      <c r="D34" s="28"/>
      <c r="E34" s="28"/>
      <c r="F34" s="28"/>
      <c r="G34" s="28"/>
      <c r="H34" s="28"/>
      <c r="I34" s="28"/>
      <c r="J34" s="28"/>
      <c r="K34" s="28"/>
    </row>
    <row r="35" spans="1:11">
      <c r="B35" t="s">
        <v>120</v>
      </c>
      <c r="C35" s="105" t="s">
        <v>121</v>
      </c>
      <c r="D35" s="105"/>
      <c r="E35" s="105"/>
      <c r="F35" s="105"/>
      <c r="G35" s="105"/>
      <c r="H35" s="105"/>
      <c r="I35" s="105"/>
      <c r="J35" s="105"/>
      <c r="K35" s="105"/>
    </row>
    <row r="36" spans="1:11">
      <c r="C36" s="105"/>
      <c r="D36" s="105"/>
      <c r="E36" s="105"/>
      <c r="F36" s="105"/>
      <c r="G36" s="105"/>
      <c r="H36" s="105"/>
      <c r="I36" s="105"/>
      <c r="J36" s="105"/>
      <c r="K36" s="105"/>
    </row>
    <row r="37" spans="1:11" ht="15.95" customHeight="1">
      <c r="B37" s="26" t="s">
        <v>109</v>
      </c>
      <c r="C37" s="105" t="s">
        <v>122</v>
      </c>
      <c r="D37" s="105"/>
      <c r="E37" s="105"/>
      <c r="F37" s="105"/>
      <c r="G37" s="105"/>
      <c r="H37" s="105"/>
      <c r="I37" s="105"/>
      <c r="J37" s="105"/>
      <c r="K37" s="105"/>
    </row>
    <row r="38" spans="1:11" ht="15.95" customHeight="1">
      <c r="B38" s="26"/>
      <c r="C38" s="105"/>
      <c r="D38" s="105"/>
      <c r="E38" s="105"/>
      <c r="F38" s="105"/>
      <c r="G38" s="105"/>
      <c r="H38" s="105"/>
      <c r="I38" s="105"/>
      <c r="J38" s="105"/>
      <c r="K38" s="105"/>
    </row>
    <row r="39" spans="1:11" ht="14.1" customHeight="1">
      <c r="B39" s="101" t="s">
        <v>110</v>
      </c>
      <c r="C39" s="105" t="s">
        <v>186</v>
      </c>
      <c r="D39" s="105"/>
      <c r="E39" s="105"/>
      <c r="F39" s="105"/>
      <c r="G39" s="105"/>
      <c r="H39" s="105"/>
      <c r="I39" s="105"/>
      <c r="J39" s="105"/>
      <c r="K39" s="105"/>
    </row>
    <row r="40" spans="1:11" ht="15.95" customHeight="1">
      <c r="B40" s="101"/>
      <c r="C40" s="105"/>
      <c r="D40" s="105"/>
      <c r="E40" s="105"/>
      <c r="F40" s="105"/>
      <c r="G40" s="105"/>
      <c r="H40" s="105"/>
      <c r="I40" s="105"/>
      <c r="J40" s="105"/>
      <c r="K40" s="105"/>
    </row>
    <row r="41" spans="1:11" ht="15.95" customHeight="1">
      <c r="B41" s="24" t="s">
        <v>173</v>
      </c>
      <c r="C41" s="105" t="s">
        <v>183</v>
      </c>
      <c r="D41" s="105"/>
      <c r="E41" s="105"/>
      <c r="F41" s="105"/>
      <c r="G41" s="105"/>
      <c r="H41" s="105"/>
      <c r="I41" s="105"/>
      <c r="J41" s="105"/>
      <c r="K41" s="105"/>
    </row>
    <row r="42" spans="1:11" ht="15.95" customHeight="1">
      <c r="B42" s="24"/>
      <c r="C42" s="29"/>
      <c r="D42" s="29"/>
      <c r="E42" s="29"/>
      <c r="F42" s="29"/>
      <c r="G42" s="29"/>
      <c r="H42" s="29"/>
      <c r="I42" s="29"/>
      <c r="J42" s="29"/>
      <c r="K42" s="29"/>
    </row>
    <row r="43" spans="1:11" ht="20.100000000000001" customHeight="1">
      <c r="B43" s="28" t="s">
        <v>111</v>
      </c>
      <c r="C43" s="106" t="s">
        <v>123</v>
      </c>
      <c r="D43" s="106"/>
      <c r="E43" s="106"/>
      <c r="F43" s="106"/>
      <c r="G43" s="106"/>
      <c r="H43" s="106"/>
      <c r="I43" s="106"/>
      <c r="J43" s="106"/>
      <c r="K43" s="106"/>
    </row>
    <row r="44" spans="1:11" ht="12" customHeight="1">
      <c r="B44" s="101" t="s">
        <v>112</v>
      </c>
      <c r="C44" s="101" t="s">
        <v>187</v>
      </c>
      <c r="D44" s="101"/>
      <c r="E44" s="101"/>
      <c r="F44" s="101"/>
      <c r="G44" s="101"/>
      <c r="H44" s="101"/>
      <c r="I44" s="101"/>
      <c r="J44" s="101"/>
      <c r="K44" s="101"/>
    </row>
    <row r="45" spans="1:11">
      <c r="B45" s="101"/>
      <c r="C45" s="101"/>
      <c r="D45" s="101"/>
      <c r="E45" s="101"/>
      <c r="F45" s="101"/>
      <c r="G45" s="101"/>
      <c r="H45" s="101"/>
      <c r="I45" s="101"/>
      <c r="J45" s="101"/>
      <c r="K45" s="101"/>
    </row>
    <row r="46" spans="1:11">
      <c r="C46" s="101"/>
      <c r="D46" s="101"/>
      <c r="E46" s="101"/>
      <c r="F46" s="101"/>
      <c r="G46" s="101"/>
      <c r="H46" s="101"/>
      <c r="I46" s="101"/>
      <c r="J46" s="101"/>
      <c r="K46" s="101"/>
    </row>
    <row r="47" spans="1:11">
      <c r="C47" s="24"/>
      <c r="D47" s="24"/>
      <c r="E47" s="24"/>
      <c r="F47" s="24"/>
      <c r="G47" s="24"/>
      <c r="H47" s="24"/>
      <c r="I47" s="24"/>
      <c r="J47" s="24"/>
      <c r="K47" s="24"/>
    </row>
    <row r="48" spans="1:11">
      <c r="A48" t="s">
        <v>92</v>
      </c>
      <c r="C48" s="24"/>
      <c r="D48" s="24"/>
      <c r="E48" s="24"/>
      <c r="F48" s="24"/>
      <c r="G48" s="24"/>
      <c r="H48" s="24"/>
      <c r="I48" s="24"/>
      <c r="J48" s="24"/>
      <c r="K48" s="24"/>
    </row>
    <row r="49" spans="1:11">
      <c r="B49" t="s">
        <v>159</v>
      </c>
      <c r="C49" s="101" t="s">
        <v>160</v>
      </c>
      <c r="D49" s="101"/>
      <c r="E49" s="101"/>
      <c r="F49" s="101"/>
      <c r="G49" s="101"/>
      <c r="H49" s="101"/>
      <c r="I49" s="101"/>
      <c r="J49" s="101"/>
      <c r="K49" s="101"/>
    </row>
    <row r="50" spans="1:11">
      <c r="B50" s="28" t="s">
        <v>161</v>
      </c>
      <c r="C50" s="101" t="s">
        <v>163</v>
      </c>
      <c r="D50" s="101"/>
      <c r="E50" s="101"/>
      <c r="F50" s="101"/>
      <c r="G50" s="101"/>
      <c r="H50" s="101"/>
      <c r="I50" s="101"/>
      <c r="J50" s="101"/>
      <c r="K50" s="101"/>
    </row>
    <row r="51" spans="1:11">
      <c r="B51" t="s">
        <v>93</v>
      </c>
      <c r="C51" s="101" t="s">
        <v>164</v>
      </c>
      <c r="D51" s="101"/>
      <c r="E51" s="101"/>
      <c r="F51" s="101"/>
      <c r="G51" s="101"/>
      <c r="H51" s="101"/>
      <c r="I51" s="101"/>
      <c r="J51" s="101"/>
      <c r="K51" s="101"/>
    </row>
    <row r="52" spans="1:11">
      <c r="C52" s="24"/>
      <c r="D52" s="24"/>
      <c r="E52" s="24"/>
      <c r="F52" s="24"/>
      <c r="G52" s="24"/>
      <c r="H52" s="24"/>
      <c r="I52" s="24"/>
      <c r="J52" s="24"/>
      <c r="K52" s="24"/>
    </row>
    <row r="53" spans="1:11">
      <c r="A53" t="s">
        <v>126</v>
      </c>
      <c r="C53" s="24"/>
      <c r="D53" s="24"/>
      <c r="E53" s="24"/>
      <c r="F53" s="24"/>
      <c r="G53" s="24"/>
      <c r="H53" s="24"/>
      <c r="I53" s="24"/>
      <c r="J53" s="24"/>
      <c r="K53" s="24"/>
    </row>
    <row r="54" spans="1:11">
      <c r="B54" s="28" t="s">
        <v>162</v>
      </c>
      <c r="C54" s="101" t="s">
        <v>188</v>
      </c>
      <c r="D54" s="101"/>
      <c r="E54" s="101"/>
      <c r="F54" s="101"/>
      <c r="G54" s="101"/>
      <c r="H54" s="101"/>
      <c r="I54" s="101"/>
      <c r="J54" s="101"/>
      <c r="K54" s="101"/>
    </row>
    <row r="55" spans="1:11">
      <c r="B55" s="26" t="s">
        <v>136</v>
      </c>
      <c r="C55" s="101" t="s">
        <v>165</v>
      </c>
      <c r="D55" s="101"/>
      <c r="E55" s="101"/>
      <c r="F55" s="101"/>
      <c r="G55" s="101"/>
      <c r="H55" s="101"/>
      <c r="I55" s="101"/>
      <c r="J55" s="101"/>
      <c r="K55" s="101"/>
    </row>
    <row r="56" spans="1:11">
      <c r="B56" t="s">
        <v>137</v>
      </c>
      <c r="C56" s="101" t="s">
        <v>166</v>
      </c>
      <c r="D56" s="101"/>
      <c r="E56" s="101"/>
      <c r="F56" s="101"/>
      <c r="G56" s="101"/>
      <c r="H56" s="101"/>
      <c r="I56" s="101"/>
      <c r="J56" s="101"/>
      <c r="K56" s="101"/>
    </row>
    <row r="57" spans="1:11">
      <c r="C57" s="24"/>
      <c r="D57" s="24"/>
      <c r="E57" s="24"/>
      <c r="F57" s="24"/>
      <c r="G57" s="24"/>
      <c r="H57" s="24"/>
      <c r="I57" s="24"/>
      <c r="J57" s="24"/>
      <c r="K57" s="24"/>
    </row>
    <row r="58" spans="1:11">
      <c r="A58" t="s">
        <v>158</v>
      </c>
      <c r="C58" s="24"/>
      <c r="D58" s="24"/>
      <c r="E58" s="24"/>
      <c r="F58" s="24"/>
      <c r="G58" s="24"/>
      <c r="H58" s="24"/>
      <c r="I58" s="24"/>
      <c r="J58" s="24"/>
      <c r="K58" s="24"/>
    </row>
    <row r="59" spans="1:11">
      <c r="B59" t="s">
        <v>176</v>
      </c>
      <c r="C59" s="101" t="s">
        <v>177</v>
      </c>
      <c r="D59" s="101"/>
      <c r="E59" s="101"/>
      <c r="F59" s="101"/>
      <c r="G59" s="101"/>
      <c r="H59" s="101"/>
      <c r="I59" s="101"/>
      <c r="J59" s="101"/>
      <c r="K59" s="101"/>
    </row>
    <row r="60" spans="1:11">
      <c r="B60" t="s">
        <v>184</v>
      </c>
      <c r="C60" s="101" t="s">
        <v>185</v>
      </c>
      <c r="D60" s="101"/>
      <c r="E60" s="101"/>
      <c r="F60" s="101"/>
      <c r="G60" s="101"/>
      <c r="H60" s="101"/>
      <c r="I60" s="101"/>
      <c r="J60" s="101"/>
      <c r="K60" s="101"/>
    </row>
    <row r="61" spans="1:11">
      <c r="B61" s="101" t="s">
        <v>178</v>
      </c>
      <c r="C61" s="101" t="s">
        <v>179</v>
      </c>
      <c r="D61" s="101"/>
      <c r="E61" s="101"/>
      <c r="F61" s="101"/>
      <c r="G61" s="101"/>
      <c r="H61" s="101"/>
      <c r="I61" s="101"/>
      <c r="J61" s="101"/>
      <c r="K61" s="101"/>
    </row>
    <row r="62" spans="1:11">
      <c r="B62" s="101"/>
      <c r="C62" s="24"/>
      <c r="D62" s="24"/>
      <c r="E62" s="24"/>
      <c r="F62" s="24"/>
      <c r="G62" s="24"/>
      <c r="H62" s="24"/>
      <c r="I62" s="24"/>
      <c r="J62" s="24"/>
      <c r="K62" s="24"/>
    </row>
    <row r="63" spans="1:11">
      <c r="B63" s="24"/>
      <c r="C63" s="24"/>
      <c r="D63" s="24"/>
      <c r="E63" s="24"/>
      <c r="F63" s="24"/>
      <c r="G63" s="24"/>
      <c r="H63" s="24"/>
      <c r="I63" s="24"/>
      <c r="J63" s="24"/>
      <c r="K63" s="24"/>
    </row>
    <row r="64" spans="1:11">
      <c r="A64" t="s">
        <v>86</v>
      </c>
    </row>
    <row r="65" spans="2:2">
      <c r="B65" t="s">
        <v>192</v>
      </c>
    </row>
    <row r="66" spans="2:2">
      <c r="B66" t="s">
        <v>76</v>
      </c>
    </row>
    <row r="67" spans="2:2">
      <c r="B67" t="s">
        <v>77</v>
      </c>
    </row>
    <row r="68" spans="2:2">
      <c r="B68" t="s">
        <v>78</v>
      </c>
    </row>
    <row r="69" spans="2:2">
      <c r="B69" t="s">
        <v>189</v>
      </c>
    </row>
    <row r="70" spans="2:2">
      <c r="B70" t="s">
        <v>190</v>
      </c>
    </row>
    <row r="71" spans="2:2">
      <c r="B71" t="s">
        <v>191</v>
      </c>
    </row>
  </sheetData>
  <mergeCells count="29">
    <mergeCell ref="C16:K19"/>
    <mergeCell ref="C20:K22"/>
    <mergeCell ref="C41:K41"/>
    <mergeCell ref="C59:K59"/>
    <mergeCell ref="B61:B62"/>
    <mergeCell ref="C61:K61"/>
    <mergeCell ref="C49:K49"/>
    <mergeCell ref="C50:K50"/>
    <mergeCell ref="C54:K54"/>
    <mergeCell ref="C51:K51"/>
    <mergeCell ref="C55:K55"/>
    <mergeCell ref="C56:K56"/>
    <mergeCell ref="C60:K60"/>
    <mergeCell ref="B44:B45"/>
    <mergeCell ref="C2:K5"/>
    <mergeCell ref="C11:K12"/>
    <mergeCell ref="C31:K32"/>
    <mergeCell ref="C35:K36"/>
    <mergeCell ref="C39:K40"/>
    <mergeCell ref="B39:B40"/>
    <mergeCell ref="C23:K27"/>
    <mergeCell ref="C37:K38"/>
    <mergeCell ref="C44:K46"/>
    <mergeCell ref="C43:K43"/>
    <mergeCell ref="C28:K28"/>
    <mergeCell ref="C29:K30"/>
    <mergeCell ref="C6:K8"/>
    <mergeCell ref="C9:K10"/>
    <mergeCell ref="C14:K15"/>
  </mergeCells>
  <phoneticPr fontId="9" type="noConversion"/>
  <pageMargins left="0.75" right="0.75" top="1" bottom="1" header="0.5" footer="0.5"/>
  <pageSetup scale="63" orientation="portrait"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Magic Hot Springs</vt:lpstr>
      <vt:lpstr>Mortgage</vt:lpstr>
      <vt:lpstr>Assumptions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2013-12-02T20:51:52Z</dcterms:created>
  <dcterms:modified xsi:type="dcterms:W3CDTF">2019-06-19T21:57:29Z</dcterms:modified>
</cp:coreProperties>
</file>