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90" yWindow="675" windowWidth="19815" windowHeight="7245"/>
  </bookViews>
  <sheets>
    <sheet name="Income and Balance Sheet" sheetId="1" r:id="rId1"/>
    <sheet name="Breakeven" sheetId="2" r:id="rId2"/>
    <sheet name="Sheet2" sheetId="5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F86" i="1" l="1"/>
  <c r="J86" i="1"/>
  <c r="D53" i="1"/>
  <c r="D86" i="1" s="1"/>
  <c r="E53" i="1"/>
  <c r="E86" i="1" s="1"/>
  <c r="F53" i="1"/>
  <c r="G53" i="1"/>
  <c r="G86" i="1" s="1"/>
  <c r="H53" i="1"/>
  <c r="H86" i="1" s="1"/>
  <c r="I53" i="1"/>
  <c r="I86" i="1" s="1"/>
  <c r="J53" i="1"/>
  <c r="C53" i="1"/>
  <c r="C86" i="1" s="1"/>
  <c r="E106" i="1"/>
  <c r="D3" i="5" l="1"/>
  <c r="C78" i="1" s="1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A12" i="5"/>
  <c r="D8" i="5"/>
  <c r="C51" i="5" l="1"/>
  <c r="G11" i="5"/>
  <c r="D12" i="5" s="1"/>
  <c r="C13" i="5"/>
  <c r="C17" i="5"/>
  <c r="C21" i="5"/>
  <c r="C25" i="5"/>
  <c r="C29" i="5"/>
  <c r="C33" i="5"/>
  <c r="C37" i="5"/>
  <c r="C41" i="5"/>
  <c r="C45" i="5"/>
  <c r="C49" i="5"/>
  <c r="C53" i="5"/>
  <c r="C15" i="5"/>
  <c r="C19" i="5"/>
  <c r="C23" i="5"/>
  <c r="C27" i="5"/>
  <c r="C31" i="5"/>
  <c r="C35" i="5"/>
  <c r="C39" i="5"/>
  <c r="C43" i="5"/>
  <c r="C47" i="5"/>
  <c r="C371" i="5"/>
  <c r="C369" i="5"/>
  <c r="C367" i="5"/>
  <c r="C365" i="5"/>
  <c r="C363" i="5"/>
  <c r="C361" i="5"/>
  <c r="C359" i="5"/>
  <c r="C357" i="5"/>
  <c r="C355" i="5"/>
  <c r="C353" i="5"/>
  <c r="C351" i="5"/>
  <c r="C349" i="5"/>
  <c r="C347" i="5"/>
  <c r="C345" i="5"/>
  <c r="C343" i="5"/>
  <c r="C341" i="5"/>
  <c r="C339" i="5"/>
  <c r="C337" i="5"/>
  <c r="C335" i="5"/>
  <c r="C333" i="5"/>
  <c r="C331" i="5"/>
  <c r="C370" i="5"/>
  <c r="C368" i="5"/>
  <c r="C366" i="5"/>
  <c r="C364" i="5"/>
  <c r="C362" i="5"/>
  <c r="C360" i="5"/>
  <c r="C358" i="5"/>
  <c r="C356" i="5"/>
  <c r="C354" i="5"/>
  <c r="C352" i="5"/>
  <c r="C350" i="5"/>
  <c r="C348" i="5"/>
  <c r="C346" i="5"/>
  <c r="C344" i="5"/>
  <c r="C342" i="5"/>
  <c r="C328" i="5"/>
  <c r="C326" i="5"/>
  <c r="C324" i="5"/>
  <c r="C322" i="5"/>
  <c r="C320" i="5"/>
  <c r="C318" i="5"/>
  <c r="C316" i="5"/>
  <c r="C314" i="5"/>
  <c r="C312" i="5"/>
  <c r="C310" i="5"/>
  <c r="C308" i="5"/>
  <c r="C306" i="5"/>
  <c r="C304" i="5"/>
  <c r="C302" i="5"/>
  <c r="C300" i="5"/>
  <c r="C298" i="5"/>
  <c r="C296" i="5"/>
  <c r="C294" i="5"/>
  <c r="C340" i="5"/>
  <c r="C338" i="5"/>
  <c r="C336" i="5"/>
  <c r="C334" i="5"/>
  <c r="C332" i="5"/>
  <c r="C330" i="5"/>
  <c r="C292" i="5"/>
  <c r="C290" i="5"/>
  <c r="C288" i="5"/>
  <c r="C286" i="5"/>
  <c r="C284" i="5"/>
  <c r="C282" i="5"/>
  <c r="C280" i="5"/>
  <c r="C278" i="5"/>
  <c r="C329" i="5"/>
  <c r="C327" i="5"/>
  <c r="C325" i="5"/>
  <c r="C323" i="5"/>
  <c r="C321" i="5"/>
  <c r="C319" i="5"/>
  <c r="C317" i="5"/>
  <c r="C315" i="5"/>
  <c r="C313" i="5"/>
  <c r="C311" i="5"/>
  <c r="C309" i="5"/>
  <c r="C307" i="5"/>
  <c r="C305" i="5"/>
  <c r="C303" i="5"/>
  <c r="C301" i="5"/>
  <c r="C299" i="5"/>
  <c r="C297" i="5"/>
  <c r="C295" i="5"/>
  <c r="C293" i="5"/>
  <c r="C291" i="5"/>
  <c r="C289" i="5"/>
  <c r="C287" i="5"/>
  <c r="C285" i="5"/>
  <c r="C283" i="5"/>
  <c r="C281" i="5"/>
  <c r="C279" i="5"/>
  <c r="C277" i="5"/>
  <c r="C275" i="5"/>
  <c r="C273" i="5"/>
  <c r="C271" i="5"/>
  <c r="C269" i="5"/>
  <c r="C267" i="5"/>
  <c r="C265" i="5"/>
  <c r="C263" i="5"/>
  <c r="C261" i="5"/>
  <c r="C259" i="5"/>
  <c r="C257" i="5"/>
  <c r="C255" i="5"/>
  <c r="C253" i="5"/>
  <c r="C251" i="5"/>
  <c r="C249" i="5"/>
  <c r="C247" i="5"/>
  <c r="C245" i="5"/>
  <c r="C243" i="5"/>
  <c r="C241" i="5"/>
  <c r="C239" i="5"/>
  <c r="C237" i="5"/>
  <c r="C235" i="5"/>
  <c r="C233" i="5"/>
  <c r="C231" i="5"/>
  <c r="C229" i="5"/>
  <c r="C227" i="5"/>
  <c r="C225" i="5"/>
  <c r="C223" i="5"/>
  <c r="C221" i="5"/>
  <c r="C219" i="5"/>
  <c r="C217" i="5"/>
  <c r="C215" i="5"/>
  <c r="C213" i="5"/>
  <c r="C211" i="5"/>
  <c r="C209" i="5"/>
  <c r="C207" i="5"/>
  <c r="C205" i="5"/>
  <c r="C203" i="5"/>
  <c r="C201" i="5"/>
  <c r="C199" i="5"/>
  <c r="C197" i="5"/>
  <c r="C195" i="5"/>
  <c r="C193" i="5"/>
  <c r="C191" i="5"/>
  <c r="C189" i="5"/>
  <c r="C187" i="5"/>
  <c r="C185" i="5"/>
  <c r="C183" i="5"/>
  <c r="C181" i="5"/>
  <c r="C179" i="5"/>
  <c r="C177" i="5"/>
  <c r="C175" i="5"/>
  <c r="C173" i="5"/>
  <c r="C171" i="5"/>
  <c r="C169" i="5"/>
  <c r="C167" i="5"/>
  <c r="C276" i="5"/>
  <c r="C274" i="5"/>
  <c r="C272" i="5"/>
  <c r="C270" i="5"/>
  <c r="C268" i="5"/>
  <c r="C266" i="5"/>
  <c r="C264" i="5"/>
  <c r="C262" i="5"/>
  <c r="C260" i="5"/>
  <c r="C258" i="5"/>
  <c r="C256" i="5"/>
  <c r="C254" i="5"/>
  <c r="C252" i="5"/>
  <c r="C250" i="5"/>
  <c r="C248" i="5"/>
  <c r="C246" i="5"/>
  <c r="C244" i="5"/>
  <c r="C242" i="5"/>
  <c r="C240" i="5"/>
  <c r="C238" i="5"/>
  <c r="C236" i="5"/>
  <c r="C234" i="5"/>
  <c r="C232" i="5"/>
  <c r="C230" i="5"/>
  <c r="C228" i="5"/>
  <c r="C226" i="5"/>
  <c r="C224" i="5"/>
  <c r="C222" i="5"/>
  <c r="C220" i="5"/>
  <c r="C218" i="5"/>
  <c r="C216" i="5"/>
  <c r="C214" i="5"/>
  <c r="C212" i="5"/>
  <c r="C210" i="5"/>
  <c r="C208" i="5"/>
  <c r="C206" i="5"/>
  <c r="C204" i="5"/>
  <c r="C202" i="5"/>
  <c r="C200" i="5"/>
  <c r="C198" i="5"/>
  <c r="C196" i="5"/>
  <c r="C194" i="5"/>
  <c r="C192" i="5"/>
  <c r="C190" i="5"/>
  <c r="C188" i="5"/>
  <c r="C186" i="5"/>
  <c r="C184" i="5"/>
  <c r="C182" i="5"/>
  <c r="C180" i="5"/>
  <c r="C178" i="5"/>
  <c r="C176" i="5"/>
  <c r="C174" i="5"/>
  <c r="C172" i="5"/>
  <c r="C170" i="5"/>
  <c r="C168" i="5"/>
  <c r="C166" i="5"/>
  <c r="C164" i="5"/>
  <c r="C162" i="5"/>
  <c r="C160" i="5"/>
  <c r="C158" i="5"/>
  <c r="C156" i="5"/>
  <c r="C154" i="5"/>
  <c r="C152" i="5"/>
  <c r="C150" i="5"/>
  <c r="C148" i="5"/>
  <c r="C146" i="5"/>
  <c r="C144" i="5"/>
  <c r="C142" i="5"/>
  <c r="C140" i="5"/>
  <c r="C138" i="5"/>
  <c r="C136" i="5"/>
  <c r="C134" i="5"/>
  <c r="C132" i="5"/>
  <c r="C130" i="5"/>
  <c r="C128" i="5"/>
  <c r="C126" i="5"/>
  <c r="C124" i="5"/>
  <c r="C122" i="5"/>
  <c r="C120" i="5"/>
  <c r="C118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C44" i="5"/>
  <c r="C46" i="5"/>
  <c r="C48" i="5"/>
  <c r="C50" i="5"/>
  <c r="C52" i="5"/>
  <c r="C54" i="5"/>
  <c r="C56" i="5"/>
  <c r="C58" i="5"/>
  <c r="C60" i="5"/>
  <c r="C62" i="5"/>
  <c r="C64" i="5"/>
  <c r="C66" i="5"/>
  <c r="C68" i="5"/>
  <c r="C70" i="5"/>
  <c r="C72" i="5"/>
  <c r="C74" i="5"/>
  <c r="C76" i="5"/>
  <c r="C78" i="5"/>
  <c r="C80" i="5"/>
  <c r="C82" i="5"/>
  <c r="C84" i="5"/>
  <c r="C86" i="5"/>
  <c r="C88" i="5"/>
  <c r="C90" i="5"/>
  <c r="C92" i="5"/>
  <c r="C94" i="5"/>
  <c r="C96" i="5"/>
  <c r="C98" i="5"/>
  <c r="C100" i="5"/>
  <c r="C102" i="5"/>
  <c r="C104" i="5"/>
  <c r="C106" i="5"/>
  <c r="C108" i="5"/>
  <c r="C110" i="5"/>
  <c r="C112" i="5"/>
  <c r="C114" i="5"/>
  <c r="C116" i="5"/>
  <c r="C55" i="5"/>
  <c r="C57" i="5"/>
  <c r="C59" i="5"/>
  <c r="C61" i="5"/>
  <c r="C63" i="5"/>
  <c r="C65" i="5"/>
  <c r="C67" i="5"/>
  <c r="C69" i="5"/>
  <c r="C71" i="5"/>
  <c r="C73" i="5"/>
  <c r="C75" i="5"/>
  <c r="C77" i="5"/>
  <c r="C79" i="5"/>
  <c r="C81" i="5"/>
  <c r="C83" i="5"/>
  <c r="C85" i="5"/>
  <c r="C87" i="5"/>
  <c r="C89" i="5"/>
  <c r="C91" i="5"/>
  <c r="C93" i="5"/>
  <c r="C95" i="5"/>
  <c r="C97" i="5"/>
  <c r="C99" i="5"/>
  <c r="C101" i="5"/>
  <c r="C103" i="5"/>
  <c r="C105" i="5"/>
  <c r="C107" i="5"/>
  <c r="C109" i="5"/>
  <c r="C111" i="5"/>
  <c r="C113" i="5"/>
  <c r="C115" i="5"/>
  <c r="C117" i="5"/>
  <c r="C119" i="5"/>
  <c r="C121" i="5"/>
  <c r="C123" i="5"/>
  <c r="C125" i="5"/>
  <c r="C127" i="5"/>
  <c r="C129" i="5"/>
  <c r="C131" i="5"/>
  <c r="C133" i="5"/>
  <c r="C135" i="5"/>
  <c r="C137" i="5"/>
  <c r="C139" i="5"/>
  <c r="C141" i="5"/>
  <c r="C143" i="5"/>
  <c r="C145" i="5"/>
  <c r="C147" i="5"/>
  <c r="C149" i="5"/>
  <c r="C151" i="5"/>
  <c r="C153" i="5"/>
  <c r="C155" i="5"/>
  <c r="C157" i="5"/>
  <c r="C159" i="5"/>
  <c r="C161" i="5"/>
  <c r="C163" i="5"/>
  <c r="C165" i="5"/>
  <c r="B12" i="4"/>
  <c r="B14" i="4" s="1"/>
  <c r="B16" i="4" s="1"/>
  <c r="C3" i="4"/>
  <c r="B8" i="4"/>
  <c r="B4" i="4"/>
  <c r="E12" i="5" l="1"/>
  <c r="G12" i="5" s="1"/>
  <c r="D13" i="5" s="1"/>
  <c r="I173" i="1"/>
  <c r="E13" i="5" l="1"/>
  <c r="G13" i="5" s="1"/>
  <c r="P171" i="1"/>
  <c r="M172" i="1" s="1"/>
  <c r="S171" i="1" s="1"/>
  <c r="E171" i="1"/>
  <c r="D14" i="5" l="1"/>
  <c r="D9" i="2"/>
  <c r="E7" i="2"/>
  <c r="C7" i="2"/>
  <c r="C6" i="2"/>
  <c r="E6" i="2" s="1"/>
  <c r="E5" i="2"/>
  <c r="C5" i="2"/>
  <c r="C4" i="2"/>
  <c r="E4" i="2" s="1"/>
  <c r="E3" i="2"/>
  <c r="C3" i="2"/>
  <c r="C2" i="2"/>
  <c r="E2" i="2" s="1"/>
  <c r="E1" i="2"/>
  <c r="C1" i="2"/>
  <c r="E169" i="1"/>
  <c r="E184" i="1" s="1"/>
  <c r="C144" i="1"/>
  <c r="C143" i="1"/>
  <c r="C124" i="1"/>
  <c r="C120" i="1"/>
  <c r="C125" i="1" s="1"/>
  <c r="C107" i="1"/>
  <c r="C103" i="1"/>
  <c r="E118" i="1" s="1"/>
  <c r="F118" i="1" s="1"/>
  <c r="D78" i="1"/>
  <c r="E78" i="1" s="1"/>
  <c r="F78" i="1" s="1"/>
  <c r="J56" i="1"/>
  <c r="I56" i="1"/>
  <c r="H56" i="1"/>
  <c r="G56" i="1"/>
  <c r="F56" i="1"/>
  <c r="E56" i="1"/>
  <c r="D56" i="1"/>
  <c r="C56" i="1"/>
  <c r="J46" i="1"/>
  <c r="I46" i="1"/>
  <c r="H46" i="1"/>
  <c r="G46" i="1"/>
  <c r="F46" i="1"/>
  <c r="E46" i="1"/>
  <c r="D46" i="1"/>
  <c r="C46" i="1"/>
  <c r="K45" i="1"/>
  <c r="I45" i="1" s="1"/>
  <c r="L163" i="1" s="1"/>
  <c r="L166" i="1" s="1"/>
  <c r="J41" i="1"/>
  <c r="I41" i="1"/>
  <c r="H41" i="1"/>
  <c r="G41" i="1"/>
  <c r="F41" i="1"/>
  <c r="E41" i="1"/>
  <c r="D41" i="1"/>
  <c r="C41" i="1"/>
  <c r="C16" i="1"/>
  <c r="F15" i="1"/>
  <c r="H15" i="1" s="1"/>
  <c r="E15" i="1"/>
  <c r="D25" i="1" s="1"/>
  <c r="F14" i="1"/>
  <c r="G14" i="1" s="1"/>
  <c r="F24" i="1" s="1"/>
  <c r="E14" i="1"/>
  <c r="D24" i="1" s="1"/>
  <c r="F13" i="1"/>
  <c r="H13" i="1" s="1"/>
  <c r="E13" i="1"/>
  <c r="D23" i="1" s="1"/>
  <c r="F12" i="1"/>
  <c r="G12" i="1" s="1"/>
  <c r="F22" i="1" s="1"/>
  <c r="E12" i="1"/>
  <c r="D22" i="1" s="1"/>
  <c r="F11" i="1"/>
  <c r="H11" i="1" s="1"/>
  <c r="E11" i="1"/>
  <c r="D21" i="1" s="1"/>
  <c r="F10" i="1"/>
  <c r="G10" i="1" s="1"/>
  <c r="F20" i="1" s="1"/>
  <c r="E10" i="1"/>
  <c r="D20" i="1" s="1"/>
  <c r="F9" i="1"/>
  <c r="H9" i="1" s="1"/>
  <c r="E9" i="1"/>
  <c r="E8" i="2" l="1"/>
  <c r="F9" i="2" s="1"/>
  <c r="C8" i="2"/>
  <c r="G45" i="1"/>
  <c r="J163" i="1" s="1"/>
  <c r="J166" i="1" s="1"/>
  <c r="E45" i="1"/>
  <c r="H163" i="1" s="1"/>
  <c r="H166" i="1" s="1"/>
  <c r="J45" i="1"/>
  <c r="M163" i="1" s="1"/>
  <c r="M166" i="1" s="1"/>
  <c r="C45" i="1"/>
  <c r="F163" i="1" s="1"/>
  <c r="F166" i="1" s="1"/>
  <c r="D45" i="1"/>
  <c r="G163" i="1" s="1"/>
  <c r="G166" i="1" s="1"/>
  <c r="F45" i="1"/>
  <c r="I163" i="1" s="1"/>
  <c r="I166" i="1" s="1"/>
  <c r="H45" i="1"/>
  <c r="K163" i="1" s="1"/>
  <c r="K166" i="1" s="1"/>
  <c r="C64" i="1"/>
  <c r="C65" i="1" s="1"/>
  <c r="E14" i="5"/>
  <c r="G14" i="5" s="1"/>
  <c r="G11" i="1"/>
  <c r="F21" i="1" s="1"/>
  <c r="C134" i="1"/>
  <c r="G15" i="1"/>
  <c r="F25" i="1" s="1"/>
  <c r="G9" i="1"/>
  <c r="F19" i="1" s="1"/>
  <c r="G13" i="1"/>
  <c r="F23" i="1" s="1"/>
  <c r="J11" i="1"/>
  <c r="I11" i="1"/>
  <c r="H21" i="1" s="1"/>
  <c r="J15" i="1"/>
  <c r="I15" i="1"/>
  <c r="H25" i="1" s="1"/>
  <c r="J9" i="1"/>
  <c r="I9" i="1"/>
  <c r="J13" i="1"/>
  <c r="I13" i="1"/>
  <c r="H23" i="1" s="1"/>
  <c r="D19" i="1"/>
  <c r="D26" i="1" s="1"/>
  <c r="C35" i="1" s="1"/>
  <c r="E16" i="1"/>
  <c r="H10" i="1"/>
  <c r="H12" i="1"/>
  <c r="H14" i="1"/>
  <c r="G78" i="1"/>
  <c r="D64" i="1" l="1"/>
  <c r="E64" i="1" s="1"/>
  <c r="D15" i="5"/>
  <c r="G16" i="1"/>
  <c r="F26" i="1"/>
  <c r="D35" i="1" s="1"/>
  <c r="H78" i="1"/>
  <c r="I14" i="1"/>
  <c r="H24" i="1" s="1"/>
  <c r="J14" i="1"/>
  <c r="I10" i="1"/>
  <c r="H20" i="1" s="1"/>
  <c r="J10" i="1"/>
  <c r="F8" i="2"/>
  <c r="F10" i="2" s="1"/>
  <c r="C40" i="1"/>
  <c r="C38" i="1"/>
  <c r="C37" i="1"/>
  <c r="C57" i="1"/>
  <c r="L13" i="1"/>
  <c r="K13" i="1"/>
  <c r="J23" i="1" s="1"/>
  <c r="L9" i="1"/>
  <c r="K9" i="1"/>
  <c r="L15" i="1"/>
  <c r="K15" i="1"/>
  <c r="J25" i="1" s="1"/>
  <c r="L11" i="1"/>
  <c r="K11" i="1"/>
  <c r="J21" i="1" s="1"/>
  <c r="D65" i="1"/>
  <c r="I12" i="1"/>
  <c r="H22" i="1" s="1"/>
  <c r="J12" i="1"/>
  <c r="H19" i="1"/>
  <c r="E15" i="5" l="1"/>
  <c r="G15" i="5" s="1"/>
  <c r="C43" i="1"/>
  <c r="F162" i="1" s="1"/>
  <c r="F164" i="1" s="1"/>
  <c r="D40" i="1"/>
  <c r="D37" i="1"/>
  <c r="D57" i="1"/>
  <c r="D38" i="1"/>
  <c r="H26" i="1"/>
  <c r="E35" i="1" s="1"/>
  <c r="E38" i="1" s="1"/>
  <c r="F12" i="2"/>
  <c r="N11" i="1"/>
  <c r="M11" i="1"/>
  <c r="L21" i="1" s="1"/>
  <c r="M15" i="1"/>
  <c r="L25" i="1" s="1"/>
  <c r="N15" i="1"/>
  <c r="N9" i="1"/>
  <c r="M9" i="1"/>
  <c r="N13" i="1"/>
  <c r="M13" i="1"/>
  <c r="L23" i="1" s="1"/>
  <c r="I16" i="1"/>
  <c r="K12" i="1"/>
  <c r="J22" i="1" s="1"/>
  <c r="L12" i="1"/>
  <c r="F64" i="1"/>
  <c r="E65" i="1"/>
  <c r="J19" i="1"/>
  <c r="C89" i="1"/>
  <c r="F177" i="1"/>
  <c r="C58" i="1"/>
  <c r="C66" i="1" s="1"/>
  <c r="K10" i="1"/>
  <c r="J20" i="1" s="1"/>
  <c r="L10" i="1"/>
  <c r="K14" i="1"/>
  <c r="J24" i="1" s="1"/>
  <c r="L14" i="1"/>
  <c r="I78" i="1"/>
  <c r="E40" i="1" l="1"/>
  <c r="E43" i="1" s="1"/>
  <c r="E48" i="1" s="1"/>
  <c r="D16" i="5"/>
  <c r="E37" i="1"/>
  <c r="C48" i="1"/>
  <c r="C49" i="1" s="1"/>
  <c r="C69" i="1" s="1"/>
  <c r="E57" i="1"/>
  <c r="E89" i="1" s="1"/>
  <c r="D43" i="1"/>
  <c r="D48" i="1" s="1"/>
  <c r="D58" i="1"/>
  <c r="D66" i="1" s="1"/>
  <c r="D89" i="1"/>
  <c r="G177" i="1"/>
  <c r="K16" i="1"/>
  <c r="M12" i="1"/>
  <c r="L22" i="1" s="1"/>
  <c r="N12" i="1"/>
  <c r="L19" i="1"/>
  <c r="O15" i="1"/>
  <c r="N25" i="1" s="1"/>
  <c r="P15" i="1"/>
  <c r="F165" i="1"/>
  <c r="J78" i="1"/>
  <c r="M14" i="1"/>
  <c r="L24" i="1" s="1"/>
  <c r="N14" i="1"/>
  <c r="M10" i="1"/>
  <c r="L20" i="1" s="1"/>
  <c r="N10" i="1"/>
  <c r="J26" i="1"/>
  <c r="F35" i="1" s="1"/>
  <c r="F65" i="1"/>
  <c r="G64" i="1"/>
  <c r="P13" i="1"/>
  <c r="O13" i="1"/>
  <c r="N23" i="1" s="1"/>
  <c r="P9" i="1"/>
  <c r="O9" i="1"/>
  <c r="P11" i="1"/>
  <c r="O11" i="1"/>
  <c r="N21" i="1" s="1"/>
  <c r="F167" i="1" l="1"/>
  <c r="F178" i="1"/>
  <c r="E16" i="5"/>
  <c r="G16" i="5" s="1"/>
  <c r="H162" i="1"/>
  <c r="H164" i="1" s="1"/>
  <c r="H165" i="1" s="1"/>
  <c r="G162" i="1"/>
  <c r="G164" i="1" s="1"/>
  <c r="G165" i="1" s="1"/>
  <c r="H177" i="1"/>
  <c r="M16" i="1"/>
  <c r="C50" i="1"/>
  <c r="C79" i="1" s="1"/>
  <c r="E58" i="1"/>
  <c r="E66" i="1" s="1"/>
  <c r="D49" i="1"/>
  <c r="D69" i="1" s="1"/>
  <c r="D70" i="1" s="1"/>
  <c r="R11" i="1"/>
  <c r="S11" i="1" s="1"/>
  <c r="R21" i="1" s="1"/>
  <c r="Q11" i="1"/>
  <c r="P21" i="1" s="1"/>
  <c r="R9" i="1"/>
  <c r="S9" i="1" s="1"/>
  <c r="Q9" i="1"/>
  <c r="R13" i="1"/>
  <c r="S13" i="1" s="1"/>
  <c r="R23" i="1" s="1"/>
  <c r="Q13" i="1"/>
  <c r="P23" i="1" s="1"/>
  <c r="O10" i="1"/>
  <c r="N20" i="1" s="1"/>
  <c r="P10" i="1"/>
  <c r="O14" i="1"/>
  <c r="N24" i="1" s="1"/>
  <c r="P14" i="1"/>
  <c r="Q15" i="1"/>
  <c r="P25" i="1" s="1"/>
  <c r="R15" i="1"/>
  <c r="S15" i="1" s="1"/>
  <c r="R25" i="1" s="1"/>
  <c r="O12" i="1"/>
  <c r="N22" i="1" s="1"/>
  <c r="P12" i="1"/>
  <c r="C70" i="1"/>
  <c r="N19" i="1"/>
  <c r="H64" i="1"/>
  <c r="G65" i="1"/>
  <c r="F57" i="1"/>
  <c r="F40" i="1"/>
  <c r="F38" i="1"/>
  <c r="F37" i="1"/>
  <c r="C112" i="1"/>
  <c r="L26" i="1"/>
  <c r="G35" i="1" s="1"/>
  <c r="E49" i="1"/>
  <c r="E69" i="1" s="1"/>
  <c r="H167" i="1" l="1"/>
  <c r="H178" i="1"/>
  <c r="G167" i="1"/>
  <c r="G178" i="1"/>
  <c r="F184" i="1"/>
  <c r="C90" i="1"/>
  <c r="D17" i="5"/>
  <c r="G184" i="1"/>
  <c r="F43" i="1"/>
  <c r="I162" i="1" s="1"/>
  <c r="I164" i="1" s="1"/>
  <c r="N26" i="1"/>
  <c r="H35" i="1" s="1"/>
  <c r="H57" i="1" s="1"/>
  <c r="D50" i="1"/>
  <c r="D90" i="1" s="1"/>
  <c r="H184" i="1"/>
  <c r="E70" i="1"/>
  <c r="G40" i="1"/>
  <c r="G38" i="1"/>
  <c r="G37" i="1"/>
  <c r="G57" i="1"/>
  <c r="I177" i="1"/>
  <c r="F89" i="1"/>
  <c r="F58" i="1"/>
  <c r="F66" i="1" s="1"/>
  <c r="H65" i="1"/>
  <c r="I64" i="1"/>
  <c r="Q12" i="1"/>
  <c r="P22" i="1" s="1"/>
  <c r="R12" i="1"/>
  <c r="S12" i="1" s="1"/>
  <c r="R22" i="1" s="1"/>
  <c r="R19" i="1"/>
  <c r="E50" i="1"/>
  <c r="O16" i="1"/>
  <c r="Q14" i="1"/>
  <c r="P24" i="1" s="1"/>
  <c r="R14" i="1"/>
  <c r="S14" i="1" s="1"/>
  <c r="R24" i="1" s="1"/>
  <c r="Q10" i="1"/>
  <c r="P20" i="1" s="1"/>
  <c r="R10" i="1"/>
  <c r="S10" i="1" s="1"/>
  <c r="R20" i="1" s="1"/>
  <c r="P19" i="1"/>
  <c r="C80" i="1"/>
  <c r="C91" i="1" s="1"/>
  <c r="H37" i="1" l="1"/>
  <c r="E17" i="5"/>
  <c r="G17" i="5" s="1"/>
  <c r="D79" i="1"/>
  <c r="D80" i="1" s="1"/>
  <c r="F48" i="1"/>
  <c r="F49" i="1" s="1"/>
  <c r="F69" i="1" s="1"/>
  <c r="H40" i="1"/>
  <c r="H38" i="1"/>
  <c r="P26" i="1"/>
  <c r="I35" i="1" s="1"/>
  <c r="I40" i="1" s="1"/>
  <c r="S16" i="1"/>
  <c r="G43" i="1"/>
  <c r="J162" i="1" s="1"/>
  <c r="J164" i="1" s="1"/>
  <c r="E90" i="1"/>
  <c r="K177" i="1"/>
  <c r="H89" i="1"/>
  <c r="H58" i="1"/>
  <c r="H66" i="1" s="1"/>
  <c r="E87" i="1"/>
  <c r="Q16" i="1"/>
  <c r="R26" i="1"/>
  <c r="J35" i="1" s="1"/>
  <c r="J64" i="1"/>
  <c r="I65" i="1"/>
  <c r="G89" i="1"/>
  <c r="J177" i="1"/>
  <c r="G58" i="1"/>
  <c r="G66" i="1" s="1"/>
  <c r="I165" i="1"/>
  <c r="I167" i="1" l="1"/>
  <c r="I178" i="1"/>
  <c r="I38" i="1"/>
  <c r="E79" i="1"/>
  <c r="E80" i="1" s="1"/>
  <c r="E91" i="1" s="1"/>
  <c r="D18" i="5"/>
  <c r="E18" i="5" s="1"/>
  <c r="G18" i="5" s="1"/>
  <c r="I57" i="1"/>
  <c r="I89" i="1" s="1"/>
  <c r="G48" i="1"/>
  <c r="G49" i="1" s="1"/>
  <c r="G69" i="1" s="1"/>
  <c r="I37" i="1"/>
  <c r="H43" i="1"/>
  <c r="H48" i="1" s="1"/>
  <c r="H49" i="1" s="1"/>
  <c r="H69" i="1" s="1"/>
  <c r="P170" i="1"/>
  <c r="M170" i="1" s="1"/>
  <c r="S170" i="1" s="1"/>
  <c r="M174" i="1" s="1"/>
  <c r="J65" i="1"/>
  <c r="F50" i="1"/>
  <c r="F90" i="1" s="1"/>
  <c r="J57" i="1"/>
  <c r="J40" i="1"/>
  <c r="J38" i="1"/>
  <c r="J37" i="1"/>
  <c r="F70" i="1"/>
  <c r="D91" i="1"/>
  <c r="J165" i="1"/>
  <c r="J167" i="1" l="1"/>
  <c r="J184" i="1" s="1"/>
  <c r="J178" i="1"/>
  <c r="I43" i="1"/>
  <c r="L162" i="1" s="1"/>
  <c r="L164" i="1" s="1"/>
  <c r="L165" i="1" s="1"/>
  <c r="K162" i="1"/>
  <c r="K164" i="1" s="1"/>
  <c r="K165" i="1" s="1"/>
  <c r="I184" i="1"/>
  <c r="D19" i="5"/>
  <c r="E19" i="5" s="1"/>
  <c r="G19" i="5" s="1"/>
  <c r="L177" i="1"/>
  <c r="I58" i="1"/>
  <c r="I66" i="1" s="1"/>
  <c r="J43" i="1"/>
  <c r="M162" i="1" s="1"/>
  <c r="M164" i="1" s="1"/>
  <c r="F79" i="1"/>
  <c r="F80" i="1" s="1"/>
  <c r="F91" i="1" s="1"/>
  <c r="H50" i="1"/>
  <c r="H90" i="1" s="1"/>
  <c r="G50" i="1"/>
  <c r="G90" i="1" s="1"/>
  <c r="H70" i="1"/>
  <c r="F87" i="1"/>
  <c r="M177" i="1"/>
  <c r="M181" i="1"/>
  <c r="J89" i="1"/>
  <c r="K89" i="1" s="1"/>
  <c r="J58" i="1"/>
  <c r="J66" i="1" s="1"/>
  <c r="G70" i="1"/>
  <c r="L167" i="1" l="1"/>
  <c r="L178" i="1"/>
  <c r="P177" i="1"/>
  <c r="K167" i="1"/>
  <c r="K178" i="1"/>
  <c r="I48" i="1"/>
  <c r="I49" i="1" s="1"/>
  <c r="I69" i="1" s="1"/>
  <c r="I70" i="1" s="1"/>
  <c r="K184" i="1"/>
  <c r="D20" i="5"/>
  <c r="E20" i="5" s="1"/>
  <c r="G20" i="5" s="1"/>
  <c r="G79" i="1"/>
  <c r="H79" i="1" s="1"/>
  <c r="J48" i="1"/>
  <c r="J49" i="1" s="1"/>
  <c r="J69" i="1" s="1"/>
  <c r="G87" i="1"/>
  <c r="H87" i="1"/>
  <c r="M165" i="1"/>
  <c r="M167" i="1" l="1"/>
  <c r="M182" i="1"/>
  <c r="O182" i="1" s="1"/>
  <c r="M178" i="1"/>
  <c r="O180" i="1" s="1"/>
  <c r="I50" i="1"/>
  <c r="I90" i="1" s="1"/>
  <c r="L184" i="1"/>
  <c r="D21" i="5"/>
  <c r="E21" i="5" s="1"/>
  <c r="G21" i="5" s="1"/>
  <c r="G80" i="1"/>
  <c r="G91" i="1" s="1"/>
  <c r="J50" i="1"/>
  <c r="J90" i="1" s="1"/>
  <c r="K90" i="1" s="1"/>
  <c r="I87" i="1"/>
  <c r="I79" i="1"/>
  <c r="H80" i="1"/>
  <c r="J70" i="1"/>
  <c r="P178" i="1" l="1"/>
  <c r="P179" i="1" s="1"/>
  <c r="D22" i="5"/>
  <c r="E22" i="5" s="1"/>
  <c r="G22" i="5" s="1"/>
  <c r="M184" i="1"/>
  <c r="E193" i="1" s="1"/>
  <c r="I148" i="1" s="1"/>
  <c r="H91" i="1"/>
  <c r="J87" i="1"/>
  <c r="K87" i="1" s="1"/>
  <c r="J79" i="1"/>
  <c r="I80" i="1"/>
  <c r="D23" i="5" l="1"/>
  <c r="E23" i="5" s="1"/>
  <c r="G23" i="5" s="1"/>
  <c r="C73" i="1" s="1"/>
  <c r="C75" i="1" s="1"/>
  <c r="C113" i="1"/>
  <c r="C114" i="1" s="1"/>
  <c r="D118" i="1" s="1"/>
  <c r="J80" i="1"/>
  <c r="I91" i="1"/>
  <c r="C81" i="1" l="1"/>
  <c r="C84" i="1" s="1"/>
  <c r="C88" i="1"/>
  <c r="D24" i="5"/>
  <c r="E24" i="5" s="1"/>
  <c r="G24" i="5" s="1"/>
  <c r="J91" i="1"/>
  <c r="K91" i="1" s="1"/>
  <c r="D25" i="5" l="1"/>
  <c r="E25" i="5" s="1"/>
  <c r="G25" i="5" s="1"/>
  <c r="D26" i="5" l="1"/>
  <c r="E26" i="5" s="1"/>
  <c r="G26" i="5" s="1"/>
  <c r="D27" i="5" l="1"/>
  <c r="E27" i="5" s="1"/>
  <c r="G27" i="5" s="1"/>
  <c r="D28" i="5" l="1"/>
  <c r="E28" i="5" s="1"/>
  <c r="G28" i="5" s="1"/>
  <c r="D29" i="5" l="1"/>
  <c r="E29" i="5" s="1"/>
  <c r="G29" i="5" s="1"/>
  <c r="D30" i="5" l="1"/>
  <c r="E30" i="5" s="1"/>
  <c r="G30" i="5" s="1"/>
  <c r="D31" i="5" l="1"/>
  <c r="E31" i="5" s="1"/>
  <c r="G31" i="5" s="1"/>
  <c r="D32" i="5" l="1"/>
  <c r="E32" i="5" s="1"/>
  <c r="G32" i="5" s="1"/>
  <c r="D33" i="5" l="1"/>
  <c r="E33" i="5" s="1"/>
  <c r="G33" i="5" s="1"/>
  <c r="D34" i="5" l="1"/>
  <c r="E34" i="5" s="1"/>
  <c r="G34" i="5" s="1"/>
  <c r="D35" i="5" l="1"/>
  <c r="E35" i="5" s="1"/>
  <c r="G35" i="5" s="1"/>
  <c r="D73" i="1" s="1"/>
  <c r="D75" i="1" s="1"/>
  <c r="D81" i="1" l="1"/>
  <c r="D84" i="1" s="1"/>
  <c r="D88" i="1"/>
  <c r="D36" i="5"/>
  <c r="E36" i="5" s="1"/>
  <c r="G36" i="5" s="1"/>
  <c r="D37" i="5" l="1"/>
  <c r="E37" i="5" s="1"/>
  <c r="G37" i="5" s="1"/>
  <c r="D38" i="5" l="1"/>
  <c r="E38" i="5" s="1"/>
  <c r="G38" i="5" s="1"/>
  <c r="D39" i="5" l="1"/>
  <c r="E39" i="5" s="1"/>
  <c r="G39" i="5" s="1"/>
  <c r="D40" i="5" l="1"/>
  <c r="E40" i="5" s="1"/>
  <c r="G40" i="5" s="1"/>
  <c r="D41" i="5" l="1"/>
  <c r="E41" i="5" s="1"/>
  <c r="G41" i="5" s="1"/>
  <c r="D42" i="5" l="1"/>
  <c r="E42" i="5" s="1"/>
  <c r="G42" i="5" s="1"/>
  <c r="D43" i="5" l="1"/>
  <c r="E43" i="5" s="1"/>
  <c r="G43" i="5" s="1"/>
  <c r="D44" i="5" l="1"/>
  <c r="E44" i="5" s="1"/>
  <c r="G44" i="5" s="1"/>
  <c r="D45" i="5" l="1"/>
  <c r="E45" i="5" s="1"/>
  <c r="G45" i="5" s="1"/>
  <c r="D46" i="5" l="1"/>
  <c r="E46" i="5" s="1"/>
  <c r="G46" i="5" s="1"/>
  <c r="D47" i="5" l="1"/>
  <c r="E47" i="5" s="1"/>
  <c r="G47" i="5" s="1"/>
  <c r="E73" i="1" s="1"/>
  <c r="E75" i="1" s="1"/>
  <c r="E81" i="1" l="1"/>
  <c r="E84" i="1" s="1"/>
  <c r="E88" i="1"/>
  <c r="D48" i="5"/>
  <c r="E48" i="5" s="1"/>
  <c r="G48" i="5" s="1"/>
  <c r="D49" i="5" l="1"/>
  <c r="E49" i="5" s="1"/>
  <c r="G49" i="5" s="1"/>
  <c r="D50" i="5" l="1"/>
  <c r="E50" i="5" s="1"/>
  <c r="G50" i="5" s="1"/>
  <c r="D51" i="5" l="1"/>
  <c r="E51" i="5" s="1"/>
  <c r="G51" i="5" s="1"/>
  <c r="D52" i="5" l="1"/>
  <c r="E52" i="5" s="1"/>
  <c r="G52" i="5" s="1"/>
  <c r="D53" i="5" l="1"/>
  <c r="E53" i="5" s="1"/>
  <c r="G53" i="5" s="1"/>
  <c r="D54" i="5" l="1"/>
  <c r="E54" i="5" s="1"/>
  <c r="G54" i="5" s="1"/>
  <c r="D55" i="5" l="1"/>
  <c r="E55" i="5" s="1"/>
  <c r="G55" i="5" s="1"/>
  <c r="D56" i="5" l="1"/>
  <c r="E56" i="5" s="1"/>
  <c r="G56" i="5" s="1"/>
  <c r="D57" i="5" l="1"/>
  <c r="E57" i="5" s="1"/>
  <c r="G57" i="5" s="1"/>
  <c r="D58" i="5" l="1"/>
  <c r="E58" i="5" s="1"/>
  <c r="G58" i="5" s="1"/>
  <c r="D59" i="5" l="1"/>
  <c r="E59" i="5" s="1"/>
  <c r="G59" i="5" s="1"/>
  <c r="F73" i="1" s="1"/>
  <c r="F75" i="1" s="1"/>
  <c r="F88" i="1" l="1"/>
  <c r="F81" i="1"/>
  <c r="F84" i="1" s="1"/>
  <c r="D60" i="5"/>
  <c r="E60" i="5" s="1"/>
  <c r="G60" i="5" s="1"/>
  <c r="D61" i="5" l="1"/>
  <c r="E61" i="5" s="1"/>
  <c r="G61" i="5" s="1"/>
  <c r="D62" i="5" l="1"/>
  <c r="E62" i="5" s="1"/>
  <c r="G62" i="5" s="1"/>
  <c r="D63" i="5" l="1"/>
  <c r="E63" i="5" s="1"/>
  <c r="G63" i="5" s="1"/>
  <c r="D64" i="5" l="1"/>
  <c r="E64" i="5" s="1"/>
  <c r="G64" i="5" s="1"/>
  <c r="D65" i="5" l="1"/>
  <c r="E65" i="5" s="1"/>
  <c r="G65" i="5" s="1"/>
  <c r="D66" i="5" l="1"/>
  <c r="E66" i="5" s="1"/>
  <c r="G66" i="5" s="1"/>
  <c r="D67" i="5" l="1"/>
  <c r="E67" i="5" s="1"/>
  <c r="G67" i="5" s="1"/>
  <c r="D68" i="5" l="1"/>
  <c r="E68" i="5" s="1"/>
  <c r="G68" i="5" s="1"/>
  <c r="D69" i="5" l="1"/>
  <c r="E69" i="5" s="1"/>
  <c r="G69" i="5" s="1"/>
  <c r="D70" i="5" l="1"/>
  <c r="E70" i="5" s="1"/>
  <c r="G70" i="5" s="1"/>
  <c r="D71" i="5" l="1"/>
  <c r="E71" i="5" s="1"/>
  <c r="G71" i="5" s="1"/>
  <c r="G73" i="1" s="1"/>
  <c r="G75" i="1" s="1"/>
  <c r="G81" i="1" l="1"/>
  <c r="G84" i="1" s="1"/>
  <c r="G88" i="1"/>
  <c r="D72" i="5"/>
  <c r="E72" i="5" s="1"/>
  <c r="G72" i="5" s="1"/>
  <c r="D73" i="5" l="1"/>
  <c r="E73" i="5" s="1"/>
  <c r="G73" i="5" s="1"/>
  <c r="D74" i="5" l="1"/>
  <c r="E74" i="5" s="1"/>
  <c r="G74" i="5" s="1"/>
  <c r="D75" i="5" l="1"/>
  <c r="E75" i="5" s="1"/>
  <c r="G75" i="5" s="1"/>
  <c r="D76" i="5" l="1"/>
  <c r="E76" i="5" s="1"/>
  <c r="G76" i="5" s="1"/>
  <c r="D77" i="5" l="1"/>
  <c r="E77" i="5" s="1"/>
  <c r="G77" i="5" s="1"/>
  <c r="D78" i="5" l="1"/>
  <c r="E78" i="5" s="1"/>
  <c r="G78" i="5" s="1"/>
  <c r="D79" i="5" l="1"/>
  <c r="E79" i="5" s="1"/>
  <c r="G79" i="5" s="1"/>
  <c r="D80" i="5" l="1"/>
  <c r="E80" i="5" s="1"/>
  <c r="G80" i="5" s="1"/>
  <c r="D81" i="5" l="1"/>
  <c r="E81" i="5" s="1"/>
  <c r="G81" i="5" s="1"/>
  <c r="D82" i="5" l="1"/>
  <c r="E82" i="5" s="1"/>
  <c r="G82" i="5" s="1"/>
  <c r="D83" i="5" l="1"/>
  <c r="E83" i="5" s="1"/>
  <c r="G83" i="5" s="1"/>
  <c r="H73" i="1" s="1"/>
  <c r="H75" i="1" s="1"/>
  <c r="H88" i="1" l="1"/>
  <c r="H81" i="1"/>
  <c r="H84" i="1" s="1"/>
  <c r="D84" i="5"/>
  <c r="E84" i="5" s="1"/>
  <c r="G84" i="5" s="1"/>
  <c r="D85" i="5" l="1"/>
  <c r="E85" i="5" s="1"/>
  <c r="G85" i="5" s="1"/>
  <c r="D86" i="5" l="1"/>
  <c r="E86" i="5" s="1"/>
  <c r="G86" i="5" s="1"/>
  <c r="D87" i="5" l="1"/>
  <c r="E87" i="5" s="1"/>
  <c r="G87" i="5" s="1"/>
  <c r="D88" i="5" l="1"/>
  <c r="E88" i="5" s="1"/>
  <c r="G88" i="5" s="1"/>
  <c r="D89" i="5" l="1"/>
  <c r="E89" i="5" s="1"/>
  <c r="G89" i="5" s="1"/>
  <c r="D90" i="5" l="1"/>
  <c r="E90" i="5" s="1"/>
  <c r="G90" i="5" s="1"/>
  <c r="D91" i="5" l="1"/>
  <c r="E91" i="5" s="1"/>
  <c r="G91" i="5" s="1"/>
  <c r="D92" i="5" l="1"/>
  <c r="E92" i="5" s="1"/>
  <c r="G92" i="5" s="1"/>
  <c r="D93" i="5" l="1"/>
  <c r="E93" i="5" s="1"/>
  <c r="G93" i="5" s="1"/>
  <c r="D94" i="5" l="1"/>
  <c r="E94" i="5" s="1"/>
  <c r="G94" i="5" s="1"/>
  <c r="D95" i="5" l="1"/>
  <c r="E95" i="5" s="1"/>
  <c r="G95" i="5" s="1"/>
  <c r="I73" i="1" s="1"/>
  <c r="I75" i="1" s="1"/>
  <c r="I81" i="1" l="1"/>
  <c r="I84" i="1" s="1"/>
  <c r="I88" i="1"/>
  <c r="D96" i="5"/>
  <c r="E96" i="5" s="1"/>
  <c r="G96" i="5" s="1"/>
  <c r="D97" i="5" l="1"/>
  <c r="E97" i="5" s="1"/>
  <c r="G97" i="5" s="1"/>
  <c r="D98" i="5" l="1"/>
  <c r="E98" i="5" s="1"/>
  <c r="G98" i="5" s="1"/>
  <c r="D99" i="5" l="1"/>
  <c r="E99" i="5" s="1"/>
  <c r="G99" i="5" s="1"/>
  <c r="D100" i="5" l="1"/>
  <c r="E100" i="5" s="1"/>
  <c r="G100" i="5" s="1"/>
  <c r="D101" i="5" l="1"/>
  <c r="E101" i="5" s="1"/>
  <c r="G101" i="5" s="1"/>
  <c r="D102" i="5" l="1"/>
  <c r="E102" i="5" s="1"/>
  <c r="G102" i="5" s="1"/>
  <c r="D103" i="5" l="1"/>
  <c r="E103" i="5" s="1"/>
  <c r="G103" i="5" s="1"/>
  <c r="D104" i="5" l="1"/>
  <c r="E104" i="5" s="1"/>
  <c r="G104" i="5" s="1"/>
  <c r="D105" i="5" l="1"/>
  <c r="E105" i="5" s="1"/>
  <c r="G105" i="5" s="1"/>
  <c r="D106" i="5" l="1"/>
  <c r="E106" i="5" s="1"/>
  <c r="G106" i="5" s="1"/>
  <c r="D107" i="5" l="1"/>
  <c r="E107" i="5" s="1"/>
  <c r="G107" i="5" s="1"/>
  <c r="J73" i="1" s="1"/>
  <c r="C106" i="1" l="1"/>
  <c r="C108" i="1" s="1"/>
  <c r="J75" i="1"/>
  <c r="D108" i="5"/>
  <c r="E108" i="5" s="1"/>
  <c r="G108" i="5" s="1"/>
  <c r="J81" i="1" l="1"/>
  <c r="J84" i="1" s="1"/>
  <c r="J88" i="1"/>
  <c r="K88" i="1" s="1"/>
  <c r="G106" i="1"/>
  <c r="I106" i="1" s="1"/>
  <c r="D117" i="1"/>
  <c r="D119" i="1" s="1"/>
  <c r="G107" i="1"/>
  <c r="I107" i="1" s="1"/>
  <c r="D109" i="5"/>
  <c r="E109" i="5" s="1"/>
  <c r="G109" i="5" s="1"/>
  <c r="I108" i="1" l="1"/>
  <c r="E117" i="1" s="1"/>
  <c r="E150" i="1" s="1"/>
  <c r="F150" i="1" s="1"/>
  <c r="H150" i="1" s="1"/>
  <c r="G117" i="1"/>
  <c r="G118" i="1"/>
  <c r="D110" i="5"/>
  <c r="E110" i="5" s="1"/>
  <c r="G110" i="5" s="1"/>
  <c r="F117" i="1" l="1"/>
  <c r="H117" i="1" s="1"/>
  <c r="C127" i="1"/>
  <c r="H118" i="1"/>
  <c r="C126" i="1"/>
  <c r="D111" i="5"/>
  <c r="E111" i="5" s="1"/>
  <c r="G111" i="5" s="1"/>
  <c r="H119" i="1" l="1"/>
  <c r="E187" i="1" s="1"/>
  <c r="J190" i="1" s="1"/>
  <c r="C129" i="1"/>
  <c r="C133" i="1" s="1"/>
  <c r="C137" i="1" s="1"/>
  <c r="C142" i="1" s="1"/>
  <c r="C146" i="1" s="1"/>
  <c r="E151" i="1" s="1"/>
  <c r="F151" i="1" s="1"/>
  <c r="H151" i="1" s="1"/>
  <c r="H152" i="1" s="1"/>
  <c r="I190" i="1"/>
  <c r="G190" i="1"/>
  <c r="H190" i="1"/>
  <c r="K190" i="1"/>
  <c r="E190" i="1"/>
  <c r="D112" i="5"/>
  <c r="E112" i="5" s="1"/>
  <c r="G112" i="5" s="1"/>
  <c r="F190" i="1" l="1"/>
  <c r="M190" i="1"/>
  <c r="L190" i="1"/>
  <c r="D113" i="5"/>
  <c r="E113" i="5" s="1"/>
  <c r="G113" i="5" s="1"/>
  <c r="E192" i="1" l="1"/>
  <c r="D114" i="5"/>
  <c r="E114" i="5" s="1"/>
  <c r="G114" i="5" s="1"/>
  <c r="D115" i="5" l="1"/>
  <c r="E115" i="5" s="1"/>
  <c r="G115" i="5" s="1"/>
  <c r="D116" i="5" l="1"/>
  <c r="E116" i="5" s="1"/>
  <c r="G116" i="5" s="1"/>
  <c r="D117" i="5" l="1"/>
  <c r="E117" i="5" s="1"/>
  <c r="G117" i="5" s="1"/>
  <c r="D118" i="5" l="1"/>
  <c r="E118" i="5" s="1"/>
  <c r="G118" i="5" s="1"/>
  <c r="D119" i="5" l="1"/>
  <c r="E119" i="5" s="1"/>
  <c r="G119" i="5" s="1"/>
  <c r="D120" i="5" l="1"/>
  <c r="E120" i="5" s="1"/>
  <c r="G120" i="5" s="1"/>
  <c r="D121" i="5" l="1"/>
  <c r="E121" i="5" s="1"/>
  <c r="G121" i="5" s="1"/>
  <c r="D122" i="5" l="1"/>
  <c r="E122" i="5" s="1"/>
  <c r="G122" i="5" s="1"/>
  <c r="D123" i="5" l="1"/>
  <c r="E123" i="5" s="1"/>
  <c r="G123" i="5" s="1"/>
  <c r="D124" i="5" l="1"/>
  <c r="E124" i="5" s="1"/>
  <c r="G124" i="5" s="1"/>
  <c r="D125" i="5" l="1"/>
  <c r="E125" i="5" s="1"/>
  <c r="G125" i="5" s="1"/>
  <c r="D126" i="5" l="1"/>
  <c r="E126" i="5" s="1"/>
  <c r="G126" i="5" s="1"/>
  <c r="D127" i="5" l="1"/>
  <c r="E127" i="5" s="1"/>
  <c r="G127" i="5" s="1"/>
  <c r="D128" i="5" l="1"/>
  <c r="E128" i="5" s="1"/>
  <c r="G128" i="5" s="1"/>
  <c r="D129" i="5" l="1"/>
  <c r="E129" i="5" s="1"/>
  <c r="G129" i="5" s="1"/>
  <c r="D130" i="5" l="1"/>
  <c r="E130" i="5" s="1"/>
  <c r="G130" i="5" s="1"/>
  <c r="D131" i="5" l="1"/>
  <c r="E131" i="5" s="1"/>
  <c r="G131" i="5" s="1"/>
  <c r="D132" i="5" l="1"/>
  <c r="E132" i="5" s="1"/>
  <c r="G132" i="5" s="1"/>
  <c r="D133" i="5" l="1"/>
  <c r="E133" i="5" s="1"/>
  <c r="G133" i="5" s="1"/>
  <c r="D134" i="5" l="1"/>
  <c r="E134" i="5" s="1"/>
  <c r="G134" i="5" s="1"/>
  <c r="D135" i="5" l="1"/>
  <c r="E135" i="5" s="1"/>
  <c r="G135" i="5" s="1"/>
  <c r="D136" i="5" l="1"/>
  <c r="E136" i="5" s="1"/>
  <c r="G136" i="5" s="1"/>
  <c r="D137" i="5" l="1"/>
  <c r="E137" i="5" s="1"/>
  <c r="G137" i="5" s="1"/>
  <c r="D138" i="5" l="1"/>
  <c r="E138" i="5" s="1"/>
  <c r="G138" i="5" s="1"/>
  <c r="D139" i="5" l="1"/>
  <c r="E139" i="5" s="1"/>
  <c r="G139" i="5" s="1"/>
  <c r="D140" i="5" l="1"/>
  <c r="E140" i="5" s="1"/>
  <c r="G140" i="5" s="1"/>
  <c r="D141" i="5" l="1"/>
  <c r="E141" i="5" s="1"/>
  <c r="G141" i="5" s="1"/>
  <c r="D142" i="5" l="1"/>
  <c r="E142" i="5" s="1"/>
  <c r="G142" i="5" s="1"/>
  <c r="D143" i="5" l="1"/>
  <c r="E143" i="5" s="1"/>
  <c r="G143" i="5" s="1"/>
  <c r="D144" i="5" l="1"/>
  <c r="E144" i="5" s="1"/>
  <c r="G144" i="5" s="1"/>
  <c r="D145" i="5" l="1"/>
  <c r="E145" i="5" s="1"/>
  <c r="G145" i="5" s="1"/>
  <c r="D146" i="5" l="1"/>
  <c r="E146" i="5" s="1"/>
  <c r="G146" i="5" s="1"/>
  <c r="D147" i="5" l="1"/>
  <c r="E147" i="5" s="1"/>
  <c r="G147" i="5" s="1"/>
  <c r="D148" i="5" l="1"/>
  <c r="E148" i="5" s="1"/>
  <c r="G148" i="5" s="1"/>
  <c r="D149" i="5" l="1"/>
  <c r="E149" i="5" s="1"/>
  <c r="G149" i="5" s="1"/>
  <c r="D150" i="5" l="1"/>
  <c r="E150" i="5" s="1"/>
  <c r="G150" i="5" s="1"/>
  <c r="D151" i="5" l="1"/>
  <c r="E151" i="5" s="1"/>
  <c r="G151" i="5" s="1"/>
  <c r="D152" i="5" l="1"/>
  <c r="E152" i="5" s="1"/>
  <c r="G152" i="5" s="1"/>
  <c r="D153" i="5" l="1"/>
  <c r="E153" i="5" s="1"/>
  <c r="G153" i="5" s="1"/>
  <c r="D154" i="5" l="1"/>
  <c r="E154" i="5" s="1"/>
  <c r="G154" i="5" s="1"/>
  <c r="D155" i="5" l="1"/>
  <c r="E155" i="5" s="1"/>
  <c r="G155" i="5" s="1"/>
  <c r="D156" i="5" l="1"/>
  <c r="E156" i="5" s="1"/>
  <c r="G156" i="5" s="1"/>
  <c r="D157" i="5" l="1"/>
  <c r="E157" i="5" s="1"/>
  <c r="G157" i="5" s="1"/>
  <c r="D158" i="5" l="1"/>
  <c r="E158" i="5" s="1"/>
  <c r="G158" i="5" s="1"/>
  <c r="D159" i="5" l="1"/>
  <c r="E159" i="5" s="1"/>
  <c r="G159" i="5" s="1"/>
  <c r="D160" i="5" l="1"/>
  <c r="E160" i="5" s="1"/>
  <c r="G160" i="5" s="1"/>
  <c r="D161" i="5" l="1"/>
  <c r="E161" i="5" s="1"/>
  <c r="G161" i="5" s="1"/>
  <c r="D162" i="5" l="1"/>
  <c r="E162" i="5" s="1"/>
  <c r="G162" i="5" s="1"/>
  <c r="D163" i="5" l="1"/>
  <c r="E163" i="5" s="1"/>
  <c r="G163" i="5" s="1"/>
  <c r="D164" i="5" l="1"/>
  <c r="E164" i="5" s="1"/>
  <c r="G164" i="5" s="1"/>
  <c r="D165" i="5" l="1"/>
  <c r="E165" i="5" s="1"/>
  <c r="G165" i="5" s="1"/>
  <c r="D166" i="5" l="1"/>
  <c r="E166" i="5" s="1"/>
  <c r="G166" i="5" s="1"/>
  <c r="D167" i="5" l="1"/>
  <c r="E167" i="5" s="1"/>
  <c r="G167" i="5" s="1"/>
  <c r="D168" i="5" l="1"/>
  <c r="E168" i="5" s="1"/>
  <c r="G168" i="5" s="1"/>
  <c r="D169" i="5" l="1"/>
  <c r="E169" i="5" s="1"/>
  <c r="G169" i="5" s="1"/>
  <c r="D170" i="5" l="1"/>
  <c r="E170" i="5" s="1"/>
  <c r="G170" i="5" s="1"/>
  <c r="D171" i="5" l="1"/>
  <c r="E171" i="5" s="1"/>
  <c r="G171" i="5" s="1"/>
  <c r="D172" i="5" l="1"/>
  <c r="E172" i="5" s="1"/>
  <c r="G172" i="5" s="1"/>
  <c r="D173" i="5" l="1"/>
  <c r="E173" i="5" s="1"/>
  <c r="G173" i="5" s="1"/>
  <c r="D174" i="5" l="1"/>
  <c r="E174" i="5" s="1"/>
  <c r="G174" i="5" s="1"/>
  <c r="D175" i="5" l="1"/>
  <c r="E175" i="5" s="1"/>
  <c r="G175" i="5" s="1"/>
  <c r="D176" i="5" l="1"/>
  <c r="E176" i="5" s="1"/>
  <c r="G176" i="5" s="1"/>
  <c r="D177" i="5" l="1"/>
  <c r="E177" i="5" s="1"/>
  <c r="G177" i="5" s="1"/>
  <c r="D178" i="5" l="1"/>
  <c r="E178" i="5" s="1"/>
  <c r="G178" i="5" s="1"/>
  <c r="D179" i="5" l="1"/>
  <c r="E179" i="5" s="1"/>
  <c r="G179" i="5" s="1"/>
  <c r="D180" i="5" l="1"/>
  <c r="E180" i="5" s="1"/>
  <c r="G180" i="5" s="1"/>
  <c r="D181" i="5" l="1"/>
  <c r="E181" i="5" s="1"/>
  <c r="G181" i="5" s="1"/>
  <c r="D182" i="5" l="1"/>
  <c r="E182" i="5" s="1"/>
  <c r="G182" i="5" s="1"/>
  <c r="D183" i="5" l="1"/>
  <c r="E183" i="5" s="1"/>
  <c r="G183" i="5" s="1"/>
  <c r="D184" i="5" l="1"/>
  <c r="E184" i="5" s="1"/>
  <c r="G184" i="5" s="1"/>
  <c r="D185" i="5" l="1"/>
  <c r="E185" i="5" s="1"/>
  <c r="G185" i="5" s="1"/>
  <c r="D186" i="5" l="1"/>
  <c r="E186" i="5" s="1"/>
  <c r="G186" i="5" s="1"/>
  <c r="D187" i="5" l="1"/>
  <c r="E187" i="5" s="1"/>
  <c r="G187" i="5" s="1"/>
  <c r="D188" i="5" l="1"/>
  <c r="E188" i="5" s="1"/>
  <c r="G188" i="5" s="1"/>
  <c r="D189" i="5" l="1"/>
  <c r="E189" i="5" s="1"/>
  <c r="G189" i="5" s="1"/>
  <c r="D190" i="5" l="1"/>
  <c r="E190" i="5" s="1"/>
  <c r="G190" i="5" s="1"/>
  <c r="D191" i="5" l="1"/>
  <c r="E191" i="5" s="1"/>
  <c r="G191" i="5" s="1"/>
  <c r="D192" i="5" l="1"/>
  <c r="E192" i="5" s="1"/>
  <c r="G192" i="5" s="1"/>
  <c r="D193" i="5" l="1"/>
  <c r="E193" i="5" s="1"/>
  <c r="G193" i="5" s="1"/>
  <c r="D194" i="5" l="1"/>
  <c r="E194" i="5" s="1"/>
  <c r="G194" i="5" s="1"/>
  <c r="D195" i="5" l="1"/>
  <c r="E195" i="5" s="1"/>
  <c r="G195" i="5" s="1"/>
  <c r="D196" i="5" l="1"/>
  <c r="E196" i="5" s="1"/>
  <c r="G196" i="5" s="1"/>
  <c r="D197" i="5" l="1"/>
  <c r="E197" i="5" s="1"/>
  <c r="G197" i="5" s="1"/>
  <c r="D198" i="5" l="1"/>
  <c r="E198" i="5" s="1"/>
  <c r="G198" i="5" s="1"/>
  <c r="D199" i="5" l="1"/>
  <c r="E199" i="5" s="1"/>
  <c r="G199" i="5" s="1"/>
  <c r="D200" i="5" l="1"/>
  <c r="E200" i="5" s="1"/>
  <c r="G200" i="5" s="1"/>
  <c r="D201" i="5" l="1"/>
  <c r="E201" i="5" s="1"/>
  <c r="G201" i="5" s="1"/>
  <c r="D202" i="5" l="1"/>
  <c r="E202" i="5" s="1"/>
  <c r="G202" i="5" s="1"/>
  <c r="D203" i="5" l="1"/>
  <c r="E203" i="5" s="1"/>
  <c r="G203" i="5" s="1"/>
  <c r="D204" i="5" l="1"/>
  <c r="E204" i="5" s="1"/>
  <c r="G204" i="5" s="1"/>
  <c r="D205" i="5" l="1"/>
  <c r="E205" i="5" s="1"/>
  <c r="G205" i="5" s="1"/>
  <c r="D206" i="5" l="1"/>
  <c r="E206" i="5" s="1"/>
  <c r="G206" i="5" s="1"/>
  <c r="D207" i="5" l="1"/>
  <c r="E207" i="5" s="1"/>
  <c r="G207" i="5" s="1"/>
  <c r="D208" i="5" l="1"/>
  <c r="E208" i="5" s="1"/>
  <c r="G208" i="5" s="1"/>
  <c r="D209" i="5" l="1"/>
  <c r="E209" i="5" s="1"/>
  <c r="G209" i="5" s="1"/>
  <c r="D210" i="5" l="1"/>
  <c r="E210" i="5" s="1"/>
  <c r="G210" i="5" s="1"/>
  <c r="D211" i="5" l="1"/>
  <c r="E211" i="5" s="1"/>
  <c r="G211" i="5" s="1"/>
  <c r="D212" i="5" l="1"/>
  <c r="E212" i="5" s="1"/>
  <c r="G212" i="5" s="1"/>
  <c r="D213" i="5" l="1"/>
  <c r="E213" i="5" s="1"/>
  <c r="G213" i="5" s="1"/>
  <c r="D214" i="5" l="1"/>
  <c r="E214" i="5" s="1"/>
  <c r="G214" i="5" s="1"/>
  <c r="D215" i="5" l="1"/>
  <c r="E215" i="5" s="1"/>
  <c r="G215" i="5" s="1"/>
  <c r="D216" i="5" l="1"/>
  <c r="E216" i="5" s="1"/>
  <c r="G216" i="5" s="1"/>
  <c r="D217" i="5" l="1"/>
  <c r="E217" i="5" s="1"/>
  <c r="G217" i="5" s="1"/>
  <c r="D218" i="5" l="1"/>
  <c r="E218" i="5" s="1"/>
  <c r="G218" i="5" s="1"/>
  <c r="D219" i="5" l="1"/>
  <c r="E219" i="5" s="1"/>
  <c r="G219" i="5" s="1"/>
  <c r="D220" i="5" l="1"/>
  <c r="E220" i="5" s="1"/>
  <c r="G220" i="5" s="1"/>
  <c r="D221" i="5" l="1"/>
  <c r="E221" i="5" s="1"/>
  <c r="G221" i="5" s="1"/>
  <c r="D222" i="5" l="1"/>
  <c r="E222" i="5" s="1"/>
  <c r="G222" i="5" s="1"/>
  <c r="D223" i="5" l="1"/>
  <c r="E223" i="5" s="1"/>
  <c r="G223" i="5" s="1"/>
  <c r="D224" i="5" l="1"/>
  <c r="E224" i="5" s="1"/>
  <c r="G224" i="5" s="1"/>
  <c r="D225" i="5" l="1"/>
  <c r="E225" i="5" s="1"/>
  <c r="G225" i="5" s="1"/>
  <c r="D226" i="5" l="1"/>
  <c r="E226" i="5" s="1"/>
  <c r="G226" i="5" s="1"/>
  <c r="D227" i="5" l="1"/>
  <c r="E227" i="5" s="1"/>
  <c r="G227" i="5" s="1"/>
  <c r="D228" i="5" l="1"/>
  <c r="E228" i="5" s="1"/>
  <c r="G228" i="5" s="1"/>
  <c r="D229" i="5" l="1"/>
  <c r="E229" i="5" s="1"/>
  <c r="G229" i="5" s="1"/>
  <c r="D230" i="5" l="1"/>
  <c r="E230" i="5" s="1"/>
  <c r="G230" i="5" s="1"/>
  <c r="D231" i="5" l="1"/>
  <c r="E231" i="5" s="1"/>
  <c r="G231" i="5" s="1"/>
  <c r="D232" i="5" l="1"/>
  <c r="E232" i="5" s="1"/>
  <c r="G232" i="5" s="1"/>
  <c r="D233" i="5" l="1"/>
  <c r="E233" i="5" s="1"/>
  <c r="G233" i="5" s="1"/>
  <c r="D234" i="5" l="1"/>
  <c r="E234" i="5" s="1"/>
  <c r="G234" i="5" s="1"/>
  <c r="D235" i="5" l="1"/>
  <c r="E235" i="5" s="1"/>
  <c r="G235" i="5" s="1"/>
  <c r="D236" i="5" l="1"/>
  <c r="E236" i="5" s="1"/>
  <c r="G236" i="5" s="1"/>
  <c r="D237" i="5" l="1"/>
  <c r="E237" i="5" s="1"/>
  <c r="G237" i="5" s="1"/>
  <c r="D238" i="5" l="1"/>
  <c r="E238" i="5" s="1"/>
  <c r="G238" i="5" s="1"/>
  <c r="D239" i="5" l="1"/>
  <c r="E239" i="5" s="1"/>
  <c r="G239" i="5" s="1"/>
  <c r="D240" i="5" l="1"/>
  <c r="E240" i="5" s="1"/>
  <c r="G240" i="5" s="1"/>
  <c r="D241" i="5" l="1"/>
  <c r="E241" i="5" s="1"/>
  <c r="G241" i="5" s="1"/>
  <c r="D242" i="5" l="1"/>
  <c r="E242" i="5" s="1"/>
  <c r="G242" i="5" s="1"/>
  <c r="D243" i="5" l="1"/>
  <c r="E243" i="5" s="1"/>
  <c r="G243" i="5" s="1"/>
  <c r="D244" i="5" l="1"/>
  <c r="E244" i="5" s="1"/>
  <c r="G244" i="5" s="1"/>
  <c r="D245" i="5" l="1"/>
  <c r="E245" i="5" s="1"/>
  <c r="G245" i="5" s="1"/>
  <c r="D246" i="5" l="1"/>
  <c r="E246" i="5" s="1"/>
  <c r="G246" i="5" s="1"/>
  <c r="D247" i="5" l="1"/>
  <c r="E247" i="5" s="1"/>
  <c r="G247" i="5" s="1"/>
  <c r="D248" i="5" l="1"/>
  <c r="E248" i="5" s="1"/>
  <c r="G248" i="5" s="1"/>
  <c r="D249" i="5" l="1"/>
  <c r="E249" i="5" s="1"/>
  <c r="G249" i="5" s="1"/>
  <c r="D250" i="5" l="1"/>
  <c r="E250" i="5" s="1"/>
  <c r="G250" i="5" s="1"/>
  <c r="D251" i="5" l="1"/>
  <c r="E251" i="5" s="1"/>
  <c r="G251" i="5" s="1"/>
  <c r="D252" i="5" l="1"/>
  <c r="E252" i="5" s="1"/>
  <c r="G252" i="5" s="1"/>
  <c r="D253" i="5" l="1"/>
  <c r="E253" i="5" s="1"/>
  <c r="G253" i="5" s="1"/>
  <c r="D254" i="5" l="1"/>
  <c r="E254" i="5" s="1"/>
  <c r="G254" i="5" s="1"/>
  <c r="D255" i="5" l="1"/>
  <c r="E255" i="5" s="1"/>
  <c r="G255" i="5" s="1"/>
  <c r="D256" i="5" l="1"/>
  <c r="E256" i="5" s="1"/>
  <c r="G256" i="5" s="1"/>
  <c r="D257" i="5" l="1"/>
  <c r="E257" i="5" s="1"/>
  <c r="G257" i="5" s="1"/>
  <c r="D258" i="5" l="1"/>
  <c r="E258" i="5" s="1"/>
  <c r="G258" i="5" s="1"/>
  <c r="D259" i="5" l="1"/>
  <c r="E259" i="5" s="1"/>
  <c r="G259" i="5" s="1"/>
  <c r="D260" i="5" l="1"/>
  <c r="E260" i="5" s="1"/>
  <c r="G260" i="5" s="1"/>
  <c r="D261" i="5" l="1"/>
  <c r="E261" i="5" s="1"/>
  <c r="G261" i="5" s="1"/>
  <c r="D262" i="5" l="1"/>
  <c r="E262" i="5" s="1"/>
  <c r="G262" i="5" s="1"/>
  <c r="D263" i="5" l="1"/>
  <c r="E263" i="5" s="1"/>
  <c r="G263" i="5" s="1"/>
  <c r="D264" i="5" l="1"/>
  <c r="E264" i="5" s="1"/>
  <c r="G264" i="5" s="1"/>
  <c r="D265" i="5" l="1"/>
  <c r="E265" i="5" s="1"/>
  <c r="G265" i="5" s="1"/>
  <c r="D266" i="5" l="1"/>
  <c r="E266" i="5" s="1"/>
  <c r="G266" i="5" s="1"/>
  <c r="D267" i="5" l="1"/>
  <c r="E267" i="5" s="1"/>
  <c r="G267" i="5" s="1"/>
  <c r="D268" i="5" l="1"/>
  <c r="E268" i="5" s="1"/>
  <c r="G268" i="5" s="1"/>
  <c r="D269" i="5" l="1"/>
  <c r="E269" i="5" s="1"/>
  <c r="G269" i="5" s="1"/>
  <c r="D270" i="5" l="1"/>
  <c r="E270" i="5" s="1"/>
  <c r="G270" i="5" s="1"/>
  <c r="D271" i="5" l="1"/>
  <c r="E271" i="5" s="1"/>
  <c r="G271" i="5" s="1"/>
  <c r="D272" i="5" l="1"/>
  <c r="E272" i="5" s="1"/>
  <c r="G272" i="5" s="1"/>
  <c r="D273" i="5" l="1"/>
  <c r="E273" i="5" s="1"/>
  <c r="G273" i="5" s="1"/>
  <c r="D274" i="5" l="1"/>
  <c r="E274" i="5" s="1"/>
  <c r="G274" i="5" s="1"/>
  <c r="D275" i="5" l="1"/>
  <c r="E275" i="5" s="1"/>
  <c r="G275" i="5" s="1"/>
  <c r="D276" i="5" l="1"/>
  <c r="E276" i="5" s="1"/>
  <c r="G276" i="5" s="1"/>
  <c r="D277" i="5" l="1"/>
  <c r="E277" i="5" s="1"/>
  <c r="G277" i="5" s="1"/>
  <c r="D278" i="5" l="1"/>
  <c r="E278" i="5" s="1"/>
  <c r="G278" i="5" s="1"/>
  <c r="D279" i="5" l="1"/>
  <c r="E279" i="5" s="1"/>
  <c r="G279" i="5" s="1"/>
  <c r="D280" i="5" l="1"/>
  <c r="E280" i="5" s="1"/>
  <c r="G280" i="5" s="1"/>
  <c r="D281" i="5" l="1"/>
  <c r="E281" i="5" s="1"/>
  <c r="G281" i="5" s="1"/>
  <c r="D282" i="5" l="1"/>
  <c r="E282" i="5" s="1"/>
  <c r="G282" i="5" s="1"/>
  <c r="D283" i="5" l="1"/>
  <c r="E283" i="5" s="1"/>
  <c r="G283" i="5" s="1"/>
  <c r="D284" i="5" l="1"/>
  <c r="E284" i="5" s="1"/>
  <c r="G284" i="5" s="1"/>
  <c r="D285" i="5" l="1"/>
  <c r="E285" i="5" s="1"/>
  <c r="G285" i="5" s="1"/>
  <c r="D286" i="5" l="1"/>
  <c r="E286" i="5" s="1"/>
  <c r="G286" i="5" s="1"/>
  <c r="D287" i="5" l="1"/>
  <c r="E287" i="5" s="1"/>
  <c r="G287" i="5" s="1"/>
  <c r="D288" i="5" l="1"/>
  <c r="E288" i="5" s="1"/>
  <c r="G288" i="5" s="1"/>
  <c r="D289" i="5" l="1"/>
  <c r="E289" i="5" s="1"/>
  <c r="G289" i="5" s="1"/>
  <c r="D290" i="5" l="1"/>
  <c r="E290" i="5" s="1"/>
  <c r="G290" i="5" s="1"/>
  <c r="D291" i="5" l="1"/>
  <c r="E291" i="5" s="1"/>
  <c r="G291" i="5" s="1"/>
  <c r="D292" i="5" l="1"/>
  <c r="E292" i="5" s="1"/>
  <c r="G292" i="5" s="1"/>
  <c r="D293" i="5" l="1"/>
  <c r="E293" i="5" s="1"/>
  <c r="G293" i="5" s="1"/>
  <c r="D294" i="5" l="1"/>
  <c r="E294" i="5" s="1"/>
  <c r="G294" i="5" s="1"/>
  <c r="D295" i="5" l="1"/>
  <c r="E295" i="5" s="1"/>
  <c r="G295" i="5" s="1"/>
  <c r="D296" i="5" l="1"/>
  <c r="E296" i="5" s="1"/>
  <c r="G296" i="5" s="1"/>
  <c r="D297" i="5" l="1"/>
  <c r="E297" i="5" s="1"/>
  <c r="G297" i="5" s="1"/>
  <c r="D298" i="5" l="1"/>
  <c r="E298" i="5" s="1"/>
  <c r="G298" i="5" s="1"/>
  <c r="D299" i="5" l="1"/>
  <c r="E299" i="5" s="1"/>
  <c r="G299" i="5" s="1"/>
  <c r="D300" i="5" l="1"/>
  <c r="E300" i="5" s="1"/>
  <c r="G300" i="5" s="1"/>
  <c r="D301" i="5" l="1"/>
  <c r="E301" i="5" s="1"/>
  <c r="G301" i="5" s="1"/>
  <c r="D302" i="5" l="1"/>
  <c r="E302" i="5" s="1"/>
  <c r="G302" i="5" s="1"/>
  <c r="D303" i="5" l="1"/>
  <c r="E303" i="5" s="1"/>
  <c r="G303" i="5" s="1"/>
  <c r="D304" i="5" l="1"/>
  <c r="E304" i="5" s="1"/>
  <c r="G304" i="5" s="1"/>
  <c r="D305" i="5" l="1"/>
  <c r="E305" i="5" s="1"/>
  <c r="G305" i="5" s="1"/>
  <c r="D306" i="5" l="1"/>
  <c r="E306" i="5" s="1"/>
  <c r="G306" i="5" s="1"/>
  <c r="D307" i="5" l="1"/>
  <c r="E307" i="5" s="1"/>
  <c r="G307" i="5" s="1"/>
  <c r="D308" i="5" l="1"/>
  <c r="E308" i="5" s="1"/>
  <c r="G308" i="5" s="1"/>
  <c r="D309" i="5" l="1"/>
  <c r="E309" i="5" s="1"/>
  <c r="G309" i="5" s="1"/>
  <c r="D310" i="5" l="1"/>
  <c r="E310" i="5" s="1"/>
  <c r="G310" i="5" s="1"/>
  <c r="D311" i="5" l="1"/>
  <c r="E311" i="5" s="1"/>
  <c r="G311" i="5" s="1"/>
  <c r="D312" i="5" l="1"/>
  <c r="E312" i="5" s="1"/>
  <c r="G312" i="5" s="1"/>
  <c r="D313" i="5" l="1"/>
  <c r="E313" i="5" s="1"/>
  <c r="G313" i="5" s="1"/>
  <c r="D314" i="5" l="1"/>
  <c r="E314" i="5" s="1"/>
  <c r="G314" i="5" s="1"/>
  <c r="D315" i="5" l="1"/>
  <c r="E315" i="5" s="1"/>
  <c r="G315" i="5" s="1"/>
  <c r="D316" i="5" l="1"/>
  <c r="E316" i="5" s="1"/>
  <c r="G316" i="5" s="1"/>
  <c r="D317" i="5" l="1"/>
  <c r="E317" i="5" s="1"/>
  <c r="G317" i="5" s="1"/>
  <c r="D318" i="5" l="1"/>
  <c r="E318" i="5" s="1"/>
  <c r="G318" i="5" s="1"/>
  <c r="D319" i="5" l="1"/>
  <c r="E319" i="5" s="1"/>
  <c r="G319" i="5" s="1"/>
  <c r="D320" i="5" l="1"/>
  <c r="E320" i="5" s="1"/>
  <c r="G320" i="5" s="1"/>
  <c r="D321" i="5" l="1"/>
  <c r="E321" i="5" s="1"/>
  <c r="G321" i="5" s="1"/>
  <c r="D322" i="5" l="1"/>
  <c r="E322" i="5" s="1"/>
  <c r="G322" i="5" s="1"/>
  <c r="D323" i="5" l="1"/>
  <c r="E323" i="5" s="1"/>
  <c r="G323" i="5" s="1"/>
  <c r="D324" i="5" l="1"/>
  <c r="E324" i="5" s="1"/>
  <c r="G324" i="5" s="1"/>
  <c r="D325" i="5" l="1"/>
  <c r="E325" i="5" s="1"/>
  <c r="G325" i="5" s="1"/>
  <c r="D326" i="5" l="1"/>
  <c r="E326" i="5" s="1"/>
  <c r="G326" i="5" s="1"/>
  <c r="D327" i="5" l="1"/>
  <c r="E327" i="5" s="1"/>
  <c r="G327" i="5" s="1"/>
  <c r="D328" i="5" l="1"/>
  <c r="E328" i="5" s="1"/>
  <c r="G328" i="5" s="1"/>
  <c r="D329" i="5" l="1"/>
  <c r="E329" i="5" s="1"/>
  <c r="G329" i="5" s="1"/>
  <c r="D330" i="5" l="1"/>
  <c r="E330" i="5" s="1"/>
  <c r="G330" i="5" s="1"/>
  <c r="D331" i="5" l="1"/>
  <c r="E331" i="5" s="1"/>
  <c r="G331" i="5" s="1"/>
  <c r="D332" i="5" l="1"/>
  <c r="E332" i="5" s="1"/>
  <c r="G332" i="5" s="1"/>
  <c r="D333" i="5" l="1"/>
  <c r="E333" i="5" s="1"/>
  <c r="G333" i="5" s="1"/>
  <c r="D334" i="5" l="1"/>
  <c r="E334" i="5" s="1"/>
  <c r="G334" i="5" s="1"/>
  <c r="D335" i="5" l="1"/>
  <c r="E335" i="5" s="1"/>
  <c r="G335" i="5" s="1"/>
  <c r="D336" i="5" l="1"/>
  <c r="E336" i="5" s="1"/>
  <c r="G336" i="5" s="1"/>
  <c r="D337" i="5" l="1"/>
  <c r="E337" i="5" s="1"/>
  <c r="G337" i="5" s="1"/>
  <c r="D338" i="5" l="1"/>
  <c r="E338" i="5" s="1"/>
  <c r="G338" i="5" s="1"/>
  <c r="D339" i="5" l="1"/>
  <c r="E339" i="5" s="1"/>
  <c r="G339" i="5" s="1"/>
  <c r="D340" i="5" l="1"/>
  <c r="E340" i="5" s="1"/>
  <c r="G340" i="5" s="1"/>
  <c r="D341" i="5" l="1"/>
  <c r="E341" i="5" s="1"/>
  <c r="G341" i="5" s="1"/>
  <c r="D342" i="5" l="1"/>
  <c r="E342" i="5" s="1"/>
  <c r="G342" i="5" s="1"/>
  <c r="D343" i="5" l="1"/>
  <c r="E343" i="5" s="1"/>
  <c r="G343" i="5" s="1"/>
  <c r="D344" i="5" l="1"/>
  <c r="E344" i="5" s="1"/>
  <c r="G344" i="5" s="1"/>
  <c r="D345" i="5" l="1"/>
  <c r="E345" i="5" s="1"/>
  <c r="G345" i="5" s="1"/>
  <c r="D346" i="5" l="1"/>
  <c r="E346" i="5" s="1"/>
  <c r="G346" i="5" s="1"/>
  <c r="D347" i="5" l="1"/>
  <c r="E347" i="5" s="1"/>
  <c r="G347" i="5" s="1"/>
  <c r="D348" i="5" l="1"/>
  <c r="E348" i="5" s="1"/>
  <c r="G348" i="5" s="1"/>
  <c r="D349" i="5" l="1"/>
  <c r="E349" i="5" s="1"/>
  <c r="G349" i="5" s="1"/>
  <c r="D350" i="5" l="1"/>
  <c r="E350" i="5" s="1"/>
  <c r="G350" i="5" s="1"/>
  <c r="D351" i="5" l="1"/>
  <c r="E351" i="5" s="1"/>
  <c r="G351" i="5" s="1"/>
  <c r="D352" i="5" l="1"/>
  <c r="E352" i="5" s="1"/>
  <c r="G352" i="5" s="1"/>
  <c r="D353" i="5" l="1"/>
  <c r="E353" i="5" s="1"/>
  <c r="G353" i="5" s="1"/>
  <c r="D354" i="5" l="1"/>
  <c r="E354" i="5" s="1"/>
  <c r="G354" i="5" s="1"/>
  <c r="D355" i="5" l="1"/>
  <c r="E355" i="5" s="1"/>
  <c r="G355" i="5" s="1"/>
  <c r="D356" i="5" l="1"/>
  <c r="E356" i="5" s="1"/>
  <c r="G356" i="5" s="1"/>
  <c r="D357" i="5" l="1"/>
  <c r="E357" i="5" s="1"/>
  <c r="G357" i="5" s="1"/>
  <c r="D358" i="5" l="1"/>
  <c r="E358" i="5" s="1"/>
  <c r="G358" i="5" s="1"/>
  <c r="D359" i="5" l="1"/>
  <c r="E359" i="5" s="1"/>
  <c r="G359" i="5" s="1"/>
  <c r="D360" i="5" l="1"/>
  <c r="E360" i="5" s="1"/>
  <c r="G360" i="5" s="1"/>
  <c r="D361" i="5" l="1"/>
  <c r="E361" i="5" s="1"/>
  <c r="G361" i="5" s="1"/>
  <c r="D362" i="5" l="1"/>
  <c r="E362" i="5" s="1"/>
  <c r="G362" i="5" s="1"/>
  <c r="D363" i="5" l="1"/>
  <c r="E363" i="5" s="1"/>
  <c r="G363" i="5" s="1"/>
  <c r="D364" i="5" l="1"/>
  <c r="E364" i="5" s="1"/>
  <c r="G364" i="5" s="1"/>
  <c r="D365" i="5" l="1"/>
  <c r="E365" i="5" s="1"/>
  <c r="G365" i="5" s="1"/>
  <c r="D366" i="5" l="1"/>
  <c r="E366" i="5" s="1"/>
  <c r="G366" i="5" s="1"/>
  <c r="D367" i="5" l="1"/>
  <c r="E367" i="5" s="1"/>
  <c r="G367" i="5" s="1"/>
  <c r="D368" i="5" l="1"/>
  <c r="E368" i="5" s="1"/>
  <c r="G368" i="5" s="1"/>
  <c r="D369" i="5" l="1"/>
  <c r="E369" i="5" s="1"/>
  <c r="G369" i="5" s="1"/>
  <c r="D370" i="5" l="1"/>
  <c r="E370" i="5" s="1"/>
  <c r="G370" i="5" s="1"/>
  <c r="D371" i="5" l="1"/>
  <c r="E371" i="5" l="1"/>
  <c r="G371" i="5" s="1"/>
  <c r="G4" i="5"/>
  <c r="G8" i="5" s="1"/>
</calcChain>
</file>

<file path=xl/sharedStrings.xml><?xml version="1.0" encoding="utf-8"?>
<sst xmlns="http://schemas.openxmlformats.org/spreadsheetml/2006/main" count="235" uniqueCount="178">
  <si>
    <t>increase</t>
  </si>
  <si>
    <t>Assumptions</t>
  </si>
  <si>
    <t>Number of Units</t>
  </si>
  <si>
    <t>Cost 2013</t>
  </si>
  <si>
    <t>Max Revenue</t>
  </si>
  <si>
    <t>Cost 2014</t>
  </si>
  <si>
    <t>Cost 2015</t>
  </si>
  <si>
    <t>Cost 2016</t>
  </si>
  <si>
    <t>Cost 2017</t>
  </si>
  <si>
    <t>Cost 2018</t>
  </si>
  <si>
    <t>Cost 2019</t>
  </si>
  <si>
    <t>Cost 2020</t>
  </si>
  <si>
    <t>Rent 5x5</t>
  </si>
  <si>
    <t>Rent 5x10</t>
  </si>
  <si>
    <t>Rent 10x10</t>
  </si>
  <si>
    <t>Rent 10x15</t>
  </si>
  <si>
    <t>Rent 10x20</t>
  </si>
  <si>
    <t>Rent  13x30</t>
  </si>
  <si>
    <t>Rent RV storage 12X40</t>
  </si>
  <si>
    <t>Total</t>
  </si>
  <si>
    <t>Occupancy 5x5</t>
  </si>
  <si>
    <t>Occupancy 5x10</t>
  </si>
  <si>
    <t>Occupancy 10x10</t>
  </si>
  <si>
    <t>Occupancy 10x15</t>
  </si>
  <si>
    <t>Occupancy 10x20</t>
  </si>
  <si>
    <t>Occupancy 13x30</t>
  </si>
  <si>
    <t>RV Unit</t>
  </si>
  <si>
    <t>Average Collection Period</t>
  </si>
  <si>
    <t>Fixed Expenses</t>
  </si>
  <si>
    <t>include $300 for utilities, insurance, property taxes, and salaries.</t>
  </si>
  <si>
    <t>Property tax</t>
  </si>
  <si>
    <t>is high due to being in Oregon; no sales tax = high property tax</t>
  </si>
  <si>
    <t>Income Statement</t>
  </si>
  <si>
    <t>Revenue</t>
  </si>
  <si>
    <t>Per Year</t>
  </si>
  <si>
    <t>Operating Expenses</t>
  </si>
  <si>
    <t>Utilities</t>
  </si>
  <si>
    <t>of sales</t>
  </si>
  <si>
    <t>fixed ($3000)</t>
  </si>
  <si>
    <t>Variable</t>
  </si>
  <si>
    <t>Maintenence</t>
  </si>
  <si>
    <t>Insurance</t>
  </si>
  <si>
    <t>Marketing</t>
  </si>
  <si>
    <t>Property Taxes</t>
  </si>
  <si>
    <t>Per year</t>
  </si>
  <si>
    <t>Salaries</t>
  </si>
  <si>
    <t>Operating Profit</t>
  </si>
  <si>
    <t>Depreciation</t>
  </si>
  <si>
    <t>Interest Expense</t>
  </si>
  <si>
    <t>Interest Rate</t>
  </si>
  <si>
    <t>Mortgage Interest Expense</t>
  </si>
  <si>
    <t>Income Before Tax</t>
  </si>
  <si>
    <t>Tax</t>
  </si>
  <si>
    <t>Net Income</t>
  </si>
  <si>
    <t>Current Assets</t>
  </si>
  <si>
    <t>Cash Above Min</t>
  </si>
  <si>
    <t>Cash</t>
  </si>
  <si>
    <t>minimum cash</t>
  </si>
  <si>
    <t>A/R</t>
  </si>
  <si>
    <t>of Sales</t>
  </si>
  <si>
    <t>Total Current Assets</t>
  </si>
  <si>
    <t>Property Plant &amp; Equipment</t>
  </si>
  <si>
    <t>Land</t>
  </si>
  <si>
    <t>Building</t>
  </si>
  <si>
    <t>A/D</t>
  </si>
  <si>
    <t>Total Property Plant &amp; Equipment</t>
  </si>
  <si>
    <t>Total Assets</t>
  </si>
  <si>
    <t>Current Liabilities</t>
  </si>
  <si>
    <t>Total Current Liabilities</t>
  </si>
  <si>
    <t>Long Term Liabilities</t>
  </si>
  <si>
    <t>Mortgage</t>
  </si>
  <si>
    <t>Loans</t>
  </si>
  <si>
    <t>Total Liabilities</t>
  </si>
  <si>
    <t>Stockholders Equity</t>
  </si>
  <si>
    <t>Equity</t>
  </si>
  <si>
    <t>of Loan value</t>
  </si>
  <si>
    <t>R/E</t>
  </si>
  <si>
    <t>Total Stockholders Equity</t>
  </si>
  <si>
    <t>Total Equity &amp; Liab</t>
  </si>
  <si>
    <t>DFN</t>
  </si>
  <si>
    <t>Ratios</t>
  </si>
  <si>
    <t>Average</t>
  </si>
  <si>
    <t>Current Ratio</t>
  </si>
  <si>
    <t>Debt to Equity</t>
  </si>
  <si>
    <t>ROA</t>
  </si>
  <si>
    <t>ROE</t>
  </si>
  <si>
    <t>Breakeven</t>
  </si>
  <si>
    <t>Sq. Ft.</t>
  </si>
  <si>
    <t>WACC</t>
  </si>
  <si>
    <t>CAPM as the company is on 12/31/20</t>
  </si>
  <si>
    <t>Beta</t>
  </si>
  <si>
    <t>T-Bills Return</t>
  </si>
  <si>
    <t>From 11/9/12</t>
  </si>
  <si>
    <t>1 Year Rate</t>
  </si>
  <si>
    <t>S&amp;P 500 Return</t>
  </si>
  <si>
    <t>Return Equityholders Want</t>
  </si>
  <si>
    <t>Debt on 12/31/20</t>
  </si>
  <si>
    <t>Rate</t>
  </si>
  <si>
    <t>Propotion</t>
  </si>
  <si>
    <t>Blended Rate</t>
  </si>
  <si>
    <t>Mortgage on Buildings</t>
  </si>
  <si>
    <t>Bank Loans</t>
  </si>
  <si>
    <t>Equity on 12/31/15</t>
  </si>
  <si>
    <t>Shareholders ontribution</t>
  </si>
  <si>
    <t>Retained Earnings</t>
  </si>
  <si>
    <t>Capital on 12/31/15</t>
  </si>
  <si>
    <t>Tax Adjusted Rate</t>
  </si>
  <si>
    <t>Proportion</t>
  </si>
  <si>
    <t>Debt</t>
  </si>
  <si>
    <t>Tax Rate</t>
  </si>
  <si>
    <t>Original Beta</t>
  </si>
  <si>
    <t>( Unlevered Beta ) = ( Regular Beta ) / [ 1 + ( 1 - tax rate )( Debt / Equity )]</t>
  </si>
  <si>
    <t>Debt % as is Now</t>
  </si>
  <si>
    <t>Equity % as is now</t>
  </si>
  <si>
    <t>Unlevered Beta</t>
  </si>
  <si>
    <t>Relevered Beta</t>
  </si>
  <si>
    <t>( Re-levered Beta ) = [ 1 + ( 1 - tax rate )( D / E )] x ( Unlevered Beta )</t>
  </si>
  <si>
    <t>Debt % as we want</t>
  </si>
  <si>
    <t>Equity % as we want</t>
  </si>
  <si>
    <t>FCF, NPV, and IRR</t>
  </si>
  <si>
    <t>Starting Period</t>
  </si>
  <si>
    <t>Cash from operations</t>
  </si>
  <si>
    <t>Less: Depreciation Expense</t>
  </si>
  <si>
    <t>Taxes on Operations Only</t>
  </si>
  <si>
    <t>Add back: Depriciation</t>
  </si>
  <si>
    <t>Total Cash From Operation</t>
  </si>
  <si>
    <t>Cash in/ out Capital Expenditures</t>
  </si>
  <si>
    <t>Buy Buildings</t>
  </si>
  <si>
    <t>Sell Buildings</t>
  </si>
  <si>
    <t>Book Value</t>
  </si>
  <si>
    <t>Sold for 1.7 times BV</t>
  </si>
  <si>
    <t>Gain</t>
  </si>
  <si>
    <t>Pay Taxes on the sale</t>
  </si>
  <si>
    <t>Increase</t>
  </si>
  <si>
    <t>Cash in/out from working Capital Changes</t>
  </si>
  <si>
    <t>-</t>
  </si>
  <si>
    <t>Accounts Receivable</t>
  </si>
  <si>
    <t>+</t>
  </si>
  <si>
    <t>Cash in/out from Liquidating Working Capital</t>
  </si>
  <si>
    <t>+</t>
  </si>
  <si>
    <t>Total FREE CASH FLOWS FROM OPERATIONS</t>
  </si>
  <si>
    <t>PV of FCF</t>
  </si>
  <si>
    <t>NPV</t>
  </si>
  <si>
    <t>IRR</t>
  </si>
  <si>
    <t>Extra Payment</t>
  </si>
  <si>
    <t>Income Tax Payable</t>
  </si>
  <si>
    <t>Buy Land</t>
  </si>
  <si>
    <t>Sell Land</t>
  </si>
  <si>
    <t>Sold for 2.5 times BV</t>
  </si>
  <si>
    <t>Building Refurbishings</t>
  </si>
  <si>
    <t>CAPM</t>
  </si>
  <si>
    <t>T-Bills</t>
  </si>
  <si>
    <t>Beta (80/20)</t>
  </si>
  <si>
    <t>WACC (80/20)</t>
  </si>
  <si>
    <t>Relevered</t>
  </si>
  <si>
    <t>New Debt</t>
  </si>
  <si>
    <t>NEW CAPM</t>
  </si>
  <si>
    <t>New WACC</t>
  </si>
  <si>
    <t>Loan Amount</t>
  </si>
  <si>
    <t>Total Interest</t>
  </si>
  <si>
    <t>Years</t>
  </si>
  <si>
    <t>Periods</t>
  </si>
  <si>
    <t>Total Periods</t>
  </si>
  <si>
    <t>Total Paid</t>
  </si>
  <si>
    <t xml:space="preserve">Year </t>
  </si>
  <si>
    <t>Period</t>
  </si>
  <si>
    <t>Payment</t>
  </si>
  <si>
    <t>Interest</t>
  </si>
  <si>
    <t>Principle</t>
  </si>
  <si>
    <t>Loan Balance</t>
  </si>
  <si>
    <t xml:space="preserve"> Rate</t>
  </si>
  <si>
    <t>Total per Month</t>
  </si>
  <si>
    <t>Balance Sheet</t>
  </si>
  <si>
    <t>CAPM at 99/1 Debt/Equity</t>
  </si>
  <si>
    <t>Capital AS A 99/1 Company</t>
  </si>
  <si>
    <t>From Public Storage 11/9/12</t>
  </si>
  <si>
    <t>Check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</si>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</sst>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\ ;&quot;$&quot;\(#,##0\)"/>
    <numFmt numFmtId="165" formatCode="&quot;$&quot;#,##0"/>
    <numFmt numFmtId="166" formatCode="0.0%"/>
    <numFmt numFmtId="167" formatCode="&quot;$&quot;#,##0;&quot;$&quot;\(#,##0\)"/>
    <numFmt numFmtId="168" formatCode="&quot;$&quot;#,##0.00\ ;&quot;$&quot;\(#,##0.00\)"/>
    <numFmt numFmtId="169" formatCode="0.000"/>
    <numFmt numFmtId="170" formatCode="&quot;$&quot;#,##0.00"/>
    <numFmt numFmtId="171" formatCode="_(&quot;$&quot;* #,##0_);_(&quot;$&quot;* \(#,##0\);_(&quot;$&quot;* &quot;-&quot;??_);_(@_)"/>
    <numFmt numFmtId="172" formatCode="_(\$* #,##0.00_);_(\$* \(#,##0.00\);_(\$* \-??_);_(@_)"/>
  </numFmts>
  <fonts count="7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rgb="FF0000FF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2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70" fillId="0" borderId="0"/>
    <xf numFmtId="172" fontId="71" fillId="0" borderId="0"/>
    <xf numFmtId="9" fontId="71" fillId="0" borderId="0"/>
    <xf numFmtId="0" fontId="71" fillId="0" borderId="0"/>
  </cellStyleXfs>
  <cellXfs count="207">
    <xf numFmtId="0" fontId="0" fillId="0" borderId="0" xfId="0" applyAlignment="1">
      <alignment wrapText="1"/>
    </xf>
    <xf numFmtId="3" fontId="10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9" fillId="4" borderId="1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4" fontId="32" fillId="0" borderId="0" xfId="0" applyNumberFormat="1" applyFont="1" applyAlignment="1">
      <alignment wrapText="1"/>
    </xf>
    <xf numFmtId="0" fontId="37" fillId="5" borderId="2" xfId="0" applyFont="1" applyFill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2" fillId="0" borderId="5" xfId="0" applyFont="1" applyBorder="1" applyAlignment="1">
      <alignment wrapText="1"/>
    </xf>
    <xf numFmtId="165" fontId="45" fillId="0" borderId="8" xfId="0" applyNumberFormat="1" applyFont="1" applyBorder="1" applyAlignment="1">
      <alignment vertical="center"/>
    </xf>
    <xf numFmtId="0" fontId="49" fillId="6" borderId="9" xfId="0" applyFont="1" applyFill="1" applyBorder="1" applyAlignment="1">
      <alignment vertical="center"/>
    </xf>
    <xf numFmtId="9" fontId="51" fillId="0" borderId="0" xfId="0" applyNumberFormat="1" applyFont="1" applyAlignment="1">
      <alignment vertical="center"/>
    </xf>
    <xf numFmtId="9" fontId="52" fillId="0" borderId="0" xfId="0" applyNumberFormat="1" applyFont="1" applyAlignment="1">
      <alignment wrapText="1"/>
    </xf>
    <xf numFmtId="164" fontId="55" fillId="7" borderId="11" xfId="0" applyNumberFormat="1" applyFont="1" applyFill="1" applyBorder="1" applyAlignment="1">
      <alignment vertical="center"/>
    </xf>
    <xf numFmtId="170" fontId="57" fillId="0" borderId="0" xfId="0" applyNumberFormat="1" applyFont="1" applyAlignment="1">
      <alignment wrapText="1"/>
    </xf>
    <xf numFmtId="165" fontId="59" fillId="0" borderId="0" xfId="0" applyNumberFormat="1" applyFont="1" applyAlignment="1">
      <alignment wrapText="1"/>
    </xf>
    <xf numFmtId="167" fontId="60" fillId="0" borderId="12" xfId="0" applyNumberFormat="1" applyFont="1" applyBorder="1" applyAlignment="1">
      <alignment wrapText="1"/>
    </xf>
    <xf numFmtId="0" fontId="62" fillId="8" borderId="13" xfId="0" applyFont="1" applyFill="1" applyBorder="1" applyAlignment="1">
      <alignment vertical="center"/>
    </xf>
    <xf numFmtId="0" fontId="64" fillId="0" borderId="14" xfId="0" applyFont="1" applyBorder="1" applyAlignment="1">
      <alignment vertical="center"/>
    </xf>
    <xf numFmtId="10" fontId="65" fillId="0" borderId="0" xfId="0" applyNumberFormat="1" applyFont="1" applyAlignment="1">
      <alignment wrapText="1"/>
    </xf>
    <xf numFmtId="0" fontId="66" fillId="0" borderId="15" xfId="0" applyFont="1" applyBorder="1" applyAlignment="1">
      <alignment vertical="center"/>
    </xf>
    <xf numFmtId="10" fontId="67" fillId="9" borderId="16" xfId="0" applyNumberFormat="1" applyFont="1" applyFill="1" applyBorder="1" applyAlignment="1">
      <alignment vertical="center"/>
    </xf>
    <xf numFmtId="0" fontId="31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Alignment="1"/>
    <xf numFmtId="171" fontId="0" fillId="0" borderId="0" xfId="1" applyNumberFormat="1" applyFont="1" applyAlignment="1">
      <alignment wrapText="1"/>
    </xf>
    <xf numFmtId="9" fontId="0" fillId="0" borderId="0" xfId="2" applyFont="1" applyAlignment="1">
      <alignment wrapText="1"/>
    </xf>
    <xf numFmtId="171" fontId="0" fillId="0" borderId="12" xfId="1" applyNumberFormat="1" applyFont="1" applyBorder="1" applyAlignment="1">
      <alignment wrapText="1"/>
    </xf>
    <xf numFmtId="171" fontId="0" fillId="0" borderId="0" xfId="0" applyNumberFormat="1" applyAlignment="1">
      <alignment wrapText="1"/>
    </xf>
    <xf numFmtId="10" fontId="0" fillId="0" borderId="0" xfId="2" applyNumberFormat="1" applyFont="1" applyAlignment="1">
      <alignment wrapText="1"/>
    </xf>
    <xf numFmtId="10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70" fillId="10" borderId="0" xfId="3" applyFill="1"/>
    <xf numFmtId="0" fontId="69" fillId="10" borderId="0" xfId="3" applyFont="1" applyFill="1"/>
    <xf numFmtId="0" fontId="70" fillId="0" borderId="0" xfId="3"/>
    <xf numFmtId="171" fontId="72" fillId="10" borderId="0" xfId="4" applyNumberFormat="1" applyFont="1" applyFill="1"/>
    <xf numFmtId="10" fontId="72" fillId="10" borderId="0" xfId="5" applyNumberFormat="1" applyFont="1" applyFill="1"/>
    <xf numFmtId="172" fontId="70" fillId="10" borderId="0" xfId="4" applyFont="1" applyFill="1"/>
    <xf numFmtId="172" fontId="72" fillId="10" borderId="0" xfId="4" applyFont="1" applyFill="1"/>
    <xf numFmtId="44" fontId="70" fillId="10" borderId="0" xfId="3" applyNumberFormat="1" applyFill="1"/>
    <xf numFmtId="0" fontId="72" fillId="10" borderId="0" xfId="3" applyFont="1" applyFill="1"/>
    <xf numFmtId="8" fontId="70" fillId="10" borderId="0" xfId="3" applyNumberFormat="1" applyFill="1"/>
    <xf numFmtId="40" fontId="70" fillId="10" borderId="0" xfId="4" applyNumberFormat="1" applyFont="1" applyFill="1"/>
    <xf numFmtId="40" fontId="70" fillId="10" borderId="0" xfId="3" applyNumberFormat="1" applyFill="1"/>
    <xf numFmtId="0" fontId="70" fillId="9" borderId="0" xfId="3" applyFill="1"/>
    <xf numFmtId="8" fontId="70" fillId="9" borderId="0" xfId="3" applyNumberFormat="1" applyFill="1"/>
    <xf numFmtId="40" fontId="70" fillId="9" borderId="0" xfId="4" applyNumberFormat="1" applyFont="1" applyFill="1"/>
    <xf numFmtId="40" fontId="70" fillId="9" borderId="0" xfId="3" applyNumberFormat="1" applyFill="1"/>
    <xf numFmtId="44" fontId="70" fillId="9" borderId="0" xfId="3" applyNumberFormat="1" applyFill="1"/>
    <xf numFmtId="4" fontId="32" fillId="0" borderId="0" xfId="0" applyNumberFormat="1" applyFont="1" applyAlignment="1"/>
    <xf numFmtId="165" fontId="59" fillId="0" borderId="12" xfId="0" applyNumberFormat="1" applyFont="1" applyBorder="1" applyAlignment="1">
      <alignment wrapText="1"/>
    </xf>
    <xf numFmtId="165" fontId="59" fillId="0" borderId="0" xfId="0" applyNumberFormat="1" applyFont="1" applyBorder="1" applyAlignment="1">
      <alignment wrapText="1"/>
    </xf>
    <xf numFmtId="165" fontId="34" fillId="0" borderId="12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9" fontId="51" fillId="0" borderId="14" xfId="0" applyNumberFormat="1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9" fontId="51" fillId="0" borderId="0" xfId="0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6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36" fillId="0" borderId="0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13" fillId="0" borderId="4" xfId="0" applyFont="1" applyBorder="1" applyAlignment="1">
      <alignment wrapText="1"/>
    </xf>
    <xf numFmtId="165" fontId="5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0" fontId="25" fillId="0" borderId="4" xfId="0" applyFont="1" applyBorder="1" applyAlignment="1">
      <alignment vertical="center"/>
    </xf>
    <xf numFmtId="10" fontId="65" fillId="0" borderId="0" xfId="0" applyNumberFormat="1" applyFont="1" applyBorder="1" applyAlignment="1">
      <alignment wrapText="1"/>
    </xf>
    <xf numFmtId="0" fontId="25" fillId="0" borderId="15" xfId="0" applyFont="1" applyBorder="1" applyAlignment="1">
      <alignment vertical="center"/>
    </xf>
    <xf numFmtId="165" fontId="59" fillId="0" borderId="15" xfId="0" applyNumberFormat="1" applyFont="1" applyBorder="1" applyAlignment="1">
      <alignment wrapText="1"/>
    </xf>
    <xf numFmtId="0" fontId="25" fillId="0" borderId="16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165" fontId="59" fillId="0" borderId="14" xfId="0" applyNumberFormat="1" applyFont="1" applyBorder="1" applyAlignment="1">
      <alignment wrapText="1"/>
    </xf>
    <xf numFmtId="9" fontId="52" fillId="0" borderId="0" xfId="0" applyNumberFormat="1" applyFont="1" applyBorder="1" applyAlignment="1">
      <alignment wrapText="1"/>
    </xf>
    <xf numFmtId="10" fontId="13" fillId="0" borderId="0" xfId="2" applyNumberFormat="1" applyFont="1" applyBorder="1" applyAlignment="1">
      <alignment wrapText="1"/>
    </xf>
    <xf numFmtId="0" fontId="13" fillId="0" borderId="3" xfId="0" applyFont="1" applyBorder="1" applyAlignment="1">
      <alignment wrapText="1"/>
    </xf>
    <xf numFmtId="165" fontId="2" fillId="0" borderId="12" xfId="0" applyNumberFormat="1" applyFont="1" applyBorder="1" applyAlignment="1">
      <alignment wrapText="1"/>
    </xf>
    <xf numFmtId="165" fontId="34" fillId="0" borderId="8" xfId="0" applyNumberFormat="1" applyFont="1" applyBorder="1" applyAlignment="1">
      <alignment wrapText="1"/>
    </xf>
    <xf numFmtId="0" fontId="1" fillId="0" borderId="4" xfId="0" applyFont="1" applyBorder="1" applyAlignment="1"/>
    <xf numFmtId="165" fontId="59" fillId="0" borderId="0" xfId="0" applyNumberFormat="1" applyFont="1" applyBorder="1" applyAlignment="1"/>
    <xf numFmtId="10" fontId="25" fillId="0" borderId="0" xfId="0" applyNumberFormat="1" applyFont="1" applyBorder="1" applyAlignment="1">
      <alignment vertical="center"/>
    </xf>
    <xf numFmtId="10" fontId="53" fillId="0" borderId="0" xfId="0" applyNumberFormat="1" applyFont="1" applyBorder="1" applyAlignment="1">
      <alignment vertical="center"/>
    </xf>
    <xf numFmtId="0" fontId="28" fillId="0" borderId="15" xfId="0" applyFont="1" applyBorder="1" applyAlignment="1">
      <alignment wrapText="1"/>
    </xf>
    <xf numFmtId="0" fontId="7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14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3" fillId="0" borderId="4" xfId="0" applyFont="1" applyBorder="1" applyAlignment="1"/>
    <xf numFmtId="0" fontId="0" fillId="0" borderId="4" xfId="0" applyBorder="1" applyAlignment="1"/>
    <xf numFmtId="0" fontId="13" fillId="0" borderId="4" xfId="0" applyFont="1" applyBorder="1" applyAlignment="1"/>
    <xf numFmtId="0" fontId="4" fillId="0" borderId="4" xfId="0" applyFont="1" applyBorder="1" applyAlignment="1"/>
    <xf numFmtId="0" fontId="13" fillId="0" borderId="4" xfId="0" applyFont="1" applyBorder="1" applyAlignment="1">
      <alignment horizontal="left"/>
    </xf>
    <xf numFmtId="0" fontId="28" fillId="0" borderId="4" xfId="0" applyFont="1" applyBorder="1" applyAlignment="1"/>
    <xf numFmtId="0" fontId="31" fillId="0" borderId="4" xfId="0" applyFont="1" applyBorder="1" applyAlignment="1"/>
    <xf numFmtId="0" fontId="28" fillId="0" borderId="17" xfId="0" applyFont="1" applyBorder="1" applyAlignment="1"/>
    <xf numFmtId="0" fontId="1" fillId="0" borderId="18" xfId="0" applyFont="1" applyBorder="1" applyAlignment="1"/>
    <xf numFmtId="0" fontId="31" fillId="0" borderId="18" xfId="0" applyFont="1" applyBorder="1" applyAlignment="1"/>
    <xf numFmtId="0" fontId="28" fillId="0" borderId="2" xfId="0" applyFont="1" applyBorder="1" applyAlignment="1"/>
    <xf numFmtId="0" fontId="16" fillId="0" borderId="5" xfId="0" applyFont="1" applyBorder="1" applyAlignment="1"/>
    <xf numFmtId="0" fontId="42" fillId="0" borderId="5" xfId="0" applyFont="1" applyBorder="1" applyAlignment="1"/>
    <xf numFmtId="0" fontId="13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10" fontId="22" fillId="0" borderId="0" xfId="0" applyNumberFormat="1" applyFont="1" applyBorder="1" applyAlignment="1">
      <alignment wrapText="1"/>
    </xf>
    <xf numFmtId="0" fontId="47" fillId="0" borderId="15" xfId="0" applyFont="1" applyBorder="1" applyAlignment="1">
      <alignment wrapText="1"/>
    </xf>
    <xf numFmtId="0" fontId="30" fillId="0" borderId="5" xfId="0" applyFont="1" applyBorder="1" applyAlignment="1"/>
    <xf numFmtId="0" fontId="30" fillId="0" borderId="13" xfId="0" applyFont="1" applyBorder="1" applyAlignment="1"/>
    <xf numFmtId="0" fontId="30" fillId="0" borderId="14" xfId="0" applyFont="1" applyBorder="1" applyAlignment="1">
      <alignment wrapText="1"/>
    </xf>
    <xf numFmtId="10" fontId="22" fillId="0" borderId="1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31" fillId="0" borderId="3" xfId="0" applyFont="1" applyBorder="1" applyAlignment="1">
      <alignment wrapText="1"/>
    </xf>
    <xf numFmtId="0" fontId="73" fillId="0" borderId="20" xfId="0" applyFont="1" applyBorder="1" applyAlignment="1"/>
    <xf numFmtId="41" fontId="18" fillId="3" borderId="1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0" fontId="33" fillId="0" borderId="0" xfId="0" applyNumberFormat="1" applyFont="1" applyBorder="1" applyAlignment="1">
      <alignment vertical="center"/>
    </xf>
    <xf numFmtId="0" fontId="66" fillId="0" borderId="2" xfId="0" applyFont="1" applyBorder="1" applyAlignment="1">
      <alignment vertical="center"/>
    </xf>
    <xf numFmtId="10" fontId="43" fillId="0" borderId="15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0" fontId="7" fillId="2" borderId="9" xfId="0" applyNumberFormat="1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5" fillId="0" borderId="12" xfId="0" applyNumberFormat="1" applyFont="1" applyBorder="1" applyAlignment="1">
      <alignment vertical="center"/>
    </xf>
    <xf numFmtId="9" fontId="29" fillId="0" borderId="12" xfId="0" applyNumberFormat="1" applyFont="1" applyBorder="1" applyAlignment="1">
      <alignment vertical="center"/>
    </xf>
    <xf numFmtId="0" fontId="17" fillId="0" borderId="4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0" fontId="63" fillId="0" borderId="15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64" fillId="0" borderId="13" xfId="0" applyFont="1" applyBorder="1" applyAlignment="1">
      <alignment vertical="center"/>
    </xf>
    <xf numFmtId="169" fontId="50" fillId="0" borderId="0" xfId="0" applyNumberFormat="1" applyFont="1" applyBorder="1" applyAlignment="1">
      <alignment vertical="center"/>
    </xf>
    <xf numFmtId="9" fontId="6" fillId="0" borderId="15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3" fillId="0" borderId="13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35" fillId="0" borderId="0" xfId="0" applyFont="1" applyBorder="1" applyAlignment="1">
      <alignment horizontal="right" wrapText="1"/>
    </xf>
    <xf numFmtId="167" fontId="48" fillId="0" borderId="0" xfId="0" applyNumberFormat="1" applyFont="1" applyBorder="1" applyAlignment="1">
      <alignment wrapText="1"/>
    </xf>
    <xf numFmtId="167" fontId="41" fillId="0" borderId="8" xfId="0" applyNumberFormat="1" applyFont="1" applyBorder="1" applyAlignment="1">
      <alignment wrapText="1"/>
    </xf>
    <xf numFmtId="164" fontId="12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25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wrapText="1"/>
    </xf>
    <xf numFmtId="0" fontId="56" fillId="0" borderId="0" xfId="0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6" fillId="0" borderId="4" xfId="0" applyFont="1" applyBorder="1" applyAlignment="1">
      <alignment vertical="center"/>
    </xf>
    <xf numFmtId="167" fontId="54" fillId="0" borderId="0" xfId="0" applyNumberFormat="1" applyFont="1" applyBorder="1" applyAlignment="1">
      <alignment vertical="center"/>
    </xf>
    <xf numFmtId="168" fontId="27" fillId="0" borderId="0" xfId="0" applyNumberFormat="1" applyFont="1" applyBorder="1" applyAlignment="1">
      <alignment vertical="center"/>
    </xf>
    <xf numFmtId="164" fontId="58" fillId="0" borderId="0" xfId="0" applyNumberFormat="1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0" fontId="7" fillId="10" borderId="9" xfId="0" applyNumberFormat="1" applyFont="1" applyFill="1" applyBorder="1" applyAlignment="1">
      <alignment vertical="center"/>
    </xf>
    <xf numFmtId="10" fontId="26" fillId="10" borderId="8" xfId="0" applyNumberFormat="1" applyFont="1" applyFill="1" applyBorder="1" applyAlignment="1">
      <alignment vertical="center"/>
    </xf>
    <xf numFmtId="169" fontId="44" fillId="10" borderId="9" xfId="0" applyNumberFormat="1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167" fontId="75" fillId="0" borderId="0" xfId="0" applyNumberFormat="1" applyFont="1" applyBorder="1" applyAlignment="1">
      <alignment vertical="center"/>
    </xf>
    <xf numFmtId="164" fontId="76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4" fillId="0" borderId="21" xfId="0" applyNumberFormat="1" applyFont="1" applyBorder="1" applyAlignment="1">
      <alignment wrapText="1"/>
    </xf>
    <xf numFmtId="4" fontId="4" fillId="0" borderId="10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10" fontId="4" fillId="0" borderId="7" xfId="0" applyNumberFormat="1" applyFont="1" applyBorder="1" applyAlignment="1">
      <alignment wrapText="1"/>
    </xf>
    <xf numFmtId="10" fontId="4" fillId="0" borderId="10" xfId="0" applyNumberFormat="1" applyFont="1" applyBorder="1" applyAlignment="1">
      <alignment wrapText="1"/>
    </xf>
    <xf numFmtId="0" fontId="4" fillId="0" borderId="10" xfId="0" applyFont="1" applyBorder="1" applyAlignment="1">
      <alignment horizontal="right"/>
    </xf>
    <xf numFmtId="15" fontId="1" fillId="0" borderId="0" xfId="0" applyNumberFormat="1" applyFont="1" applyAlignment="1">
      <alignment wrapText="1"/>
    </xf>
    <xf numFmtId="0" fontId="77" fillId="0" borderId="0" xfId="0" applyFont="1" applyAlignment="1">
      <alignment vertical="center" wrapText="1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67" fontId="25" fillId="0" borderId="10" xfId="0" applyNumberFormat="1" applyFont="1" applyBorder="1" applyAlignment="1">
      <alignment vertical="center"/>
    </xf>
    <xf numFmtId="167" fontId="25" fillId="0" borderId="5" xfId="0" applyNumberFormat="1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3" fillId="0" borderId="13" xfId="0" applyFont="1" applyBorder="1" applyAlignment="1">
      <alignment horizontal="center"/>
    </xf>
    <xf numFmtId="0" fontId="73" fillId="0" borderId="14" xfId="0" applyFont="1" applyBorder="1" applyAlignment="1">
      <alignment horizontal="center"/>
    </xf>
    <xf numFmtId="0" fontId="74" fillId="0" borderId="13" xfId="0" applyFont="1" applyBorder="1" applyAlignment="1">
      <alignment horizontal="center" vertical="center"/>
    </xf>
    <xf numFmtId="0" fontId="74" fillId="0" borderId="14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wrapText="1"/>
    </xf>
  </cellXfs>
  <cellStyles count="7">
    <cellStyle name="Currency" xfId="1" builtinId="4"/>
    <cellStyle name="Currency 2" xfId="4"/>
    <cellStyle name="Excel Built-in Normal" xfId="6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99"/>
  <sheetViews>
    <sheetView tabSelected="1" zoomScale="90" zoomScaleNormal="90" workbookViewId="0"/>
  </sheetViews>
  <sheetFormatPr defaultColWidth="17.140625" defaultRowHeight="12.75" customHeight="1" x14ac:dyDescent="0.2"/>
  <cols>
    <col min="1" max="1" width="8.28515625" customWidth="1"/>
    <col min="2" max="2" width="22.140625" customWidth="1"/>
    <col min="3" max="3" width="25.28515625" customWidth="1"/>
    <col min="4" max="6" width="17.140625" customWidth="1"/>
    <col min="7" max="7" width="16.28515625" customWidth="1"/>
    <col min="8" max="21" width="17.140625" customWidth="1"/>
  </cols>
  <sheetData>
    <row r="1" spans="1:21" ht="12.75" customHeight="1" x14ac:dyDescent="0.2">
      <c r="B1" s="188"/>
      <c r="C1" s="187"/>
    </row>
    <row r="2" spans="1:21" ht="12.75" customHeight="1" x14ac:dyDescent="0.2">
      <c r="B2" s="188"/>
    </row>
    <row r="3" spans="1:21" ht="12.75" customHeight="1" x14ac:dyDescent="0.2">
      <c r="B3" s="188"/>
    </row>
    <row r="4" spans="1:21" ht="12.75" customHeight="1" x14ac:dyDescent="0.2">
      <c r="B4" s="188"/>
    </row>
    <row r="5" spans="1:21" ht="12.75" customHeight="1" thickBot="1" x14ac:dyDescent="0.25">
      <c r="B5" s="188"/>
    </row>
    <row r="6" spans="1:21" x14ac:dyDescent="0.2">
      <c r="A6" s="57"/>
      <c r="B6" s="58"/>
      <c r="C6" s="58"/>
      <c r="D6" s="58"/>
      <c r="E6" s="59">
        <v>0.05</v>
      </c>
      <c r="F6" s="58" t="s">
        <v>0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60"/>
      <c r="T6" s="4"/>
      <c r="U6" s="4"/>
    </row>
    <row r="7" spans="1:21" ht="15.75" x14ac:dyDescent="0.25">
      <c r="A7" s="101" t="s">
        <v>1</v>
      </c>
      <c r="B7" s="92"/>
      <c r="C7" s="61"/>
      <c r="D7" s="61"/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3"/>
      <c r="T7" s="4"/>
      <c r="U7" s="4"/>
    </row>
    <row r="8" spans="1:21" x14ac:dyDescent="0.2">
      <c r="A8" s="102"/>
      <c r="B8" s="93"/>
      <c r="C8" s="65" t="s">
        <v>2</v>
      </c>
      <c r="D8" s="65" t="s">
        <v>3</v>
      </c>
      <c r="E8" s="66" t="s">
        <v>4</v>
      </c>
      <c r="F8" s="66" t="s">
        <v>5</v>
      </c>
      <c r="G8" s="66" t="s">
        <v>4</v>
      </c>
      <c r="H8" s="66" t="s">
        <v>6</v>
      </c>
      <c r="I8" s="66" t="s">
        <v>4</v>
      </c>
      <c r="J8" s="66" t="s">
        <v>7</v>
      </c>
      <c r="K8" s="66" t="s">
        <v>4</v>
      </c>
      <c r="L8" s="67" t="s">
        <v>8</v>
      </c>
      <c r="M8" s="66" t="s">
        <v>4</v>
      </c>
      <c r="N8" s="67" t="s">
        <v>9</v>
      </c>
      <c r="O8" s="67" t="s">
        <v>4</v>
      </c>
      <c r="P8" s="67" t="s">
        <v>10</v>
      </c>
      <c r="Q8" s="67" t="s">
        <v>4</v>
      </c>
      <c r="R8" s="67" t="s">
        <v>11</v>
      </c>
      <c r="S8" s="68" t="s">
        <v>4</v>
      </c>
      <c r="T8" s="4"/>
      <c r="U8" s="4"/>
    </row>
    <row r="9" spans="1:21" x14ac:dyDescent="0.2">
      <c r="A9" s="103" t="s">
        <v>12</v>
      </c>
      <c r="B9" s="66"/>
      <c r="C9" s="66">
        <v>100</v>
      </c>
      <c r="D9" s="54">
        <v>30</v>
      </c>
      <c r="E9" s="54">
        <f t="shared" ref="E9:E15" si="0">D9*C9</f>
        <v>3000</v>
      </c>
      <c r="F9" s="54">
        <f t="shared" ref="F9:F15" si="1">$D9*(1+$E$6)</f>
        <v>31.5</v>
      </c>
      <c r="G9" s="54">
        <f t="shared" ref="G9:G15" si="2">F9*C9</f>
        <v>3150</v>
      </c>
      <c r="H9" s="54">
        <f t="shared" ref="H9:H15" si="3">$F9*(1+$E$6)</f>
        <v>33.075000000000003</v>
      </c>
      <c r="I9" s="54">
        <f t="shared" ref="I9:I15" si="4">H9*C9</f>
        <v>3307.5000000000005</v>
      </c>
      <c r="J9" s="54">
        <f t="shared" ref="J9:J15" si="5">$H9*(1+$E$6)</f>
        <v>34.728750000000005</v>
      </c>
      <c r="K9" s="54">
        <f t="shared" ref="K9:K15" si="6">J9*C9</f>
        <v>3472.8750000000005</v>
      </c>
      <c r="L9" s="54">
        <f t="shared" ref="L9:L15" si="7">J9+(1+$E$6)</f>
        <v>35.778750000000002</v>
      </c>
      <c r="M9" s="54">
        <f t="shared" ref="M9:M15" si="8">L9*C9</f>
        <v>3577.875</v>
      </c>
      <c r="N9" s="54">
        <f t="shared" ref="N9:N15" si="9">L9+(1+$E$6)</f>
        <v>36.828749999999999</v>
      </c>
      <c r="O9" s="54">
        <f t="shared" ref="O9:O15" si="10">C9*N9</f>
        <v>3682.875</v>
      </c>
      <c r="P9" s="54">
        <f t="shared" ref="P9:P15" si="11">N9+(1+$E$6)</f>
        <v>37.878749999999997</v>
      </c>
      <c r="Q9" s="54">
        <f t="shared" ref="Q9:Q15" si="12">P9*C9</f>
        <v>3787.8749999999995</v>
      </c>
      <c r="R9" s="54">
        <f t="shared" ref="R9:R15" si="13">P9+(1+$E$6)</f>
        <v>38.928749999999994</v>
      </c>
      <c r="S9" s="70">
        <f t="shared" ref="S9:S15" si="14">R9*C9</f>
        <v>3892.8749999999995</v>
      </c>
      <c r="T9" s="4"/>
      <c r="U9" s="4"/>
    </row>
    <row r="10" spans="1:21" x14ac:dyDescent="0.2">
      <c r="A10" s="103" t="s">
        <v>13</v>
      </c>
      <c r="B10" s="66"/>
      <c r="C10" s="66">
        <v>100</v>
      </c>
      <c r="D10" s="54">
        <v>41</v>
      </c>
      <c r="E10" s="54">
        <f t="shared" si="0"/>
        <v>4100</v>
      </c>
      <c r="F10" s="54">
        <f t="shared" si="1"/>
        <v>43.050000000000004</v>
      </c>
      <c r="G10" s="54">
        <f t="shared" si="2"/>
        <v>4305</v>
      </c>
      <c r="H10" s="54">
        <f t="shared" si="3"/>
        <v>45.202500000000008</v>
      </c>
      <c r="I10" s="54">
        <f t="shared" si="4"/>
        <v>4520.2500000000009</v>
      </c>
      <c r="J10" s="54">
        <f t="shared" si="5"/>
        <v>47.46262500000001</v>
      </c>
      <c r="K10" s="54">
        <f t="shared" si="6"/>
        <v>4746.2625000000007</v>
      </c>
      <c r="L10" s="54">
        <f t="shared" si="7"/>
        <v>48.512625000000007</v>
      </c>
      <c r="M10" s="54">
        <f t="shared" si="8"/>
        <v>4851.2625000000007</v>
      </c>
      <c r="N10" s="54">
        <f t="shared" si="9"/>
        <v>49.562625000000004</v>
      </c>
      <c r="O10" s="54">
        <f t="shared" si="10"/>
        <v>4956.2625000000007</v>
      </c>
      <c r="P10" s="54">
        <f t="shared" si="11"/>
        <v>50.612625000000001</v>
      </c>
      <c r="Q10" s="54">
        <f t="shared" si="12"/>
        <v>5061.2624999999998</v>
      </c>
      <c r="R10" s="54">
        <f t="shared" si="13"/>
        <v>51.662624999999998</v>
      </c>
      <c r="S10" s="70">
        <f t="shared" si="14"/>
        <v>5166.2624999999998</v>
      </c>
      <c r="T10" s="4"/>
      <c r="U10" s="4"/>
    </row>
    <row r="11" spans="1:21" x14ac:dyDescent="0.2">
      <c r="A11" s="103" t="s">
        <v>14</v>
      </c>
      <c r="B11" s="66"/>
      <c r="C11" s="66">
        <v>80</v>
      </c>
      <c r="D11" s="54">
        <v>48</v>
      </c>
      <c r="E11" s="54">
        <f t="shared" si="0"/>
        <v>3840</v>
      </c>
      <c r="F11" s="54">
        <f t="shared" si="1"/>
        <v>50.400000000000006</v>
      </c>
      <c r="G11" s="54">
        <f t="shared" si="2"/>
        <v>4032.0000000000005</v>
      </c>
      <c r="H11" s="54">
        <f t="shared" si="3"/>
        <v>52.920000000000009</v>
      </c>
      <c r="I11" s="54">
        <f t="shared" si="4"/>
        <v>4233.6000000000004</v>
      </c>
      <c r="J11" s="54">
        <f t="shared" si="5"/>
        <v>55.56600000000001</v>
      </c>
      <c r="K11" s="54">
        <f t="shared" si="6"/>
        <v>4445.2800000000007</v>
      </c>
      <c r="L11" s="54">
        <f t="shared" si="7"/>
        <v>56.616000000000007</v>
      </c>
      <c r="M11" s="54">
        <f t="shared" si="8"/>
        <v>4529.2800000000007</v>
      </c>
      <c r="N11" s="54">
        <f t="shared" si="9"/>
        <v>57.666000000000004</v>
      </c>
      <c r="O11" s="54">
        <f t="shared" si="10"/>
        <v>4613.2800000000007</v>
      </c>
      <c r="P11" s="54">
        <f t="shared" si="11"/>
        <v>58.716000000000001</v>
      </c>
      <c r="Q11" s="54">
        <f t="shared" si="12"/>
        <v>4697.28</v>
      </c>
      <c r="R11" s="54">
        <f t="shared" si="13"/>
        <v>59.765999999999998</v>
      </c>
      <c r="S11" s="70">
        <f t="shared" si="14"/>
        <v>4781.28</v>
      </c>
      <c r="T11" s="4"/>
      <c r="U11" s="4"/>
    </row>
    <row r="12" spans="1:21" ht="25.5" customHeight="1" x14ac:dyDescent="0.2">
      <c r="A12" s="103" t="s">
        <v>15</v>
      </c>
      <c r="B12" s="66"/>
      <c r="C12" s="66">
        <v>70</v>
      </c>
      <c r="D12" s="54">
        <v>62</v>
      </c>
      <c r="E12" s="54">
        <f t="shared" si="0"/>
        <v>4340</v>
      </c>
      <c r="F12" s="54">
        <f t="shared" si="1"/>
        <v>65.100000000000009</v>
      </c>
      <c r="G12" s="54">
        <f t="shared" si="2"/>
        <v>4557.0000000000009</v>
      </c>
      <c r="H12" s="54">
        <f t="shared" si="3"/>
        <v>68.355000000000018</v>
      </c>
      <c r="I12" s="54">
        <f t="shared" si="4"/>
        <v>4784.8500000000013</v>
      </c>
      <c r="J12" s="54">
        <f t="shared" si="5"/>
        <v>71.772750000000016</v>
      </c>
      <c r="K12" s="54">
        <f t="shared" si="6"/>
        <v>5024.0925000000016</v>
      </c>
      <c r="L12" s="54">
        <f t="shared" si="7"/>
        <v>72.822750000000013</v>
      </c>
      <c r="M12" s="54">
        <f t="shared" si="8"/>
        <v>5097.5925000000007</v>
      </c>
      <c r="N12" s="54">
        <f t="shared" si="9"/>
        <v>73.872750000000011</v>
      </c>
      <c r="O12" s="54">
        <f t="shared" si="10"/>
        <v>5171.0925000000007</v>
      </c>
      <c r="P12" s="54">
        <f t="shared" si="11"/>
        <v>74.922750000000008</v>
      </c>
      <c r="Q12" s="54">
        <f t="shared" si="12"/>
        <v>5244.5925000000007</v>
      </c>
      <c r="R12" s="54">
        <f t="shared" si="13"/>
        <v>75.972750000000005</v>
      </c>
      <c r="S12" s="70">
        <f t="shared" si="14"/>
        <v>5318.0925000000007</v>
      </c>
      <c r="T12" s="4"/>
      <c r="U12" s="4"/>
    </row>
    <row r="13" spans="1:21" x14ac:dyDescent="0.2">
      <c r="A13" s="103" t="s">
        <v>16</v>
      </c>
      <c r="B13" s="66"/>
      <c r="C13" s="66">
        <v>30</v>
      </c>
      <c r="D13" s="54">
        <v>71</v>
      </c>
      <c r="E13" s="54">
        <f t="shared" si="0"/>
        <v>2130</v>
      </c>
      <c r="F13" s="54">
        <f t="shared" si="1"/>
        <v>74.55</v>
      </c>
      <c r="G13" s="54">
        <f t="shared" si="2"/>
        <v>2236.5</v>
      </c>
      <c r="H13" s="54">
        <f t="shared" si="3"/>
        <v>78.277500000000003</v>
      </c>
      <c r="I13" s="54">
        <f t="shared" si="4"/>
        <v>2348.3250000000003</v>
      </c>
      <c r="J13" s="54">
        <f t="shared" si="5"/>
        <v>82.191375000000008</v>
      </c>
      <c r="K13" s="54">
        <f t="shared" si="6"/>
        <v>2465.74125</v>
      </c>
      <c r="L13" s="54">
        <f t="shared" si="7"/>
        <v>83.241375000000005</v>
      </c>
      <c r="M13" s="54">
        <f t="shared" si="8"/>
        <v>2497.24125</v>
      </c>
      <c r="N13" s="54">
        <f t="shared" si="9"/>
        <v>84.291375000000002</v>
      </c>
      <c r="O13" s="54">
        <f t="shared" si="10"/>
        <v>2528.74125</v>
      </c>
      <c r="P13" s="54">
        <f t="shared" si="11"/>
        <v>85.341374999999999</v>
      </c>
      <c r="Q13" s="54">
        <f t="shared" si="12"/>
        <v>2560.24125</v>
      </c>
      <c r="R13" s="54">
        <f t="shared" si="13"/>
        <v>86.391374999999996</v>
      </c>
      <c r="S13" s="70">
        <f t="shared" si="14"/>
        <v>2591.74125</v>
      </c>
      <c r="T13" s="4"/>
      <c r="U13" s="4"/>
    </row>
    <row r="14" spans="1:21" x14ac:dyDescent="0.2">
      <c r="A14" s="103" t="s">
        <v>17</v>
      </c>
      <c r="B14" s="66"/>
      <c r="C14" s="66">
        <v>30</v>
      </c>
      <c r="D14" s="54">
        <v>119</v>
      </c>
      <c r="E14" s="54">
        <f t="shared" si="0"/>
        <v>3570</v>
      </c>
      <c r="F14" s="54">
        <f t="shared" si="1"/>
        <v>124.95</v>
      </c>
      <c r="G14" s="54">
        <f t="shared" si="2"/>
        <v>3748.5</v>
      </c>
      <c r="H14" s="54">
        <f t="shared" si="3"/>
        <v>131.19750000000002</v>
      </c>
      <c r="I14" s="54">
        <f t="shared" si="4"/>
        <v>3935.9250000000006</v>
      </c>
      <c r="J14" s="54">
        <f t="shared" si="5"/>
        <v>137.75737500000002</v>
      </c>
      <c r="K14" s="54">
        <f t="shared" si="6"/>
        <v>4132.7212500000005</v>
      </c>
      <c r="L14" s="54">
        <f t="shared" si="7"/>
        <v>138.80737500000004</v>
      </c>
      <c r="M14" s="54">
        <f t="shared" si="8"/>
        <v>4164.2212500000014</v>
      </c>
      <c r="N14" s="54">
        <f t="shared" si="9"/>
        <v>139.85737500000005</v>
      </c>
      <c r="O14" s="54">
        <f t="shared" si="10"/>
        <v>4195.7212500000014</v>
      </c>
      <c r="P14" s="54">
        <f t="shared" si="11"/>
        <v>140.90737500000006</v>
      </c>
      <c r="Q14" s="54">
        <f t="shared" si="12"/>
        <v>4227.2212500000014</v>
      </c>
      <c r="R14" s="54">
        <f t="shared" si="13"/>
        <v>141.95737500000007</v>
      </c>
      <c r="S14" s="70">
        <f t="shared" si="14"/>
        <v>4258.7212500000023</v>
      </c>
      <c r="T14" s="4"/>
      <c r="U14" s="4"/>
    </row>
    <row r="15" spans="1:21" x14ac:dyDescent="0.2">
      <c r="A15" s="103" t="s">
        <v>18</v>
      </c>
      <c r="B15" s="66"/>
      <c r="C15" s="66">
        <v>65</v>
      </c>
      <c r="D15" s="54">
        <v>140</v>
      </c>
      <c r="E15" s="54">
        <f t="shared" si="0"/>
        <v>9100</v>
      </c>
      <c r="F15" s="54">
        <f t="shared" si="1"/>
        <v>147</v>
      </c>
      <c r="G15" s="54">
        <f t="shared" si="2"/>
        <v>9555</v>
      </c>
      <c r="H15" s="54">
        <f t="shared" si="3"/>
        <v>154.35</v>
      </c>
      <c r="I15" s="54">
        <f t="shared" si="4"/>
        <v>10032.75</v>
      </c>
      <c r="J15" s="54">
        <f t="shared" si="5"/>
        <v>162.0675</v>
      </c>
      <c r="K15" s="54">
        <f t="shared" si="6"/>
        <v>10534.387499999999</v>
      </c>
      <c r="L15" s="54">
        <f t="shared" si="7"/>
        <v>163.11750000000001</v>
      </c>
      <c r="M15" s="54">
        <f t="shared" si="8"/>
        <v>10602.637500000001</v>
      </c>
      <c r="N15" s="54">
        <f t="shared" si="9"/>
        <v>164.16750000000002</v>
      </c>
      <c r="O15" s="54">
        <f t="shared" si="10"/>
        <v>10670.887500000001</v>
      </c>
      <c r="P15" s="54">
        <f t="shared" si="11"/>
        <v>165.21750000000003</v>
      </c>
      <c r="Q15" s="54">
        <f t="shared" si="12"/>
        <v>10739.137500000003</v>
      </c>
      <c r="R15" s="54">
        <f t="shared" si="13"/>
        <v>166.26750000000004</v>
      </c>
      <c r="S15" s="70">
        <f t="shared" si="14"/>
        <v>10807.387500000003</v>
      </c>
      <c r="T15" s="4"/>
      <c r="U15" s="4"/>
    </row>
    <row r="16" spans="1:21" x14ac:dyDescent="0.2">
      <c r="A16" s="104" t="s">
        <v>19</v>
      </c>
      <c r="B16" s="71"/>
      <c r="C16" s="71">
        <f>SUM(C9:C15)</f>
        <v>475</v>
      </c>
      <c r="D16" s="72"/>
      <c r="E16" s="73">
        <f>SUM(E9:E15)</f>
        <v>30080</v>
      </c>
      <c r="F16" s="73"/>
      <c r="G16" s="73">
        <f>SUM(G9:G15)</f>
        <v>31584</v>
      </c>
      <c r="H16" s="73"/>
      <c r="I16" s="73">
        <f>SUM(I9:I15)</f>
        <v>33163.200000000004</v>
      </c>
      <c r="J16" s="73"/>
      <c r="K16" s="73">
        <f>SUM(K9:K15)</f>
        <v>34821.360000000001</v>
      </c>
      <c r="L16" s="73"/>
      <c r="M16" s="73">
        <f>SUM(M9:M15)</f>
        <v>35320.11</v>
      </c>
      <c r="N16" s="73"/>
      <c r="O16" s="73">
        <f>SUM(O9:O15)</f>
        <v>35818.86</v>
      </c>
      <c r="P16" s="73"/>
      <c r="Q16" s="73">
        <f>SUM(Q9:Q15)</f>
        <v>36317.610000000008</v>
      </c>
      <c r="R16" s="73"/>
      <c r="S16" s="74">
        <f>SUM(S9:S15)</f>
        <v>36816.360000000008</v>
      </c>
      <c r="T16" s="4"/>
      <c r="U16" s="4"/>
    </row>
    <row r="17" spans="1:21" x14ac:dyDescent="0.2">
      <c r="A17" s="103"/>
      <c r="B17" s="66"/>
      <c r="C17" s="66"/>
      <c r="D17" s="61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70"/>
      <c r="T17" s="4"/>
      <c r="U17" s="4"/>
    </row>
    <row r="18" spans="1:21" x14ac:dyDescent="0.2">
      <c r="A18" s="75"/>
      <c r="B18" s="61"/>
      <c r="C18" s="206">
        <v>2013</v>
      </c>
      <c r="D18" s="206"/>
      <c r="E18" s="206">
        <v>2014</v>
      </c>
      <c r="F18" s="206"/>
      <c r="G18" s="206">
        <v>2015</v>
      </c>
      <c r="H18" s="206"/>
      <c r="I18" s="206">
        <v>2016</v>
      </c>
      <c r="J18" s="206"/>
      <c r="K18" s="206">
        <v>2017</v>
      </c>
      <c r="L18" s="206"/>
      <c r="M18" s="206">
        <v>2018</v>
      </c>
      <c r="N18" s="206"/>
      <c r="O18" s="206">
        <v>2019</v>
      </c>
      <c r="P18" s="206"/>
      <c r="Q18" s="206">
        <v>2020</v>
      </c>
      <c r="R18" s="206"/>
      <c r="S18" s="63"/>
      <c r="T18" s="4"/>
      <c r="U18" s="4"/>
    </row>
    <row r="19" spans="1:21" x14ac:dyDescent="0.2">
      <c r="A19" s="103" t="s">
        <v>20</v>
      </c>
      <c r="B19" s="66"/>
      <c r="C19" s="76">
        <v>1</v>
      </c>
      <c r="D19" s="54">
        <f>E9*1</f>
        <v>3000</v>
      </c>
      <c r="E19" s="76">
        <v>1</v>
      </c>
      <c r="F19" s="54">
        <f t="shared" ref="F19:F25" si="15">G9*E19</f>
        <v>3150</v>
      </c>
      <c r="G19" s="76">
        <v>1</v>
      </c>
      <c r="H19" s="54">
        <f t="shared" ref="H19:H25" si="16">G19*I9</f>
        <v>3307.5000000000005</v>
      </c>
      <c r="I19" s="76">
        <v>1</v>
      </c>
      <c r="J19" s="54">
        <f t="shared" ref="J19:J25" si="17">I19*K9</f>
        <v>3472.8750000000005</v>
      </c>
      <c r="K19" s="76">
        <v>1</v>
      </c>
      <c r="L19" s="54">
        <f t="shared" ref="L19:L25" si="18">M9*K19</f>
        <v>3577.875</v>
      </c>
      <c r="M19" s="76">
        <v>1</v>
      </c>
      <c r="N19" s="54">
        <f t="shared" ref="N19:N25" si="19">O9*M19</f>
        <v>3682.875</v>
      </c>
      <c r="O19" s="76">
        <v>1</v>
      </c>
      <c r="P19" s="54">
        <f t="shared" ref="P19:P25" si="20">Q9*O19</f>
        <v>3787.8749999999995</v>
      </c>
      <c r="Q19" s="76">
        <v>1</v>
      </c>
      <c r="R19" s="54">
        <f t="shared" ref="R19:R25" si="21">S9*Q19</f>
        <v>3892.8749999999995</v>
      </c>
      <c r="S19" s="63"/>
      <c r="T19" s="4"/>
      <c r="U19" s="4"/>
    </row>
    <row r="20" spans="1:21" x14ac:dyDescent="0.2">
      <c r="A20" s="103" t="s">
        <v>21</v>
      </c>
      <c r="B20" s="66"/>
      <c r="C20" s="76">
        <v>0.95</v>
      </c>
      <c r="D20" s="54">
        <f>E10*0.95</f>
        <v>3895</v>
      </c>
      <c r="E20" s="76">
        <v>0.95</v>
      </c>
      <c r="F20" s="54">
        <f t="shared" si="15"/>
        <v>4089.75</v>
      </c>
      <c r="G20" s="76">
        <v>0.95</v>
      </c>
      <c r="H20" s="54">
        <f t="shared" si="16"/>
        <v>4294.2375000000011</v>
      </c>
      <c r="I20" s="76">
        <v>0.95</v>
      </c>
      <c r="J20" s="54">
        <f t="shared" si="17"/>
        <v>4508.9493750000001</v>
      </c>
      <c r="K20" s="76">
        <v>0.95</v>
      </c>
      <c r="L20" s="54">
        <f t="shared" si="18"/>
        <v>4608.6993750000001</v>
      </c>
      <c r="M20" s="76">
        <v>0.95</v>
      </c>
      <c r="N20" s="54">
        <f t="shared" si="19"/>
        <v>4708.4493750000001</v>
      </c>
      <c r="O20" s="76">
        <v>0.95</v>
      </c>
      <c r="P20" s="54">
        <f t="shared" si="20"/>
        <v>4808.1993749999992</v>
      </c>
      <c r="Q20" s="76">
        <v>0.95</v>
      </c>
      <c r="R20" s="54">
        <f t="shared" si="21"/>
        <v>4907.9493749999992</v>
      </c>
      <c r="S20" s="63"/>
      <c r="T20" s="4"/>
      <c r="U20" s="4"/>
    </row>
    <row r="21" spans="1:21" x14ac:dyDescent="0.2">
      <c r="A21" s="103" t="s">
        <v>22</v>
      </c>
      <c r="B21" s="66"/>
      <c r="C21" s="76">
        <v>0.8</v>
      </c>
      <c r="D21" s="54">
        <f>E11*0.8</f>
        <v>3072</v>
      </c>
      <c r="E21" s="76">
        <v>0.8</v>
      </c>
      <c r="F21" s="54">
        <f t="shared" si="15"/>
        <v>3225.6000000000004</v>
      </c>
      <c r="G21" s="76">
        <v>0.8</v>
      </c>
      <c r="H21" s="54">
        <f t="shared" si="16"/>
        <v>3386.8800000000006</v>
      </c>
      <c r="I21" s="76">
        <v>0.8</v>
      </c>
      <c r="J21" s="54">
        <f t="shared" si="17"/>
        <v>3556.2240000000006</v>
      </c>
      <c r="K21" s="76">
        <v>0.8</v>
      </c>
      <c r="L21" s="54">
        <f t="shared" si="18"/>
        <v>3623.4240000000009</v>
      </c>
      <c r="M21" s="76">
        <v>0.8</v>
      </c>
      <c r="N21" s="54">
        <f t="shared" si="19"/>
        <v>3690.6240000000007</v>
      </c>
      <c r="O21" s="76">
        <v>0.8</v>
      </c>
      <c r="P21" s="54">
        <f t="shared" si="20"/>
        <v>3757.8240000000001</v>
      </c>
      <c r="Q21" s="76">
        <v>0.8</v>
      </c>
      <c r="R21" s="54">
        <f t="shared" si="21"/>
        <v>3825.0239999999999</v>
      </c>
      <c r="S21" s="63"/>
      <c r="T21" s="4"/>
      <c r="U21" s="4"/>
    </row>
    <row r="22" spans="1:21" x14ac:dyDescent="0.2">
      <c r="A22" s="103" t="s">
        <v>23</v>
      </c>
      <c r="B22" s="66"/>
      <c r="C22" s="76">
        <v>0.65</v>
      </c>
      <c r="D22" s="54">
        <f>E12*0.65</f>
        <v>2821</v>
      </c>
      <c r="E22" s="76">
        <v>0.65</v>
      </c>
      <c r="F22" s="54">
        <f t="shared" si="15"/>
        <v>2962.0500000000006</v>
      </c>
      <c r="G22" s="76">
        <v>0.65</v>
      </c>
      <c r="H22" s="54">
        <f t="shared" si="16"/>
        <v>3110.1525000000011</v>
      </c>
      <c r="I22" s="76">
        <v>0.65</v>
      </c>
      <c r="J22" s="54">
        <f t="shared" si="17"/>
        <v>3265.6601250000012</v>
      </c>
      <c r="K22" s="76">
        <v>0.65</v>
      </c>
      <c r="L22" s="54">
        <f t="shared" si="18"/>
        <v>3313.4351250000004</v>
      </c>
      <c r="M22" s="76">
        <v>0.65</v>
      </c>
      <c r="N22" s="54">
        <f t="shared" si="19"/>
        <v>3361.2101250000005</v>
      </c>
      <c r="O22" s="76">
        <v>0.65</v>
      </c>
      <c r="P22" s="54">
        <f t="shared" si="20"/>
        <v>3408.9851250000006</v>
      </c>
      <c r="Q22" s="76">
        <v>0.65</v>
      </c>
      <c r="R22" s="54">
        <f t="shared" si="21"/>
        <v>3456.7601250000007</v>
      </c>
      <c r="S22" s="63"/>
      <c r="T22" s="4"/>
      <c r="U22" s="4"/>
    </row>
    <row r="23" spans="1:21" x14ac:dyDescent="0.2">
      <c r="A23" s="103" t="s">
        <v>24</v>
      </c>
      <c r="B23" s="66"/>
      <c r="C23" s="76">
        <v>0.7</v>
      </c>
      <c r="D23" s="54">
        <f>E13*0.7</f>
        <v>1491</v>
      </c>
      <c r="E23" s="76">
        <v>0.7</v>
      </c>
      <c r="F23" s="54">
        <f t="shared" si="15"/>
        <v>1565.55</v>
      </c>
      <c r="G23" s="76">
        <v>0.7</v>
      </c>
      <c r="H23" s="54">
        <f t="shared" si="16"/>
        <v>1643.8275000000001</v>
      </c>
      <c r="I23" s="76">
        <v>0.7</v>
      </c>
      <c r="J23" s="54">
        <f t="shared" si="17"/>
        <v>1726.018875</v>
      </c>
      <c r="K23" s="76">
        <v>0.7</v>
      </c>
      <c r="L23" s="54">
        <f t="shared" si="18"/>
        <v>1748.0688749999999</v>
      </c>
      <c r="M23" s="76">
        <v>0.7</v>
      </c>
      <c r="N23" s="54">
        <f t="shared" si="19"/>
        <v>1770.1188749999999</v>
      </c>
      <c r="O23" s="76">
        <v>0.7</v>
      </c>
      <c r="P23" s="54">
        <f t="shared" si="20"/>
        <v>1792.1688749999998</v>
      </c>
      <c r="Q23" s="76">
        <v>0.7</v>
      </c>
      <c r="R23" s="54">
        <f t="shared" si="21"/>
        <v>1814.2188749999998</v>
      </c>
      <c r="S23" s="63"/>
      <c r="T23" s="4"/>
      <c r="U23" s="4"/>
    </row>
    <row r="24" spans="1:21" x14ac:dyDescent="0.2">
      <c r="A24" s="103" t="s">
        <v>25</v>
      </c>
      <c r="B24" s="66"/>
      <c r="C24" s="76">
        <v>0.6</v>
      </c>
      <c r="D24" s="54">
        <f>E14*0.6</f>
        <v>2142</v>
      </c>
      <c r="E24" s="76">
        <v>0.6</v>
      </c>
      <c r="F24" s="54">
        <f t="shared" si="15"/>
        <v>2249.1</v>
      </c>
      <c r="G24" s="76">
        <v>0.6</v>
      </c>
      <c r="H24" s="54">
        <f t="shared" si="16"/>
        <v>2361.5550000000003</v>
      </c>
      <c r="I24" s="76">
        <v>0.6</v>
      </c>
      <c r="J24" s="54">
        <f t="shared" si="17"/>
        <v>2479.6327500000002</v>
      </c>
      <c r="K24" s="76">
        <v>0.6</v>
      </c>
      <c r="L24" s="54">
        <f t="shared" si="18"/>
        <v>2498.5327500000008</v>
      </c>
      <c r="M24" s="76">
        <v>0.6</v>
      </c>
      <c r="N24" s="54">
        <f t="shared" si="19"/>
        <v>2517.4327500000009</v>
      </c>
      <c r="O24" s="76">
        <v>0.6</v>
      </c>
      <c r="P24" s="54">
        <f t="shared" si="20"/>
        <v>2536.3327500000009</v>
      </c>
      <c r="Q24" s="76">
        <v>0.6</v>
      </c>
      <c r="R24" s="54">
        <f t="shared" si="21"/>
        <v>2555.2327500000015</v>
      </c>
      <c r="S24" s="63"/>
      <c r="T24" s="4"/>
      <c r="U24" s="4"/>
    </row>
    <row r="25" spans="1:21" x14ac:dyDescent="0.2">
      <c r="A25" s="103" t="s">
        <v>26</v>
      </c>
      <c r="B25" s="66"/>
      <c r="C25" s="76">
        <v>0.6</v>
      </c>
      <c r="D25" s="54">
        <f>E15*C25</f>
        <v>5460</v>
      </c>
      <c r="E25" s="76">
        <v>0.6</v>
      </c>
      <c r="F25" s="54">
        <f t="shared" si="15"/>
        <v>5733</v>
      </c>
      <c r="G25" s="76">
        <v>0.6</v>
      </c>
      <c r="H25" s="54">
        <f t="shared" si="16"/>
        <v>6019.65</v>
      </c>
      <c r="I25" s="76">
        <v>0.6</v>
      </c>
      <c r="J25" s="54">
        <f t="shared" si="17"/>
        <v>6320.6324999999988</v>
      </c>
      <c r="K25" s="76">
        <v>0.6</v>
      </c>
      <c r="L25" s="54">
        <f t="shared" si="18"/>
        <v>6361.5825000000004</v>
      </c>
      <c r="M25" s="76">
        <v>0.6</v>
      </c>
      <c r="N25" s="54">
        <f t="shared" si="19"/>
        <v>6402.5325000000003</v>
      </c>
      <c r="O25" s="76">
        <v>0.6</v>
      </c>
      <c r="P25" s="54">
        <f t="shared" si="20"/>
        <v>6443.482500000001</v>
      </c>
      <c r="Q25" s="76">
        <v>0.6</v>
      </c>
      <c r="R25" s="54">
        <f t="shared" si="21"/>
        <v>6484.4325000000017</v>
      </c>
      <c r="S25" s="63"/>
      <c r="T25" s="4"/>
      <c r="U25" s="4"/>
    </row>
    <row r="26" spans="1:21" x14ac:dyDescent="0.2">
      <c r="A26" s="104" t="s">
        <v>171</v>
      </c>
      <c r="B26" s="71"/>
      <c r="C26" s="72"/>
      <c r="D26" s="73">
        <f>SUM(D19:D25)</f>
        <v>21881</v>
      </c>
      <c r="E26" s="73"/>
      <c r="F26" s="73">
        <f>SUM(F19:F25)</f>
        <v>22975.05</v>
      </c>
      <c r="G26" s="73"/>
      <c r="H26" s="73">
        <f>SUM(H19:H25)</f>
        <v>24123.802500000005</v>
      </c>
      <c r="I26" s="73"/>
      <c r="J26" s="73">
        <f>SUM(J19:J25)</f>
        <v>25329.992625000003</v>
      </c>
      <c r="K26" s="72"/>
      <c r="L26" s="73">
        <f>SUM(L19:L25)</f>
        <v>25731.617625000003</v>
      </c>
      <c r="M26" s="72"/>
      <c r="N26" s="73">
        <f>SUM(N19:N25)</f>
        <v>26133.242625000003</v>
      </c>
      <c r="O26" s="72"/>
      <c r="P26" s="73">
        <f>SUM(P19:P25)</f>
        <v>26534.867625000003</v>
      </c>
      <c r="Q26" s="72"/>
      <c r="R26" s="73">
        <f>SUM(R19:R25)</f>
        <v>26936.492625000003</v>
      </c>
      <c r="S26" s="63"/>
      <c r="T26" s="4"/>
      <c r="U26" s="4"/>
    </row>
    <row r="27" spans="1:21" x14ac:dyDescent="0.2">
      <c r="A27" s="75"/>
      <c r="B27" s="61"/>
      <c r="C27" s="61"/>
      <c r="D27" s="61"/>
      <c r="E27" s="61"/>
      <c r="F27" s="61"/>
      <c r="G27" s="61"/>
      <c r="H27" s="54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3"/>
      <c r="T27" s="4"/>
      <c r="U27" s="4"/>
    </row>
    <row r="28" spans="1:21" x14ac:dyDescent="0.2">
      <c r="A28" s="103" t="s">
        <v>27</v>
      </c>
      <c r="B28" s="66"/>
      <c r="C28" s="66">
        <v>30</v>
      </c>
      <c r="D28" s="66">
        <v>30</v>
      </c>
      <c r="E28" s="66">
        <v>30</v>
      </c>
      <c r="F28" s="66">
        <v>30</v>
      </c>
      <c r="G28" s="66">
        <v>30</v>
      </c>
      <c r="H28" s="66">
        <v>30</v>
      </c>
      <c r="I28" s="66">
        <v>30</v>
      </c>
      <c r="J28" s="66">
        <v>30</v>
      </c>
      <c r="K28" s="61"/>
      <c r="L28" s="61"/>
      <c r="M28" s="61"/>
      <c r="N28" s="61"/>
      <c r="O28" s="61"/>
      <c r="P28" s="61"/>
      <c r="Q28" s="61"/>
      <c r="R28" s="61"/>
      <c r="S28" s="63"/>
      <c r="T28" s="4"/>
      <c r="U28" s="4"/>
    </row>
    <row r="29" spans="1:21" x14ac:dyDescent="0.2">
      <c r="A29" s="75"/>
      <c r="B29" s="61"/>
      <c r="C29" s="61"/>
      <c r="D29" s="61"/>
      <c r="E29" s="61"/>
      <c r="F29" s="61"/>
      <c r="G29" s="61"/>
      <c r="H29" s="54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3"/>
      <c r="T29" s="4"/>
      <c r="U29" s="4"/>
    </row>
    <row r="30" spans="1:21" x14ac:dyDescent="0.2">
      <c r="A30" s="103" t="s">
        <v>28</v>
      </c>
      <c r="B30" s="66"/>
      <c r="C30" s="61" t="s">
        <v>29</v>
      </c>
      <c r="D30" s="61"/>
      <c r="E30" s="61"/>
      <c r="F30" s="61"/>
      <c r="G30" s="61"/>
      <c r="H30" s="54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3"/>
      <c r="T30" s="4"/>
      <c r="U30" s="4"/>
    </row>
    <row r="31" spans="1:21" x14ac:dyDescent="0.2">
      <c r="A31" s="103" t="s">
        <v>30</v>
      </c>
      <c r="B31" s="66"/>
      <c r="C31" s="61" t="s">
        <v>31</v>
      </c>
      <c r="D31" s="61"/>
      <c r="E31" s="61"/>
      <c r="F31" s="61"/>
      <c r="G31" s="61"/>
      <c r="H31" s="54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3"/>
      <c r="T31" s="4"/>
      <c r="U31" s="4"/>
    </row>
    <row r="32" spans="1:21" ht="13.5" thickBot="1" x14ac:dyDescent="0.25">
      <c r="A32" s="80"/>
      <c r="B32" s="77"/>
      <c r="C32" s="77"/>
      <c r="D32" s="77"/>
      <c r="E32" s="77"/>
      <c r="F32" s="77"/>
      <c r="G32" s="77"/>
      <c r="H32" s="78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9"/>
      <c r="T32" s="4"/>
      <c r="U32" s="4"/>
    </row>
    <row r="33" spans="1:21" ht="15.75" x14ac:dyDescent="0.25">
      <c r="A33" s="200" t="s">
        <v>32</v>
      </c>
      <c r="B33" s="201"/>
      <c r="C33" s="58"/>
      <c r="D33" s="58"/>
      <c r="E33" s="58"/>
      <c r="F33" s="58"/>
      <c r="G33" s="58"/>
      <c r="H33" s="81"/>
      <c r="I33" s="58"/>
      <c r="J33" s="58"/>
      <c r="K33" s="198" t="s">
        <v>1</v>
      </c>
      <c r="L33" s="199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">
      <c r="A34" s="102"/>
      <c r="B34" s="93"/>
      <c r="C34" s="71">
        <v>2013</v>
      </c>
      <c r="D34" s="71">
        <v>2014</v>
      </c>
      <c r="E34" s="71">
        <v>2015</v>
      </c>
      <c r="F34" s="71">
        <v>2016</v>
      </c>
      <c r="G34" s="71">
        <v>2017</v>
      </c>
      <c r="H34" s="71">
        <v>2018</v>
      </c>
      <c r="I34" s="71">
        <v>2019</v>
      </c>
      <c r="J34" s="71">
        <v>2020</v>
      </c>
      <c r="K34" s="61"/>
      <c r="L34" s="63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">
      <c r="A35" s="103" t="s">
        <v>33</v>
      </c>
      <c r="B35" s="66"/>
      <c r="C35" s="54">
        <f>D26*12</f>
        <v>262572</v>
      </c>
      <c r="D35" s="54">
        <f>F26*12</f>
        <v>275700.59999999998</v>
      </c>
      <c r="E35" s="54">
        <f>H26*12</f>
        <v>289485.63000000006</v>
      </c>
      <c r="F35" s="54">
        <f>J26*12</f>
        <v>303959.91150000005</v>
      </c>
      <c r="G35" s="54">
        <f>L26*12</f>
        <v>308779.41150000005</v>
      </c>
      <c r="H35" s="54">
        <f>N26*12</f>
        <v>313598.91150000005</v>
      </c>
      <c r="I35" s="54">
        <f>P26*12</f>
        <v>318418.41150000005</v>
      </c>
      <c r="J35" s="54">
        <f>R26*12</f>
        <v>323237.91150000005</v>
      </c>
      <c r="K35" s="82">
        <v>0.05</v>
      </c>
      <c r="L35" s="70" t="s">
        <v>34</v>
      </c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">
      <c r="A36" s="105" t="s">
        <v>35</v>
      </c>
      <c r="B36" s="94"/>
      <c r="C36" s="61"/>
      <c r="D36" s="54"/>
      <c r="E36" s="54"/>
      <c r="F36" s="54"/>
      <c r="G36" s="54"/>
      <c r="H36" s="54"/>
      <c r="I36" s="54"/>
      <c r="J36" s="54"/>
      <c r="K36" s="61"/>
      <c r="L36" s="70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">
      <c r="B37" s="114" t="s">
        <v>36</v>
      </c>
      <c r="C37" s="54">
        <f>$K$37*C35</f>
        <v>5251.4400000000005</v>
      </c>
      <c r="D37" s="54">
        <f>$K$37*D35</f>
        <v>5514.0119999999997</v>
      </c>
      <c r="E37" s="54">
        <f>$K$37*E35</f>
        <v>5789.7126000000017</v>
      </c>
      <c r="F37" s="54">
        <f>$K$37*F35</f>
        <v>6079.1982300000009</v>
      </c>
      <c r="G37" s="54">
        <f>G35*$K$37</f>
        <v>6175.5882300000012</v>
      </c>
      <c r="H37" s="54">
        <f>H35*$K$37</f>
        <v>6271.9782300000006</v>
      </c>
      <c r="I37" s="54">
        <f>I35*$K$37</f>
        <v>6368.3682300000009</v>
      </c>
      <c r="J37" s="54">
        <f>J35*$K$37</f>
        <v>6464.7582300000013</v>
      </c>
      <c r="K37" s="83">
        <v>0.02</v>
      </c>
      <c r="L37" s="70" t="s">
        <v>37</v>
      </c>
      <c r="M37" s="12">
        <v>0.54</v>
      </c>
      <c r="N37" s="4" t="s">
        <v>38</v>
      </c>
      <c r="O37" s="12">
        <v>0.46</v>
      </c>
      <c r="P37" s="4" t="s">
        <v>39</v>
      </c>
      <c r="Q37" s="4"/>
      <c r="R37" s="4"/>
      <c r="S37" s="4"/>
      <c r="T37" s="4"/>
      <c r="U37" s="4"/>
    </row>
    <row r="38" spans="1:21" x14ac:dyDescent="0.2">
      <c r="B38" s="114" t="s">
        <v>40</v>
      </c>
      <c r="C38" s="54">
        <f>$K$38*C35</f>
        <v>7877.16</v>
      </c>
      <c r="D38" s="54">
        <f>$K$38*D35</f>
        <v>8271.0179999999982</v>
      </c>
      <c r="E38" s="54">
        <f>$K$38*E35</f>
        <v>8684.568900000002</v>
      </c>
      <c r="F38" s="54">
        <f>$K$38*F35</f>
        <v>9118.7973450000009</v>
      </c>
      <c r="G38" s="54">
        <f>G35*$K$38</f>
        <v>9263.3823450000018</v>
      </c>
      <c r="H38" s="54">
        <f>H35*$K$38</f>
        <v>9407.9673450000009</v>
      </c>
      <c r="I38" s="54">
        <f>I35*$K$38</f>
        <v>9552.5523450000019</v>
      </c>
      <c r="J38" s="54">
        <f>J35*$K$38</f>
        <v>9697.137345000001</v>
      </c>
      <c r="K38" s="83">
        <v>0.03</v>
      </c>
      <c r="L38" s="84" t="s">
        <v>37</v>
      </c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">
      <c r="B39" s="114" t="s">
        <v>41</v>
      </c>
      <c r="C39" s="54">
        <v>5000</v>
      </c>
      <c r="D39" s="54">
        <v>5000</v>
      </c>
      <c r="E39" s="54">
        <v>5000</v>
      </c>
      <c r="F39" s="54">
        <v>5000</v>
      </c>
      <c r="G39" s="54">
        <v>5000</v>
      </c>
      <c r="H39" s="54">
        <v>5000</v>
      </c>
      <c r="I39" s="54">
        <v>5000</v>
      </c>
      <c r="J39" s="54">
        <v>5000</v>
      </c>
      <c r="K39" s="61"/>
      <c r="L39" s="63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">
      <c r="B40" s="114" t="s">
        <v>42</v>
      </c>
      <c r="C40" s="54">
        <f t="shared" ref="C40:J40" si="22">C35*$K$40</f>
        <v>7877.16</v>
      </c>
      <c r="D40" s="54">
        <f t="shared" si="22"/>
        <v>8271.0179999999982</v>
      </c>
      <c r="E40" s="54">
        <f t="shared" si="22"/>
        <v>8684.568900000002</v>
      </c>
      <c r="F40" s="54">
        <f t="shared" si="22"/>
        <v>9118.7973450000009</v>
      </c>
      <c r="G40" s="54">
        <f t="shared" si="22"/>
        <v>9263.3823450000018</v>
      </c>
      <c r="H40" s="54">
        <f t="shared" si="22"/>
        <v>9407.9673450000009</v>
      </c>
      <c r="I40" s="54">
        <f t="shared" si="22"/>
        <v>9552.5523450000019</v>
      </c>
      <c r="J40" s="54">
        <f t="shared" si="22"/>
        <v>9697.137345000001</v>
      </c>
      <c r="K40" s="76">
        <v>0.03</v>
      </c>
      <c r="L40" s="63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">
      <c r="B41" s="114" t="s">
        <v>43</v>
      </c>
      <c r="C41" s="54">
        <f t="shared" ref="C41:J41" si="23">$K$41*$M$41</f>
        <v>94800</v>
      </c>
      <c r="D41" s="54">
        <f t="shared" si="23"/>
        <v>94800</v>
      </c>
      <c r="E41" s="54">
        <f t="shared" si="23"/>
        <v>94800</v>
      </c>
      <c r="F41" s="54">
        <f t="shared" si="23"/>
        <v>94800</v>
      </c>
      <c r="G41" s="54">
        <f t="shared" si="23"/>
        <v>94800</v>
      </c>
      <c r="H41" s="54">
        <f t="shared" si="23"/>
        <v>94800</v>
      </c>
      <c r="I41" s="54">
        <f t="shared" si="23"/>
        <v>94800</v>
      </c>
      <c r="J41" s="54">
        <f t="shared" si="23"/>
        <v>94800</v>
      </c>
      <c r="K41" s="76">
        <v>7.9000000000000001E-2</v>
      </c>
      <c r="L41" s="84" t="s">
        <v>44</v>
      </c>
      <c r="M41" s="16">
        <v>1200000</v>
      </c>
      <c r="N41" s="4"/>
      <c r="O41" s="4"/>
      <c r="P41" s="4"/>
      <c r="Q41" s="4"/>
      <c r="R41" s="4"/>
      <c r="S41" s="4"/>
      <c r="T41" s="4"/>
      <c r="U41" s="4"/>
    </row>
    <row r="42" spans="1:21" x14ac:dyDescent="0.2">
      <c r="B42" s="114" t="s">
        <v>45</v>
      </c>
      <c r="C42" s="53">
        <v>25000</v>
      </c>
      <c r="D42" s="53">
        <v>25000</v>
      </c>
      <c r="E42" s="53">
        <v>25000</v>
      </c>
      <c r="F42" s="53">
        <v>25000</v>
      </c>
      <c r="G42" s="53">
        <v>25000</v>
      </c>
      <c r="H42" s="53">
        <v>25000</v>
      </c>
      <c r="I42" s="53">
        <v>25000</v>
      </c>
      <c r="J42" s="53">
        <v>25000</v>
      </c>
      <c r="K42" s="61"/>
      <c r="L42" s="63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">
      <c r="A43" s="103" t="s">
        <v>46</v>
      </c>
      <c r="B43" s="66"/>
      <c r="C43" s="54">
        <f t="shared" ref="C43:J43" si="24">C35-SUM(C37:C42)</f>
        <v>116766.23999999999</v>
      </c>
      <c r="D43" s="54">
        <f t="shared" si="24"/>
        <v>128844.55199999997</v>
      </c>
      <c r="E43" s="54">
        <f t="shared" si="24"/>
        <v>141526.77960000007</v>
      </c>
      <c r="F43" s="54">
        <f t="shared" si="24"/>
        <v>154843.11858000004</v>
      </c>
      <c r="G43" s="54">
        <f t="shared" si="24"/>
        <v>159277.05858000004</v>
      </c>
      <c r="H43" s="54">
        <f t="shared" si="24"/>
        <v>163710.99858000004</v>
      </c>
      <c r="I43" s="54">
        <f t="shared" si="24"/>
        <v>168144.93858000005</v>
      </c>
      <c r="J43" s="54">
        <f t="shared" si="24"/>
        <v>172578.87858000005</v>
      </c>
      <c r="K43" s="61"/>
      <c r="L43" s="63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">
      <c r="A44" s="75"/>
      <c r="B44" s="61"/>
      <c r="C44" s="61"/>
      <c r="D44" s="54"/>
      <c r="E44" s="54"/>
      <c r="F44" s="54"/>
      <c r="G44" s="54"/>
      <c r="H44" s="54"/>
      <c r="I44" s="54"/>
      <c r="J44" s="54"/>
      <c r="K44" s="61"/>
      <c r="L44" s="63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">
      <c r="A45" s="103" t="s">
        <v>47</v>
      </c>
      <c r="B45" s="66"/>
      <c r="C45" s="54">
        <f t="shared" ref="C45:J45" si="25">$M$41*$K$45</f>
        <v>40000</v>
      </c>
      <c r="D45" s="54">
        <f t="shared" si="25"/>
        <v>40000</v>
      </c>
      <c r="E45" s="54">
        <f t="shared" si="25"/>
        <v>40000</v>
      </c>
      <c r="F45" s="54">
        <f t="shared" si="25"/>
        <v>40000</v>
      </c>
      <c r="G45" s="54">
        <f t="shared" si="25"/>
        <v>40000</v>
      </c>
      <c r="H45" s="54">
        <f t="shared" si="25"/>
        <v>40000</v>
      </c>
      <c r="I45" s="54">
        <f t="shared" si="25"/>
        <v>40000</v>
      </c>
      <c r="J45" s="54">
        <f t="shared" si="25"/>
        <v>40000</v>
      </c>
      <c r="K45" s="76">
        <f>1/30</f>
        <v>3.3333333333333333E-2</v>
      </c>
      <c r="L45" s="63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">
      <c r="A46" s="103" t="s">
        <v>48</v>
      </c>
      <c r="B46" s="66"/>
      <c r="C46" s="54">
        <f t="shared" ref="C46:J46" si="26">$K$46*C74</f>
        <v>0</v>
      </c>
      <c r="D46" s="54">
        <f t="shared" si="26"/>
        <v>0</v>
      </c>
      <c r="E46" s="54">
        <f t="shared" si="26"/>
        <v>0</v>
      </c>
      <c r="F46" s="54">
        <f t="shared" si="26"/>
        <v>0</v>
      </c>
      <c r="G46" s="54">
        <f t="shared" si="26"/>
        <v>0</v>
      </c>
      <c r="H46" s="54">
        <f t="shared" si="26"/>
        <v>0</v>
      </c>
      <c r="I46" s="54">
        <f t="shared" si="26"/>
        <v>0</v>
      </c>
      <c r="J46" s="54">
        <f t="shared" si="26"/>
        <v>0</v>
      </c>
      <c r="K46" s="83">
        <v>0.04</v>
      </c>
      <c r="L46" s="84" t="s">
        <v>49</v>
      </c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">
      <c r="A47" s="103" t="s">
        <v>50</v>
      </c>
      <c r="B47" s="66"/>
      <c r="C47" s="54">
        <v>77606</v>
      </c>
      <c r="D47" s="54">
        <v>76706</v>
      </c>
      <c r="E47" s="54">
        <v>75748</v>
      </c>
      <c r="F47" s="54">
        <v>74726</v>
      </c>
      <c r="G47" s="54">
        <v>73635</v>
      </c>
      <c r="H47" s="54">
        <v>72470</v>
      </c>
      <c r="I47" s="54">
        <v>71228</v>
      </c>
      <c r="J47" s="54">
        <v>69903</v>
      </c>
      <c r="K47" s="61"/>
      <c r="L47" s="63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">
      <c r="A48" s="103" t="s">
        <v>51</v>
      </c>
      <c r="B48" s="66"/>
      <c r="C48" s="56">
        <f t="shared" ref="C48:J48" si="27">C43-SUM(C45:C47)</f>
        <v>-839.76000000000931</v>
      </c>
      <c r="D48" s="56">
        <f t="shared" si="27"/>
        <v>12138.551999999967</v>
      </c>
      <c r="E48" s="56">
        <f t="shared" si="27"/>
        <v>25778.779600000067</v>
      </c>
      <c r="F48" s="56">
        <f t="shared" si="27"/>
        <v>40117.118580000038</v>
      </c>
      <c r="G48" s="56">
        <f t="shared" si="27"/>
        <v>45642.058580000041</v>
      </c>
      <c r="H48" s="56">
        <f t="shared" si="27"/>
        <v>51240.998580000043</v>
      </c>
      <c r="I48" s="56">
        <f t="shared" si="27"/>
        <v>56916.938580000045</v>
      </c>
      <c r="J48" s="56">
        <f t="shared" si="27"/>
        <v>62675.878580000048</v>
      </c>
      <c r="K48" s="61"/>
      <c r="L48" s="63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">
      <c r="A49" s="103" t="s">
        <v>52</v>
      </c>
      <c r="B49" s="66"/>
      <c r="C49" s="55">
        <f t="shared" ref="C49:J49" si="28">IF((C48&gt;0),(C48*$K$49),0)</f>
        <v>0</v>
      </c>
      <c r="D49" s="55">
        <f t="shared" si="28"/>
        <v>3034.6379999999917</v>
      </c>
      <c r="E49" s="55">
        <f t="shared" si="28"/>
        <v>6444.6949000000168</v>
      </c>
      <c r="F49" s="55">
        <f t="shared" si="28"/>
        <v>10029.27964500001</v>
      </c>
      <c r="G49" s="55">
        <f t="shared" si="28"/>
        <v>11410.51464500001</v>
      </c>
      <c r="H49" s="55">
        <f t="shared" si="28"/>
        <v>12810.249645000011</v>
      </c>
      <c r="I49" s="55">
        <f t="shared" si="28"/>
        <v>14229.234645000011</v>
      </c>
      <c r="J49" s="55">
        <f t="shared" si="28"/>
        <v>15668.969645000012</v>
      </c>
      <c r="K49" s="76">
        <v>0.25</v>
      </c>
      <c r="L49" s="63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">
      <c r="A50" s="104" t="s">
        <v>53</v>
      </c>
      <c r="B50" s="71"/>
      <c r="C50" s="73">
        <f t="shared" ref="C50:J50" si="29">C48-C49</f>
        <v>-839.76000000000931</v>
      </c>
      <c r="D50" s="73">
        <f t="shared" si="29"/>
        <v>9103.9139999999752</v>
      </c>
      <c r="E50" s="73">
        <f t="shared" si="29"/>
        <v>19334.08470000005</v>
      </c>
      <c r="F50" s="73">
        <f t="shared" si="29"/>
        <v>30087.838935000029</v>
      </c>
      <c r="G50" s="73">
        <f t="shared" si="29"/>
        <v>34231.543935000031</v>
      </c>
      <c r="H50" s="73">
        <f t="shared" si="29"/>
        <v>38430.748935000032</v>
      </c>
      <c r="I50" s="73">
        <f t="shared" si="29"/>
        <v>42687.703935000034</v>
      </c>
      <c r="J50" s="73">
        <f t="shared" si="29"/>
        <v>47006.908935000036</v>
      </c>
      <c r="K50" s="54"/>
      <c r="L50" s="63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">
      <c r="A51" s="75"/>
      <c r="B51" s="61"/>
      <c r="C51" s="61"/>
      <c r="D51" s="61"/>
      <c r="E51" s="61"/>
      <c r="F51" s="61"/>
      <c r="G51" s="54"/>
      <c r="H51" s="54"/>
      <c r="I51" s="54"/>
      <c r="J51" s="54"/>
      <c r="K51" s="61"/>
      <c r="L51" s="63"/>
      <c r="M51" s="4"/>
      <c r="N51" s="4"/>
      <c r="O51" s="4"/>
      <c r="P51" s="4"/>
      <c r="Q51" s="4"/>
      <c r="R51" s="4"/>
      <c r="S51" s="4"/>
      <c r="T51" s="4"/>
      <c r="U51" s="4"/>
    </row>
    <row r="52" spans="1:21" ht="15.75" x14ac:dyDescent="0.2">
      <c r="A52" s="204" t="s">
        <v>172</v>
      </c>
      <c r="B52" s="205"/>
      <c r="C52" s="61"/>
      <c r="D52" s="61"/>
      <c r="E52" s="61"/>
      <c r="F52" s="61"/>
      <c r="G52" s="54"/>
      <c r="H52" s="54"/>
      <c r="I52" s="54"/>
      <c r="J52" s="54"/>
      <c r="K52" s="61"/>
      <c r="L52" s="63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">
      <c r="A53" s="75"/>
      <c r="B53" s="61"/>
      <c r="C53" s="72">
        <f>C34</f>
        <v>2013</v>
      </c>
      <c r="D53" s="72">
        <f t="shared" ref="D53:J53" si="30">D34</f>
        <v>2014</v>
      </c>
      <c r="E53" s="72">
        <f t="shared" si="30"/>
        <v>2015</v>
      </c>
      <c r="F53" s="72">
        <f t="shared" si="30"/>
        <v>2016</v>
      </c>
      <c r="G53" s="72">
        <f t="shared" si="30"/>
        <v>2017</v>
      </c>
      <c r="H53" s="72">
        <f t="shared" si="30"/>
        <v>2018</v>
      </c>
      <c r="I53" s="72">
        <f t="shared" si="30"/>
        <v>2019</v>
      </c>
      <c r="J53" s="72">
        <f t="shared" si="30"/>
        <v>2020</v>
      </c>
      <c r="K53" s="61"/>
      <c r="L53" s="63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">
      <c r="A54" s="103" t="s">
        <v>54</v>
      </c>
      <c r="B54" s="66"/>
      <c r="C54" s="61"/>
      <c r="D54" s="61"/>
      <c r="E54" s="61"/>
      <c r="F54" s="61"/>
      <c r="G54" s="54"/>
      <c r="H54" s="54"/>
      <c r="I54" s="54"/>
      <c r="J54" s="54"/>
      <c r="K54" s="61"/>
      <c r="L54" s="63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">
      <c r="A55" s="104" t="s">
        <v>55</v>
      </c>
      <c r="B55" s="71"/>
      <c r="C55" s="73">
        <v>202711.68062080038</v>
      </c>
      <c r="D55" s="73">
        <v>230943.8978478674</v>
      </c>
      <c r="E55" s="73">
        <v>268181.58156333223</v>
      </c>
      <c r="F55" s="73">
        <v>264640.30745911656</v>
      </c>
      <c r="G55" s="73">
        <v>361261.10416503053</v>
      </c>
      <c r="H55" s="73">
        <v>410159.30400634068</v>
      </c>
      <c r="I55" s="73">
        <v>461263.46137373068</v>
      </c>
      <c r="J55" s="73">
        <v>514498.67795976903</v>
      </c>
      <c r="K55" s="61"/>
      <c r="L55" s="63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">
      <c r="A56" s="103" t="s">
        <v>56</v>
      </c>
      <c r="B56" s="66"/>
      <c r="C56" s="54">
        <f>K56</f>
        <v>3000</v>
      </c>
      <c r="D56" s="54">
        <f t="shared" ref="D56:J56" si="31">$K$56</f>
        <v>3000</v>
      </c>
      <c r="E56" s="54">
        <f t="shared" si="31"/>
        <v>3000</v>
      </c>
      <c r="F56" s="54">
        <f t="shared" si="31"/>
        <v>3000</v>
      </c>
      <c r="G56" s="54">
        <f t="shared" si="31"/>
        <v>3000</v>
      </c>
      <c r="H56" s="54">
        <f t="shared" si="31"/>
        <v>3000</v>
      </c>
      <c r="I56" s="54">
        <f t="shared" si="31"/>
        <v>3000</v>
      </c>
      <c r="J56" s="54">
        <f t="shared" si="31"/>
        <v>3000</v>
      </c>
      <c r="K56" s="54">
        <v>3000</v>
      </c>
      <c r="L56" s="84" t="s">
        <v>57</v>
      </c>
      <c r="M56" s="2">
        <v>2013</v>
      </c>
      <c r="N56" s="2">
        <v>2014</v>
      </c>
      <c r="O56" s="2">
        <v>2015</v>
      </c>
      <c r="P56" s="2">
        <v>2016</v>
      </c>
      <c r="Q56" s="2">
        <v>2017</v>
      </c>
      <c r="R56" s="2">
        <v>2018</v>
      </c>
      <c r="S56" s="2">
        <v>2019</v>
      </c>
      <c r="T56" s="2">
        <v>2020</v>
      </c>
      <c r="U56" s="4"/>
    </row>
    <row r="57" spans="1:21" x14ac:dyDescent="0.2">
      <c r="A57" s="103" t="s">
        <v>58</v>
      </c>
      <c r="B57" s="66"/>
      <c r="C57" s="85">
        <f t="shared" ref="C57:J57" si="32">(C28/360)*(C35*$K$57)</f>
        <v>1094.05</v>
      </c>
      <c r="D57" s="85">
        <f t="shared" si="32"/>
        <v>1148.7524999999998</v>
      </c>
      <c r="E57" s="85">
        <f t="shared" si="32"/>
        <v>1206.1901250000003</v>
      </c>
      <c r="F57" s="85">
        <f t="shared" si="32"/>
        <v>1266.4996312500002</v>
      </c>
      <c r="G57" s="85">
        <f t="shared" si="32"/>
        <v>1286.5808812500002</v>
      </c>
      <c r="H57" s="85">
        <f t="shared" si="32"/>
        <v>1306.6621312500001</v>
      </c>
      <c r="I57" s="85">
        <f t="shared" si="32"/>
        <v>1326.7433812500003</v>
      </c>
      <c r="J57" s="85">
        <f t="shared" si="32"/>
        <v>1346.82463125</v>
      </c>
      <c r="K57" s="83">
        <v>0.05</v>
      </c>
      <c r="L57" s="84" t="s">
        <v>59</v>
      </c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">
      <c r="A58" s="103" t="s">
        <v>60</v>
      </c>
      <c r="B58" s="66"/>
      <c r="C58" s="86">
        <f t="shared" ref="C58:J58" si="33">SUM(C55:C57)</f>
        <v>206805.73062080037</v>
      </c>
      <c r="D58" s="86">
        <f t="shared" si="33"/>
        <v>235092.6503478674</v>
      </c>
      <c r="E58" s="86">
        <f t="shared" si="33"/>
        <v>272387.77168833226</v>
      </c>
      <c r="F58" s="86">
        <f t="shared" si="33"/>
        <v>268906.80709036655</v>
      </c>
      <c r="G58" s="86">
        <f t="shared" si="33"/>
        <v>365547.6850462805</v>
      </c>
      <c r="H58" s="86">
        <f t="shared" si="33"/>
        <v>414465.9661375907</v>
      </c>
      <c r="I58" s="86">
        <f t="shared" si="33"/>
        <v>465590.20475498069</v>
      </c>
      <c r="J58" s="86">
        <f t="shared" si="33"/>
        <v>518845.50259101903</v>
      </c>
      <c r="K58" s="61"/>
      <c r="L58" s="63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">
      <c r="A59" s="75"/>
      <c r="B59" s="61"/>
      <c r="C59" s="54"/>
      <c r="D59" s="54"/>
      <c r="E59" s="54"/>
      <c r="F59" s="54"/>
      <c r="G59" s="54"/>
      <c r="H59" s="54"/>
      <c r="I59" s="54"/>
      <c r="J59" s="54"/>
      <c r="K59" s="61"/>
      <c r="L59" s="63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2">
      <c r="A60" s="103" t="s">
        <v>61</v>
      </c>
      <c r="B60" s="66"/>
      <c r="C60" s="54"/>
      <c r="D60" s="54"/>
      <c r="E60" s="54"/>
      <c r="F60" s="54"/>
      <c r="G60" s="54"/>
      <c r="H60" s="54"/>
      <c r="I60" s="54"/>
      <c r="J60" s="54"/>
      <c r="K60" s="61"/>
      <c r="L60" s="63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">
      <c r="A61" s="106" t="s">
        <v>62</v>
      </c>
      <c r="B61" s="24"/>
      <c r="C61" s="54">
        <v>800000</v>
      </c>
      <c r="D61" s="54">
        <v>800000</v>
      </c>
      <c r="E61" s="54">
        <v>800000</v>
      </c>
      <c r="F61" s="54">
        <v>800000</v>
      </c>
      <c r="G61" s="54">
        <v>800000</v>
      </c>
      <c r="H61" s="54">
        <v>800000</v>
      </c>
      <c r="I61" s="54">
        <v>800000</v>
      </c>
      <c r="J61" s="54">
        <v>800000</v>
      </c>
      <c r="K61" s="61"/>
      <c r="L61" s="63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">
      <c r="A62" s="107" t="s">
        <v>63</v>
      </c>
      <c r="B62" s="23"/>
      <c r="C62" s="54">
        <v>1200000</v>
      </c>
      <c r="D62" s="54">
        <v>1200000</v>
      </c>
      <c r="E62" s="54">
        <v>1200000</v>
      </c>
      <c r="F62" s="54">
        <v>1200000</v>
      </c>
      <c r="G62" s="54">
        <v>1200000</v>
      </c>
      <c r="H62" s="54">
        <v>1200000</v>
      </c>
      <c r="I62" s="54">
        <v>1200000</v>
      </c>
      <c r="J62" s="54">
        <v>1200000</v>
      </c>
      <c r="K62" s="61"/>
      <c r="L62" s="63"/>
      <c r="M62" s="4"/>
      <c r="N62" s="4"/>
      <c r="O62" s="4"/>
      <c r="P62" s="4"/>
      <c r="Q62" s="4"/>
      <c r="R62" s="4"/>
      <c r="S62" s="4"/>
      <c r="T62" s="4"/>
      <c r="U62" s="4"/>
    </row>
    <row r="63" spans="1:21" s="26" customFormat="1" x14ac:dyDescent="0.2">
      <c r="A63" s="87" t="s">
        <v>149</v>
      </c>
      <c r="B63" s="25"/>
      <c r="C63" s="88">
        <v>0</v>
      </c>
      <c r="D63" s="88">
        <v>0</v>
      </c>
      <c r="E63" s="88">
        <v>0</v>
      </c>
      <c r="F63" s="88">
        <v>50000</v>
      </c>
      <c r="G63" s="88">
        <v>0</v>
      </c>
      <c r="H63" s="88">
        <v>0</v>
      </c>
      <c r="I63" s="88">
        <v>0</v>
      </c>
      <c r="J63" s="88">
        <v>0</v>
      </c>
      <c r="K63" s="61"/>
      <c r="L63" s="63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">
      <c r="A64" s="103" t="s">
        <v>64</v>
      </c>
      <c r="B64" s="66"/>
      <c r="C64" s="54">
        <f>C45</f>
        <v>40000</v>
      </c>
      <c r="D64" s="54">
        <f t="shared" ref="D64:J64" si="34">C64+D45</f>
        <v>80000</v>
      </c>
      <c r="E64" s="54">
        <f t="shared" si="34"/>
        <v>120000</v>
      </c>
      <c r="F64" s="54">
        <f t="shared" si="34"/>
        <v>160000</v>
      </c>
      <c r="G64" s="54">
        <f t="shared" si="34"/>
        <v>200000</v>
      </c>
      <c r="H64" s="54">
        <f t="shared" si="34"/>
        <v>240000</v>
      </c>
      <c r="I64" s="54">
        <f t="shared" si="34"/>
        <v>280000</v>
      </c>
      <c r="J64" s="54">
        <f t="shared" si="34"/>
        <v>320000</v>
      </c>
      <c r="K64" s="61"/>
      <c r="L64" s="63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">
      <c r="A65" s="103" t="s">
        <v>65</v>
      </c>
      <c r="B65" s="66"/>
      <c r="C65" s="85">
        <f t="shared" ref="C65:I65" si="35">C62-C64</f>
        <v>1160000</v>
      </c>
      <c r="D65" s="85">
        <f t="shared" si="35"/>
        <v>1120000</v>
      </c>
      <c r="E65" s="85">
        <f t="shared" si="35"/>
        <v>1080000</v>
      </c>
      <c r="F65" s="85">
        <f t="shared" si="35"/>
        <v>1040000</v>
      </c>
      <c r="G65" s="85">
        <f t="shared" si="35"/>
        <v>1000000</v>
      </c>
      <c r="H65" s="85">
        <f t="shared" si="35"/>
        <v>960000</v>
      </c>
      <c r="I65" s="85">
        <f t="shared" si="35"/>
        <v>920000</v>
      </c>
      <c r="J65" s="85">
        <f>J62-J64</f>
        <v>880000</v>
      </c>
      <c r="K65" s="61"/>
      <c r="L65" s="63"/>
      <c r="M65" s="4"/>
      <c r="N65" s="4"/>
      <c r="O65" s="4"/>
      <c r="P65" s="4"/>
      <c r="Q65" s="4"/>
      <c r="R65" s="4"/>
      <c r="S65" s="4"/>
      <c r="T65" s="4"/>
      <c r="U65" s="4"/>
    </row>
    <row r="66" spans="1:21" ht="13.5" thickBot="1" x14ac:dyDescent="0.25">
      <c r="A66" s="104" t="s">
        <v>66</v>
      </c>
      <c r="B66" s="71"/>
      <c r="C66" s="181">
        <f>(C58+C65)+C61+C63</f>
        <v>2166805.7306208005</v>
      </c>
      <c r="D66" s="181">
        <f t="shared" ref="D66:J66" si="36">(D58+D65)+D61+D63</f>
        <v>2155092.6503478675</v>
      </c>
      <c r="E66" s="181">
        <f t="shared" si="36"/>
        <v>2152387.7716883323</v>
      </c>
      <c r="F66" s="181">
        <f t="shared" si="36"/>
        <v>2158906.8070903663</v>
      </c>
      <c r="G66" s="181">
        <f t="shared" si="36"/>
        <v>2165547.6850462807</v>
      </c>
      <c r="H66" s="181">
        <f t="shared" si="36"/>
        <v>2174465.9661375908</v>
      </c>
      <c r="I66" s="181">
        <f t="shared" si="36"/>
        <v>2185590.2047549807</v>
      </c>
      <c r="J66" s="181">
        <f t="shared" si="36"/>
        <v>2198845.502591019</v>
      </c>
      <c r="K66" s="61"/>
      <c r="L66" s="63"/>
      <c r="M66" s="4"/>
      <c r="N66" s="4"/>
      <c r="O66" s="4"/>
      <c r="P66" s="4"/>
      <c r="Q66" s="4"/>
      <c r="R66" s="4"/>
      <c r="S66" s="4"/>
      <c r="T66" s="4"/>
      <c r="U66" s="4"/>
    </row>
    <row r="67" spans="1:21" ht="13.5" thickTop="1" x14ac:dyDescent="0.2">
      <c r="A67" s="75"/>
      <c r="B67" s="61"/>
      <c r="C67" s="61"/>
      <c r="D67" s="61"/>
      <c r="E67" s="61"/>
      <c r="F67" s="61"/>
      <c r="G67" s="54"/>
      <c r="H67" s="54"/>
      <c r="I67" s="54"/>
      <c r="J67" s="54"/>
      <c r="K67" s="61"/>
      <c r="L67" s="63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">
      <c r="A68" s="108" t="s">
        <v>67</v>
      </c>
      <c r="B68" s="24"/>
      <c r="C68" s="61"/>
      <c r="D68" s="61"/>
      <c r="E68" s="61"/>
      <c r="F68" s="61"/>
      <c r="G68" s="54"/>
      <c r="H68" s="54"/>
      <c r="I68" s="54"/>
      <c r="J68" s="54"/>
      <c r="K68" s="61"/>
      <c r="L68" s="63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2">
      <c r="A69" s="109" t="s">
        <v>145</v>
      </c>
      <c r="B69" s="95"/>
      <c r="C69" s="54">
        <f t="shared" ref="C69:J69" si="37">C49</f>
        <v>0</v>
      </c>
      <c r="D69" s="54">
        <f t="shared" si="37"/>
        <v>3034.6379999999917</v>
      </c>
      <c r="E69" s="54">
        <f t="shared" si="37"/>
        <v>6444.6949000000168</v>
      </c>
      <c r="F69" s="54">
        <f t="shared" si="37"/>
        <v>10029.27964500001</v>
      </c>
      <c r="G69" s="54">
        <f t="shared" si="37"/>
        <v>11410.51464500001</v>
      </c>
      <c r="H69" s="54">
        <f t="shared" si="37"/>
        <v>12810.249645000011</v>
      </c>
      <c r="I69" s="54">
        <f t="shared" si="37"/>
        <v>14229.234645000011</v>
      </c>
      <c r="J69" s="54">
        <f t="shared" si="37"/>
        <v>15668.969645000012</v>
      </c>
      <c r="K69" s="61"/>
      <c r="L69" s="63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2">
      <c r="A70" s="103" t="s">
        <v>68</v>
      </c>
      <c r="B70" s="66"/>
      <c r="C70" s="54">
        <f t="shared" ref="C70:J70" si="38">SUM(C69:C69)</f>
        <v>0</v>
      </c>
      <c r="D70" s="54">
        <f t="shared" si="38"/>
        <v>3034.6379999999917</v>
      </c>
      <c r="E70" s="54">
        <f t="shared" si="38"/>
        <v>6444.6949000000168</v>
      </c>
      <c r="F70" s="54">
        <f t="shared" si="38"/>
        <v>10029.27964500001</v>
      </c>
      <c r="G70" s="54">
        <f t="shared" si="38"/>
        <v>11410.51464500001</v>
      </c>
      <c r="H70" s="54">
        <f t="shared" si="38"/>
        <v>12810.249645000011</v>
      </c>
      <c r="I70" s="54">
        <f t="shared" si="38"/>
        <v>14229.234645000011</v>
      </c>
      <c r="J70" s="54">
        <f t="shared" si="38"/>
        <v>15668.969645000012</v>
      </c>
      <c r="K70" s="61"/>
      <c r="L70" s="63"/>
      <c r="M70" s="4"/>
      <c r="N70" s="4"/>
      <c r="O70" s="4"/>
      <c r="P70" s="4"/>
      <c r="Q70" s="4"/>
      <c r="R70" s="4"/>
      <c r="S70" s="4"/>
      <c r="T70" s="4"/>
      <c r="U70" s="4"/>
    </row>
    <row r="71" spans="1:21" x14ac:dyDescent="0.2">
      <c r="A71" s="75"/>
      <c r="B71" s="61"/>
      <c r="C71" s="54"/>
      <c r="D71" s="54"/>
      <c r="E71" s="54"/>
      <c r="F71" s="54"/>
      <c r="G71" s="54"/>
      <c r="H71" s="54"/>
      <c r="I71" s="54"/>
      <c r="J71" s="54"/>
      <c r="K71" s="61"/>
      <c r="L71" s="63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2">
      <c r="A72" s="108" t="s">
        <v>69</v>
      </c>
      <c r="B72" s="24"/>
      <c r="C72" s="54"/>
      <c r="D72" s="54"/>
      <c r="E72" s="54"/>
      <c r="F72" s="54"/>
      <c r="G72" s="54"/>
      <c r="H72" s="54"/>
      <c r="I72" s="54"/>
      <c r="J72" s="54"/>
      <c r="K72" s="61"/>
      <c r="L72" s="63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2">
      <c r="A73" s="110" t="s">
        <v>70</v>
      </c>
      <c r="B73" s="23"/>
      <c r="C73" s="54">
        <f>Sheet2!G23</f>
        <v>1977645.4906208003</v>
      </c>
      <c r="D73" s="54">
        <f>Sheet2!G35</f>
        <v>1953793.8583478674</v>
      </c>
      <c r="E73" s="54">
        <f>Sheet2!G47</f>
        <v>1928344.8380883324</v>
      </c>
      <c r="F73" s="54">
        <f>Sheet2!G59</f>
        <v>1901191.4498103664</v>
      </c>
      <c r="G73" s="54">
        <f>Sheet2!G71</f>
        <v>1872219.5488312803</v>
      </c>
      <c r="H73" s="54">
        <f>Sheet2!G83</f>
        <v>1841307.3459875907</v>
      </c>
      <c r="I73" s="54">
        <f>Sheet2!G95</f>
        <v>1808324.8956699807</v>
      </c>
      <c r="J73" s="54">
        <f>Sheet2!G107</f>
        <v>1773133.5495710187</v>
      </c>
      <c r="K73" s="89">
        <v>6.5000000000000002E-2</v>
      </c>
      <c r="L73" s="63" t="s">
        <v>170</v>
      </c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2">
      <c r="A74" s="103" t="s">
        <v>71</v>
      </c>
      <c r="B74" s="66"/>
      <c r="C74" s="54"/>
      <c r="D74" s="54"/>
      <c r="E74" s="54"/>
      <c r="F74" s="54"/>
      <c r="G74" s="54"/>
      <c r="H74" s="54"/>
      <c r="I74" s="54"/>
      <c r="J74" s="54"/>
      <c r="K74" s="61"/>
      <c r="L74" s="63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2">
      <c r="A75" s="104" t="s">
        <v>72</v>
      </c>
      <c r="B75" s="66"/>
      <c r="C75" s="54">
        <f t="shared" ref="C75:J75" si="39">SUM(C73:C74)+C70</f>
        <v>1977645.4906208003</v>
      </c>
      <c r="D75" s="54">
        <f t="shared" si="39"/>
        <v>1956828.4963478674</v>
      </c>
      <c r="E75" s="54">
        <f t="shared" si="39"/>
        <v>1934789.5329883324</v>
      </c>
      <c r="F75" s="54">
        <f t="shared" si="39"/>
        <v>1911220.7294553665</v>
      </c>
      <c r="G75" s="54">
        <f t="shared" si="39"/>
        <v>1883630.0634762803</v>
      </c>
      <c r="H75" s="54">
        <f t="shared" si="39"/>
        <v>1854117.5956325908</v>
      </c>
      <c r="I75" s="54">
        <f t="shared" si="39"/>
        <v>1822554.1303149806</v>
      </c>
      <c r="J75" s="54">
        <f t="shared" si="39"/>
        <v>1788802.5192160187</v>
      </c>
      <c r="K75" s="61"/>
      <c r="L75" s="63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2">
      <c r="A76" s="75"/>
      <c r="B76" s="61"/>
      <c r="C76" s="54"/>
      <c r="D76" s="54"/>
      <c r="E76" s="54"/>
      <c r="F76" s="54"/>
      <c r="G76" s="54"/>
      <c r="H76" s="54"/>
      <c r="I76" s="54"/>
      <c r="J76" s="54"/>
      <c r="K76" s="61"/>
      <c r="L76" s="63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2">
      <c r="A77" s="108" t="s">
        <v>73</v>
      </c>
      <c r="B77" s="24"/>
      <c r="C77" s="54"/>
      <c r="D77" s="54"/>
      <c r="E77" s="54"/>
      <c r="F77" s="54"/>
      <c r="G77" s="54"/>
      <c r="H77" s="54"/>
      <c r="I77" s="54"/>
      <c r="J77" s="54"/>
      <c r="K77" s="61"/>
      <c r="L77" s="63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2">
      <c r="A78" s="110" t="s">
        <v>74</v>
      </c>
      <c r="B78" s="23"/>
      <c r="C78" s="54">
        <f>(9.5/100)*Sheet2!D3</f>
        <v>190000</v>
      </c>
      <c r="D78" s="54">
        <f t="shared" ref="D78:J78" si="40">C78</f>
        <v>190000</v>
      </c>
      <c r="E78" s="54">
        <f t="shared" si="40"/>
        <v>190000</v>
      </c>
      <c r="F78" s="54">
        <f t="shared" si="40"/>
        <v>190000</v>
      </c>
      <c r="G78" s="54">
        <f t="shared" si="40"/>
        <v>190000</v>
      </c>
      <c r="H78" s="54">
        <f t="shared" si="40"/>
        <v>190000</v>
      </c>
      <c r="I78" s="54">
        <f t="shared" si="40"/>
        <v>190000</v>
      </c>
      <c r="J78" s="54">
        <f t="shared" si="40"/>
        <v>190000</v>
      </c>
      <c r="K78" s="90">
        <v>9.5000000000000001E-2</v>
      </c>
      <c r="L78" s="63" t="s">
        <v>75</v>
      </c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2">
      <c r="A79" s="103" t="s">
        <v>76</v>
      </c>
      <c r="B79" s="66"/>
      <c r="C79" s="53">
        <f>C50</f>
        <v>-839.76000000000931</v>
      </c>
      <c r="D79" s="53">
        <f t="shared" ref="D79:J79" si="41">C79+D50</f>
        <v>8264.1539999999659</v>
      </c>
      <c r="E79" s="53">
        <f t="shared" si="41"/>
        <v>27598.238700000016</v>
      </c>
      <c r="F79" s="53">
        <f t="shared" si="41"/>
        <v>57686.077635000045</v>
      </c>
      <c r="G79" s="53">
        <f t="shared" si="41"/>
        <v>91917.621570000076</v>
      </c>
      <c r="H79" s="53">
        <f t="shared" si="41"/>
        <v>130348.37050500012</v>
      </c>
      <c r="I79" s="53">
        <f t="shared" si="41"/>
        <v>173036.07444000014</v>
      </c>
      <c r="J79" s="53">
        <f t="shared" si="41"/>
        <v>220042.98337500019</v>
      </c>
      <c r="K79" s="61"/>
      <c r="L79" s="63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2">
      <c r="A80" s="103" t="s">
        <v>77</v>
      </c>
      <c r="B80" s="66"/>
      <c r="C80" s="53">
        <f t="shared" ref="C80:J80" si="42">SUM(C78:C79)</f>
        <v>189160.24</v>
      </c>
      <c r="D80" s="53">
        <f t="shared" si="42"/>
        <v>198264.15399999998</v>
      </c>
      <c r="E80" s="53">
        <f t="shared" si="42"/>
        <v>217598.23870000002</v>
      </c>
      <c r="F80" s="53">
        <f t="shared" si="42"/>
        <v>247686.07763500005</v>
      </c>
      <c r="G80" s="53">
        <f t="shared" si="42"/>
        <v>281917.62157000008</v>
      </c>
      <c r="H80" s="53">
        <f t="shared" si="42"/>
        <v>320348.37050500012</v>
      </c>
      <c r="I80" s="53">
        <f t="shared" si="42"/>
        <v>363036.07444000011</v>
      </c>
      <c r="J80" s="53">
        <f t="shared" si="42"/>
        <v>410042.98337500019</v>
      </c>
      <c r="K80" s="61"/>
      <c r="L80" s="63"/>
      <c r="M80" s="4"/>
      <c r="N80" s="4"/>
      <c r="O80" s="4"/>
      <c r="P80" s="4"/>
      <c r="Q80" s="4"/>
      <c r="R80" s="4"/>
      <c r="S80" s="4"/>
      <c r="T80" s="4"/>
      <c r="U80" s="4"/>
    </row>
    <row r="81" spans="1:21" ht="13.5" thickBot="1" x14ac:dyDescent="0.25">
      <c r="A81" s="104" t="s">
        <v>78</v>
      </c>
      <c r="B81" s="71"/>
      <c r="C81" s="181">
        <f t="shared" ref="C81:J81" si="43">C75+C80</f>
        <v>2166805.7306208005</v>
      </c>
      <c r="D81" s="181">
        <f t="shared" si="43"/>
        <v>2155092.6503478675</v>
      </c>
      <c r="E81" s="181">
        <f t="shared" si="43"/>
        <v>2152387.7716883323</v>
      </c>
      <c r="F81" s="181">
        <f t="shared" si="43"/>
        <v>2158906.8070903667</v>
      </c>
      <c r="G81" s="181">
        <f t="shared" si="43"/>
        <v>2165547.6850462803</v>
      </c>
      <c r="H81" s="181">
        <f t="shared" si="43"/>
        <v>2174465.9661375908</v>
      </c>
      <c r="I81" s="181">
        <f t="shared" si="43"/>
        <v>2185590.2047549807</v>
      </c>
      <c r="J81" s="181">
        <f t="shared" si="43"/>
        <v>2198845.502591019</v>
      </c>
      <c r="K81" s="61"/>
      <c r="L81" s="63"/>
      <c r="M81" s="4"/>
      <c r="N81" s="4"/>
      <c r="O81" s="4"/>
      <c r="P81" s="4"/>
      <c r="Q81" s="4"/>
      <c r="R81" s="4"/>
      <c r="S81" s="4"/>
      <c r="T81" s="4"/>
      <c r="U81" s="4"/>
    </row>
    <row r="82" spans="1:21" ht="13.5" thickTop="1" x14ac:dyDescent="0.2">
      <c r="A82" s="75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3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">
      <c r="A83" s="75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3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">
      <c r="A84" s="103" t="s">
        <v>79</v>
      </c>
      <c r="B84" s="66"/>
      <c r="C84" s="54">
        <f t="shared" ref="C84:J84" si="44">C66-C81</f>
        <v>0</v>
      </c>
      <c r="D84" s="54">
        <f t="shared" si="44"/>
        <v>0</v>
      </c>
      <c r="E84" s="54">
        <f t="shared" si="44"/>
        <v>0</v>
      </c>
      <c r="F84" s="54">
        <f t="shared" si="44"/>
        <v>0</v>
      </c>
      <c r="G84" s="54">
        <f t="shared" si="44"/>
        <v>0</v>
      </c>
      <c r="H84" s="54">
        <f t="shared" si="44"/>
        <v>0</v>
      </c>
      <c r="I84" s="54">
        <f t="shared" si="44"/>
        <v>0</v>
      </c>
      <c r="J84" s="54">
        <f t="shared" si="44"/>
        <v>0</v>
      </c>
      <c r="K84" s="61"/>
      <c r="L84" s="63"/>
      <c r="M84" s="4"/>
      <c r="N84" s="4"/>
      <c r="O84" s="4"/>
      <c r="P84" s="4"/>
      <c r="Q84" s="4"/>
      <c r="R84" s="4"/>
      <c r="S84" s="4"/>
      <c r="T84" s="4"/>
      <c r="U84" s="4"/>
    </row>
    <row r="85" spans="1:21" ht="13.5" thickBot="1" x14ac:dyDescent="0.25">
      <c r="A85" s="11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79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">
      <c r="A86" s="112" t="s">
        <v>80</v>
      </c>
      <c r="B86" s="96"/>
      <c r="C86" s="71">
        <f>C53</f>
        <v>2013</v>
      </c>
      <c r="D86" s="71">
        <f t="shared" ref="D86:J86" si="45">D53</f>
        <v>2014</v>
      </c>
      <c r="E86" s="71">
        <f t="shared" si="45"/>
        <v>2015</v>
      </c>
      <c r="F86" s="71">
        <f t="shared" si="45"/>
        <v>2016</v>
      </c>
      <c r="G86" s="71">
        <f t="shared" si="45"/>
        <v>2017</v>
      </c>
      <c r="H86" s="71">
        <f t="shared" si="45"/>
        <v>2018</v>
      </c>
      <c r="I86" s="71">
        <f t="shared" si="45"/>
        <v>2019</v>
      </c>
      <c r="J86" s="71">
        <f t="shared" si="45"/>
        <v>2020</v>
      </c>
      <c r="K86" s="186" t="s">
        <v>81</v>
      </c>
      <c r="L86" s="9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">
      <c r="A87" s="113" t="s">
        <v>82</v>
      </c>
      <c r="B87" s="97"/>
      <c r="C87" s="1">
        <v>0</v>
      </c>
      <c r="D87" s="1">
        <v>0</v>
      </c>
      <c r="E87" s="5">
        <f t="shared" ref="E87:J87" si="46">E58/E70</f>
        <v>42.265425425853991</v>
      </c>
      <c r="F87" s="5">
        <f t="shared" si="46"/>
        <v>26.812175610680789</v>
      </c>
      <c r="G87" s="5">
        <f t="shared" si="46"/>
        <v>32.036038375049138</v>
      </c>
      <c r="H87" s="5">
        <f t="shared" si="46"/>
        <v>32.354245828406754</v>
      </c>
      <c r="I87" s="5">
        <f t="shared" si="46"/>
        <v>32.720677982394768</v>
      </c>
      <c r="J87" s="5">
        <f t="shared" si="46"/>
        <v>33.112930482738108</v>
      </c>
      <c r="K87" s="182">
        <f>AVERAGE(C87:J87)</f>
        <v>24.912686713140445</v>
      </c>
      <c r="L87" s="9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">
      <c r="A88" s="113" t="s">
        <v>83</v>
      </c>
      <c r="B88" s="97"/>
      <c r="C88" s="1">
        <f t="shared" ref="C88:J88" si="47">(C70+C75)/C80</f>
        <v>10.454868796004913</v>
      </c>
      <c r="D88" s="1">
        <f t="shared" si="47"/>
        <v>9.8851108221401827</v>
      </c>
      <c r="E88" s="1">
        <f t="shared" si="47"/>
        <v>8.9211853895779356</v>
      </c>
      <c r="F88" s="1">
        <f t="shared" si="47"/>
        <v>7.7567945176619748</v>
      </c>
      <c r="G88" s="1">
        <f t="shared" si="47"/>
        <v>6.721965684754978</v>
      </c>
      <c r="H88" s="1">
        <f t="shared" si="47"/>
        <v>5.8278050309247673</v>
      </c>
      <c r="I88" s="1">
        <f t="shared" si="47"/>
        <v>5.0595064630789199</v>
      </c>
      <c r="J88" s="1">
        <f t="shared" si="47"/>
        <v>4.4006886156390088</v>
      </c>
      <c r="K88" s="182">
        <f>AVERAGE(C88:J88)</f>
        <v>7.3784906649728335</v>
      </c>
      <c r="L88" s="9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">
      <c r="A89" s="113" t="s">
        <v>27</v>
      </c>
      <c r="B89" s="97"/>
      <c r="C89" s="5">
        <f t="shared" ref="C89:J89" si="48">C57/(C35/360)</f>
        <v>1.5</v>
      </c>
      <c r="D89" s="5">
        <f t="shared" si="48"/>
        <v>1.5</v>
      </c>
      <c r="E89" s="52">
        <f t="shared" si="48"/>
        <v>1.5000000000000002</v>
      </c>
      <c r="F89" s="5">
        <f t="shared" si="48"/>
        <v>1.5</v>
      </c>
      <c r="G89" s="5">
        <f t="shared" si="48"/>
        <v>1.5</v>
      </c>
      <c r="H89" s="5">
        <f t="shared" si="48"/>
        <v>1.5</v>
      </c>
      <c r="I89" s="5">
        <f t="shared" si="48"/>
        <v>1.5</v>
      </c>
      <c r="J89" s="5">
        <f t="shared" si="48"/>
        <v>1.4999999999999998</v>
      </c>
      <c r="K89" s="183">
        <f>AVERAGE(C89:J89)</f>
        <v>1.5</v>
      </c>
      <c r="L89" s="9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">
      <c r="A90" s="113" t="s">
        <v>84</v>
      </c>
      <c r="B90" s="97"/>
      <c r="C90" s="20">
        <f t="shared" ref="C90:J90" si="49">C50/C66</f>
        <v>-3.8755666377133586E-4</v>
      </c>
      <c r="D90" s="20">
        <f t="shared" si="49"/>
        <v>4.2243724410319216E-3</v>
      </c>
      <c r="E90" s="20">
        <f t="shared" si="49"/>
        <v>8.9826215119380645E-3</v>
      </c>
      <c r="F90" s="20">
        <f t="shared" si="49"/>
        <v>1.3936608489159593E-2</v>
      </c>
      <c r="G90" s="20">
        <f t="shared" si="49"/>
        <v>1.5807337871790367E-2</v>
      </c>
      <c r="H90" s="20">
        <f t="shared" si="49"/>
        <v>1.7673649315957288E-2</v>
      </c>
      <c r="I90" s="20">
        <f t="shared" si="49"/>
        <v>1.9531430842858126E-2</v>
      </c>
      <c r="J90" s="20">
        <f t="shared" si="49"/>
        <v>2.1377995352383442E-2</v>
      </c>
      <c r="K90" s="184">
        <f>AVERAGE(C90:J90)</f>
        <v>1.2643307395168432E-2</v>
      </c>
      <c r="L90" s="9"/>
      <c r="M90" s="4"/>
      <c r="N90" s="4"/>
      <c r="O90" s="4"/>
      <c r="P90" s="4"/>
      <c r="Q90" s="4"/>
      <c r="R90" s="4"/>
      <c r="S90" s="4"/>
      <c r="T90" s="4"/>
      <c r="U90" s="4"/>
    </row>
    <row r="91" spans="1:21" ht="13.5" thickBot="1" x14ac:dyDescent="0.25">
      <c r="A91" s="118" t="s">
        <v>85</v>
      </c>
      <c r="B91" s="115"/>
      <c r="C91" s="116">
        <f t="shared" ref="C91:J91" si="50">C50/C80</f>
        <v>-4.4394107345180431E-3</v>
      </c>
      <c r="D91" s="116">
        <f t="shared" si="50"/>
        <v>4.5918103783904256E-2</v>
      </c>
      <c r="E91" s="116">
        <f t="shared" si="50"/>
        <v>8.8852211375918866E-2</v>
      </c>
      <c r="F91" s="116">
        <f t="shared" si="50"/>
        <v>0.12147569706900786</v>
      </c>
      <c r="G91" s="116">
        <f t="shared" si="50"/>
        <v>0.12142392428101677</v>
      </c>
      <c r="H91" s="116">
        <f t="shared" si="50"/>
        <v>0.11996548905311254</v>
      </c>
      <c r="I91" s="116">
        <f t="shared" si="50"/>
        <v>0.11758529507252904</v>
      </c>
      <c r="J91" s="116">
        <f t="shared" si="50"/>
        <v>0.1146389789384846</v>
      </c>
      <c r="K91" s="185">
        <f>AVERAGE(C91:J91)</f>
        <v>9.0677536104931997E-2</v>
      </c>
      <c r="L91" s="9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">
      <c r="A92" s="119"/>
      <c r="B92" s="120"/>
      <c r="C92" s="121"/>
      <c r="D92" s="121"/>
      <c r="E92" s="121"/>
      <c r="F92" s="121"/>
      <c r="G92" s="121"/>
      <c r="H92" s="121"/>
      <c r="I92" s="121"/>
      <c r="J92" s="121"/>
      <c r="K92" s="122"/>
      <c r="L92" s="97"/>
      <c r="M92" s="4"/>
      <c r="N92" s="4"/>
      <c r="O92" s="4"/>
      <c r="P92" s="4"/>
      <c r="Q92" s="4"/>
      <c r="R92" s="4"/>
      <c r="S92" s="4"/>
      <c r="T92" s="4"/>
      <c r="U92" s="4"/>
    </row>
    <row r="93" spans="1:21" ht="13.5" customHeight="1" thickBot="1" x14ac:dyDescent="0.25">
      <c r="A93" s="107"/>
      <c r="B93" s="23"/>
      <c r="C93" s="117"/>
      <c r="D93" s="117"/>
      <c r="E93" s="23"/>
      <c r="F93" s="23"/>
      <c r="G93" s="23"/>
      <c r="H93" s="23"/>
      <c r="I93" s="23"/>
      <c r="J93" s="23"/>
      <c r="K93" s="123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6.5" thickBot="1" x14ac:dyDescent="0.3">
      <c r="A94" s="124" t="s">
        <v>86</v>
      </c>
      <c r="B94" s="98"/>
      <c r="C94" s="125">
        <v>42500.324768664999</v>
      </c>
      <c r="D94" s="11" t="s">
        <v>87</v>
      </c>
      <c r="E94" s="126"/>
      <c r="F94" s="61"/>
      <c r="G94" s="61"/>
      <c r="H94" s="61"/>
      <c r="I94" s="61"/>
      <c r="J94" s="61"/>
      <c r="K94" s="63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3.5" thickBot="1" x14ac:dyDescent="0.25">
      <c r="A95" s="80"/>
      <c r="B95" s="77"/>
      <c r="C95" s="127"/>
      <c r="D95" s="127"/>
      <c r="E95" s="77"/>
      <c r="F95" s="77"/>
      <c r="G95" s="77"/>
      <c r="H95" s="77"/>
      <c r="I95" s="77"/>
      <c r="J95" s="77"/>
      <c r="K95" s="79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8.75" x14ac:dyDescent="0.2">
      <c r="A96" s="202" t="s">
        <v>88</v>
      </c>
      <c r="B96" s="203"/>
      <c r="C96" s="128"/>
      <c r="D96" s="58"/>
      <c r="E96" s="58"/>
      <c r="F96" s="58"/>
      <c r="G96" s="58"/>
      <c r="H96" s="58"/>
      <c r="I96" s="58"/>
      <c r="J96" s="58"/>
      <c r="K96" s="60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5" x14ac:dyDescent="0.2">
      <c r="A97" s="129"/>
      <c r="B97" s="130"/>
      <c r="C97" s="130"/>
      <c r="D97" s="61"/>
      <c r="E97" s="61"/>
      <c r="F97" s="61"/>
      <c r="G97" s="61"/>
      <c r="H97" s="61"/>
      <c r="I97" s="61"/>
      <c r="J97" s="61"/>
      <c r="K97" s="63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" x14ac:dyDescent="0.2">
      <c r="A98" s="129" t="s">
        <v>89</v>
      </c>
      <c r="B98" s="130"/>
      <c r="C98" s="130"/>
      <c r="D98" s="61"/>
      <c r="E98" s="61"/>
      <c r="F98" s="61"/>
      <c r="G98" s="61"/>
      <c r="H98" s="61"/>
      <c r="I98" s="61"/>
      <c r="J98" s="61"/>
      <c r="K98" s="63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5" x14ac:dyDescent="0.2">
      <c r="A99" s="129"/>
      <c r="B99" s="130"/>
      <c r="C99" s="130"/>
      <c r="D99" s="61"/>
      <c r="E99" s="61"/>
      <c r="F99" s="61"/>
      <c r="G99" s="61"/>
      <c r="H99" s="61"/>
      <c r="I99" s="61"/>
      <c r="J99" s="61"/>
      <c r="K99" s="63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5" x14ac:dyDescent="0.2">
      <c r="A100" s="129" t="s">
        <v>90</v>
      </c>
      <c r="B100" s="130"/>
      <c r="C100" s="130">
        <v>0.9</v>
      </c>
      <c r="D100" s="157" t="s">
        <v>175</v>
      </c>
      <c r="E100" s="61"/>
      <c r="G100" s="61"/>
      <c r="H100" s="61"/>
      <c r="I100" s="61"/>
      <c r="J100" s="61"/>
      <c r="K100" s="63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5" x14ac:dyDescent="0.2">
      <c r="A101" s="129" t="s">
        <v>91</v>
      </c>
      <c r="B101" s="130"/>
      <c r="C101" s="131">
        <v>1.8E-3</v>
      </c>
      <c r="D101" s="61" t="s">
        <v>92</v>
      </c>
      <c r="E101" s="61" t="s">
        <v>93</v>
      </c>
      <c r="G101" s="61"/>
      <c r="H101" s="61"/>
      <c r="I101" s="61"/>
      <c r="J101" s="61"/>
      <c r="K101" s="63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5.75" thickBot="1" x14ac:dyDescent="0.25">
      <c r="A102" s="132" t="s">
        <v>94</v>
      </c>
      <c r="B102" s="21"/>
      <c r="C102" s="133">
        <v>0.15210000000000001</v>
      </c>
      <c r="D102" s="61" t="s">
        <v>92</v>
      </c>
      <c r="E102" s="61" t="s">
        <v>93</v>
      </c>
      <c r="G102" s="61"/>
      <c r="H102" s="61"/>
      <c r="I102" s="61"/>
      <c r="J102" s="61"/>
      <c r="K102" s="63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5.75" thickBot="1" x14ac:dyDescent="0.25">
      <c r="A103" s="134" t="s">
        <v>95</v>
      </c>
      <c r="B103" s="99"/>
      <c r="C103" s="172">
        <f>C101+(C100*(C102-C101))</f>
        <v>0.13707000000000003</v>
      </c>
      <c r="D103" s="126"/>
      <c r="E103" s="61"/>
      <c r="F103" s="61"/>
      <c r="G103" s="61"/>
      <c r="H103" s="61"/>
      <c r="I103" s="61"/>
      <c r="J103" s="61"/>
      <c r="K103" s="63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">
      <c r="A104" s="136"/>
      <c r="B104" s="100"/>
      <c r="C104" s="100"/>
      <c r="D104" s="61"/>
      <c r="E104" s="61"/>
      <c r="F104" s="61"/>
      <c r="G104" s="61"/>
      <c r="H104" s="61"/>
      <c r="I104" s="61"/>
      <c r="J104" s="61"/>
      <c r="K104" s="63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5" x14ac:dyDescent="0.2">
      <c r="A105" s="129" t="s">
        <v>96</v>
      </c>
      <c r="B105" s="130"/>
      <c r="C105" s="130" t="s">
        <v>19</v>
      </c>
      <c r="D105" s="130"/>
      <c r="E105" s="130" t="s">
        <v>97</v>
      </c>
      <c r="F105" s="130"/>
      <c r="G105" s="130" t="s">
        <v>98</v>
      </c>
      <c r="H105" s="130"/>
      <c r="I105" s="130" t="s">
        <v>99</v>
      </c>
      <c r="J105" s="61"/>
      <c r="K105" s="63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5" x14ac:dyDescent="0.2">
      <c r="A106" s="129" t="s">
        <v>100</v>
      </c>
      <c r="B106" s="130"/>
      <c r="C106" s="137">
        <f>J73</f>
        <v>1773133.5495710187</v>
      </c>
      <c r="D106" s="61"/>
      <c r="E106" s="90">
        <f>K73</f>
        <v>6.5000000000000002E-2</v>
      </c>
      <c r="F106" s="61"/>
      <c r="G106" s="62">
        <f>C106/C108</f>
        <v>1</v>
      </c>
      <c r="H106" s="61"/>
      <c r="I106" s="90">
        <f>E106*G106</f>
        <v>6.5000000000000002E-2</v>
      </c>
      <c r="J106" s="61"/>
      <c r="K106" s="63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5" x14ac:dyDescent="0.2">
      <c r="A107" s="129" t="s">
        <v>101</v>
      </c>
      <c r="B107" s="130"/>
      <c r="C107" s="138">
        <f>J74</f>
        <v>0</v>
      </c>
      <c r="D107" s="61"/>
      <c r="E107" s="62">
        <v>0</v>
      </c>
      <c r="F107" s="61"/>
      <c r="G107" s="62">
        <f>C107/C108</f>
        <v>0</v>
      </c>
      <c r="H107" s="61"/>
      <c r="I107" s="139">
        <f>G107*E107</f>
        <v>0</v>
      </c>
      <c r="J107" s="61"/>
      <c r="K107" s="63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5" x14ac:dyDescent="0.25">
      <c r="A108" s="140" t="s">
        <v>19</v>
      </c>
      <c r="B108" s="141"/>
      <c r="C108" s="10">
        <f>SUM(C106:C107)</f>
        <v>1773133.5495710187</v>
      </c>
      <c r="D108" s="61"/>
      <c r="E108" s="61"/>
      <c r="F108" s="61"/>
      <c r="G108" s="61"/>
      <c r="H108" s="61"/>
      <c r="I108" s="173">
        <f>SUM(I106:I107)</f>
        <v>6.5000000000000002E-2</v>
      </c>
      <c r="J108" s="61"/>
      <c r="K108" s="63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">
      <c r="A109" s="75"/>
      <c r="B109" s="61"/>
      <c r="C109" s="61"/>
      <c r="D109" s="61"/>
      <c r="E109" s="61"/>
      <c r="F109" s="61"/>
      <c r="G109" s="61"/>
      <c r="H109" s="61"/>
      <c r="I109" s="61"/>
      <c r="J109" s="61"/>
      <c r="K109" s="63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">
      <c r="A110" s="75"/>
      <c r="B110" s="61"/>
      <c r="C110" s="61"/>
      <c r="D110" s="61"/>
      <c r="E110" s="61"/>
      <c r="F110" s="61"/>
      <c r="G110" s="61"/>
      <c r="H110" s="61"/>
      <c r="I110" s="61"/>
      <c r="J110" s="61"/>
      <c r="K110" s="63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5" x14ac:dyDescent="0.2">
      <c r="A111" s="129" t="s">
        <v>102</v>
      </c>
      <c r="B111" s="130"/>
      <c r="C111" s="130" t="s">
        <v>19</v>
      </c>
      <c r="D111" s="61"/>
      <c r="E111" s="61"/>
      <c r="F111" s="61"/>
      <c r="G111" s="61"/>
      <c r="H111" s="61"/>
      <c r="I111" s="61"/>
      <c r="J111" s="61"/>
      <c r="K111" s="63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5" x14ac:dyDescent="0.2">
      <c r="A112" s="129" t="s">
        <v>103</v>
      </c>
      <c r="B112" s="130"/>
      <c r="C112" s="137">
        <f>J78</f>
        <v>190000</v>
      </c>
      <c r="D112" s="61"/>
      <c r="E112" s="61"/>
      <c r="F112" s="61"/>
      <c r="G112" s="61"/>
      <c r="H112" s="61"/>
      <c r="I112" s="61"/>
      <c r="J112" s="61"/>
      <c r="K112" s="63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5" x14ac:dyDescent="0.2">
      <c r="A113" s="129" t="s">
        <v>104</v>
      </c>
      <c r="B113" s="130"/>
      <c r="C113" s="138">
        <f>J79</f>
        <v>220042.98337500019</v>
      </c>
      <c r="D113" s="61"/>
      <c r="E113" s="61"/>
      <c r="F113" s="61"/>
      <c r="G113" s="61"/>
      <c r="H113" s="61"/>
      <c r="I113" s="61"/>
      <c r="J113" s="61"/>
      <c r="K113" s="63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">
      <c r="A114" s="75"/>
      <c r="B114" s="61"/>
      <c r="C114" s="10">
        <f>SUM(C112:C113)</f>
        <v>410042.98337500019</v>
      </c>
      <c r="D114" s="61"/>
      <c r="E114" s="61"/>
      <c r="F114" s="61"/>
      <c r="G114" s="61"/>
      <c r="H114" s="61"/>
      <c r="I114" s="61"/>
      <c r="J114" s="61"/>
      <c r="K114" s="63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">
      <c r="A115" s="75"/>
      <c r="B115" s="61"/>
      <c r="C115" s="61"/>
      <c r="D115" s="61"/>
      <c r="E115" s="61"/>
      <c r="F115" s="61"/>
      <c r="G115" s="61"/>
      <c r="H115" s="61"/>
      <c r="I115" s="61"/>
      <c r="J115" s="61"/>
      <c r="K115" s="63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5" x14ac:dyDescent="0.2">
      <c r="A116" s="129" t="s">
        <v>105</v>
      </c>
      <c r="B116" s="130"/>
      <c r="C116" s="130"/>
      <c r="D116" s="61"/>
      <c r="E116" s="130" t="s">
        <v>97</v>
      </c>
      <c r="F116" s="130" t="s">
        <v>106</v>
      </c>
      <c r="G116" s="130" t="s">
        <v>107</v>
      </c>
      <c r="H116" s="130" t="s">
        <v>88</v>
      </c>
      <c r="I116" s="61"/>
      <c r="J116" s="130"/>
      <c r="K116" s="63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5" x14ac:dyDescent="0.2">
      <c r="A117" s="129"/>
      <c r="B117" s="130"/>
      <c r="C117" s="130" t="s">
        <v>108</v>
      </c>
      <c r="D117" s="137">
        <f>C108</f>
        <v>1773133.5495710187</v>
      </c>
      <c r="E117" s="90">
        <f>I108</f>
        <v>6.5000000000000002E-2</v>
      </c>
      <c r="F117" s="90">
        <f>E117*(1-C120)</f>
        <v>4.8750000000000002E-2</v>
      </c>
      <c r="G117" s="90">
        <f>D117/D119</f>
        <v>0.81218056479304457</v>
      </c>
      <c r="H117" s="90">
        <f>G117*F117</f>
        <v>3.9593802533660925E-2</v>
      </c>
      <c r="I117" s="61"/>
      <c r="J117" s="61"/>
      <c r="K117" s="63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5.75" thickBot="1" x14ac:dyDescent="0.25">
      <c r="A118" s="129"/>
      <c r="B118" s="130"/>
      <c r="C118" s="130" t="s">
        <v>74</v>
      </c>
      <c r="D118" s="138">
        <f>C114</f>
        <v>410042.98337500019</v>
      </c>
      <c r="E118" s="90">
        <f>C103</f>
        <v>0.13707000000000003</v>
      </c>
      <c r="F118" s="90">
        <f>E118</f>
        <v>0.13707000000000003</v>
      </c>
      <c r="G118" s="142">
        <f>D118/D119</f>
        <v>0.18781943520695532</v>
      </c>
      <c r="H118" s="142">
        <f>G118*F118</f>
        <v>2.5744409983817371E-2</v>
      </c>
      <c r="I118" s="61"/>
      <c r="J118" s="61"/>
      <c r="K118" s="63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3.5" thickBot="1" x14ac:dyDescent="0.25">
      <c r="A119" s="75"/>
      <c r="B119" s="61"/>
      <c r="C119" s="61"/>
      <c r="D119" s="10">
        <f>SUM(D117:D118)</f>
        <v>2183176.532946019</v>
      </c>
      <c r="E119" s="61"/>
      <c r="F119" s="143"/>
      <c r="G119" s="3" t="s">
        <v>88</v>
      </c>
      <c r="H119" s="135">
        <f>SUM(H117:H118)</f>
        <v>6.5338212517478289E-2</v>
      </c>
      <c r="I119" s="126"/>
      <c r="J119" s="61"/>
      <c r="K119" s="63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">
      <c r="A120" s="75" t="s">
        <v>109</v>
      </c>
      <c r="B120" s="61"/>
      <c r="C120" s="90">
        <f>K49</f>
        <v>0.25</v>
      </c>
      <c r="D120" s="61"/>
      <c r="E120" s="61"/>
      <c r="F120" s="61"/>
      <c r="G120" s="100"/>
      <c r="H120" s="100"/>
      <c r="I120" s="61"/>
      <c r="J120" s="61"/>
      <c r="K120" s="63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">
      <c r="A121" s="75"/>
      <c r="B121" s="61"/>
      <c r="C121" s="61"/>
      <c r="D121" s="61"/>
      <c r="E121" s="61"/>
      <c r="F121" s="61"/>
      <c r="G121" s="61"/>
      <c r="H121" s="61"/>
      <c r="I121" s="61"/>
      <c r="J121" s="61"/>
      <c r="K121" s="63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">
      <c r="A122" s="75"/>
      <c r="B122" s="61"/>
      <c r="C122" s="61"/>
      <c r="D122" s="61"/>
      <c r="E122" s="61"/>
      <c r="F122" s="61"/>
      <c r="G122" s="61"/>
      <c r="H122" s="61"/>
      <c r="I122" s="61"/>
      <c r="J122" s="61"/>
      <c r="K122" s="63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5" x14ac:dyDescent="0.2">
      <c r="A123" s="175" t="s">
        <v>173</v>
      </c>
      <c r="B123" s="144"/>
      <c r="C123" s="61"/>
      <c r="D123" s="61"/>
      <c r="E123" s="61"/>
      <c r="F123" s="61"/>
      <c r="G123" s="61"/>
      <c r="H123" s="61"/>
      <c r="I123" s="61"/>
      <c r="J123" s="61"/>
      <c r="K123" s="63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5" x14ac:dyDescent="0.2">
      <c r="A124" s="129" t="s">
        <v>110</v>
      </c>
      <c r="B124" s="130"/>
      <c r="C124" s="61">
        <f>C100</f>
        <v>0.9</v>
      </c>
      <c r="D124" s="61"/>
      <c r="E124" s="61" t="s">
        <v>111</v>
      </c>
      <c r="F124" s="130"/>
      <c r="G124" s="130"/>
      <c r="H124" s="130"/>
      <c r="I124" s="130"/>
      <c r="J124" s="61"/>
      <c r="K124" s="63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5" x14ac:dyDescent="0.2">
      <c r="A125" s="129" t="s">
        <v>109</v>
      </c>
      <c r="B125" s="130"/>
      <c r="C125" s="90">
        <f>C120</f>
        <v>0.25</v>
      </c>
      <c r="D125" s="61"/>
      <c r="E125" s="61"/>
      <c r="F125" s="61"/>
      <c r="G125" s="61"/>
      <c r="H125" s="61"/>
      <c r="I125" s="61"/>
      <c r="J125" s="61"/>
      <c r="K125" s="63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5" x14ac:dyDescent="0.2">
      <c r="A126" s="129" t="s">
        <v>112</v>
      </c>
      <c r="B126" s="130"/>
      <c r="C126" s="90">
        <f>G117</f>
        <v>0.81218056479304457</v>
      </c>
      <c r="D126" s="61"/>
      <c r="E126" s="61"/>
      <c r="F126" s="61"/>
      <c r="G126" s="61"/>
      <c r="H126" s="61"/>
      <c r="I126" s="61"/>
      <c r="J126" s="61"/>
      <c r="K126" s="63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5" x14ac:dyDescent="0.2">
      <c r="A127" s="129" t="s">
        <v>113</v>
      </c>
      <c r="B127" s="130"/>
      <c r="C127" s="90">
        <f>G118</f>
        <v>0.18781943520695532</v>
      </c>
      <c r="D127" s="61"/>
      <c r="E127" s="61"/>
      <c r="F127" s="61"/>
      <c r="G127" s="61"/>
      <c r="H127" s="61"/>
      <c r="I127" s="61"/>
      <c r="J127" s="61"/>
      <c r="K127" s="63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5.75" thickBot="1" x14ac:dyDescent="0.25">
      <c r="A128" s="132"/>
      <c r="B128" s="21"/>
      <c r="C128" s="145"/>
      <c r="D128" s="61"/>
      <c r="E128" s="61"/>
      <c r="F128" s="61"/>
      <c r="G128" s="61"/>
      <c r="H128" s="61"/>
      <c r="I128" s="61"/>
      <c r="J128" s="61"/>
      <c r="K128" s="63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5.75" thickBot="1" x14ac:dyDescent="0.25">
      <c r="A129" s="134" t="s">
        <v>114</v>
      </c>
      <c r="B129" s="99"/>
      <c r="C129" s="174">
        <f>C124/(1+((1-C125)*(C126/C127)))</f>
        <v>0.21210422374539015</v>
      </c>
      <c r="D129" s="126"/>
      <c r="E129" s="61"/>
      <c r="F129" s="61"/>
      <c r="G129" s="61"/>
      <c r="H129" s="61"/>
      <c r="I129" s="61"/>
      <c r="J129" s="61"/>
      <c r="K129" s="63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5" x14ac:dyDescent="0.2">
      <c r="A130" s="146"/>
      <c r="B130" s="19"/>
      <c r="C130" s="100"/>
      <c r="D130" s="61"/>
      <c r="E130" s="61"/>
      <c r="F130" s="61"/>
      <c r="G130" s="61"/>
      <c r="H130" s="61"/>
      <c r="I130" s="61"/>
      <c r="J130" s="61"/>
      <c r="K130" s="63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5" x14ac:dyDescent="0.2">
      <c r="A131" s="129" t="s">
        <v>115</v>
      </c>
      <c r="B131" s="130"/>
      <c r="C131" s="61"/>
      <c r="D131" s="61"/>
      <c r="E131" s="61"/>
      <c r="F131" s="61"/>
      <c r="G131" s="61"/>
      <c r="H131" s="61"/>
      <c r="I131" s="61"/>
      <c r="J131" s="61"/>
      <c r="K131" s="63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5" x14ac:dyDescent="0.2">
      <c r="A132" s="129"/>
      <c r="B132" s="130"/>
      <c r="C132" s="61"/>
      <c r="D132" s="61"/>
      <c r="E132" s="61" t="s">
        <v>116</v>
      </c>
      <c r="F132" s="61"/>
      <c r="G132" s="61"/>
      <c r="H132" s="61"/>
      <c r="I132" s="61"/>
      <c r="J132" s="61"/>
      <c r="K132" s="63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5" x14ac:dyDescent="0.2">
      <c r="A133" s="129" t="s">
        <v>114</v>
      </c>
      <c r="B133" s="130"/>
      <c r="C133" s="147">
        <f>C129</f>
        <v>0.21210422374539015</v>
      </c>
      <c r="D133" s="61"/>
      <c r="E133" s="61"/>
      <c r="F133" s="61"/>
      <c r="G133" s="61"/>
      <c r="H133" s="61"/>
      <c r="I133" s="61"/>
      <c r="J133" s="61"/>
      <c r="K133" s="63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5" x14ac:dyDescent="0.2">
      <c r="A134" s="129" t="s">
        <v>109</v>
      </c>
      <c r="B134" s="130"/>
      <c r="C134" s="90">
        <f>C120</f>
        <v>0.25</v>
      </c>
      <c r="D134" s="61"/>
      <c r="E134" s="61"/>
      <c r="F134" s="61"/>
      <c r="G134" s="61"/>
      <c r="H134" s="61"/>
      <c r="I134" s="61"/>
      <c r="J134" s="61"/>
      <c r="K134" s="63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5" x14ac:dyDescent="0.2">
      <c r="A135" s="129" t="s">
        <v>117</v>
      </c>
      <c r="B135" s="130"/>
      <c r="C135" s="62">
        <v>0.99</v>
      </c>
      <c r="D135" s="61"/>
      <c r="E135" s="61"/>
      <c r="F135" s="61"/>
      <c r="G135" s="61"/>
      <c r="H135" s="61"/>
      <c r="I135" s="61"/>
      <c r="J135" s="61"/>
      <c r="K135" s="63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5.75" thickBot="1" x14ac:dyDescent="0.25">
      <c r="A136" s="132" t="s">
        <v>118</v>
      </c>
      <c r="B136" s="21"/>
      <c r="C136" s="148">
        <v>0.01</v>
      </c>
      <c r="D136" s="61"/>
      <c r="E136" s="61"/>
      <c r="F136" s="61"/>
      <c r="G136" s="61"/>
      <c r="H136" s="61"/>
      <c r="I136" s="61"/>
      <c r="J136" s="61"/>
      <c r="K136" s="63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5.75" thickBot="1" x14ac:dyDescent="0.25">
      <c r="A137" s="134" t="s">
        <v>115</v>
      </c>
      <c r="B137" s="99"/>
      <c r="C137" s="174">
        <f>C133*(1+((1-C134)*(C135/C136)))</f>
        <v>15.960842836840609</v>
      </c>
      <c r="D137" s="126"/>
      <c r="E137" s="61"/>
      <c r="F137" s="61"/>
      <c r="G137" s="61"/>
      <c r="H137" s="61"/>
      <c r="I137" s="61"/>
      <c r="J137" s="61"/>
      <c r="K137" s="63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5" x14ac:dyDescent="0.2">
      <c r="A138" s="146"/>
      <c r="B138" s="19"/>
      <c r="C138" s="100"/>
      <c r="D138" s="61"/>
      <c r="E138" s="61"/>
      <c r="F138" s="61"/>
      <c r="G138" s="61"/>
      <c r="H138" s="61"/>
      <c r="I138" s="61"/>
      <c r="J138" s="61"/>
      <c r="K138" s="63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5" x14ac:dyDescent="0.2">
      <c r="A139" s="129"/>
      <c r="B139" s="130"/>
      <c r="C139" s="61"/>
      <c r="D139" s="61"/>
      <c r="E139" s="61"/>
      <c r="F139" s="61"/>
      <c r="G139" s="61"/>
      <c r="H139" s="61"/>
      <c r="I139" s="61"/>
      <c r="J139" s="61"/>
      <c r="K139" s="63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5" x14ac:dyDescent="0.2">
      <c r="A140" s="175" t="s">
        <v>173</v>
      </c>
      <c r="B140" s="144"/>
      <c r="C140" s="61"/>
      <c r="D140" s="61"/>
      <c r="E140" s="61"/>
      <c r="F140" s="61"/>
      <c r="G140" s="61"/>
      <c r="H140" s="61"/>
      <c r="I140" s="61"/>
      <c r="J140" s="61"/>
      <c r="K140" s="63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5" x14ac:dyDescent="0.2">
      <c r="A141" s="129"/>
      <c r="B141" s="130"/>
      <c r="C141" s="61"/>
      <c r="D141" s="61"/>
      <c r="E141" s="61"/>
      <c r="F141" s="61"/>
      <c r="G141" s="61"/>
      <c r="H141" s="61"/>
      <c r="I141" s="61"/>
      <c r="J141" s="61"/>
      <c r="K141" s="63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5" x14ac:dyDescent="0.2">
      <c r="A142" s="129" t="s">
        <v>90</v>
      </c>
      <c r="B142" s="130"/>
      <c r="C142" s="147">
        <f>C137</f>
        <v>15.960842836840609</v>
      </c>
      <c r="D142" s="61"/>
      <c r="E142" s="61"/>
      <c r="F142" s="61"/>
      <c r="G142" s="61"/>
      <c r="H142" s="61"/>
      <c r="I142" s="61"/>
      <c r="J142" s="61"/>
      <c r="K142" s="63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5" x14ac:dyDescent="0.2">
      <c r="A143" s="129" t="s">
        <v>91</v>
      </c>
      <c r="B143" s="130"/>
      <c r="C143" s="90">
        <f>C101</f>
        <v>1.8E-3</v>
      </c>
      <c r="D143" s="61"/>
      <c r="E143" s="61"/>
      <c r="F143" s="61"/>
      <c r="G143" s="61"/>
      <c r="H143" s="61"/>
      <c r="I143" s="61"/>
      <c r="J143" s="61"/>
      <c r="K143" s="63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5" x14ac:dyDescent="0.2">
      <c r="A144" s="129" t="s">
        <v>94</v>
      </c>
      <c r="B144" s="130"/>
      <c r="C144" s="90">
        <f>C102</f>
        <v>0.15210000000000001</v>
      </c>
      <c r="D144" s="61"/>
      <c r="E144" s="61"/>
      <c r="F144" s="61"/>
      <c r="G144" s="61"/>
      <c r="H144" s="61"/>
      <c r="I144" s="61"/>
      <c r="J144" s="61"/>
      <c r="K144" s="63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5.75" thickBot="1" x14ac:dyDescent="0.25">
      <c r="A145" s="132"/>
      <c r="B145" s="21"/>
      <c r="C145" s="145"/>
      <c r="D145" s="61"/>
      <c r="E145" s="61"/>
      <c r="F145" s="61"/>
      <c r="G145" s="61"/>
      <c r="H145" s="61"/>
      <c r="I145" s="61"/>
      <c r="J145" s="61"/>
      <c r="K145" s="63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5.75" thickBot="1" x14ac:dyDescent="0.25">
      <c r="A146" s="134" t="s">
        <v>95</v>
      </c>
      <c r="B146" s="99"/>
      <c r="C146" s="172">
        <f>C143+(C142*(C144-C143))</f>
        <v>2.4007146783771436</v>
      </c>
      <c r="D146" s="126"/>
      <c r="E146" s="61"/>
      <c r="F146" s="61"/>
      <c r="G146" s="61"/>
      <c r="H146" s="61"/>
      <c r="I146" s="61"/>
      <c r="J146" s="61"/>
      <c r="K146" s="63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">
      <c r="A147" s="136"/>
      <c r="B147" s="100"/>
      <c r="C147" s="100"/>
      <c r="D147" s="61"/>
      <c r="E147" s="61"/>
      <c r="F147" s="61"/>
      <c r="G147" s="61"/>
      <c r="H147" s="61"/>
      <c r="I147" s="61"/>
      <c r="J147" s="61"/>
      <c r="K147" s="63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">
      <c r="A148" s="75"/>
      <c r="B148" s="61"/>
      <c r="C148" s="61"/>
      <c r="D148" s="61"/>
      <c r="E148" s="61"/>
      <c r="F148" s="61"/>
      <c r="G148" s="61"/>
      <c r="H148" s="61"/>
      <c r="I148" s="89">
        <f>E193</f>
        <v>0.17685945507318368</v>
      </c>
      <c r="J148" s="61"/>
      <c r="K148" s="63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5" x14ac:dyDescent="0.2">
      <c r="A149" s="180" t="s">
        <v>174</v>
      </c>
      <c r="B149" s="130"/>
      <c r="C149" s="130"/>
      <c r="D149" s="61"/>
      <c r="E149" s="130" t="s">
        <v>97</v>
      </c>
      <c r="F149" s="130" t="s">
        <v>106</v>
      </c>
      <c r="G149" s="130" t="s">
        <v>107</v>
      </c>
      <c r="H149" s="130" t="s">
        <v>88</v>
      </c>
      <c r="I149" s="61"/>
      <c r="J149" s="61"/>
      <c r="K149" s="63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">
      <c r="A150" s="75"/>
      <c r="B150" s="61"/>
      <c r="C150" s="61"/>
      <c r="D150" s="61" t="s">
        <v>108</v>
      </c>
      <c r="E150" s="90">
        <f>E117</f>
        <v>6.5000000000000002E-2</v>
      </c>
      <c r="F150" s="90">
        <f>E150*(1-C134)</f>
        <v>4.8750000000000002E-2</v>
      </c>
      <c r="G150" s="62">
        <v>0.99</v>
      </c>
      <c r="H150" s="90">
        <f>G150*F150</f>
        <v>4.82625E-2</v>
      </c>
      <c r="I150" s="61"/>
      <c r="J150" s="61"/>
      <c r="K150" s="63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3.5" thickBot="1" x14ac:dyDescent="0.25">
      <c r="A151" s="75"/>
      <c r="B151" s="61"/>
      <c r="C151" s="61"/>
      <c r="D151" s="61" t="s">
        <v>74</v>
      </c>
      <c r="E151" s="90">
        <f>C146</f>
        <v>2.4007146783771436</v>
      </c>
      <c r="F151" s="90">
        <f>E151</f>
        <v>2.4007146783771436</v>
      </c>
      <c r="G151" s="148">
        <v>0.01</v>
      </c>
      <c r="H151" s="142">
        <f>G151*F151</f>
        <v>2.4007146783771437E-2</v>
      </c>
      <c r="I151" s="61"/>
      <c r="J151" s="61"/>
      <c r="K151" s="63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3.5" thickBot="1" x14ac:dyDescent="0.25">
      <c r="A152" s="75"/>
      <c r="B152" s="61"/>
      <c r="C152" s="61"/>
      <c r="D152" s="61"/>
      <c r="E152" s="61"/>
      <c r="F152" s="143"/>
      <c r="G152" s="149" t="s">
        <v>88</v>
      </c>
      <c r="H152" s="135">
        <f>SUM(H150:H151)</f>
        <v>7.226964678377143E-2</v>
      </c>
      <c r="I152" s="126"/>
      <c r="J152" s="61"/>
      <c r="K152" s="63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">
      <c r="A153" s="75"/>
      <c r="B153" s="61"/>
      <c r="C153" s="61"/>
      <c r="D153" s="61"/>
      <c r="E153" s="61"/>
      <c r="F153" s="61"/>
      <c r="G153" s="100"/>
      <c r="H153" s="100"/>
      <c r="I153" s="61"/>
      <c r="J153" s="61"/>
      <c r="K153" s="63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3.5" thickBot="1" x14ac:dyDescent="0.25">
      <c r="A154" s="75"/>
      <c r="B154" s="61"/>
      <c r="C154" s="61"/>
      <c r="D154" s="61"/>
      <c r="E154" s="61"/>
      <c r="F154" s="61"/>
      <c r="G154" s="61"/>
      <c r="H154" s="61"/>
      <c r="I154" s="61"/>
      <c r="J154" s="61"/>
      <c r="K154" s="63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5.75" x14ac:dyDescent="0.2">
      <c r="A155" s="150" t="s">
        <v>119</v>
      </c>
      <c r="B155" s="151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60"/>
      <c r="T155" s="4"/>
      <c r="U155" s="4"/>
    </row>
    <row r="156" spans="1:21" x14ac:dyDescent="0.2">
      <c r="A156" s="75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3"/>
      <c r="T156" s="4"/>
      <c r="U156" s="4"/>
    </row>
    <row r="157" spans="1:21" x14ac:dyDescent="0.2">
      <c r="A157" s="75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3"/>
      <c r="T157" s="4"/>
      <c r="U157" s="4"/>
    </row>
    <row r="158" spans="1:21" ht="15" x14ac:dyDescent="0.2">
      <c r="A158" s="129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61"/>
      <c r="O158" s="61"/>
      <c r="P158" s="61"/>
      <c r="Q158" s="61"/>
      <c r="R158" s="61"/>
      <c r="S158" s="63"/>
      <c r="T158" s="4"/>
      <c r="U158" s="4"/>
    </row>
    <row r="159" spans="1:21" x14ac:dyDescent="0.2">
      <c r="A159" s="69"/>
      <c r="B159" s="66"/>
      <c r="C159" s="66"/>
      <c r="D159" s="66"/>
      <c r="E159" s="65" t="s">
        <v>120</v>
      </c>
      <c r="F159" s="65">
        <v>2013</v>
      </c>
      <c r="G159" s="65">
        <v>2014</v>
      </c>
      <c r="H159" s="65">
        <v>2015</v>
      </c>
      <c r="I159" s="66">
        <v>2016</v>
      </c>
      <c r="J159" s="66">
        <v>2017</v>
      </c>
      <c r="K159" s="66">
        <v>2018</v>
      </c>
      <c r="L159" s="66">
        <v>2019</v>
      </c>
      <c r="M159" s="66">
        <v>2020</v>
      </c>
      <c r="N159" s="61"/>
      <c r="O159" s="61"/>
      <c r="P159" s="61"/>
      <c r="Q159" s="61"/>
      <c r="R159" s="61"/>
      <c r="S159" s="63"/>
      <c r="T159" s="4"/>
      <c r="U159" s="4"/>
    </row>
    <row r="160" spans="1:21" x14ac:dyDescent="0.2">
      <c r="A160" s="69"/>
      <c r="B160" s="66"/>
      <c r="C160" s="66"/>
      <c r="D160" s="66"/>
      <c r="E160" s="65">
        <v>0</v>
      </c>
      <c r="F160" s="65">
        <v>1</v>
      </c>
      <c r="G160" s="65">
        <v>2</v>
      </c>
      <c r="H160" s="65">
        <v>3</v>
      </c>
      <c r="I160" s="65">
        <v>4</v>
      </c>
      <c r="J160" s="66"/>
      <c r="K160" s="66"/>
      <c r="L160" s="66"/>
      <c r="M160" s="66"/>
      <c r="N160" s="61"/>
      <c r="O160" s="61"/>
      <c r="P160" s="61"/>
      <c r="Q160" s="61"/>
      <c r="R160" s="61"/>
      <c r="S160" s="63"/>
      <c r="T160" s="4"/>
      <c r="U160" s="4"/>
    </row>
    <row r="161" spans="1:21" x14ac:dyDescent="0.2">
      <c r="A161" s="69"/>
      <c r="B161" s="66"/>
      <c r="C161" s="152" t="s">
        <v>121</v>
      </c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1"/>
      <c r="O161" s="61"/>
      <c r="P161" s="61"/>
      <c r="Q161" s="61"/>
      <c r="R161" s="61"/>
      <c r="S161" s="63"/>
      <c r="T161" s="4"/>
      <c r="U161" s="4"/>
    </row>
    <row r="162" spans="1:21" x14ac:dyDescent="0.2">
      <c r="A162" s="69"/>
      <c r="B162" s="66"/>
      <c r="C162" s="153" t="s">
        <v>46</v>
      </c>
      <c r="D162" s="66"/>
      <c r="E162" s="66"/>
      <c r="F162" s="154">
        <f t="shared" ref="F162:M162" si="51">C43</f>
        <v>116766.23999999999</v>
      </c>
      <c r="G162" s="154">
        <f t="shared" si="51"/>
        <v>128844.55199999997</v>
      </c>
      <c r="H162" s="154">
        <f t="shared" si="51"/>
        <v>141526.77960000007</v>
      </c>
      <c r="I162" s="154">
        <f t="shared" si="51"/>
        <v>154843.11858000004</v>
      </c>
      <c r="J162" s="154">
        <f t="shared" si="51"/>
        <v>159277.05858000004</v>
      </c>
      <c r="K162" s="154">
        <f t="shared" si="51"/>
        <v>163710.99858000004</v>
      </c>
      <c r="L162" s="154">
        <f t="shared" si="51"/>
        <v>168144.93858000005</v>
      </c>
      <c r="M162" s="154">
        <f t="shared" si="51"/>
        <v>172578.87858000005</v>
      </c>
      <c r="N162" s="154"/>
      <c r="O162" s="61"/>
      <c r="P162" s="61"/>
      <c r="Q162" s="61"/>
      <c r="R162" s="61"/>
      <c r="S162" s="63"/>
      <c r="T162" s="4"/>
      <c r="U162" s="4"/>
    </row>
    <row r="163" spans="1:21" x14ac:dyDescent="0.2">
      <c r="A163" s="69"/>
      <c r="B163" s="66"/>
      <c r="C163" s="153" t="s">
        <v>122</v>
      </c>
      <c r="D163" s="66"/>
      <c r="E163" s="66"/>
      <c r="F163" s="17">
        <f t="shared" ref="F163:M163" si="52">C45</f>
        <v>40000</v>
      </c>
      <c r="G163" s="17">
        <f t="shared" si="52"/>
        <v>40000</v>
      </c>
      <c r="H163" s="17">
        <f t="shared" si="52"/>
        <v>40000</v>
      </c>
      <c r="I163" s="17">
        <f t="shared" si="52"/>
        <v>40000</v>
      </c>
      <c r="J163" s="17">
        <f t="shared" si="52"/>
        <v>40000</v>
      </c>
      <c r="K163" s="17">
        <f t="shared" si="52"/>
        <v>40000</v>
      </c>
      <c r="L163" s="17">
        <f t="shared" si="52"/>
        <v>40000</v>
      </c>
      <c r="M163" s="17">
        <f t="shared" si="52"/>
        <v>40000</v>
      </c>
      <c r="N163" s="61"/>
      <c r="O163" s="61"/>
      <c r="P163" s="61"/>
      <c r="Q163" s="61"/>
      <c r="R163" s="61"/>
      <c r="S163" s="63"/>
      <c r="T163" s="4"/>
      <c r="U163" s="4"/>
    </row>
    <row r="164" spans="1:21" x14ac:dyDescent="0.2">
      <c r="A164" s="69"/>
      <c r="B164" s="66"/>
      <c r="C164" s="66"/>
      <c r="D164" s="66"/>
      <c r="E164" s="66"/>
      <c r="F164" s="155">
        <f t="shared" ref="F164:M164" si="53">F162-F163</f>
        <v>76766.239999999991</v>
      </c>
      <c r="G164" s="155">
        <f t="shared" si="53"/>
        <v>88844.551999999967</v>
      </c>
      <c r="H164" s="155">
        <f t="shared" si="53"/>
        <v>101526.77960000007</v>
      </c>
      <c r="I164" s="155">
        <f t="shared" si="53"/>
        <v>114843.11858000004</v>
      </c>
      <c r="J164" s="155">
        <f t="shared" si="53"/>
        <v>119277.05858000004</v>
      </c>
      <c r="K164" s="155">
        <f t="shared" si="53"/>
        <v>123710.99858000004</v>
      </c>
      <c r="L164" s="155">
        <f t="shared" si="53"/>
        <v>128144.93858000005</v>
      </c>
      <c r="M164" s="155">
        <f t="shared" si="53"/>
        <v>132578.87858000005</v>
      </c>
      <c r="N164" s="61"/>
      <c r="O164" s="61"/>
      <c r="P164" s="61"/>
      <c r="Q164" s="61"/>
      <c r="R164" s="61"/>
      <c r="S164" s="63"/>
      <c r="T164" s="4"/>
      <c r="U164" s="4"/>
    </row>
    <row r="165" spans="1:21" x14ac:dyDescent="0.2">
      <c r="A165" s="69"/>
      <c r="B165" s="66"/>
      <c r="C165" s="153" t="s">
        <v>123</v>
      </c>
      <c r="D165" s="82">
        <v>0.25</v>
      </c>
      <c r="E165" s="66"/>
      <c r="F165" s="156">
        <f t="shared" ref="F165:M165" si="54">IF(((F164*$D$165)&gt;0),(F164*$D$165),0)</f>
        <v>19191.559999999998</v>
      </c>
      <c r="G165" s="156">
        <f t="shared" si="54"/>
        <v>22211.137999999992</v>
      </c>
      <c r="H165" s="156">
        <f t="shared" si="54"/>
        <v>25381.694900000017</v>
      </c>
      <c r="I165" s="156">
        <f t="shared" si="54"/>
        <v>28710.77964500001</v>
      </c>
      <c r="J165" s="156">
        <f t="shared" si="54"/>
        <v>29819.26464500001</v>
      </c>
      <c r="K165" s="156">
        <f t="shared" si="54"/>
        <v>30927.749645000011</v>
      </c>
      <c r="L165" s="156">
        <f t="shared" si="54"/>
        <v>32036.234645000011</v>
      </c>
      <c r="M165" s="156">
        <f t="shared" si="54"/>
        <v>33144.719645000012</v>
      </c>
      <c r="N165" s="61"/>
      <c r="O165" s="61"/>
      <c r="P165" s="61"/>
      <c r="Q165" s="61"/>
      <c r="R165" s="61"/>
      <c r="S165" s="63"/>
      <c r="T165" s="4"/>
      <c r="U165" s="4"/>
    </row>
    <row r="166" spans="1:21" x14ac:dyDescent="0.2">
      <c r="A166" s="69"/>
      <c r="B166" s="66"/>
      <c r="C166" s="153" t="s">
        <v>124</v>
      </c>
      <c r="D166" s="66"/>
      <c r="E166" s="66"/>
      <c r="F166" s="154">
        <f t="shared" ref="F166:M166" si="55">F163</f>
        <v>40000</v>
      </c>
      <c r="G166" s="154">
        <f t="shared" si="55"/>
        <v>40000</v>
      </c>
      <c r="H166" s="154">
        <f t="shared" si="55"/>
        <v>40000</v>
      </c>
      <c r="I166" s="154">
        <f t="shared" si="55"/>
        <v>40000</v>
      </c>
      <c r="J166" s="154">
        <f t="shared" si="55"/>
        <v>40000</v>
      </c>
      <c r="K166" s="154">
        <f t="shared" si="55"/>
        <v>40000</v>
      </c>
      <c r="L166" s="154">
        <f t="shared" si="55"/>
        <v>40000</v>
      </c>
      <c r="M166" s="154">
        <f t="shared" si="55"/>
        <v>40000</v>
      </c>
      <c r="N166" s="61"/>
      <c r="O166" s="61"/>
      <c r="P166" s="61"/>
      <c r="Q166" s="61"/>
      <c r="R166" s="61"/>
      <c r="S166" s="63"/>
      <c r="T166" s="4"/>
      <c r="U166" s="4"/>
    </row>
    <row r="167" spans="1:21" ht="25.5" x14ac:dyDescent="0.2">
      <c r="A167" s="69"/>
      <c r="B167" s="66"/>
      <c r="C167" s="152" t="s">
        <v>125</v>
      </c>
      <c r="D167" s="66"/>
      <c r="E167" s="66"/>
      <c r="F167" s="154">
        <f t="shared" ref="F167:M167" si="56">(F164-F165)+F166</f>
        <v>97574.68</v>
      </c>
      <c r="G167" s="154">
        <f t="shared" si="56"/>
        <v>106633.41399999998</v>
      </c>
      <c r="H167" s="154">
        <f t="shared" si="56"/>
        <v>116145.08470000005</v>
      </c>
      <c r="I167" s="154">
        <f t="shared" si="56"/>
        <v>126132.33893500004</v>
      </c>
      <c r="J167" s="154">
        <f t="shared" si="56"/>
        <v>129457.79393500002</v>
      </c>
      <c r="K167" s="154">
        <f t="shared" si="56"/>
        <v>132783.24893500004</v>
      </c>
      <c r="L167" s="154">
        <f t="shared" si="56"/>
        <v>136108.70393500003</v>
      </c>
      <c r="M167" s="154">
        <f t="shared" si="56"/>
        <v>139434.15893500004</v>
      </c>
      <c r="N167" s="61"/>
      <c r="O167" s="61"/>
      <c r="P167" s="61"/>
      <c r="Q167" s="61"/>
      <c r="R167" s="61"/>
      <c r="S167" s="63"/>
      <c r="T167" s="4"/>
      <c r="U167" s="4"/>
    </row>
    <row r="168" spans="1:21" ht="25.5" x14ac:dyDescent="0.2">
      <c r="A168" s="69"/>
      <c r="B168" s="66"/>
      <c r="C168" s="152" t="s">
        <v>126</v>
      </c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1"/>
      <c r="O168" s="61"/>
      <c r="P168" s="61"/>
      <c r="Q168" s="61"/>
      <c r="R168" s="61"/>
      <c r="S168" s="63"/>
      <c r="T168" s="4"/>
      <c r="U168" s="4"/>
    </row>
    <row r="169" spans="1:21" x14ac:dyDescent="0.2">
      <c r="A169" s="69"/>
      <c r="B169" s="66"/>
      <c r="C169" s="153" t="s">
        <v>127</v>
      </c>
      <c r="D169" s="66"/>
      <c r="E169" s="154">
        <f>-J62</f>
        <v>-1200000</v>
      </c>
      <c r="F169" s="66"/>
      <c r="G169" s="66"/>
      <c r="H169" s="66"/>
      <c r="I169" s="66"/>
      <c r="J169" s="66"/>
      <c r="K169" s="66"/>
      <c r="L169" s="66"/>
      <c r="M169" s="66"/>
      <c r="N169" s="61"/>
      <c r="O169" s="61"/>
      <c r="P169" s="61"/>
      <c r="Q169" s="61"/>
      <c r="R169" s="61"/>
      <c r="S169" s="63"/>
      <c r="T169" s="4"/>
      <c r="U169" s="4"/>
    </row>
    <row r="170" spans="1:21" ht="25.5" x14ac:dyDescent="0.2">
      <c r="A170" s="69"/>
      <c r="B170" s="66"/>
      <c r="C170" s="153" t="s">
        <v>128</v>
      </c>
      <c r="D170" s="66"/>
      <c r="E170" s="66"/>
      <c r="F170" s="66"/>
      <c r="G170" s="66"/>
      <c r="H170" s="66"/>
      <c r="I170" s="61"/>
      <c r="J170" s="61"/>
      <c r="K170" s="61"/>
      <c r="L170" s="61"/>
      <c r="M170" s="156">
        <f>P170*1.7</f>
        <v>1496000</v>
      </c>
      <c r="N170" s="157" t="s">
        <v>63</v>
      </c>
      <c r="O170" s="66" t="s">
        <v>129</v>
      </c>
      <c r="P170" s="154">
        <f>J62-J64</f>
        <v>880000</v>
      </c>
      <c r="Q170" s="66" t="s">
        <v>130</v>
      </c>
      <c r="R170" s="66" t="s">
        <v>131</v>
      </c>
      <c r="S170" s="158">
        <f>M170-P170</f>
        <v>616000</v>
      </c>
      <c r="T170" s="4"/>
      <c r="U170" s="4"/>
    </row>
    <row r="171" spans="1:21" ht="25.5" x14ac:dyDescent="0.2">
      <c r="A171" s="64"/>
      <c r="B171" s="93"/>
      <c r="C171" s="153" t="s">
        <v>146</v>
      </c>
      <c r="D171" s="66"/>
      <c r="E171" s="154">
        <f>-C61</f>
        <v>-800000</v>
      </c>
      <c r="F171" s="66"/>
      <c r="G171" s="66"/>
      <c r="H171" s="66"/>
      <c r="I171" s="61"/>
      <c r="J171" s="61"/>
      <c r="K171" s="61"/>
      <c r="L171" s="61"/>
      <c r="M171" s="156"/>
      <c r="N171" s="157" t="s">
        <v>62</v>
      </c>
      <c r="O171" s="95" t="s">
        <v>129</v>
      </c>
      <c r="P171" s="154">
        <f>C61</f>
        <v>800000</v>
      </c>
      <c r="Q171" s="95" t="s">
        <v>148</v>
      </c>
      <c r="R171" s="95" t="s">
        <v>131</v>
      </c>
      <c r="S171" s="159">
        <f>M172-P171</f>
        <v>1200000</v>
      </c>
      <c r="T171" s="4"/>
      <c r="U171" s="4"/>
    </row>
    <row r="172" spans="1:21" x14ac:dyDescent="0.2">
      <c r="A172" s="64"/>
      <c r="B172" s="93"/>
      <c r="C172" s="153" t="s">
        <v>147</v>
      </c>
      <c r="D172" s="66"/>
      <c r="E172" s="66"/>
      <c r="F172" s="66"/>
      <c r="G172" s="66"/>
      <c r="H172" s="66"/>
      <c r="I172" s="61"/>
      <c r="J172" s="61"/>
      <c r="K172" s="61"/>
      <c r="L172" s="61"/>
      <c r="M172" s="156">
        <f>P171*2.5</f>
        <v>2000000</v>
      </c>
      <c r="N172" s="61"/>
      <c r="O172" s="66"/>
      <c r="P172" s="154"/>
      <c r="Q172" s="66"/>
      <c r="R172" s="66"/>
      <c r="S172" s="63"/>
      <c r="T172" s="4"/>
      <c r="U172" s="4"/>
    </row>
    <row r="173" spans="1:21" x14ac:dyDescent="0.2">
      <c r="A173" s="64"/>
      <c r="B173" s="93"/>
      <c r="C173" s="160" t="s">
        <v>149</v>
      </c>
      <c r="D173" s="66"/>
      <c r="E173" s="66"/>
      <c r="F173" s="66"/>
      <c r="G173" s="66"/>
      <c r="H173" s="66"/>
      <c r="I173" s="154">
        <f>-F63</f>
        <v>-50000</v>
      </c>
      <c r="J173" s="61"/>
      <c r="K173" s="61"/>
      <c r="L173" s="61"/>
      <c r="M173" s="156"/>
      <c r="N173" s="61"/>
      <c r="O173" s="66"/>
      <c r="P173" s="154"/>
      <c r="Q173" s="66"/>
      <c r="R173" s="66"/>
      <c r="S173" s="63"/>
      <c r="T173" s="4"/>
      <c r="U173" s="4"/>
    </row>
    <row r="174" spans="1:21" x14ac:dyDescent="0.2">
      <c r="A174" s="69"/>
      <c r="B174" s="66"/>
      <c r="C174" s="153" t="s">
        <v>132</v>
      </c>
      <c r="D174" s="66"/>
      <c r="E174" s="66"/>
      <c r="F174" s="66"/>
      <c r="G174" s="66"/>
      <c r="H174" s="66"/>
      <c r="I174" s="61"/>
      <c r="J174" s="66"/>
      <c r="K174" s="66"/>
      <c r="L174" s="66"/>
      <c r="M174" s="154">
        <f>-S170*D165+(-S171*D165)</f>
        <v>-454000</v>
      </c>
      <c r="N174" s="61"/>
      <c r="O174" s="61"/>
      <c r="P174" s="61"/>
      <c r="Q174" s="61"/>
      <c r="R174" s="93"/>
      <c r="S174" s="63"/>
      <c r="T174" s="4"/>
      <c r="U174" s="4"/>
    </row>
    <row r="175" spans="1:21" x14ac:dyDescent="0.2">
      <c r="A175" s="103" t="s">
        <v>133</v>
      </c>
      <c r="B175" s="66"/>
      <c r="C175" s="66"/>
      <c r="D175" s="66"/>
      <c r="E175" s="154"/>
      <c r="F175" s="66"/>
      <c r="G175" s="66"/>
      <c r="H175" s="66"/>
      <c r="I175" s="66"/>
      <c r="J175" s="66"/>
      <c r="K175" s="154"/>
      <c r="L175" s="66"/>
      <c r="M175" s="66"/>
      <c r="N175" s="61"/>
      <c r="O175" s="61"/>
      <c r="P175" s="61"/>
      <c r="Q175" s="61"/>
      <c r="R175" s="61"/>
      <c r="S175" s="63"/>
      <c r="T175" s="4"/>
      <c r="U175" s="4"/>
    </row>
    <row r="176" spans="1:21" x14ac:dyDescent="0.2">
      <c r="A176" s="69"/>
      <c r="B176" s="66"/>
      <c r="C176" s="161" t="s">
        <v>134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1"/>
      <c r="O176" s="189" t="s">
        <v>176</v>
      </c>
      <c r="P176" s="190" t="s">
        <v>176</v>
      </c>
      <c r="Q176" s="61"/>
      <c r="R176" s="61"/>
      <c r="S176" s="63"/>
      <c r="T176" s="4"/>
      <c r="U176" s="4"/>
    </row>
    <row r="177" spans="1:21" ht="15" x14ac:dyDescent="0.2">
      <c r="A177" s="69" t="s">
        <v>135</v>
      </c>
      <c r="B177" s="66"/>
      <c r="C177" s="130" t="s">
        <v>136</v>
      </c>
      <c r="D177" s="66"/>
      <c r="E177" s="66"/>
      <c r="F177" s="154">
        <f>-(C57-0)</f>
        <v>-1094.05</v>
      </c>
      <c r="G177" s="154">
        <f t="shared" ref="G177:M177" si="57">-(D57-C57)</f>
        <v>-54.702499999999873</v>
      </c>
      <c r="H177" s="154">
        <f t="shared" si="57"/>
        <v>-57.43762500000048</v>
      </c>
      <c r="I177" s="154">
        <f t="shared" si="57"/>
        <v>-60.309506249999913</v>
      </c>
      <c r="J177" s="154">
        <f t="shared" si="57"/>
        <v>-20.081249999999955</v>
      </c>
      <c r="K177" s="154">
        <f t="shared" si="57"/>
        <v>-20.081249999999955</v>
      </c>
      <c r="L177" s="154">
        <f t="shared" si="57"/>
        <v>-20.081250000000182</v>
      </c>
      <c r="M177" s="154">
        <f t="shared" si="57"/>
        <v>-20.081249999999727</v>
      </c>
      <c r="N177" s="162"/>
      <c r="O177" s="191"/>
      <c r="P177" s="192">
        <f>SUM(F177:M177)</f>
        <v>-1346.82463125</v>
      </c>
      <c r="Q177" s="61"/>
      <c r="R177" s="61"/>
      <c r="S177" s="63"/>
      <c r="T177" s="4"/>
      <c r="U177" s="4"/>
    </row>
    <row r="178" spans="1:21" ht="15" x14ac:dyDescent="0.2">
      <c r="A178" s="69" t="s">
        <v>137</v>
      </c>
      <c r="B178" s="66"/>
      <c r="C178" s="163" t="s">
        <v>145</v>
      </c>
      <c r="D178" s="66"/>
      <c r="E178" s="66"/>
      <c r="F178" s="154">
        <f>(F165-0)</f>
        <v>19191.559999999998</v>
      </c>
      <c r="G178" s="154">
        <f>(G165-F165)</f>
        <v>3019.5779999999941</v>
      </c>
      <c r="H178" s="154">
        <f t="shared" ref="H178:M178" si="58">(H165-G165)</f>
        <v>3170.5569000000251</v>
      </c>
      <c r="I178" s="154">
        <f t="shared" si="58"/>
        <v>3329.0847449999928</v>
      </c>
      <c r="J178" s="154">
        <f t="shared" si="58"/>
        <v>1108.4850000000006</v>
      </c>
      <c r="K178" s="154">
        <f t="shared" si="58"/>
        <v>1108.4850000000006</v>
      </c>
      <c r="L178" s="154">
        <f t="shared" si="58"/>
        <v>1108.4850000000006</v>
      </c>
      <c r="M178" s="154">
        <f t="shared" si="58"/>
        <v>1108.4850000000006</v>
      </c>
      <c r="N178" s="162"/>
      <c r="O178" s="191"/>
      <c r="P178" s="192">
        <f>SUM(F178:M178)</f>
        <v>33144.719645000012</v>
      </c>
      <c r="Q178" s="61"/>
      <c r="R178" s="61"/>
      <c r="S178" s="63"/>
      <c r="T178" s="4"/>
      <c r="U178" s="4"/>
    </row>
    <row r="179" spans="1:21" ht="15" x14ac:dyDescent="0.2">
      <c r="A179" s="69"/>
      <c r="B179" s="66"/>
      <c r="C179" s="130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1"/>
      <c r="O179" s="191"/>
      <c r="P179" s="192">
        <f>-SUM(P177:P178)</f>
        <v>-31797.895013750011</v>
      </c>
      <c r="Q179" s="61"/>
      <c r="R179" s="61"/>
      <c r="S179" s="63"/>
      <c r="T179" s="4"/>
      <c r="U179" s="4"/>
    </row>
    <row r="180" spans="1:21" ht="15" x14ac:dyDescent="0.2">
      <c r="A180" s="164" t="s">
        <v>138</v>
      </c>
      <c r="B180" s="161"/>
      <c r="C180" s="130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O180" s="193">
        <f>-SUM(F177:M178)</f>
        <v>-31797.895013750011</v>
      </c>
      <c r="P180" s="194"/>
      <c r="Q180" s="61"/>
      <c r="R180" s="61"/>
      <c r="S180" s="63"/>
      <c r="T180" s="4"/>
      <c r="U180" s="4"/>
    </row>
    <row r="181" spans="1:21" ht="15" x14ac:dyDescent="0.2">
      <c r="A181" s="69" t="s">
        <v>139</v>
      </c>
      <c r="B181" s="66"/>
      <c r="C181" s="130" t="s">
        <v>136</v>
      </c>
      <c r="D181" s="66"/>
      <c r="E181" s="66"/>
      <c r="F181" s="66"/>
      <c r="G181" s="66"/>
      <c r="H181" s="66"/>
      <c r="I181" s="61"/>
      <c r="J181" s="66"/>
      <c r="K181" s="66"/>
      <c r="L181" s="66"/>
      <c r="M181" s="154">
        <f>J57</f>
        <v>1346.82463125</v>
      </c>
      <c r="N181" s="61"/>
      <c r="O181" s="195" t="s">
        <v>177</v>
      </c>
      <c r="P181" s="194"/>
      <c r="Q181" s="61"/>
      <c r="R181" s="61"/>
      <c r="S181" s="63"/>
      <c r="T181" s="4"/>
      <c r="U181" s="4"/>
    </row>
    <row r="182" spans="1:21" ht="15" x14ac:dyDescent="0.2">
      <c r="A182" s="129" t="s">
        <v>135</v>
      </c>
      <c r="B182" s="130"/>
      <c r="C182" s="163" t="s">
        <v>145</v>
      </c>
      <c r="D182" s="130"/>
      <c r="E182" s="130"/>
      <c r="F182" s="130"/>
      <c r="G182" s="130"/>
      <c r="H182" s="130"/>
      <c r="I182" s="61"/>
      <c r="J182" s="130"/>
      <c r="K182" s="130"/>
      <c r="L182" s="130"/>
      <c r="M182" s="165">
        <f>-M165</f>
        <v>-33144.719645000012</v>
      </c>
      <c r="N182" s="61"/>
      <c r="O182" s="193">
        <f>SUM(M181:M182)</f>
        <v>-31797.895013750011</v>
      </c>
      <c r="P182" s="194"/>
      <c r="Q182" s="61"/>
      <c r="R182" s="61"/>
      <c r="S182" s="63"/>
      <c r="T182" s="4"/>
      <c r="U182" s="4"/>
    </row>
    <row r="183" spans="1:21" ht="15" x14ac:dyDescent="0.2">
      <c r="A183" s="129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61"/>
      <c r="O183" s="196"/>
      <c r="P183" s="197"/>
      <c r="Q183" s="61"/>
      <c r="R183" s="61"/>
      <c r="S183" s="63"/>
      <c r="T183" s="4"/>
      <c r="U183" s="4"/>
    </row>
    <row r="184" spans="1:21" ht="15" x14ac:dyDescent="0.2">
      <c r="A184" s="175" t="s">
        <v>140</v>
      </c>
      <c r="B184" s="176"/>
      <c r="C184" s="176"/>
      <c r="D184" s="176"/>
      <c r="E184" s="178">
        <f t="shared" ref="E184:M184" si="59">SUM(E164:E182)</f>
        <v>-2000000</v>
      </c>
      <c r="F184" s="177">
        <f t="shared" si="59"/>
        <v>251629.99</v>
      </c>
      <c r="G184" s="177">
        <f t="shared" si="59"/>
        <v>260653.9794999999</v>
      </c>
      <c r="H184" s="177">
        <f t="shared" si="59"/>
        <v>286166.67847500014</v>
      </c>
      <c r="I184" s="177">
        <f>SUM(I164:I182)</f>
        <v>262955.01239875006</v>
      </c>
      <c r="J184" s="177">
        <f t="shared" si="59"/>
        <v>319642.52091000008</v>
      </c>
      <c r="K184" s="177">
        <f t="shared" si="59"/>
        <v>328510.40091000008</v>
      </c>
      <c r="L184" s="177">
        <f t="shared" si="59"/>
        <v>337378.28091000009</v>
      </c>
      <c r="M184" s="177">
        <f t="shared" si="59"/>
        <v>3356448.26589625</v>
      </c>
      <c r="N184" s="61"/>
      <c r="O184" s="61"/>
      <c r="P184" s="61"/>
      <c r="Q184" s="61"/>
      <c r="R184" s="61"/>
      <c r="S184" s="63"/>
      <c r="T184" s="4"/>
      <c r="U184" s="4"/>
    </row>
    <row r="185" spans="1:21" ht="15" x14ac:dyDescent="0.2">
      <c r="A185" s="129"/>
      <c r="B185" s="130"/>
      <c r="C185" s="130"/>
      <c r="D185" s="130"/>
      <c r="E185" s="166"/>
      <c r="F185" s="130"/>
      <c r="G185" s="130"/>
      <c r="H185" s="130"/>
      <c r="I185" s="130"/>
      <c r="J185" s="130"/>
      <c r="K185" s="130"/>
      <c r="L185" s="130"/>
      <c r="M185" s="130"/>
      <c r="N185" s="61"/>
      <c r="O185" s="61"/>
      <c r="P185" s="61"/>
      <c r="Q185" s="61"/>
      <c r="R185" s="61"/>
      <c r="S185" s="63"/>
      <c r="T185" s="4"/>
      <c r="U185" s="4"/>
    </row>
    <row r="186" spans="1:21" ht="15" x14ac:dyDescent="0.2">
      <c r="A186" s="129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61"/>
      <c r="O186" s="61"/>
      <c r="P186" s="61"/>
      <c r="Q186" s="61"/>
      <c r="R186" s="61"/>
      <c r="S186" s="63"/>
      <c r="T186" s="4"/>
      <c r="U186" s="4"/>
    </row>
    <row r="187" spans="1:21" ht="15" x14ac:dyDescent="0.2">
      <c r="A187" s="129"/>
      <c r="B187" s="130"/>
      <c r="C187" s="130" t="s">
        <v>88</v>
      </c>
      <c r="D187" s="130"/>
      <c r="E187" s="131">
        <f>H119</f>
        <v>6.5338212517478289E-2</v>
      </c>
      <c r="F187" s="130"/>
      <c r="G187" s="130"/>
      <c r="H187" s="130"/>
      <c r="I187" s="130"/>
      <c r="J187" s="130"/>
      <c r="K187" s="130"/>
      <c r="L187" s="130"/>
      <c r="M187" s="130"/>
      <c r="N187" s="61"/>
      <c r="O187" s="61"/>
      <c r="P187" s="61"/>
      <c r="Q187" s="61"/>
      <c r="R187" s="61"/>
      <c r="S187" s="63"/>
      <c r="T187" s="4"/>
      <c r="U187" s="4"/>
    </row>
    <row r="188" spans="1:21" ht="15" x14ac:dyDescent="0.2">
      <c r="A188" s="129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61"/>
      <c r="O188" s="61"/>
      <c r="P188" s="61"/>
      <c r="Q188" s="61"/>
      <c r="R188" s="61"/>
      <c r="S188" s="63"/>
      <c r="T188" s="4"/>
      <c r="U188" s="4"/>
    </row>
    <row r="189" spans="1:21" ht="15" x14ac:dyDescent="0.2">
      <c r="A189" s="129"/>
      <c r="B189" s="130"/>
      <c r="C189" s="130" t="s">
        <v>141</v>
      </c>
      <c r="D189" s="130"/>
      <c r="E189" s="130">
        <v>0</v>
      </c>
      <c r="F189" s="130">
        <v>1</v>
      </c>
      <c r="G189" s="130">
        <v>2</v>
      </c>
      <c r="H189" s="130">
        <v>3</v>
      </c>
      <c r="I189" s="130">
        <v>4</v>
      </c>
      <c r="J189" s="130">
        <v>5</v>
      </c>
      <c r="K189" s="130">
        <v>6</v>
      </c>
      <c r="L189" s="130">
        <v>7</v>
      </c>
      <c r="M189" s="130">
        <v>8</v>
      </c>
      <c r="N189" s="61"/>
      <c r="O189" s="61"/>
      <c r="P189" s="61"/>
      <c r="Q189" s="61"/>
      <c r="R189" s="61"/>
      <c r="S189" s="63"/>
      <c r="T189" s="4"/>
      <c r="U189" s="4"/>
    </row>
    <row r="190" spans="1:21" ht="15" x14ac:dyDescent="0.2">
      <c r="A190" s="129"/>
      <c r="B190" s="130"/>
      <c r="C190" s="130"/>
      <c r="D190" s="130"/>
      <c r="E190" s="179">
        <f t="shared" ref="E190:M190" si="60">-PV($E$187,E189,,E184)</f>
        <v>-2000000</v>
      </c>
      <c r="F190" s="167">
        <f t="shared" si="60"/>
        <v>236197.28180535123</v>
      </c>
      <c r="G190" s="167">
        <f t="shared" si="60"/>
        <v>229662.10966156237</v>
      </c>
      <c r="H190" s="167">
        <f t="shared" si="60"/>
        <v>236677.26815300985</v>
      </c>
      <c r="I190" s="167">
        <f>-PV($E$187,I189,,I184)</f>
        <v>204141.56214866723</v>
      </c>
      <c r="J190" s="167">
        <f t="shared" si="60"/>
        <v>232930.85579119556</v>
      </c>
      <c r="K190" s="167">
        <f t="shared" si="60"/>
        <v>224710.87685450775</v>
      </c>
      <c r="L190" s="167">
        <f t="shared" si="60"/>
        <v>216623.01004273689</v>
      </c>
      <c r="M190" s="167">
        <f t="shared" si="60"/>
        <v>2022925.634871583</v>
      </c>
      <c r="N190" s="61"/>
      <c r="O190" s="61"/>
      <c r="P190" s="61"/>
      <c r="Q190" s="61"/>
      <c r="R190" s="61"/>
      <c r="S190" s="63"/>
      <c r="T190" s="4"/>
      <c r="U190" s="4"/>
    </row>
    <row r="191" spans="1:21" ht="15.75" thickBot="1" x14ac:dyDescent="0.25">
      <c r="A191" s="129"/>
      <c r="B191" s="130"/>
      <c r="C191" s="130"/>
      <c r="D191" s="21"/>
      <c r="E191" s="21"/>
      <c r="F191" s="130"/>
      <c r="G191" s="130"/>
      <c r="H191" s="130"/>
      <c r="I191" s="130"/>
      <c r="J191" s="130"/>
      <c r="K191" s="130"/>
      <c r="L191" s="130"/>
      <c r="M191" s="130"/>
      <c r="N191" s="61"/>
      <c r="O191" s="61"/>
      <c r="P191" s="61"/>
      <c r="Q191" s="61"/>
      <c r="R191" s="61"/>
      <c r="S191" s="63"/>
      <c r="T191" s="4"/>
      <c r="U191" s="4"/>
    </row>
    <row r="192" spans="1:21" ht="15" x14ac:dyDescent="0.2">
      <c r="A192" s="129"/>
      <c r="B192" s="130"/>
      <c r="C192" s="7"/>
      <c r="D192" s="18" t="s">
        <v>142</v>
      </c>
      <c r="E192" s="14">
        <f>SUM(E190:M190)</f>
        <v>1603868.5993286138</v>
      </c>
      <c r="F192" s="8"/>
      <c r="G192" s="163"/>
      <c r="H192" s="130"/>
      <c r="I192" s="130"/>
      <c r="J192" s="130"/>
      <c r="K192" s="130"/>
      <c r="L192" s="130"/>
      <c r="M192" s="130"/>
      <c r="N192" s="61"/>
      <c r="O192" s="61"/>
      <c r="P192" s="61"/>
      <c r="Q192" s="61"/>
      <c r="R192" s="61"/>
      <c r="S192" s="63"/>
      <c r="T192" s="4"/>
      <c r="U192" s="4"/>
    </row>
    <row r="193" spans="1:21" ht="15.75" thickBot="1" x14ac:dyDescent="0.25">
      <c r="A193" s="129"/>
      <c r="B193" s="130"/>
      <c r="C193" s="7"/>
      <c r="D193" s="6" t="s">
        <v>143</v>
      </c>
      <c r="E193" s="22">
        <f>IRR(E184:M184)</f>
        <v>0.17685945507318368</v>
      </c>
      <c r="F193" s="8"/>
      <c r="G193" s="163"/>
      <c r="H193" s="130"/>
      <c r="I193" s="130"/>
      <c r="J193" s="130"/>
      <c r="K193" s="130"/>
      <c r="L193" s="130"/>
      <c r="M193" s="130"/>
      <c r="N193" s="61"/>
      <c r="O193" s="61"/>
      <c r="P193" s="61"/>
      <c r="Q193" s="61"/>
      <c r="R193" s="61"/>
      <c r="S193" s="63"/>
      <c r="T193" s="4"/>
      <c r="U193" s="4"/>
    </row>
    <row r="194" spans="1:21" ht="12.75" customHeight="1" x14ac:dyDescent="0.2">
      <c r="A194" s="64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168"/>
    </row>
    <row r="195" spans="1:21" ht="12.75" customHeight="1" x14ac:dyDescent="0.2">
      <c r="A195" s="64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168"/>
    </row>
    <row r="196" spans="1:21" ht="12.75" customHeight="1" x14ac:dyDescent="0.2">
      <c r="A196" s="64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168"/>
    </row>
    <row r="197" spans="1:21" ht="12.75" customHeight="1" x14ac:dyDescent="0.2">
      <c r="A197" s="64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168"/>
    </row>
    <row r="198" spans="1:21" ht="12.75" customHeight="1" x14ac:dyDescent="0.2">
      <c r="A198" s="64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168"/>
    </row>
    <row r="199" spans="1:21" ht="12.75" customHeight="1" thickBot="1" x14ac:dyDescent="0.25">
      <c r="A199" s="169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1"/>
    </row>
  </sheetData>
  <mergeCells count="12">
    <mergeCell ref="O18:P18"/>
    <mergeCell ref="Q18:R18"/>
    <mergeCell ref="C18:D18"/>
    <mergeCell ref="E18:F18"/>
    <mergeCell ref="G18:H18"/>
    <mergeCell ref="I18:J18"/>
    <mergeCell ref="K18:L18"/>
    <mergeCell ref="K33:L33"/>
    <mergeCell ref="A33:B33"/>
    <mergeCell ref="A96:B96"/>
    <mergeCell ref="A52:B52"/>
    <mergeCell ref="M18:N18"/>
  </mergeCells>
  <pageMargins left="0.7" right="0.7" top="0.75" bottom="0.75" header="0.3" footer="0.3"/>
  <pageSetup orientation="portrait" verticalDpi="300" r:id="rId1"/>
  <ignoredErrors>
    <ignoredError sqref="M9:M15 O9:O15 Q9:Q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0"/>
  <sheetViews>
    <sheetView workbookViewId="0">
      <selection activeCell="D11" sqref="D11"/>
    </sheetView>
  </sheetViews>
  <sheetFormatPr defaultColWidth="17.140625" defaultRowHeight="12.75" customHeight="1" x14ac:dyDescent="0.2"/>
  <cols>
    <col min="1" max="5" width="17.140625" customWidth="1"/>
    <col min="6" max="6" width="18.140625" customWidth="1"/>
    <col min="7" max="20" width="17.140625" customWidth="1"/>
  </cols>
  <sheetData>
    <row r="1" spans="1:20" ht="12.75" customHeight="1" x14ac:dyDescent="0.2">
      <c r="A1" s="2">
        <v>25</v>
      </c>
      <c r="B1" s="2">
        <v>100</v>
      </c>
      <c r="C1" s="2">
        <f t="shared" ref="C1:C7" si="0">A1*B1</f>
        <v>2500</v>
      </c>
      <c r="D1" s="20">
        <v>1</v>
      </c>
      <c r="E1" s="2">
        <f t="shared" ref="E1:E7" si="1">C1*D1</f>
        <v>2500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.75" customHeight="1" x14ac:dyDescent="0.2">
      <c r="A2" s="2">
        <v>50</v>
      </c>
      <c r="B2" s="2">
        <v>100</v>
      </c>
      <c r="C2" s="2">
        <f t="shared" si="0"/>
        <v>5000</v>
      </c>
      <c r="D2" s="13">
        <v>0.95</v>
      </c>
      <c r="E2" s="2">
        <f t="shared" si="1"/>
        <v>4750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75" customHeight="1" x14ac:dyDescent="0.2">
      <c r="A3" s="2">
        <v>100</v>
      </c>
      <c r="B3" s="2">
        <v>80</v>
      </c>
      <c r="C3" s="2">
        <f t="shared" si="0"/>
        <v>8000</v>
      </c>
      <c r="D3" s="20">
        <v>0.8</v>
      </c>
      <c r="E3" s="2">
        <f t="shared" si="1"/>
        <v>6400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2.75" customHeight="1" x14ac:dyDescent="0.2">
      <c r="A4" s="2">
        <v>150</v>
      </c>
      <c r="B4" s="2">
        <v>70</v>
      </c>
      <c r="C4" s="2">
        <f t="shared" si="0"/>
        <v>10500</v>
      </c>
      <c r="D4" s="20">
        <v>0.65</v>
      </c>
      <c r="E4" s="2">
        <f t="shared" si="1"/>
        <v>6825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2.75" customHeight="1" x14ac:dyDescent="0.2">
      <c r="A5" s="2">
        <v>200</v>
      </c>
      <c r="B5" s="2">
        <v>30</v>
      </c>
      <c r="C5" s="2">
        <f t="shared" si="0"/>
        <v>6000</v>
      </c>
      <c r="D5" s="20">
        <v>0.7</v>
      </c>
      <c r="E5" s="2">
        <f t="shared" si="1"/>
        <v>4200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.75" customHeight="1" x14ac:dyDescent="0.2">
      <c r="A6" s="2">
        <v>390</v>
      </c>
      <c r="B6" s="2">
        <v>30</v>
      </c>
      <c r="C6" s="2">
        <f t="shared" si="0"/>
        <v>11700</v>
      </c>
      <c r="D6" s="20">
        <v>0.6</v>
      </c>
      <c r="E6" s="2">
        <f t="shared" si="1"/>
        <v>7020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2.75" customHeight="1" x14ac:dyDescent="0.2">
      <c r="A7" s="2">
        <v>480</v>
      </c>
      <c r="B7" s="2">
        <v>65</v>
      </c>
      <c r="C7" s="2">
        <f t="shared" si="0"/>
        <v>31200</v>
      </c>
      <c r="D7" s="20">
        <v>0.6</v>
      </c>
      <c r="E7" s="2">
        <f t="shared" si="1"/>
        <v>18720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 x14ac:dyDescent="0.2">
      <c r="A8" s="4"/>
      <c r="B8" s="4"/>
      <c r="C8" s="2">
        <f>SUM(C1:C7)</f>
        <v>74900</v>
      </c>
      <c r="D8" s="4"/>
      <c r="E8" s="2">
        <f>SUM(E1:E7)</f>
        <v>50415</v>
      </c>
      <c r="F8" s="15">
        <f>'Income and Balance Sheet'!C35/E8</f>
        <v>5.2082118417137755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75" customHeight="1" x14ac:dyDescent="0.2">
      <c r="A9" s="4"/>
      <c r="B9" s="4"/>
      <c r="C9" s="4"/>
      <c r="D9" s="20">
        <f>AVERAGE(D1:D7)</f>
        <v>0.75714285714285701</v>
      </c>
      <c r="E9" s="4"/>
      <c r="F9" s="15">
        <f>(13128.6)/E8</f>
        <v>0.26041059208568879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2">
      <c r="A10" s="4"/>
      <c r="B10" s="4"/>
      <c r="C10" s="4"/>
      <c r="D10" s="4"/>
      <c r="E10" s="4"/>
      <c r="F10" s="15">
        <f>F8-F9</f>
        <v>4.9478012496280863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2.75" customHeight="1" x14ac:dyDescent="0.2">
      <c r="A11" s="4"/>
      <c r="B11" s="4"/>
      <c r="C11" s="4"/>
      <c r="D11" s="4"/>
      <c r="E11" s="4"/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2">
      <c r="A12" s="4"/>
      <c r="B12" s="4"/>
      <c r="C12" s="4"/>
      <c r="D12" s="4"/>
      <c r="E12" s="4"/>
      <c r="F12" s="1">
        <f>(((('Income and Balance Sheet'!C39+'Income and Balance Sheet'!C40)+'Income and Balance Sheet'!C41)+'Income and Balance Sheet'!C42)+'Income and Balance Sheet'!C47)/F10</f>
        <v>42500.324768664963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2.75" customHeight="1" x14ac:dyDescent="0.2">
      <c r="A13" s="4"/>
      <c r="B13" s="4"/>
      <c r="C13" s="4"/>
      <c r="D13" s="4"/>
      <c r="E13" s="4"/>
      <c r="F13" s="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71"/>
  <sheetViews>
    <sheetView workbookViewId="0">
      <selection activeCell="C4" sqref="C4"/>
    </sheetView>
  </sheetViews>
  <sheetFormatPr defaultRowHeight="12.75" x14ac:dyDescent="0.2"/>
  <cols>
    <col min="1" max="2" width="9.140625" style="37"/>
    <col min="3" max="3" width="14.140625" style="37" bestFit="1" customWidth="1"/>
    <col min="4" max="4" width="12.5703125" style="37" bestFit="1" customWidth="1"/>
    <col min="5" max="5" width="25" style="37" bestFit="1" customWidth="1"/>
    <col min="6" max="6" width="13.5703125" style="37" bestFit="1" customWidth="1"/>
    <col min="7" max="7" width="15" style="37" bestFit="1" customWidth="1"/>
    <col min="8" max="258" width="9.140625" style="37"/>
    <col min="259" max="259" width="14.140625" style="37" bestFit="1" customWidth="1"/>
    <col min="260" max="260" width="12.5703125" style="37" bestFit="1" customWidth="1"/>
    <col min="261" max="261" width="25" style="37" bestFit="1" customWidth="1"/>
    <col min="262" max="262" width="13.5703125" style="37" bestFit="1" customWidth="1"/>
    <col min="263" max="263" width="15" style="37" bestFit="1" customWidth="1"/>
    <col min="264" max="514" width="9.140625" style="37"/>
    <col min="515" max="515" width="14.140625" style="37" bestFit="1" customWidth="1"/>
    <col min="516" max="516" width="12.5703125" style="37" bestFit="1" customWidth="1"/>
    <col min="517" max="517" width="25" style="37" bestFit="1" customWidth="1"/>
    <col min="518" max="518" width="13.5703125" style="37" bestFit="1" customWidth="1"/>
    <col min="519" max="519" width="15" style="37" bestFit="1" customWidth="1"/>
    <col min="520" max="770" width="9.140625" style="37"/>
    <col min="771" max="771" width="14.140625" style="37" bestFit="1" customWidth="1"/>
    <col min="772" max="772" width="12.5703125" style="37" bestFit="1" customWidth="1"/>
    <col min="773" max="773" width="25" style="37" bestFit="1" customWidth="1"/>
    <col min="774" max="774" width="13.5703125" style="37" bestFit="1" customWidth="1"/>
    <col min="775" max="775" width="15" style="37" bestFit="1" customWidth="1"/>
    <col min="776" max="1026" width="9.140625" style="37"/>
    <col min="1027" max="1027" width="14.140625" style="37" bestFit="1" customWidth="1"/>
    <col min="1028" max="1028" width="12.5703125" style="37" bestFit="1" customWidth="1"/>
    <col min="1029" max="1029" width="25" style="37" bestFit="1" customWidth="1"/>
    <col min="1030" max="1030" width="13.5703125" style="37" bestFit="1" customWidth="1"/>
    <col min="1031" max="1031" width="15" style="37" bestFit="1" customWidth="1"/>
    <col min="1032" max="1282" width="9.140625" style="37"/>
    <col min="1283" max="1283" width="14.140625" style="37" bestFit="1" customWidth="1"/>
    <col min="1284" max="1284" width="12.5703125" style="37" bestFit="1" customWidth="1"/>
    <col min="1285" max="1285" width="25" style="37" bestFit="1" customWidth="1"/>
    <col min="1286" max="1286" width="13.5703125" style="37" bestFit="1" customWidth="1"/>
    <col min="1287" max="1287" width="15" style="37" bestFit="1" customWidth="1"/>
    <col min="1288" max="1538" width="9.140625" style="37"/>
    <col min="1539" max="1539" width="14.140625" style="37" bestFit="1" customWidth="1"/>
    <col min="1540" max="1540" width="12.5703125" style="37" bestFit="1" customWidth="1"/>
    <col min="1541" max="1541" width="25" style="37" bestFit="1" customWidth="1"/>
    <col min="1542" max="1542" width="13.5703125" style="37" bestFit="1" customWidth="1"/>
    <col min="1543" max="1543" width="15" style="37" bestFit="1" customWidth="1"/>
    <col min="1544" max="1794" width="9.140625" style="37"/>
    <col min="1795" max="1795" width="14.140625" style="37" bestFit="1" customWidth="1"/>
    <col min="1796" max="1796" width="12.5703125" style="37" bestFit="1" customWidth="1"/>
    <col min="1797" max="1797" width="25" style="37" bestFit="1" customWidth="1"/>
    <col min="1798" max="1798" width="13.5703125" style="37" bestFit="1" customWidth="1"/>
    <col min="1799" max="1799" width="15" style="37" bestFit="1" customWidth="1"/>
    <col min="1800" max="2050" width="9.140625" style="37"/>
    <col min="2051" max="2051" width="14.140625" style="37" bestFit="1" customWidth="1"/>
    <col min="2052" max="2052" width="12.5703125" style="37" bestFit="1" customWidth="1"/>
    <col min="2053" max="2053" width="25" style="37" bestFit="1" customWidth="1"/>
    <col min="2054" max="2054" width="13.5703125" style="37" bestFit="1" customWidth="1"/>
    <col min="2055" max="2055" width="15" style="37" bestFit="1" customWidth="1"/>
    <col min="2056" max="2306" width="9.140625" style="37"/>
    <col min="2307" max="2307" width="14.140625" style="37" bestFit="1" customWidth="1"/>
    <col min="2308" max="2308" width="12.5703125" style="37" bestFit="1" customWidth="1"/>
    <col min="2309" max="2309" width="25" style="37" bestFit="1" customWidth="1"/>
    <col min="2310" max="2310" width="13.5703125" style="37" bestFit="1" customWidth="1"/>
    <col min="2311" max="2311" width="15" style="37" bestFit="1" customWidth="1"/>
    <col min="2312" max="2562" width="9.140625" style="37"/>
    <col min="2563" max="2563" width="14.140625" style="37" bestFit="1" customWidth="1"/>
    <col min="2564" max="2564" width="12.5703125" style="37" bestFit="1" customWidth="1"/>
    <col min="2565" max="2565" width="25" style="37" bestFit="1" customWidth="1"/>
    <col min="2566" max="2566" width="13.5703125" style="37" bestFit="1" customWidth="1"/>
    <col min="2567" max="2567" width="15" style="37" bestFit="1" customWidth="1"/>
    <col min="2568" max="2818" width="9.140625" style="37"/>
    <col min="2819" max="2819" width="14.140625" style="37" bestFit="1" customWidth="1"/>
    <col min="2820" max="2820" width="12.5703125" style="37" bestFit="1" customWidth="1"/>
    <col min="2821" max="2821" width="25" style="37" bestFit="1" customWidth="1"/>
    <col min="2822" max="2822" width="13.5703125" style="37" bestFit="1" customWidth="1"/>
    <col min="2823" max="2823" width="15" style="37" bestFit="1" customWidth="1"/>
    <col min="2824" max="3074" width="9.140625" style="37"/>
    <col min="3075" max="3075" width="14.140625" style="37" bestFit="1" customWidth="1"/>
    <col min="3076" max="3076" width="12.5703125" style="37" bestFit="1" customWidth="1"/>
    <col min="3077" max="3077" width="25" style="37" bestFit="1" customWidth="1"/>
    <col min="3078" max="3078" width="13.5703125" style="37" bestFit="1" customWidth="1"/>
    <col min="3079" max="3079" width="15" style="37" bestFit="1" customWidth="1"/>
    <col min="3080" max="3330" width="9.140625" style="37"/>
    <col min="3331" max="3331" width="14.140625" style="37" bestFit="1" customWidth="1"/>
    <col min="3332" max="3332" width="12.5703125" style="37" bestFit="1" customWidth="1"/>
    <col min="3333" max="3333" width="25" style="37" bestFit="1" customWidth="1"/>
    <col min="3334" max="3334" width="13.5703125" style="37" bestFit="1" customWidth="1"/>
    <col min="3335" max="3335" width="15" style="37" bestFit="1" customWidth="1"/>
    <col min="3336" max="3586" width="9.140625" style="37"/>
    <col min="3587" max="3587" width="14.140625" style="37" bestFit="1" customWidth="1"/>
    <col min="3588" max="3588" width="12.5703125" style="37" bestFit="1" customWidth="1"/>
    <col min="3589" max="3589" width="25" style="37" bestFit="1" customWidth="1"/>
    <col min="3590" max="3590" width="13.5703125" style="37" bestFit="1" customWidth="1"/>
    <col min="3591" max="3591" width="15" style="37" bestFit="1" customWidth="1"/>
    <col min="3592" max="3842" width="9.140625" style="37"/>
    <col min="3843" max="3843" width="14.140625" style="37" bestFit="1" customWidth="1"/>
    <col min="3844" max="3844" width="12.5703125" style="37" bestFit="1" customWidth="1"/>
    <col min="3845" max="3845" width="25" style="37" bestFit="1" customWidth="1"/>
    <col min="3846" max="3846" width="13.5703125" style="37" bestFit="1" customWidth="1"/>
    <col min="3847" max="3847" width="15" style="37" bestFit="1" customWidth="1"/>
    <col min="3848" max="4098" width="9.140625" style="37"/>
    <col min="4099" max="4099" width="14.140625" style="37" bestFit="1" customWidth="1"/>
    <col min="4100" max="4100" width="12.5703125" style="37" bestFit="1" customWidth="1"/>
    <col min="4101" max="4101" width="25" style="37" bestFit="1" customWidth="1"/>
    <col min="4102" max="4102" width="13.5703125" style="37" bestFit="1" customWidth="1"/>
    <col min="4103" max="4103" width="15" style="37" bestFit="1" customWidth="1"/>
    <col min="4104" max="4354" width="9.140625" style="37"/>
    <col min="4355" max="4355" width="14.140625" style="37" bestFit="1" customWidth="1"/>
    <col min="4356" max="4356" width="12.5703125" style="37" bestFit="1" customWidth="1"/>
    <col min="4357" max="4357" width="25" style="37" bestFit="1" customWidth="1"/>
    <col min="4358" max="4358" width="13.5703125" style="37" bestFit="1" customWidth="1"/>
    <col min="4359" max="4359" width="15" style="37" bestFit="1" customWidth="1"/>
    <col min="4360" max="4610" width="9.140625" style="37"/>
    <col min="4611" max="4611" width="14.140625" style="37" bestFit="1" customWidth="1"/>
    <col min="4612" max="4612" width="12.5703125" style="37" bestFit="1" customWidth="1"/>
    <col min="4613" max="4613" width="25" style="37" bestFit="1" customWidth="1"/>
    <col min="4614" max="4614" width="13.5703125" style="37" bestFit="1" customWidth="1"/>
    <col min="4615" max="4615" width="15" style="37" bestFit="1" customWidth="1"/>
    <col min="4616" max="4866" width="9.140625" style="37"/>
    <col min="4867" max="4867" width="14.140625" style="37" bestFit="1" customWidth="1"/>
    <col min="4868" max="4868" width="12.5703125" style="37" bestFit="1" customWidth="1"/>
    <col min="4869" max="4869" width="25" style="37" bestFit="1" customWidth="1"/>
    <col min="4870" max="4870" width="13.5703125" style="37" bestFit="1" customWidth="1"/>
    <col min="4871" max="4871" width="15" style="37" bestFit="1" customWidth="1"/>
    <col min="4872" max="5122" width="9.140625" style="37"/>
    <col min="5123" max="5123" width="14.140625" style="37" bestFit="1" customWidth="1"/>
    <col min="5124" max="5124" width="12.5703125" style="37" bestFit="1" customWidth="1"/>
    <col min="5125" max="5125" width="25" style="37" bestFit="1" customWidth="1"/>
    <col min="5126" max="5126" width="13.5703125" style="37" bestFit="1" customWidth="1"/>
    <col min="5127" max="5127" width="15" style="37" bestFit="1" customWidth="1"/>
    <col min="5128" max="5378" width="9.140625" style="37"/>
    <col min="5379" max="5379" width="14.140625" style="37" bestFit="1" customWidth="1"/>
    <col min="5380" max="5380" width="12.5703125" style="37" bestFit="1" customWidth="1"/>
    <col min="5381" max="5381" width="25" style="37" bestFit="1" customWidth="1"/>
    <col min="5382" max="5382" width="13.5703125" style="37" bestFit="1" customWidth="1"/>
    <col min="5383" max="5383" width="15" style="37" bestFit="1" customWidth="1"/>
    <col min="5384" max="5634" width="9.140625" style="37"/>
    <col min="5635" max="5635" width="14.140625" style="37" bestFit="1" customWidth="1"/>
    <col min="5636" max="5636" width="12.5703125" style="37" bestFit="1" customWidth="1"/>
    <col min="5637" max="5637" width="25" style="37" bestFit="1" customWidth="1"/>
    <col min="5638" max="5638" width="13.5703125" style="37" bestFit="1" customWidth="1"/>
    <col min="5639" max="5639" width="15" style="37" bestFit="1" customWidth="1"/>
    <col min="5640" max="5890" width="9.140625" style="37"/>
    <col min="5891" max="5891" width="14.140625" style="37" bestFit="1" customWidth="1"/>
    <col min="5892" max="5892" width="12.5703125" style="37" bestFit="1" customWidth="1"/>
    <col min="5893" max="5893" width="25" style="37" bestFit="1" customWidth="1"/>
    <col min="5894" max="5894" width="13.5703125" style="37" bestFit="1" customWidth="1"/>
    <col min="5895" max="5895" width="15" style="37" bestFit="1" customWidth="1"/>
    <col min="5896" max="6146" width="9.140625" style="37"/>
    <col min="6147" max="6147" width="14.140625" style="37" bestFit="1" customWidth="1"/>
    <col min="6148" max="6148" width="12.5703125" style="37" bestFit="1" customWidth="1"/>
    <col min="6149" max="6149" width="25" style="37" bestFit="1" customWidth="1"/>
    <col min="6150" max="6150" width="13.5703125" style="37" bestFit="1" customWidth="1"/>
    <col min="6151" max="6151" width="15" style="37" bestFit="1" customWidth="1"/>
    <col min="6152" max="6402" width="9.140625" style="37"/>
    <col min="6403" max="6403" width="14.140625" style="37" bestFit="1" customWidth="1"/>
    <col min="6404" max="6404" width="12.5703125" style="37" bestFit="1" customWidth="1"/>
    <col min="6405" max="6405" width="25" style="37" bestFit="1" customWidth="1"/>
    <col min="6406" max="6406" width="13.5703125" style="37" bestFit="1" customWidth="1"/>
    <col min="6407" max="6407" width="15" style="37" bestFit="1" customWidth="1"/>
    <col min="6408" max="6658" width="9.140625" style="37"/>
    <col min="6659" max="6659" width="14.140625" style="37" bestFit="1" customWidth="1"/>
    <col min="6660" max="6660" width="12.5703125" style="37" bestFit="1" customWidth="1"/>
    <col min="6661" max="6661" width="25" style="37" bestFit="1" customWidth="1"/>
    <col min="6662" max="6662" width="13.5703125" style="37" bestFit="1" customWidth="1"/>
    <col min="6663" max="6663" width="15" style="37" bestFit="1" customWidth="1"/>
    <col min="6664" max="6914" width="9.140625" style="37"/>
    <col min="6915" max="6915" width="14.140625" style="37" bestFit="1" customWidth="1"/>
    <col min="6916" max="6916" width="12.5703125" style="37" bestFit="1" customWidth="1"/>
    <col min="6917" max="6917" width="25" style="37" bestFit="1" customWidth="1"/>
    <col min="6918" max="6918" width="13.5703125" style="37" bestFit="1" customWidth="1"/>
    <col min="6919" max="6919" width="15" style="37" bestFit="1" customWidth="1"/>
    <col min="6920" max="7170" width="9.140625" style="37"/>
    <col min="7171" max="7171" width="14.140625" style="37" bestFit="1" customWidth="1"/>
    <col min="7172" max="7172" width="12.5703125" style="37" bestFit="1" customWidth="1"/>
    <col min="7173" max="7173" width="25" style="37" bestFit="1" customWidth="1"/>
    <col min="7174" max="7174" width="13.5703125" style="37" bestFit="1" customWidth="1"/>
    <col min="7175" max="7175" width="15" style="37" bestFit="1" customWidth="1"/>
    <col min="7176" max="7426" width="9.140625" style="37"/>
    <col min="7427" max="7427" width="14.140625" style="37" bestFit="1" customWidth="1"/>
    <col min="7428" max="7428" width="12.5703125" style="37" bestFit="1" customWidth="1"/>
    <col min="7429" max="7429" width="25" style="37" bestFit="1" customWidth="1"/>
    <col min="7430" max="7430" width="13.5703125" style="37" bestFit="1" customWidth="1"/>
    <col min="7431" max="7431" width="15" style="37" bestFit="1" customWidth="1"/>
    <col min="7432" max="7682" width="9.140625" style="37"/>
    <col min="7683" max="7683" width="14.140625" style="37" bestFit="1" customWidth="1"/>
    <col min="7684" max="7684" width="12.5703125" style="37" bestFit="1" customWidth="1"/>
    <col min="7685" max="7685" width="25" style="37" bestFit="1" customWidth="1"/>
    <col min="7686" max="7686" width="13.5703125" style="37" bestFit="1" customWidth="1"/>
    <col min="7687" max="7687" width="15" style="37" bestFit="1" customWidth="1"/>
    <col min="7688" max="7938" width="9.140625" style="37"/>
    <col min="7939" max="7939" width="14.140625" style="37" bestFit="1" customWidth="1"/>
    <col min="7940" max="7940" width="12.5703125" style="37" bestFit="1" customWidth="1"/>
    <col min="7941" max="7941" width="25" style="37" bestFit="1" customWidth="1"/>
    <col min="7942" max="7942" width="13.5703125" style="37" bestFit="1" customWidth="1"/>
    <col min="7943" max="7943" width="15" style="37" bestFit="1" customWidth="1"/>
    <col min="7944" max="8194" width="9.140625" style="37"/>
    <col min="8195" max="8195" width="14.140625" style="37" bestFit="1" customWidth="1"/>
    <col min="8196" max="8196" width="12.5703125" style="37" bestFit="1" customWidth="1"/>
    <col min="8197" max="8197" width="25" style="37" bestFit="1" customWidth="1"/>
    <col min="8198" max="8198" width="13.5703125" style="37" bestFit="1" customWidth="1"/>
    <col min="8199" max="8199" width="15" style="37" bestFit="1" customWidth="1"/>
    <col min="8200" max="8450" width="9.140625" style="37"/>
    <col min="8451" max="8451" width="14.140625" style="37" bestFit="1" customWidth="1"/>
    <col min="8452" max="8452" width="12.5703125" style="37" bestFit="1" customWidth="1"/>
    <col min="8453" max="8453" width="25" style="37" bestFit="1" customWidth="1"/>
    <col min="8454" max="8454" width="13.5703125" style="37" bestFit="1" customWidth="1"/>
    <col min="8455" max="8455" width="15" style="37" bestFit="1" customWidth="1"/>
    <col min="8456" max="8706" width="9.140625" style="37"/>
    <col min="8707" max="8707" width="14.140625" style="37" bestFit="1" customWidth="1"/>
    <col min="8708" max="8708" width="12.5703125" style="37" bestFit="1" customWidth="1"/>
    <col min="8709" max="8709" width="25" style="37" bestFit="1" customWidth="1"/>
    <col min="8710" max="8710" width="13.5703125" style="37" bestFit="1" customWidth="1"/>
    <col min="8711" max="8711" width="15" style="37" bestFit="1" customWidth="1"/>
    <col min="8712" max="8962" width="9.140625" style="37"/>
    <col min="8963" max="8963" width="14.140625" style="37" bestFit="1" customWidth="1"/>
    <col min="8964" max="8964" width="12.5703125" style="37" bestFit="1" customWidth="1"/>
    <col min="8965" max="8965" width="25" style="37" bestFit="1" customWidth="1"/>
    <col min="8966" max="8966" width="13.5703125" style="37" bestFit="1" customWidth="1"/>
    <col min="8967" max="8967" width="15" style="37" bestFit="1" customWidth="1"/>
    <col min="8968" max="9218" width="9.140625" style="37"/>
    <col min="9219" max="9219" width="14.140625" style="37" bestFit="1" customWidth="1"/>
    <col min="9220" max="9220" width="12.5703125" style="37" bestFit="1" customWidth="1"/>
    <col min="9221" max="9221" width="25" style="37" bestFit="1" customWidth="1"/>
    <col min="9222" max="9222" width="13.5703125" style="37" bestFit="1" customWidth="1"/>
    <col min="9223" max="9223" width="15" style="37" bestFit="1" customWidth="1"/>
    <col min="9224" max="9474" width="9.140625" style="37"/>
    <col min="9475" max="9475" width="14.140625" style="37" bestFit="1" customWidth="1"/>
    <col min="9476" max="9476" width="12.5703125" style="37" bestFit="1" customWidth="1"/>
    <col min="9477" max="9477" width="25" style="37" bestFit="1" customWidth="1"/>
    <col min="9478" max="9478" width="13.5703125" style="37" bestFit="1" customWidth="1"/>
    <col min="9479" max="9479" width="15" style="37" bestFit="1" customWidth="1"/>
    <col min="9480" max="9730" width="9.140625" style="37"/>
    <col min="9731" max="9731" width="14.140625" style="37" bestFit="1" customWidth="1"/>
    <col min="9732" max="9732" width="12.5703125" style="37" bestFit="1" customWidth="1"/>
    <col min="9733" max="9733" width="25" style="37" bestFit="1" customWidth="1"/>
    <col min="9734" max="9734" width="13.5703125" style="37" bestFit="1" customWidth="1"/>
    <col min="9735" max="9735" width="15" style="37" bestFit="1" customWidth="1"/>
    <col min="9736" max="9986" width="9.140625" style="37"/>
    <col min="9987" max="9987" width="14.140625" style="37" bestFit="1" customWidth="1"/>
    <col min="9988" max="9988" width="12.5703125" style="37" bestFit="1" customWidth="1"/>
    <col min="9989" max="9989" width="25" style="37" bestFit="1" customWidth="1"/>
    <col min="9990" max="9990" width="13.5703125" style="37" bestFit="1" customWidth="1"/>
    <col min="9991" max="9991" width="15" style="37" bestFit="1" customWidth="1"/>
    <col min="9992" max="10242" width="9.140625" style="37"/>
    <col min="10243" max="10243" width="14.140625" style="37" bestFit="1" customWidth="1"/>
    <col min="10244" max="10244" width="12.5703125" style="37" bestFit="1" customWidth="1"/>
    <col min="10245" max="10245" width="25" style="37" bestFit="1" customWidth="1"/>
    <col min="10246" max="10246" width="13.5703125" style="37" bestFit="1" customWidth="1"/>
    <col min="10247" max="10247" width="15" style="37" bestFit="1" customWidth="1"/>
    <col min="10248" max="10498" width="9.140625" style="37"/>
    <col min="10499" max="10499" width="14.140625" style="37" bestFit="1" customWidth="1"/>
    <col min="10500" max="10500" width="12.5703125" style="37" bestFit="1" customWidth="1"/>
    <col min="10501" max="10501" width="25" style="37" bestFit="1" customWidth="1"/>
    <col min="10502" max="10502" width="13.5703125" style="37" bestFit="1" customWidth="1"/>
    <col min="10503" max="10503" width="15" style="37" bestFit="1" customWidth="1"/>
    <col min="10504" max="10754" width="9.140625" style="37"/>
    <col min="10755" max="10755" width="14.140625" style="37" bestFit="1" customWidth="1"/>
    <col min="10756" max="10756" width="12.5703125" style="37" bestFit="1" customWidth="1"/>
    <col min="10757" max="10757" width="25" style="37" bestFit="1" customWidth="1"/>
    <col min="10758" max="10758" width="13.5703125" style="37" bestFit="1" customWidth="1"/>
    <col min="10759" max="10759" width="15" style="37" bestFit="1" customWidth="1"/>
    <col min="10760" max="11010" width="9.140625" style="37"/>
    <col min="11011" max="11011" width="14.140625" style="37" bestFit="1" customWidth="1"/>
    <col min="11012" max="11012" width="12.5703125" style="37" bestFit="1" customWidth="1"/>
    <col min="11013" max="11013" width="25" style="37" bestFit="1" customWidth="1"/>
    <col min="11014" max="11014" width="13.5703125" style="37" bestFit="1" customWidth="1"/>
    <col min="11015" max="11015" width="15" style="37" bestFit="1" customWidth="1"/>
    <col min="11016" max="11266" width="9.140625" style="37"/>
    <col min="11267" max="11267" width="14.140625" style="37" bestFit="1" customWidth="1"/>
    <col min="11268" max="11268" width="12.5703125" style="37" bestFit="1" customWidth="1"/>
    <col min="11269" max="11269" width="25" style="37" bestFit="1" customWidth="1"/>
    <col min="11270" max="11270" width="13.5703125" style="37" bestFit="1" customWidth="1"/>
    <col min="11271" max="11271" width="15" style="37" bestFit="1" customWidth="1"/>
    <col min="11272" max="11522" width="9.140625" style="37"/>
    <col min="11523" max="11523" width="14.140625" style="37" bestFit="1" customWidth="1"/>
    <col min="11524" max="11524" width="12.5703125" style="37" bestFit="1" customWidth="1"/>
    <col min="11525" max="11525" width="25" style="37" bestFit="1" customWidth="1"/>
    <col min="11526" max="11526" width="13.5703125" style="37" bestFit="1" customWidth="1"/>
    <col min="11527" max="11527" width="15" style="37" bestFit="1" customWidth="1"/>
    <col min="11528" max="11778" width="9.140625" style="37"/>
    <col min="11779" max="11779" width="14.140625" style="37" bestFit="1" customWidth="1"/>
    <col min="11780" max="11780" width="12.5703125" style="37" bestFit="1" customWidth="1"/>
    <col min="11781" max="11781" width="25" style="37" bestFit="1" customWidth="1"/>
    <col min="11782" max="11782" width="13.5703125" style="37" bestFit="1" customWidth="1"/>
    <col min="11783" max="11783" width="15" style="37" bestFit="1" customWidth="1"/>
    <col min="11784" max="12034" width="9.140625" style="37"/>
    <col min="12035" max="12035" width="14.140625" style="37" bestFit="1" customWidth="1"/>
    <col min="12036" max="12036" width="12.5703125" style="37" bestFit="1" customWidth="1"/>
    <col min="12037" max="12037" width="25" style="37" bestFit="1" customWidth="1"/>
    <col min="12038" max="12038" width="13.5703125" style="37" bestFit="1" customWidth="1"/>
    <col min="12039" max="12039" width="15" style="37" bestFit="1" customWidth="1"/>
    <col min="12040" max="12290" width="9.140625" style="37"/>
    <col min="12291" max="12291" width="14.140625" style="37" bestFit="1" customWidth="1"/>
    <col min="12292" max="12292" width="12.5703125" style="37" bestFit="1" customWidth="1"/>
    <col min="12293" max="12293" width="25" style="37" bestFit="1" customWidth="1"/>
    <col min="12294" max="12294" width="13.5703125" style="37" bestFit="1" customWidth="1"/>
    <col min="12295" max="12295" width="15" style="37" bestFit="1" customWidth="1"/>
    <col min="12296" max="12546" width="9.140625" style="37"/>
    <col min="12547" max="12547" width="14.140625" style="37" bestFit="1" customWidth="1"/>
    <col min="12548" max="12548" width="12.5703125" style="37" bestFit="1" customWidth="1"/>
    <col min="12549" max="12549" width="25" style="37" bestFit="1" customWidth="1"/>
    <col min="12550" max="12550" width="13.5703125" style="37" bestFit="1" customWidth="1"/>
    <col min="12551" max="12551" width="15" style="37" bestFit="1" customWidth="1"/>
    <col min="12552" max="12802" width="9.140625" style="37"/>
    <col min="12803" max="12803" width="14.140625" style="37" bestFit="1" customWidth="1"/>
    <col min="12804" max="12804" width="12.5703125" style="37" bestFit="1" customWidth="1"/>
    <col min="12805" max="12805" width="25" style="37" bestFit="1" customWidth="1"/>
    <col min="12806" max="12806" width="13.5703125" style="37" bestFit="1" customWidth="1"/>
    <col min="12807" max="12807" width="15" style="37" bestFit="1" customWidth="1"/>
    <col min="12808" max="13058" width="9.140625" style="37"/>
    <col min="13059" max="13059" width="14.140625" style="37" bestFit="1" customWidth="1"/>
    <col min="13060" max="13060" width="12.5703125" style="37" bestFit="1" customWidth="1"/>
    <col min="13061" max="13061" width="25" style="37" bestFit="1" customWidth="1"/>
    <col min="13062" max="13062" width="13.5703125" style="37" bestFit="1" customWidth="1"/>
    <col min="13063" max="13063" width="15" style="37" bestFit="1" customWidth="1"/>
    <col min="13064" max="13314" width="9.140625" style="37"/>
    <col min="13315" max="13315" width="14.140625" style="37" bestFit="1" customWidth="1"/>
    <col min="13316" max="13316" width="12.5703125" style="37" bestFit="1" customWidth="1"/>
    <col min="13317" max="13317" width="25" style="37" bestFit="1" customWidth="1"/>
    <col min="13318" max="13318" width="13.5703125" style="37" bestFit="1" customWidth="1"/>
    <col min="13319" max="13319" width="15" style="37" bestFit="1" customWidth="1"/>
    <col min="13320" max="13570" width="9.140625" style="37"/>
    <col min="13571" max="13571" width="14.140625" style="37" bestFit="1" customWidth="1"/>
    <col min="13572" max="13572" width="12.5703125" style="37" bestFit="1" customWidth="1"/>
    <col min="13573" max="13573" width="25" style="37" bestFit="1" customWidth="1"/>
    <col min="13574" max="13574" width="13.5703125" style="37" bestFit="1" customWidth="1"/>
    <col min="13575" max="13575" width="15" style="37" bestFit="1" customWidth="1"/>
    <col min="13576" max="13826" width="9.140625" style="37"/>
    <col min="13827" max="13827" width="14.140625" style="37" bestFit="1" customWidth="1"/>
    <col min="13828" max="13828" width="12.5703125" style="37" bestFit="1" customWidth="1"/>
    <col min="13829" max="13829" width="25" style="37" bestFit="1" customWidth="1"/>
    <col min="13830" max="13830" width="13.5703125" style="37" bestFit="1" customWidth="1"/>
    <col min="13831" max="13831" width="15" style="37" bestFit="1" customWidth="1"/>
    <col min="13832" max="14082" width="9.140625" style="37"/>
    <col min="14083" max="14083" width="14.140625" style="37" bestFit="1" customWidth="1"/>
    <col min="14084" max="14084" width="12.5703125" style="37" bestFit="1" customWidth="1"/>
    <col min="14085" max="14085" width="25" style="37" bestFit="1" customWidth="1"/>
    <col min="14086" max="14086" width="13.5703125" style="37" bestFit="1" customWidth="1"/>
    <col min="14087" max="14087" width="15" style="37" bestFit="1" customWidth="1"/>
    <col min="14088" max="14338" width="9.140625" style="37"/>
    <col min="14339" max="14339" width="14.140625" style="37" bestFit="1" customWidth="1"/>
    <col min="14340" max="14340" width="12.5703125" style="37" bestFit="1" customWidth="1"/>
    <col min="14341" max="14341" width="25" style="37" bestFit="1" customWidth="1"/>
    <col min="14342" max="14342" width="13.5703125" style="37" bestFit="1" customWidth="1"/>
    <col min="14343" max="14343" width="15" style="37" bestFit="1" customWidth="1"/>
    <col min="14344" max="14594" width="9.140625" style="37"/>
    <col min="14595" max="14595" width="14.140625" style="37" bestFit="1" customWidth="1"/>
    <col min="14596" max="14596" width="12.5703125" style="37" bestFit="1" customWidth="1"/>
    <col min="14597" max="14597" width="25" style="37" bestFit="1" customWidth="1"/>
    <col min="14598" max="14598" width="13.5703125" style="37" bestFit="1" customWidth="1"/>
    <col min="14599" max="14599" width="15" style="37" bestFit="1" customWidth="1"/>
    <col min="14600" max="14850" width="9.140625" style="37"/>
    <col min="14851" max="14851" width="14.140625" style="37" bestFit="1" customWidth="1"/>
    <col min="14852" max="14852" width="12.5703125" style="37" bestFit="1" customWidth="1"/>
    <col min="14853" max="14853" width="25" style="37" bestFit="1" customWidth="1"/>
    <col min="14854" max="14854" width="13.5703125" style="37" bestFit="1" customWidth="1"/>
    <col min="14855" max="14855" width="15" style="37" bestFit="1" customWidth="1"/>
    <col min="14856" max="15106" width="9.140625" style="37"/>
    <col min="15107" max="15107" width="14.140625" style="37" bestFit="1" customWidth="1"/>
    <col min="15108" max="15108" width="12.5703125" style="37" bestFit="1" customWidth="1"/>
    <col min="15109" max="15109" width="25" style="37" bestFit="1" customWidth="1"/>
    <col min="15110" max="15110" width="13.5703125" style="37" bestFit="1" customWidth="1"/>
    <col min="15111" max="15111" width="15" style="37" bestFit="1" customWidth="1"/>
    <col min="15112" max="15362" width="9.140625" style="37"/>
    <col min="15363" max="15363" width="14.140625" style="37" bestFit="1" customWidth="1"/>
    <col min="15364" max="15364" width="12.5703125" style="37" bestFit="1" customWidth="1"/>
    <col min="15365" max="15365" width="25" style="37" bestFit="1" customWidth="1"/>
    <col min="15366" max="15366" width="13.5703125" style="37" bestFit="1" customWidth="1"/>
    <col min="15367" max="15367" width="15" style="37" bestFit="1" customWidth="1"/>
    <col min="15368" max="15618" width="9.140625" style="37"/>
    <col min="15619" max="15619" width="14.140625" style="37" bestFit="1" customWidth="1"/>
    <col min="15620" max="15620" width="12.5703125" style="37" bestFit="1" customWidth="1"/>
    <col min="15621" max="15621" width="25" style="37" bestFit="1" customWidth="1"/>
    <col min="15622" max="15622" width="13.5703125" style="37" bestFit="1" customWidth="1"/>
    <col min="15623" max="15623" width="15" style="37" bestFit="1" customWidth="1"/>
    <col min="15624" max="15874" width="9.140625" style="37"/>
    <col min="15875" max="15875" width="14.140625" style="37" bestFit="1" customWidth="1"/>
    <col min="15876" max="15876" width="12.5703125" style="37" bestFit="1" customWidth="1"/>
    <col min="15877" max="15877" width="25" style="37" bestFit="1" customWidth="1"/>
    <col min="15878" max="15878" width="13.5703125" style="37" bestFit="1" customWidth="1"/>
    <col min="15879" max="15879" width="15" style="37" bestFit="1" customWidth="1"/>
    <col min="15880" max="16130" width="9.140625" style="37"/>
    <col min="16131" max="16131" width="14.140625" style="37" bestFit="1" customWidth="1"/>
    <col min="16132" max="16132" width="12.5703125" style="37" bestFit="1" customWidth="1"/>
    <col min="16133" max="16133" width="25" style="37" bestFit="1" customWidth="1"/>
    <col min="16134" max="16134" width="13.5703125" style="37" bestFit="1" customWidth="1"/>
    <col min="16135" max="16135" width="15" style="37" bestFit="1" customWidth="1"/>
    <col min="16136" max="16384" width="9.140625" style="37"/>
  </cols>
  <sheetData>
    <row r="1" spans="1:7" ht="15" x14ac:dyDescent="0.25">
      <c r="A1" s="35"/>
      <c r="B1" s="35"/>
      <c r="C1" s="36"/>
      <c r="D1" s="35"/>
      <c r="E1" s="35"/>
      <c r="F1" s="35"/>
      <c r="G1" s="35"/>
    </row>
    <row r="2" spans="1:7" x14ac:dyDescent="0.2">
      <c r="A2" s="35"/>
      <c r="B2" s="35"/>
      <c r="C2" s="35"/>
      <c r="D2" s="35"/>
      <c r="E2" s="35"/>
      <c r="F2" s="35"/>
      <c r="G2" s="35"/>
    </row>
    <row r="3" spans="1:7" ht="15" x14ac:dyDescent="0.25">
      <c r="A3" s="35"/>
      <c r="B3" s="35"/>
      <c r="C3" s="35" t="s">
        <v>158</v>
      </c>
      <c r="D3" s="38">
        <f>'Income and Balance Sheet'!J62+'Income and Balance Sheet'!J61</f>
        <v>2000000</v>
      </c>
      <c r="E3" s="35"/>
      <c r="F3" s="35"/>
      <c r="G3" s="35"/>
    </row>
    <row r="4" spans="1:7" ht="15" x14ac:dyDescent="0.25">
      <c r="A4" s="35"/>
      <c r="B4" s="35"/>
      <c r="C4" s="35" t="s">
        <v>49</v>
      </c>
      <c r="D4" s="39">
        <v>6.5000000000000002E-2</v>
      </c>
      <c r="E4" s="35"/>
      <c r="F4" s="35" t="s">
        <v>159</v>
      </c>
      <c r="G4" s="40">
        <f>SUMIF(D12:D371,"&gt;=0")</f>
        <v>2550889.7691493379</v>
      </c>
    </row>
    <row r="5" spans="1:7" ht="15" x14ac:dyDescent="0.25">
      <c r="A5" s="35"/>
      <c r="B5" s="35"/>
      <c r="C5" s="35" t="s">
        <v>144</v>
      </c>
      <c r="D5" s="41">
        <v>0</v>
      </c>
      <c r="E5" s="35"/>
      <c r="F5" s="42"/>
      <c r="G5" s="35"/>
    </row>
    <row r="6" spans="1:7" ht="15" x14ac:dyDescent="0.25">
      <c r="A6" s="35"/>
      <c r="B6" s="35"/>
      <c r="C6" s="35" t="s">
        <v>160</v>
      </c>
      <c r="D6" s="43">
        <v>30</v>
      </c>
      <c r="E6" s="35"/>
      <c r="F6" s="42"/>
      <c r="G6" s="35"/>
    </row>
    <row r="7" spans="1:7" ht="15" x14ac:dyDescent="0.25">
      <c r="A7" s="35"/>
      <c r="B7" s="35"/>
      <c r="C7" s="35" t="s">
        <v>161</v>
      </c>
      <c r="D7" s="43">
        <v>12</v>
      </c>
      <c r="E7" s="35"/>
      <c r="F7" s="35"/>
      <c r="G7" s="35"/>
    </row>
    <row r="8" spans="1:7" x14ac:dyDescent="0.2">
      <c r="A8" s="35"/>
      <c r="B8" s="35"/>
      <c r="C8" s="35" t="s">
        <v>162</v>
      </c>
      <c r="D8" s="35">
        <f>D6*D7</f>
        <v>360</v>
      </c>
      <c r="E8" s="35"/>
      <c r="F8" s="35" t="s">
        <v>163</v>
      </c>
      <c r="G8" s="42">
        <f>G4+D3</f>
        <v>4550889.7691493379</v>
      </c>
    </row>
    <row r="9" spans="1:7" x14ac:dyDescent="0.2">
      <c r="A9" s="35"/>
      <c r="B9" s="35"/>
      <c r="C9" s="35"/>
      <c r="D9" s="35"/>
      <c r="E9" s="35"/>
      <c r="F9" s="35"/>
      <c r="G9" s="35"/>
    </row>
    <row r="10" spans="1:7" x14ac:dyDescent="0.2">
      <c r="A10" s="35" t="s">
        <v>164</v>
      </c>
      <c r="B10" s="35" t="s">
        <v>165</v>
      </c>
      <c r="C10" s="35" t="s">
        <v>166</v>
      </c>
      <c r="D10" s="35" t="s">
        <v>167</v>
      </c>
      <c r="E10" s="35" t="s">
        <v>168</v>
      </c>
      <c r="F10" s="35" t="s">
        <v>144</v>
      </c>
      <c r="G10" s="35" t="s">
        <v>169</v>
      </c>
    </row>
    <row r="11" spans="1:7" x14ac:dyDescent="0.2">
      <c r="A11" s="35"/>
      <c r="B11" s="35"/>
      <c r="C11" s="35"/>
      <c r="D11" s="35"/>
      <c r="E11" s="35"/>
      <c r="F11" s="35"/>
      <c r="G11" s="44">
        <f>D3</f>
        <v>2000000</v>
      </c>
    </row>
    <row r="12" spans="1:7" x14ac:dyDescent="0.2">
      <c r="A12" s="35">
        <f>COUNTIF(B12:B371,"12,24,36,48,60,72,84,96,108,120,132,144,156,168,180")</f>
        <v>0</v>
      </c>
      <c r="B12" s="35">
        <v>1</v>
      </c>
      <c r="C12" s="44">
        <f>PMT($D$4/$D$7,$D$8,-$D$3)</f>
        <v>12641.360469859274</v>
      </c>
      <c r="D12" s="45">
        <f>G11*($D$4/$D$7)</f>
        <v>10833.333333333334</v>
      </c>
      <c r="E12" s="46">
        <f>C12-D12</f>
        <v>1808.0271365259396</v>
      </c>
      <c r="F12" s="42">
        <f>$D$5</f>
        <v>0</v>
      </c>
      <c r="G12" s="44">
        <f>G11-E12-F12</f>
        <v>1998191.9728634742</v>
      </c>
    </row>
    <row r="13" spans="1:7" x14ac:dyDescent="0.2">
      <c r="A13" s="35">
        <v>1</v>
      </c>
      <c r="B13" s="35">
        <v>2</v>
      </c>
      <c r="C13" s="44">
        <f t="shared" ref="C13:C76" si="0">PMT($D$4/$D$7,$D$8,-$D$3)</f>
        <v>12641.360469859274</v>
      </c>
      <c r="D13" s="45">
        <f t="shared" ref="D13:D76" si="1">G12*($D$4/$D$7)</f>
        <v>10823.539853010485</v>
      </c>
      <c r="E13" s="46">
        <f t="shared" ref="E13:E76" si="2">C13-D13</f>
        <v>1817.8206168487886</v>
      </c>
      <c r="F13" s="42">
        <f t="shared" ref="F13:F76" si="3">$D$5</f>
        <v>0</v>
      </c>
      <c r="G13" s="44">
        <f t="shared" ref="G13:G76" si="4">G12-E13-F13</f>
        <v>1996374.1522466254</v>
      </c>
    </row>
    <row r="14" spans="1:7" x14ac:dyDescent="0.2">
      <c r="A14" s="35">
        <v>1</v>
      </c>
      <c r="B14" s="35">
        <v>3</v>
      </c>
      <c r="C14" s="44">
        <f t="shared" si="0"/>
        <v>12641.360469859274</v>
      </c>
      <c r="D14" s="45">
        <f t="shared" si="1"/>
        <v>10813.693324669221</v>
      </c>
      <c r="E14" s="46">
        <f t="shared" si="2"/>
        <v>1827.6671451900529</v>
      </c>
      <c r="F14" s="42">
        <f t="shared" si="3"/>
        <v>0</v>
      </c>
      <c r="G14" s="44">
        <f t="shared" si="4"/>
        <v>1994546.4851014353</v>
      </c>
    </row>
    <row r="15" spans="1:7" x14ac:dyDescent="0.2">
      <c r="A15" s="35">
        <v>1</v>
      </c>
      <c r="B15" s="35">
        <v>4</v>
      </c>
      <c r="C15" s="44">
        <f t="shared" si="0"/>
        <v>12641.360469859274</v>
      </c>
      <c r="D15" s="45">
        <f t="shared" si="1"/>
        <v>10803.793460966108</v>
      </c>
      <c r="E15" s="46">
        <f t="shared" si="2"/>
        <v>1837.5670088931656</v>
      </c>
      <c r="F15" s="42">
        <f t="shared" si="3"/>
        <v>0</v>
      </c>
      <c r="G15" s="44">
        <f t="shared" si="4"/>
        <v>1992708.9180925421</v>
      </c>
    </row>
    <row r="16" spans="1:7" x14ac:dyDescent="0.2">
      <c r="A16" s="35">
        <v>1</v>
      </c>
      <c r="B16" s="35">
        <v>5</v>
      </c>
      <c r="C16" s="44">
        <f t="shared" si="0"/>
        <v>12641.360469859274</v>
      </c>
      <c r="D16" s="45">
        <f t="shared" si="1"/>
        <v>10793.83997300127</v>
      </c>
      <c r="E16" s="46">
        <f t="shared" si="2"/>
        <v>1847.5204968580038</v>
      </c>
      <c r="F16" s="42">
        <f t="shared" si="3"/>
        <v>0</v>
      </c>
      <c r="G16" s="44">
        <f t="shared" si="4"/>
        <v>1990861.397595684</v>
      </c>
    </row>
    <row r="17" spans="1:7" x14ac:dyDescent="0.2">
      <c r="A17" s="35">
        <v>1</v>
      </c>
      <c r="B17" s="35">
        <v>6</v>
      </c>
      <c r="C17" s="44">
        <f t="shared" si="0"/>
        <v>12641.360469859274</v>
      </c>
      <c r="D17" s="45">
        <f t="shared" si="1"/>
        <v>10783.832570309956</v>
      </c>
      <c r="E17" s="46">
        <f t="shared" si="2"/>
        <v>1857.5278995493172</v>
      </c>
      <c r="F17" s="42">
        <f t="shared" si="3"/>
        <v>0</v>
      </c>
      <c r="G17" s="44">
        <f t="shared" si="4"/>
        <v>1989003.8696961347</v>
      </c>
    </row>
    <row r="18" spans="1:7" x14ac:dyDescent="0.2">
      <c r="A18" s="35">
        <v>1</v>
      </c>
      <c r="B18" s="35">
        <v>7</v>
      </c>
      <c r="C18" s="44">
        <f t="shared" si="0"/>
        <v>12641.360469859274</v>
      </c>
      <c r="D18" s="45">
        <f t="shared" si="1"/>
        <v>10773.770960854063</v>
      </c>
      <c r="E18" s="46">
        <f t="shared" si="2"/>
        <v>1867.5895090052109</v>
      </c>
      <c r="F18" s="42">
        <f t="shared" si="3"/>
        <v>0</v>
      </c>
      <c r="G18" s="44">
        <f t="shared" si="4"/>
        <v>1987136.2801871295</v>
      </c>
    </row>
    <row r="19" spans="1:7" x14ac:dyDescent="0.2">
      <c r="A19" s="35">
        <v>1</v>
      </c>
      <c r="B19" s="35">
        <v>8</v>
      </c>
      <c r="C19" s="44">
        <f t="shared" si="0"/>
        <v>12641.360469859274</v>
      </c>
      <c r="D19" s="45">
        <f t="shared" si="1"/>
        <v>10763.654851013618</v>
      </c>
      <c r="E19" s="46">
        <f t="shared" si="2"/>
        <v>1877.7056188456554</v>
      </c>
      <c r="F19" s="42">
        <f t="shared" si="3"/>
        <v>0</v>
      </c>
      <c r="G19" s="44">
        <f t="shared" si="4"/>
        <v>1985258.5745682837</v>
      </c>
    </row>
    <row r="20" spans="1:7" x14ac:dyDescent="0.2">
      <c r="A20" s="35">
        <v>1</v>
      </c>
      <c r="B20" s="35">
        <v>9</v>
      </c>
      <c r="C20" s="44">
        <f t="shared" si="0"/>
        <v>12641.360469859274</v>
      </c>
      <c r="D20" s="45">
        <f t="shared" si="1"/>
        <v>10753.483945578204</v>
      </c>
      <c r="E20" s="46">
        <f t="shared" si="2"/>
        <v>1887.8765242810696</v>
      </c>
      <c r="F20" s="42">
        <f t="shared" si="3"/>
        <v>0</v>
      </c>
      <c r="G20" s="44">
        <f t="shared" si="4"/>
        <v>1983370.6980440028</v>
      </c>
    </row>
    <row r="21" spans="1:7" x14ac:dyDescent="0.2">
      <c r="A21" s="35">
        <v>1</v>
      </c>
      <c r="B21" s="35">
        <v>10</v>
      </c>
      <c r="C21" s="44">
        <f t="shared" si="0"/>
        <v>12641.360469859274</v>
      </c>
      <c r="D21" s="45">
        <f t="shared" si="1"/>
        <v>10743.257947738348</v>
      </c>
      <c r="E21" s="46">
        <f t="shared" si="2"/>
        <v>1898.1025221209256</v>
      </c>
      <c r="F21" s="42">
        <f t="shared" si="3"/>
        <v>0</v>
      </c>
      <c r="G21" s="44">
        <f t="shared" si="4"/>
        <v>1981472.5955218819</v>
      </c>
    </row>
    <row r="22" spans="1:7" x14ac:dyDescent="0.2">
      <c r="A22" s="35">
        <v>1</v>
      </c>
      <c r="B22" s="35">
        <v>11</v>
      </c>
      <c r="C22" s="44">
        <f t="shared" si="0"/>
        <v>12641.360469859274</v>
      </c>
      <c r="D22" s="45">
        <f t="shared" si="1"/>
        <v>10732.97655907686</v>
      </c>
      <c r="E22" s="46">
        <f t="shared" si="2"/>
        <v>1908.3839107824133</v>
      </c>
      <c r="F22" s="42">
        <f t="shared" si="3"/>
        <v>0</v>
      </c>
      <c r="G22" s="44">
        <f t="shared" si="4"/>
        <v>1979564.2116110995</v>
      </c>
    </row>
    <row r="23" spans="1:7" s="47" customFormat="1" x14ac:dyDescent="0.2">
      <c r="A23" s="47">
        <v>1</v>
      </c>
      <c r="B23" s="47">
        <v>12</v>
      </c>
      <c r="C23" s="48">
        <f t="shared" si="0"/>
        <v>12641.360469859274</v>
      </c>
      <c r="D23" s="49">
        <f t="shared" si="1"/>
        <v>10722.639479560123</v>
      </c>
      <c r="E23" s="50">
        <f t="shared" si="2"/>
        <v>1918.7209902991508</v>
      </c>
      <c r="F23" s="51">
        <f t="shared" si="3"/>
        <v>0</v>
      </c>
      <c r="G23" s="48">
        <f t="shared" si="4"/>
        <v>1977645.4906208003</v>
      </c>
    </row>
    <row r="24" spans="1:7" x14ac:dyDescent="0.2">
      <c r="A24" s="35">
        <v>2</v>
      </c>
      <c r="B24" s="35">
        <v>13</v>
      </c>
      <c r="C24" s="44">
        <f t="shared" si="0"/>
        <v>12641.360469859274</v>
      </c>
      <c r="D24" s="45">
        <f t="shared" si="1"/>
        <v>10712.246407529336</v>
      </c>
      <c r="E24" s="46">
        <f t="shared" si="2"/>
        <v>1929.114062329938</v>
      </c>
      <c r="F24" s="42">
        <f t="shared" si="3"/>
        <v>0</v>
      </c>
      <c r="G24" s="44">
        <f t="shared" si="4"/>
        <v>1975716.3765584703</v>
      </c>
    </row>
    <row r="25" spans="1:7" x14ac:dyDescent="0.2">
      <c r="A25" s="35">
        <v>2</v>
      </c>
      <c r="B25" s="35">
        <v>14</v>
      </c>
      <c r="C25" s="44">
        <f t="shared" si="0"/>
        <v>12641.360469859274</v>
      </c>
      <c r="D25" s="45">
        <f t="shared" si="1"/>
        <v>10701.797039691715</v>
      </c>
      <c r="E25" s="46">
        <f t="shared" si="2"/>
        <v>1939.5634301675582</v>
      </c>
      <c r="F25" s="42">
        <f t="shared" si="3"/>
        <v>0</v>
      </c>
      <c r="G25" s="44">
        <f t="shared" si="4"/>
        <v>1973776.8131283028</v>
      </c>
    </row>
    <row r="26" spans="1:7" x14ac:dyDescent="0.2">
      <c r="A26" s="35">
        <v>2</v>
      </c>
      <c r="B26" s="35">
        <v>15</v>
      </c>
      <c r="C26" s="44">
        <f t="shared" si="0"/>
        <v>12641.360469859274</v>
      </c>
      <c r="D26" s="45">
        <f t="shared" si="1"/>
        <v>10691.29107111164</v>
      </c>
      <c r="E26" s="46">
        <f t="shared" si="2"/>
        <v>1950.0693987476334</v>
      </c>
      <c r="F26" s="42">
        <f t="shared" si="3"/>
        <v>0</v>
      </c>
      <c r="G26" s="44">
        <f t="shared" si="4"/>
        <v>1971826.7437295553</v>
      </c>
    </row>
    <row r="27" spans="1:7" x14ac:dyDescent="0.2">
      <c r="A27" s="35">
        <v>2</v>
      </c>
      <c r="B27" s="35">
        <v>16</v>
      </c>
      <c r="C27" s="44">
        <f t="shared" si="0"/>
        <v>12641.360469859274</v>
      </c>
      <c r="D27" s="45">
        <f t="shared" si="1"/>
        <v>10680.728195201758</v>
      </c>
      <c r="E27" s="46">
        <f t="shared" si="2"/>
        <v>1960.6322746575152</v>
      </c>
      <c r="F27" s="42">
        <f t="shared" si="3"/>
        <v>0</v>
      </c>
      <c r="G27" s="44">
        <f t="shared" si="4"/>
        <v>1969866.1114548978</v>
      </c>
    </row>
    <row r="28" spans="1:7" x14ac:dyDescent="0.2">
      <c r="A28" s="35">
        <v>2</v>
      </c>
      <c r="B28" s="35">
        <v>17</v>
      </c>
      <c r="C28" s="44">
        <f t="shared" si="0"/>
        <v>12641.360469859274</v>
      </c>
      <c r="D28" s="45">
        <f t="shared" si="1"/>
        <v>10670.10810371403</v>
      </c>
      <c r="E28" s="46">
        <f t="shared" si="2"/>
        <v>1971.2523661452433</v>
      </c>
      <c r="F28" s="42">
        <f t="shared" si="3"/>
        <v>0</v>
      </c>
      <c r="G28" s="44">
        <f t="shared" si="4"/>
        <v>1967894.8590887527</v>
      </c>
    </row>
    <row r="29" spans="1:7" x14ac:dyDescent="0.2">
      <c r="A29" s="35">
        <v>2</v>
      </c>
      <c r="B29" s="35">
        <v>18</v>
      </c>
      <c r="C29" s="44">
        <f t="shared" si="0"/>
        <v>12641.360469859274</v>
      </c>
      <c r="D29" s="45">
        <f t="shared" si="1"/>
        <v>10659.430486730744</v>
      </c>
      <c r="E29" s="46">
        <f t="shared" si="2"/>
        <v>1981.9299831285298</v>
      </c>
      <c r="F29" s="42">
        <f t="shared" si="3"/>
        <v>0</v>
      </c>
      <c r="G29" s="44">
        <f t="shared" si="4"/>
        <v>1965912.9291056241</v>
      </c>
    </row>
    <row r="30" spans="1:7" x14ac:dyDescent="0.2">
      <c r="A30" s="35">
        <v>2</v>
      </c>
      <c r="B30" s="35">
        <v>19</v>
      </c>
      <c r="C30" s="44">
        <f t="shared" si="0"/>
        <v>12641.360469859274</v>
      </c>
      <c r="D30" s="45">
        <f t="shared" si="1"/>
        <v>10648.695032655463</v>
      </c>
      <c r="E30" s="46">
        <f t="shared" si="2"/>
        <v>1992.6654372038101</v>
      </c>
      <c r="F30" s="42">
        <f t="shared" si="3"/>
        <v>0</v>
      </c>
      <c r="G30" s="44">
        <f t="shared" si="4"/>
        <v>1963920.2636684203</v>
      </c>
    </row>
    <row r="31" spans="1:7" x14ac:dyDescent="0.2">
      <c r="A31" s="35">
        <v>2</v>
      </c>
      <c r="B31" s="35">
        <v>20</v>
      </c>
      <c r="C31" s="44">
        <f t="shared" si="0"/>
        <v>12641.360469859274</v>
      </c>
      <c r="D31" s="45">
        <f t="shared" si="1"/>
        <v>10637.901428203944</v>
      </c>
      <c r="E31" s="46">
        <f t="shared" si="2"/>
        <v>2003.4590416553292</v>
      </c>
      <c r="F31" s="42">
        <f t="shared" si="3"/>
        <v>0</v>
      </c>
      <c r="G31" s="44">
        <f t="shared" si="4"/>
        <v>1961916.804626765</v>
      </c>
    </row>
    <row r="32" spans="1:7" x14ac:dyDescent="0.2">
      <c r="A32" s="35">
        <v>2</v>
      </c>
      <c r="B32" s="35">
        <v>21</v>
      </c>
      <c r="C32" s="44">
        <f t="shared" si="0"/>
        <v>12641.360469859274</v>
      </c>
      <c r="D32" s="45">
        <f t="shared" si="1"/>
        <v>10627.049358394977</v>
      </c>
      <c r="E32" s="46">
        <f t="shared" si="2"/>
        <v>2014.3111114642961</v>
      </c>
      <c r="F32" s="42">
        <f t="shared" si="3"/>
        <v>0</v>
      </c>
      <c r="G32" s="44">
        <f t="shared" si="4"/>
        <v>1959902.4935153006</v>
      </c>
    </row>
    <row r="33" spans="1:7" x14ac:dyDescent="0.2">
      <c r="A33" s="35">
        <v>2</v>
      </c>
      <c r="B33" s="35">
        <v>22</v>
      </c>
      <c r="C33" s="44">
        <f t="shared" si="0"/>
        <v>12641.360469859274</v>
      </c>
      <c r="D33" s="45">
        <f t="shared" si="1"/>
        <v>10616.138506541212</v>
      </c>
      <c r="E33" s="46">
        <f t="shared" si="2"/>
        <v>2025.2219633180612</v>
      </c>
      <c r="F33" s="42">
        <f t="shared" si="3"/>
        <v>0</v>
      </c>
      <c r="G33" s="44">
        <f t="shared" si="4"/>
        <v>1957877.2715519825</v>
      </c>
    </row>
    <row r="34" spans="1:7" x14ac:dyDescent="0.2">
      <c r="A34" s="35">
        <v>2</v>
      </c>
      <c r="B34" s="35">
        <v>23</v>
      </c>
      <c r="C34" s="44">
        <f t="shared" si="0"/>
        <v>12641.360469859274</v>
      </c>
      <c r="D34" s="45">
        <f t="shared" si="1"/>
        <v>10605.168554239906</v>
      </c>
      <c r="E34" s="46">
        <f t="shared" si="2"/>
        <v>2036.1919156193671</v>
      </c>
      <c r="F34" s="42">
        <f t="shared" si="3"/>
        <v>0</v>
      </c>
      <c r="G34" s="44">
        <f t="shared" si="4"/>
        <v>1955841.0796363631</v>
      </c>
    </row>
    <row r="35" spans="1:7" s="47" customFormat="1" x14ac:dyDescent="0.2">
      <c r="A35" s="47">
        <v>2</v>
      </c>
      <c r="B35" s="47">
        <v>24</v>
      </c>
      <c r="C35" s="48">
        <f t="shared" si="0"/>
        <v>12641.360469859274</v>
      </c>
      <c r="D35" s="49">
        <f t="shared" si="1"/>
        <v>10594.139181363633</v>
      </c>
      <c r="E35" s="50">
        <f t="shared" si="2"/>
        <v>2047.2212884956407</v>
      </c>
      <c r="F35" s="51">
        <f t="shared" si="3"/>
        <v>0</v>
      </c>
      <c r="G35" s="48">
        <f t="shared" si="4"/>
        <v>1953793.8583478674</v>
      </c>
    </row>
    <row r="36" spans="1:7" x14ac:dyDescent="0.2">
      <c r="A36" s="35">
        <v>3</v>
      </c>
      <c r="B36" s="35">
        <v>25</v>
      </c>
      <c r="C36" s="44">
        <f t="shared" si="0"/>
        <v>12641.360469859274</v>
      </c>
      <c r="D36" s="45">
        <f t="shared" si="1"/>
        <v>10583.050066050948</v>
      </c>
      <c r="E36" s="46">
        <f t="shared" si="2"/>
        <v>2058.3104038083256</v>
      </c>
      <c r="F36" s="42">
        <f t="shared" si="3"/>
        <v>0</v>
      </c>
      <c r="G36" s="44">
        <f t="shared" si="4"/>
        <v>1951735.5479440591</v>
      </c>
    </row>
    <row r="37" spans="1:7" x14ac:dyDescent="0.2">
      <c r="A37" s="35">
        <v>3</v>
      </c>
      <c r="B37" s="35">
        <v>26</v>
      </c>
      <c r="C37" s="44">
        <f t="shared" si="0"/>
        <v>12641.360469859274</v>
      </c>
      <c r="D37" s="45">
        <f t="shared" si="1"/>
        <v>10571.900884696988</v>
      </c>
      <c r="E37" s="46">
        <f t="shared" si="2"/>
        <v>2069.4595851622853</v>
      </c>
      <c r="F37" s="42">
        <f t="shared" si="3"/>
        <v>0</v>
      </c>
      <c r="G37" s="44">
        <f t="shared" si="4"/>
        <v>1949666.0883588968</v>
      </c>
    </row>
    <row r="38" spans="1:7" x14ac:dyDescent="0.2">
      <c r="A38" s="35">
        <v>3</v>
      </c>
      <c r="B38" s="35">
        <v>27</v>
      </c>
      <c r="C38" s="44">
        <f t="shared" si="0"/>
        <v>12641.360469859274</v>
      </c>
      <c r="D38" s="45">
        <f t="shared" si="1"/>
        <v>10560.691311944025</v>
      </c>
      <c r="E38" s="46">
        <f t="shared" si="2"/>
        <v>2080.6691579152484</v>
      </c>
      <c r="F38" s="42">
        <f t="shared" si="3"/>
        <v>0</v>
      </c>
      <c r="G38" s="44">
        <f t="shared" si="4"/>
        <v>1947585.4192009815</v>
      </c>
    </row>
    <row r="39" spans="1:7" x14ac:dyDescent="0.2">
      <c r="A39" s="35">
        <v>3</v>
      </c>
      <c r="B39" s="35">
        <v>28</v>
      </c>
      <c r="C39" s="44">
        <f t="shared" si="0"/>
        <v>12641.360469859274</v>
      </c>
      <c r="D39" s="45">
        <f t="shared" si="1"/>
        <v>10549.421020671984</v>
      </c>
      <c r="E39" s="46">
        <f t="shared" si="2"/>
        <v>2091.9394491872899</v>
      </c>
      <c r="F39" s="42">
        <f t="shared" si="3"/>
        <v>0</v>
      </c>
      <c r="G39" s="44">
        <f t="shared" si="4"/>
        <v>1945493.4797517941</v>
      </c>
    </row>
    <row r="40" spans="1:7" x14ac:dyDescent="0.2">
      <c r="A40" s="35">
        <v>3</v>
      </c>
      <c r="B40" s="35">
        <v>29</v>
      </c>
      <c r="C40" s="44">
        <f t="shared" si="0"/>
        <v>12641.360469859274</v>
      </c>
      <c r="D40" s="45">
        <f t="shared" si="1"/>
        <v>10538.089681988886</v>
      </c>
      <c r="E40" s="46">
        <f t="shared" si="2"/>
        <v>2103.2707878703877</v>
      </c>
      <c r="F40" s="42">
        <f t="shared" si="3"/>
        <v>0</v>
      </c>
      <c r="G40" s="44">
        <f t="shared" si="4"/>
        <v>1943390.2089639239</v>
      </c>
    </row>
    <row r="41" spans="1:7" x14ac:dyDescent="0.2">
      <c r="A41" s="35">
        <v>3</v>
      </c>
      <c r="B41" s="35">
        <v>30</v>
      </c>
      <c r="C41" s="44">
        <f t="shared" si="0"/>
        <v>12641.360469859274</v>
      </c>
      <c r="D41" s="45">
        <f t="shared" si="1"/>
        <v>10526.696965221254</v>
      </c>
      <c r="E41" s="46">
        <f t="shared" si="2"/>
        <v>2114.6635046380197</v>
      </c>
      <c r="F41" s="42">
        <f t="shared" si="3"/>
        <v>0</v>
      </c>
      <c r="G41" s="44">
        <f t="shared" si="4"/>
        <v>1941275.5454592858</v>
      </c>
    </row>
    <row r="42" spans="1:7" x14ac:dyDescent="0.2">
      <c r="A42" s="35">
        <v>3</v>
      </c>
      <c r="B42" s="35">
        <v>31</v>
      </c>
      <c r="C42" s="44">
        <f t="shared" si="0"/>
        <v>12641.360469859274</v>
      </c>
      <c r="D42" s="45">
        <f t="shared" si="1"/>
        <v>10515.242537904465</v>
      </c>
      <c r="E42" s="46">
        <f t="shared" si="2"/>
        <v>2126.1179319548082</v>
      </c>
      <c r="F42" s="42">
        <f t="shared" si="3"/>
        <v>0</v>
      </c>
      <c r="G42" s="44">
        <f t="shared" si="4"/>
        <v>1939149.427527331</v>
      </c>
    </row>
    <row r="43" spans="1:7" x14ac:dyDescent="0.2">
      <c r="A43" s="35">
        <v>3</v>
      </c>
      <c r="B43" s="35">
        <v>32</v>
      </c>
      <c r="C43" s="44">
        <f t="shared" si="0"/>
        <v>12641.360469859274</v>
      </c>
      <c r="D43" s="45">
        <f t="shared" si="1"/>
        <v>10503.726065773044</v>
      </c>
      <c r="E43" s="46">
        <f t="shared" si="2"/>
        <v>2137.6344040862296</v>
      </c>
      <c r="F43" s="42">
        <f t="shared" si="3"/>
        <v>0</v>
      </c>
      <c r="G43" s="44">
        <f t="shared" si="4"/>
        <v>1937011.7931232448</v>
      </c>
    </row>
    <row r="44" spans="1:7" x14ac:dyDescent="0.2">
      <c r="A44" s="35">
        <v>3</v>
      </c>
      <c r="B44" s="35">
        <v>33</v>
      </c>
      <c r="C44" s="44">
        <f t="shared" si="0"/>
        <v>12641.360469859274</v>
      </c>
      <c r="D44" s="45">
        <f t="shared" si="1"/>
        <v>10492.14721275091</v>
      </c>
      <c r="E44" s="46">
        <f t="shared" si="2"/>
        <v>2149.2132571083639</v>
      </c>
      <c r="F44" s="42">
        <f t="shared" si="3"/>
        <v>0</v>
      </c>
      <c r="G44" s="44">
        <f t="shared" si="4"/>
        <v>1934862.5798661364</v>
      </c>
    </row>
    <row r="45" spans="1:7" x14ac:dyDescent="0.2">
      <c r="A45" s="35">
        <v>3</v>
      </c>
      <c r="B45" s="35">
        <v>34</v>
      </c>
      <c r="C45" s="44">
        <f t="shared" si="0"/>
        <v>12641.360469859274</v>
      </c>
      <c r="D45" s="45">
        <f t="shared" si="1"/>
        <v>10480.505640941572</v>
      </c>
      <c r="E45" s="46">
        <f t="shared" si="2"/>
        <v>2160.8548289177015</v>
      </c>
      <c r="F45" s="42">
        <f t="shared" si="3"/>
        <v>0</v>
      </c>
      <c r="G45" s="44">
        <f t="shared" si="4"/>
        <v>1932701.7250372188</v>
      </c>
    </row>
    <row r="46" spans="1:7" x14ac:dyDescent="0.2">
      <c r="A46" s="35">
        <v>3</v>
      </c>
      <c r="B46" s="35">
        <v>35</v>
      </c>
      <c r="C46" s="44">
        <f t="shared" si="0"/>
        <v>12641.360469859274</v>
      </c>
      <c r="D46" s="45">
        <f t="shared" si="1"/>
        <v>10468.801010618268</v>
      </c>
      <c r="E46" s="46">
        <f t="shared" si="2"/>
        <v>2172.5594592410052</v>
      </c>
      <c r="F46" s="42">
        <f t="shared" si="3"/>
        <v>0</v>
      </c>
      <c r="G46" s="44">
        <f t="shared" si="4"/>
        <v>1930529.1655779777</v>
      </c>
    </row>
    <row r="47" spans="1:7" s="47" customFormat="1" x14ac:dyDescent="0.2">
      <c r="A47" s="47">
        <v>3</v>
      </c>
      <c r="B47" s="47">
        <v>36</v>
      </c>
      <c r="C47" s="48">
        <f t="shared" si="0"/>
        <v>12641.360469859274</v>
      </c>
      <c r="D47" s="49">
        <f t="shared" si="1"/>
        <v>10457.032980214046</v>
      </c>
      <c r="E47" s="50">
        <f t="shared" si="2"/>
        <v>2184.3274896452276</v>
      </c>
      <c r="F47" s="51">
        <f t="shared" si="3"/>
        <v>0</v>
      </c>
      <c r="G47" s="48">
        <f t="shared" si="4"/>
        <v>1928344.8380883324</v>
      </c>
    </row>
    <row r="48" spans="1:7" x14ac:dyDescent="0.2">
      <c r="A48" s="35">
        <v>4</v>
      </c>
      <c r="B48" s="35">
        <v>37</v>
      </c>
      <c r="C48" s="44">
        <f t="shared" si="0"/>
        <v>12641.360469859274</v>
      </c>
      <c r="D48" s="45">
        <f t="shared" si="1"/>
        <v>10445.201206311802</v>
      </c>
      <c r="E48" s="46">
        <f t="shared" si="2"/>
        <v>2196.1592635474717</v>
      </c>
      <c r="F48" s="42">
        <f t="shared" si="3"/>
        <v>0</v>
      </c>
      <c r="G48" s="44">
        <f t="shared" si="4"/>
        <v>1926148.6788247849</v>
      </c>
    </row>
    <row r="49" spans="1:7" x14ac:dyDescent="0.2">
      <c r="A49" s="35">
        <v>4</v>
      </c>
      <c r="B49" s="35">
        <v>38</v>
      </c>
      <c r="C49" s="44">
        <f t="shared" si="0"/>
        <v>12641.360469859274</v>
      </c>
      <c r="D49" s="45">
        <f t="shared" si="1"/>
        <v>10433.305343634252</v>
      </c>
      <c r="E49" s="46">
        <f t="shared" si="2"/>
        <v>2208.055126225021</v>
      </c>
      <c r="F49" s="42">
        <f t="shared" si="3"/>
        <v>0</v>
      </c>
      <c r="G49" s="44">
        <f t="shared" si="4"/>
        <v>1923940.6236985598</v>
      </c>
    </row>
    <row r="50" spans="1:7" x14ac:dyDescent="0.2">
      <c r="A50" s="35">
        <v>4</v>
      </c>
      <c r="B50" s="35">
        <v>39</v>
      </c>
      <c r="C50" s="44">
        <f t="shared" si="0"/>
        <v>12641.360469859274</v>
      </c>
      <c r="D50" s="45">
        <f t="shared" si="1"/>
        <v>10421.345045033866</v>
      </c>
      <c r="E50" s="46">
        <f t="shared" si="2"/>
        <v>2220.0154248254075</v>
      </c>
      <c r="F50" s="42">
        <f t="shared" si="3"/>
        <v>0</v>
      </c>
      <c r="G50" s="44">
        <f t="shared" si="4"/>
        <v>1921720.6082737343</v>
      </c>
    </row>
    <row r="51" spans="1:7" x14ac:dyDescent="0.2">
      <c r="A51" s="35">
        <v>4</v>
      </c>
      <c r="B51" s="35">
        <v>40</v>
      </c>
      <c r="C51" s="44">
        <f t="shared" si="0"/>
        <v>12641.360469859274</v>
      </c>
      <c r="D51" s="45">
        <f t="shared" si="1"/>
        <v>10409.319961482728</v>
      </c>
      <c r="E51" s="46">
        <f t="shared" si="2"/>
        <v>2232.0405083765454</v>
      </c>
      <c r="F51" s="42">
        <f t="shared" si="3"/>
        <v>0</v>
      </c>
      <c r="G51" s="44">
        <f t="shared" si="4"/>
        <v>1919488.5677653579</v>
      </c>
    </row>
    <row r="52" spans="1:7" x14ac:dyDescent="0.2">
      <c r="A52" s="35">
        <v>4</v>
      </c>
      <c r="B52" s="35">
        <v>41</v>
      </c>
      <c r="C52" s="44">
        <f t="shared" si="0"/>
        <v>12641.360469859274</v>
      </c>
      <c r="D52" s="45">
        <f t="shared" si="1"/>
        <v>10397.229742062356</v>
      </c>
      <c r="E52" s="46">
        <f t="shared" si="2"/>
        <v>2244.1307277969172</v>
      </c>
      <c r="F52" s="42">
        <f t="shared" si="3"/>
        <v>0</v>
      </c>
      <c r="G52" s="44">
        <f t="shared" si="4"/>
        <v>1917244.4370375611</v>
      </c>
    </row>
    <row r="53" spans="1:7" x14ac:dyDescent="0.2">
      <c r="A53" s="35">
        <v>4</v>
      </c>
      <c r="B53" s="35">
        <v>42</v>
      </c>
      <c r="C53" s="44">
        <f t="shared" si="0"/>
        <v>12641.360469859274</v>
      </c>
      <c r="D53" s="45">
        <f t="shared" si="1"/>
        <v>10385.074033953457</v>
      </c>
      <c r="E53" s="46">
        <f t="shared" si="2"/>
        <v>2256.2864359058167</v>
      </c>
      <c r="F53" s="42">
        <f t="shared" si="3"/>
        <v>0</v>
      </c>
      <c r="G53" s="44">
        <f t="shared" si="4"/>
        <v>1914988.1506016552</v>
      </c>
    </row>
    <row r="54" spans="1:7" x14ac:dyDescent="0.2">
      <c r="A54" s="35">
        <v>4</v>
      </c>
      <c r="B54" s="35">
        <v>43</v>
      </c>
      <c r="C54" s="44">
        <f t="shared" si="0"/>
        <v>12641.360469859274</v>
      </c>
      <c r="D54" s="45">
        <f t="shared" si="1"/>
        <v>10372.852482425633</v>
      </c>
      <c r="E54" s="46">
        <f t="shared" si="2"/>
        <v>2268.5079874336407</v>
      </c>
      <c r="F54" s="42">
        <f t="shared" si="3"/>
        <v>0</v>
      </c>
      <c r="G54" s="44">
        <f t="shared" si="4"/>
        <v>1912719.6426142217</v>
      </c>
    </row>
    <row r="55" spans="1:7" x14ac:dyDescent="0.2">
      <c r="A55" s="35">
        <v>4</v>
      </c>
      <c r="B55" s="35">
        <v>44</v>
      </c>
      <c r="C55" s="44">
        <f t="shared" si="0"/>
        <v>12641.360469859274</v>
      </c>
      <c r="D55" s="45">
        <f t="shared" si="1"/>
        <v>10360.564730827035</v>
      </c>
      <c r="E55" s="46">
        <f t="shared" si="2"/>
        <v>2280.795739032239</v>
      </c>
      <c r="F55" s="42">
        <f t="shared" si="3"/>
        <v>0</v>
      </c>
      <c r="G55" s="44">
        <f t="shared" si="4"/>
        <v>1910438.8468751893</v>
      </c>
    </row>
    <row r="56" spans="1:7" x14ac:dyDescent="0.2">
      <c r="A56" s="35">
        <v>4</v>
      </c>
      <c r="B56" s="35">
        <v>45</v>
      </c>
      <c r="C56" s="44">
        <f t="shared" si="0"/>
        <v>12641.360469859274</v>
      </c>
      <c r="D56" s="45">
        <f t="shared" si="1"/>
        <v>10348.210420573943</v>
      </c>
      <c r="E56" s="46">
        <f t="shared" si="2"/>
        <v>2293.1500492853302</v>
      </c>
      <c r="F56" s="42">
        <f t="shared" si="3"/>
        <v>0</v>
      </c>
      <c r="G56" s="44">
        <f t="shared" si="4"/>
        <v>1908145.6968259041</v>
      </c>
    </row>
    <row r="57" spans="1:7" x14ac:dyDescent="0.2">
      <c r="A57" s="35">
        <v>4</v>
      </c>
      <c r="B57" s="35">
        <v>46</v>
      </c>
      <c r="C57" s="44">
        <f t="shared" si="0"/>
        <v>12641.360469859274</v>
      </c>
      <c r="D57" s="45">
        <f t="shared" si="1"/>
        <v>10335.789191140315</v>
      </c>
      <c r="E57" s="46">
        <f t="shared" si="2"/>
        <v>2305.5712787189586</v>
      </c>
      <c r="F57" s="42">
        <f t="shared" si="3"/>
        <v>0</v>
      </c>
      <c r="G57" s="44">
        <f t="shared" si="4"/>
        <v>1905840.1255471851</v>
      </c>
    </row>
    <row r="58" spans="1:7" x14ac:dyDescent="0.2">
      <c r="A58" s="35">
        <v>4</v>
      </c>
      <c r="B58" s="35">
        <v>47</v>
      </c>
      <c r="C58" s="44">
        <f t="shared" si="0"/>
        <v>12641.360469859274</v>
      </c>
      <c r="D58" s="45">
        <f t="shared" si="1"/>
        <v>10323.300680047252</v>
      </c>
      <c r="E58" s="46">
        <f t="shared" si="2"/>
        <v>2318.0597898120213</v>
      </c>
      <c r="F58" s="42">
        <f t="shared" si="3"/>
        <v>0</v>
      </c>
      <c r="G58" s="44">
        <f t="shared" si="4"/>
        <v>1903522.0657573731</v>
      </c>
    </row>
    <row r="59" spans="1:7" s="47" customFormat="1" x14ac:dyDescent="0.2">
      <c r="A59" s="35">
        <v>4</v>
      </c>
      <c r="B59" s="47">
        <v>48</v>
      </c>
      <c r="C59" s="48">
        <f t="shared" si="0"/>
        <v>12641.360469859274</v>
      </c>
      <c r="D59" s="49">
        <f t="shared" si="1"/>
        <v>10310.744522852438</v>
      </c>
      <c r="E59" s="50">
        <f t="shared" si="2"/>
        <v>2330.615947006836</v>
      </c>
      <c r="F59" s="51">
        <f t="shared" si="3"/>
        <v>0</v>
      </c>
      <c r="G59" s="48">
        <f t="shared" si="4"/>
        <v>1901191.4498103664</v>
      </c>
    </row>
    <row r="60" spans="1:7" x14ac:dyDescent="0.2">
      <c r="A60" s="35">
        <v>5</v>
      </c>
      <c r="B60" s="35">
        <v>49</v>
      </c>
      <c r="C60" s="44">
        <f t="shared" si="0"/>
        <v>12641.360469859274</v>
      </c>
      <c r="D60" s="45">
        <f t="shared" si="1"/>
        <v>10298.120353139486</v>
      </c>
      <c r="E60" s="46">
        <f t="shared" si="2"/>
        <v>2343.2401167197877</v>
      </c>
      <c r="F60" s="42">
        <f t="shared" si="3"/>
        <v>0</v>
      </c>
      <c r="G60" s="44">
        <f t="shared" si="4"/>
        <v>1898848.2096936465</v>
      </c>
    </row>
    <row r="61" spans="1:7" x14ac:dyDescent="0.2">
      <c r="A61" s="35">
        <v>5</v>
      </c>
      <c r="B61" s="35">
        <v>50</v>
      </c>
      <c r="C61" s="44">
        <f t="shared" si="0"/>
        <v>12641.360469859274</v>
      </c>
      <c r="D61" s="45">
        <f t="shared" si="1"/>
        <v>10285.427802507253</v>
      </c>
      <c r="E61" s="46">
        <f t="shared" si="2"/>
        <v>2355.9326673520209</v>
      </c>
      <c r="F61" s="42">
        <f t="shared" si="3"/>
        <v>0</v>
      </c>
      <c r="G61" s="44">
        <f>G60-E61-F61</f>
        <v>1896492.2770262945</v>
      </c>
    </row>
    <row r="62" spans="1:7" x14ac:dyDescent="0.2">
      <c r="A62" s="35">
        <v>5</v>
      </c>
      <c r="B62" s="35">
        <v>51</v>
      </c>
      <c r="C62" s="44">
        <f t="shared" si="0"/>
        <v>12641.360469859274</v>
      </c>
      <c r="D62" s="45">
        <f t="shared" si="1"/>
        <v>10272.666500559095</v>
      </c>
      <c r="E62" s="46">
        <f t="shared" si="2"/>
        <v>2368.6939693001787</v>
      </c>
      <c r="F62" s="42">
        <f t="shared" si="3"/>
        <v>0</v>
      </c>
      <c r="G62" s="44">
        <f t="shared" si="4"/>
        <v>1894123.5830569942</v>
      </c>
    </row>
    <row r="63" spans="1:7" x14ac:dyDescent="0.2">
      <c r="A63" s="35">
        <v>5</v>
      </c>
      <c r="B63" s="35">
        <v>52</v>
      </c>
      <c r="C63" s="44">
        <f t="shared" si="0"/>
        <v>12641.360469859274</v>
      </c>
      <c r="D63" s="45">
        <f t="shared" si="1"/>
        <v>10259.836074892053</v>
      </c>
      <c r="E63" s="46">
        <f t="shared" si="2"/>
        <v>2381.5243949672204</v>
      </c>
      <c r="F63" s="42">
        <f t="shared" si="3"/>
        <v>0</v>
      </c>
      <c r="G63" s="44">
        <f t="shared" si="4"/>
        <v>1891742.0586620271</v>
      </c>
    </row>
    <row r="64" spans="1:7" x14ac:dyDescent="0.2">
      <c r="A64" s="35">
        <v>5</v>
      </c>
      <c r="B64" s="35">
        <v>53</v>
      </c>
      <c r="C64" s="44">
        <f t="shared" si="0"/>
        <v>12641.360469859274</v>
      </c>
      <c r="D64" s="45">
        <f t="shared" si="1"/>
        <v>10246.93615108598</v>
      </c>
      <c r="E64" s="46">
        <f t="shared" si="2"/>
        <v>2394.4243187732936</v>
      </c>
      <c r="F64" s="42">
        <f t="shared" si="3"/>
        <v>0</v>
      </c>
      <c r="G64" s="44">
        <f t="shared" si="4"/>
        <v>1889347.6343432539</v>
      </c>
    </row>
    <row r="65" spans="1:7" x14ac:dyDescent="0.2">
      <c r="A65" s="35">
        <v>5</v>
      </c>
      <c r="B65" s="35">
        <v>54</v>
      </c>
      <c r="C65" s="44">
        <f t="shared" si="0"/>
        <v>12641.360469859274</v>
      </c>
      <c r="D65" s="45">
        <f t="shared" si="1"/>
        <v>10233.966352692625</v>
      </c>
      <c r="E65" s="46">
        <f t="shared" si="2"/>
        <v>2407.3941171666484</v>
      </c>
      <c r="F65" s="42">
        <f t="shared" si="3"/>
        <v>0</v>
      </c>
      <c r="G65" s="44">
        <f t="shared" si="4"/>
        <v>1886940.2402260872</v>
      </c>
    </row>
    <row r="66" spans="1:7" x14ac:dyDescent="0.2">
      <c r="A66" s="35">
        <v>5</v>
      </c>
      <c r="B66" s="35">
        <v>55</v>
      </c>
      <c r="C66" s="44">
        <f t="shared" si="0"/>
        <v>12641.360469859274</v>
      </c>
      <c r="D66" s="45">
        <f t="shared" si="1"/>
        <v>10220.926301224639</v>
      </c>
      <c r="E66" s="46">
        <f t="shared" si="2"/>
        <v>2420.4341686346343</v>
      </c>
      <c r="F66" s="42">
        <f t="shared" si="3"/>
        <v>0</v>
      </c>
      <c r="G66" s="44">
        <f t="shared" si="4"/>
        <v>1884519.8060574525</v>
      </c>
    </row>
    <row r="67" spans="1:7" x14ac:dyDescent="0.2">
      <c r="A67" s="35">
        <v>5</v>
      </c>
      <c r="B67" s="35">
        <v>56</v>
      </c>
      <c r="C67" s="44">
        <f t="shared" si="0"/>
        <v>12641.360469859274</v>
      </c>
      <c r="D67" s="45">
        <f t="shared" si="1"/>
        <v>10207.815616144535</v>
      </c>
      <c r="E67" s="46">
        <f t="shared" si="2"/>
        <v>2433.5448537147386</v>
      </c>
      <c r="F67" s="42">
        <f t="shared" si="3"/>
        <v>0</v>
      </c>
      <c r="G67" s="44">
        <f t="shared" si="4"/>
        <v>1882086.2612037377</v>
      </c>
    </row>
    <row r="68" spans="1:7" x14ac:dyDescent="0.2">
      <c r="A68" s="35">
        <v>5</v>
      </c>
      <c r="B68" s="35">
        <v>57</v>
      </c>
      <c r="C68" s="44">
        <f t="shared" si="0"/>
        <v>12641.360469859274</v>
      </c>
      <c r="D68" s="45">
        <f t="shared" si="1"/>
        <v>10194.633914853579</v>
      </c>
      <c r="E68" s="46">
        <f t="shared" si="2"/>
        <v>2446.7265550056945</v>
      </c>
      <c r="F68" s="42">
        <f t="shared" si="3"/>
        <v>0</v>
      </c>
      <c r="G68" s="44">
        <f t="shared" si="4"/>
        <v>1879639.534648732</v>
      </c>
    </row>
    <row r="69" spans="1:7" x14ac:dyDescent="0.2">
      <c r="A69" s="35">
        <v>5</v>
      </c>
      <c r="B69" s="35">
        <v>58</v>
      </c>
      <c r="C69" s="44">
        <f t="shared" si="0"/>
        <v>12641.360469859274</v>
      </c>
      <c r="D69" s="45">
        <f t="shared" si="1"/>
        <v>10181.380812680633</v>
      </c>
      <c r="E69" s="46">
        <f t="shared" si="2"/>
        <v>2459.979657178641</v>
      </c>
      <c r="F69" s="42">
        <f t="shared" si="3"/>
        <v>0</v>
      </c>
      <c r="G69" s="44">
        <f t="shared" si="4"/>
        <v>1877179.5549915533</v>
      </c>
    </row>
    <row r="70" spans="1:7" x14ac:dyDescent="0.2">
      <c r="A70" s="35">
        <v>5</v>
      </c>
      <c r="B70" s="35">
        <v>59</v>
      </c>
      <c r="C70" s="44">
        <f t="shared" si="0"/>
        <v>12641.360469859274</v>
      </c>
      <c r="D70" s="45">
        <f t="shared" si="1"/>
        <v>10168.055922870913</v>
      </c>
      <c r="E70" s="46">
        <f t="shared" si="2"/>
        <v>2473.30454698836</v>
      </c>
      <c r="F70" s="42">
        <f t="shared" si="3"/>
        <v>0</v>
      </c>
      <c r="G70" s="44">
        <f t="shared" si="4"/>
        <v>1874706.250444565</v>
      </c>
    </row>
    <row r="71" spans="1:7" s="47" customFormat="1" x14ac:dyDescent="0.2">
      <c r="A71" s="35">
        <v>5</v>
      </c>
      <c r="B71" s="47">
        <v>60</v>
      </c>
      <c r="C71" s="48">
        <f t="shared" si="0"/>
        <v>12641.360469859274</v>
      </c>
      <c r="D71" s="49">
        <f t="shared" si="1"/>
        <v>10154.658856574728</v>
      </c>
      <c r="E71" s="50">
        <f t="shared" si="2"/>
        <v>2486.7016132845456</v>
      </c>
      <c r="F71" s="51">
        <f t="shared" si="3"/>
        <v>0</v>
      </c>
      <c r="G71" s="48">
        <f t="shared" si="4"/>
        <v>1872219.5488312803</v>
      </c>
    </row>
    <row r="72" spans="1:7" x14ac:dyDescent="0.2">
      <c r="A72" s="35">
        <v>6</v>
      </c>
      <c r="B72" s="35">
        <v>61</v>
      </c>
      <c r="C72" s="44">
        <f t="shared" si="0"/>
        <v>12641.360469859274</v>
      </c>
      <c r="D72" s="45">
        <f t="shared" si="1"/>
        <v>10141.189222836101</v>
      </c>
      <c r="E72" s="46">
        <f t="shared" si="2"/>
        <v>2500.1712470231723</v>
      </c>
      <c r="F72" s="42">
        <f t="shared" si="3"/>
        <v>0</v>
      </c>
      <c r="G72" s="44">
        <f t="shared" si="4"/>
        <v>1869719.3775842572</v>
      </c>
    </row>
    <row r="73" spans="1:7" x14ac:dyDescent="0.2">
      <c r="A73" s="35">
        <v>6</v>
      </c>
      <c r="B73" s="35">
        <v>62</v>
      </c>
      <c r="C73" s="44">
        <f t="shared" si="0"/>
        <v>12641.360469859274</v>
      </c>
      <c r="D73" s="45">
        <f t="shared" si="1"/>
        <v>10127.646628581393</v>
      </c>
      <c r="E73" s="46">
        <f t="shared" si="2"/>
        <v>2513.7138412778804</v>
      </c>
      <c r="F73" s="42">
        <f t="shared" si="3"/>
        <v>0</v>
      </c>
      <c r="G73" s="44">
        <f t="shared" si="4"/>
        <v>1867205.6637429793</v>
      </c>
    </row>
    <row r="74" spans="1:7" x14ac:dyDescent="0.2">
      <c r="A74" s="35">
        <v>6</v>
      </c>
      <c r="B74" s="35">
        <v>63</v>
      </c>
      <c r="C74" s="44">
        <f t="shared" si="0"/>
        <v>12641.360469859274</v>
      </c>
      <c r="D74" s="45">
        <f t="shared" si="1"/>
        <v>10114.030678607805</v>
      </c>
      <c r="E74" s="46">
        <f t="shared" si="2"/>
        <v>2527.3297912514681</v>
      </c>
      <c r="F74" s="42">
        <f t="shared" si="3"/>
        <v>0</v>
      </c>
      <c r="G74" s="44">
        <f t="shared" si="4"/>
        <v>1864678.3339517277</v>
      </c>
    </row>
    <row r="75" spans="1:7" x14ac:dyDescent="0.2">
      <c r="A75" s="35">
        <v>6</v>
      </c>
      <c r="B75" s="35">
        <v>64</v>
      </c>
      <c r="C75" s="44">
        <f t="shared" si="0"/>
        <v>12641.360469859274</v>
      </c>
      <c r="D75" s="45">
        <f t="shared" si="1"/>
        <v>10100.340975571859</v>
      </c>
      <c r="E75" s="46">
        <f t="shared" si="2"/>
        <v>2541.019494287415</v>
      </c>
      <c r="F75" s="42">
        <f t="shared" si="3"/>
        <v>0</v>
      </c>
      <c r="G75" s="44">
        <f t="shared" si="4"/>
        <v>1862137.3144574403</v>
      </c>
    </row>
    <row r="76" spans="1:7" x14ac:dyDescent="0.2">
      <c r="A76" s="35">
        <v>6</v>
      </c>
      <c r="B76" s="35">
        <v>65</v>
      </c>
      <c r="C76" s="44">
        <f t="shared" si="0"/>
        <v>12641.360469859274</v>
      </c>
      <c r="D76" s="45">
        <f t="shared" si="1"/>
        <v>10086.577119977801</v>
      </c>
      <c r="E76" s="46">
        <f t="shared" si="2"/>
        <v>2554.7833498814725</v>
      </c>
      <c r="F76" s="42">
        <f t="shared" si="3"/>
        <v>0</v>
      </c>
      <c r="G76" s="44">
        <f t="shared" si="4"/>
        <v>1859582.5311075589</v>
      </c>
    </row>
    <row r="77" spans="1:7" x14ac:dyDescent="0.2">
      <c r="A77" s="35">
        <v>6</v>
      </c>
      <c r="B77" s="35">
        <v>66</v>
      </c>
      <c r="C77" s="44">
        <f t="shared" ref="C77:C140" si="5">PMT($D$4/$D$7,$D$8,-$D$3)</f>
        <v>12641.360469859274</v>
      </c>
      <c r="D77" s="45">
        <f t="shared" ref="D77:D140" si="6">G76*($D$4/$D$7)</f>
        <v>10072.738710165944</v>
      </c>
      <c r="E77" s="46">
        <f t="shared" ref="E77:E140" si="7">C77-D77</f>
        <v>2568.6217596933293</v>
      </c>
      <c r="F77" s="42">
        <f t="shared" ref="F77:F140" si="8">$D$5</f>
        <v>0</v>
      </c>
      <c r="G77" s="44">
        <f t="shared" ref="G77:G140" si="9">G76-E77-F77</f>
        <v>1857013.9093478655</v>
      </c>
    </row>
    <row r="78" spans="1:7" x14ac:dyDescent="0.2">
      <c r="A78" s="35">
        <v>6</v>
      </c>
      <c r="B78" s="35">
        <v>67</v>
      </c>
      <c r="C78" s="44">
        <f t="shared" si="5"/>
        <v>12641.360469859274</v>
      </c>
      <c r="D78" s="45">
        <f t="shared" si="6"/>
        <v>10058.825342300939</v>
      </c>
      <c r="E78" s="46">
        <f t="shared" si="7"/>
        <v>2582.5351275583344</v>
      </c>
      <c r="F78" s="42">
        <f t="shared" si="8"/>
        <v>0</v>
      </c>
      <c r="G78" s="44">
        <f t="shared" si="9"/>
        <v>1854431.3742203072</v>
      </c>
    </row>
    <row r="79" spans="1:7" x14ac:dyDescent="0.2">
      <c r="A79" s="35">
        <v>6</v>
      </c>
      <c r="B79" s="35">
        <v>68</v>
      </c>
      <c r="C79" s="44">
        <f t="shared" si="5"/>
        <v>12641.360469859274</v>
      </c>
      <c r="D79" s="45">
        <f t="shared" si="6"/>
        <v>10044.836610359998</v>
      </c>
      <c r="E79" s="46">
        <f t="shared" si="7"/>
        <v>2596.5238594992752</v>
      </c>
      <c r="F79" s="42">
        <f t="shared" si="8"/>
        <v>0</v>
      </c>
      <c r="G79" s="44">
        <f t="shared" si="9"/>
        <v>1851834.850360808</v>
      </c>
    </row>
    <row r="80" spans="1:7" x14ac:dyDescent="0.2">
      <c r="A80" s="35">
        <v>6</v>
      </c>
      <c r="B80" s="35">
        <v>69</v>
      </c>
      <c r="C80" s="44">
        <f t="shared" si="5"/>
        <v>12641.360469859274</v>
      </c>
      <c r="D80" s="45">
        <f t="shared" si="6"/>
        <v>10030.772106121043</v>
      </c>
      <c r="E80" s="46">
        <f t="shared" si="7"/>
        <v>2610.5883637382303</v>
      </c>
      <c r="F80" s="42">
        <f t="shared" si="8"/>
        <v>0</v>
      </c>
      <c r="G80" s="44">
        <f t="shared" si="9"/>
        <v>1849224.2619970697</v>
      </c>
    </row>
    <row r="81" spans="1:7" x14ac:dyDescent="0.2">
      <c r="A81" s="35">
        <v>6</v>
      </c>
      <c r="B81" s="35">
        <v>70</v>
      </c>
      <c r="C81" s="44">
        <f t="shared" si="5"/>
        <v>12641.360469859274</v>
      </c>
      <c r="D81" s="45">
        <f t="shared" si="6"/>
        <v>10016.631419150795</v>
      </c>
      <c r="E81" s="46">
        <f t="shared" si="7"/>
        <v>2624.7290507084781</v>
      </c>
      <c r="F81" s="42">
        <f t="shared" si="8"/>
        <v>0</v>
      </c>
      <c r="G81" s="44">
        <f t="shared" si="9"/>
        <v>1846599.5329463612</v>
      </c>
    </row>
    <row r="82" spans="1:7" x14ac:dyDescent="0.2">
      <c r="A82" s="35">
        <v>6</v>
      </c>
      <c r="B82" s="35">
        <v>71</v>
      </c>
      <c r="C82" s="44">
        <f t="shared" si="5"/>
        <v>12641.360469859274</v>
      </c>
      <c r="D82" s="45">
        <f t="shared" si="6"/>
        <v>10002.41413679279</v>
      </c>
      <c r="E82" s="46">
        <f t="shared" si="7"/>
        <v>2638.9463330664839</v>
      </c>
      <c r="F82" s="42">
        <f t="shared" si="8"/>
        <v>0</v>
      </c>
      <c r="G82" s="44">
        <f t="shared" si="9"/>
        <v>1843960.5866132947</v>
      </c>
    </row>
    <row r="83" spans="1:7" s="47" customFormat="1" x14ac:dyDescent="0.2">
      <c r="A83" s="35">
        <v>6</v>
      </c>
      <c r="B83" s="47">
        <v>72</v>
      </c>
      <c r="C83" s="48">
        <f t="shared" si="5"/>
        <v>12641.360469859274</v>
      </c>
      <c r="D83" s="49">
        <f t="shared" si="6"/>
        <v>9988.1198441553461</v>
      </c>
      <c r="E83" s="50">
        <f t="shared" si="7"/>
        <v>2653.2406257039274</v>
      </c>
      <c r="F83" s="51">
        <f t="shared" si="8"/>
        <v>0</v>
      </c>
      <c r="G83" s="48">
        <f t="shared" si="9"/>
        <v>1841307.3459875907</v>
      </c>
    </row>
    <row r="84" spans="1:7" x14ac:dyDescent="0.2">
      <c r="A84" s="35">
        <v>7</v>
      </c>
      <c r="B84" s="35">
        <v>73</v>
      </c>
      <c r="C84" s="44">
        <f t="shared" si="5"/>
        <v>12641.360469859274</v>
      </c>
      <c r="D84" s="45">
        <f t="shared" si="6"/>
        <v>9973.7481240994493</v>
      </c>
      <c r="E84" s="46">
        <f t="shared" si="7"/>
        <v>2667.6123457598242</v>
      </c>
      <c r="F84" s="42">
        <f t="shared" si="8"/>
        <v>0</v>
      </c>
      <c r="G84" s="44">
        <f t="shared" si="9"/>
        <v>1838639.733641831</v>
      </c>
    </row>
    <row r="85" spans="1:7" x14ac:dyDescent="0.2">
      <c r="A85" s="35">
        <v>7</v>
      </c>
      <c r="B85" s="35">
        <v>74</v>
      </c>
      <c r="C85" s="44">
        <f t="shared" si="5"/>
        <v>12641.360469859274</v>
      </c>
      <c r="D85" s="45">
        <f t="shared" si="6"/>
        <v>9959.2985572265843</v>
      </c>
      <c r="E85" s="46">
        <f t="shared" si="7"/>
        <v>2682.0619126326892</v>
      </c>
      <c r="F85" s="42">
        <f t="shared" si="8"/>
        <v>0</v>
      </c>
      <c r="G85" s="44">
        <f t="shared" si="9"/>
        <v>1835957.6717291982</v>
      </c>
    </row>
    <row r="86" spans="1:7" x14ac:dyDescent="0.2">
      <c r="A86" s="35">
        <v>7</v>
      </c>
      <c r="B86" s="35">
        <v>75</v>
      </c>
      <c r="C86" s="44">
        <f t="shared" si="5"/>
        <v>12641.360469859274</v>
      </c>
      <c r="D86" s="45">
        <f t="shared" si="6"/>
        <v>9944.7707218664909</v>
      </c>
      <c r="E86" s="46">
        <f t="shared" si="7"/>
        <v>2696.5897479927826</v>
      </c>
      <c r="F86" s="42">
        <f t="shared" si="8"/>
        <v>0</v>
      </c>
      <c r="G86" s="44">
        <f t="shared" si="9"/>
        <v>1833261.0819812054</v>
      </c>
    </row>
    <row r="87" spans="1:7" x14ac:dyDescent="0.2">
      <c r="A87" s="35">
        <v>7</v>
      </c>
      <c r="B87" s="35">
        <v>76</v>
      </c>
      <c r="C87" s="44">
        <f t="shared" si="5"/>
        <v>12641.360469859274</v>
      </c>
      <c r="D87" s="45">
        <f t="shared" si="6"/>
        <v>9930.1641940648624</v>
      </c>
      <c r="E87" s="46">
        <f t="shared" si="7"/>
        <v>2711.1962757944111</v>
      </c>
      <c r="F87" s="42">
        <f t="shared" si="8"/>
        <v>0</v>
      </c>
      <c r="G87" s="44">
        <f t="shared" si="9"/>
        <v>1830549.885705411</v>
      </c>
    </row>
    <row r="88" spans="1:7" x14ac:dyDescent="0.2">
      <c r="A88" s="35">
        <v>7</v>
      </c>
      <c r="B88" s="35">
        <v>77</v>
      </c>
      <c r="C88" s="44">
        <f t="shared" si="5"/>
        <v>12641.360469859274</v>
      </c>
      <c r="D88" s="45">
        <f t="shared" si="6"/>
        <v>9915.4785475709759</v>
      </c>
      <c r="E88" s="46">
        <f t="shared" si="7"/>
        <v>2725.8819222882976</v>
      </c>
      <c r="F88" s="42">
        <f t="shared" si="8"/>
        <v>0</v>
      </c>
      <c r="G88" s="44">
        <f t="shared" si="9"/>
        <v>1827824.0037831226</v>
      </c>
    </row>
    <row r="89" spans="1:7" x14ac:dyDescent="0.2">
      <c r="A89" s="35">
        <v>7</v>
      </c>
      <c r="B89" s="35">
        <v>78</v>
      </c>
      <c r="C89" s="44">
        <f t="shared" si="5"/>
        <v>12641.360469859274</v>
      </c>
      <c r="D89" s="45">
        <f t="shared" si="6"/>
        <v>9900.7133538252474</v>
      </c>
      <c r="E89" s="46">
        <f t="shared" si="7"/>
        <v>2740.6471160340261</v>
      </c>
      <c r="F89" s="42">
        <f t="shared" si="8"/>
        <v>0</v>
      </c>
      <c r="G89" s="44">
        <f t="shared" si="9"/>
        <v>1825083.3566670886</v>
      </c>
    </row>
    <row r="90" spans="1:7" x14ac:dyDescent="0.2">
      <c r="A90" s="35">
        <v>7</v>
      </c>
      <c r="B90" s="35">
        <v>79</v>
      </c>
      <c r="C90" s="44">
        <f t="shared" si="5"/>
        <v>12641.360469859274</v>
      </c>
      <c r="D90" s="45">
        <f t="shared" si="6"/>
        <v>9885.8681819467292</v>
      </c>
      <c r="E90" s="46">
        <f t="shared" si="7"/>
        <v>2755.4922879125443</v>
      </c>
      <c r="F90" s="42">
        <f t="shared" si="8"/>
        <v>0</v>
      </c>
      <c r="G90" s="44">
        <f t="shared" si="9"/>
        <v>1822327.8643791759</v>
      </c>
    </row>
    <row r="91" spans="1:7" x14ac:dyDescent="0.2">
      <c r="A91" s="35">
        <v>7</v>
      </c>
      <c r="B91" s="35">
        <v>80</v>
      </c>
      <c r="C91" s="44">
        <f t="shared" si="5"/>
        <v>12641.360469859274</v>
      </c>
      <c r="D91" s="45">
        <f t="shared" si="6"/>
        <v>9870.9425987205359</v>
      </c>
      <c r="E91" s="46">
        <f t="shared" si="7"/>
        <v>2770.4178711387376</v>
      </c>
      <c r="F91" s="42">
        <f t="shared" si="8"/>
        <v>0</v>
      </c>
      <c r="G91" s="44">
        <f t="shared" si="9"/>
        <v>1819557.4465080372</v>
      </c>
    </row>
    <row r="92" spans="1:7" x14ac:dyDescent="0.2">
      <c r="A92" s="35">
        <v>7</v>
      </c>
      <c r="B92" s="35">
        <v>81</v>
      </c>
      <c r="C92" s="44">
        <f t="shared" si="5"/>
        <v>12641.360469859274</v>
      </c>
      <c r="D92" s="45">
        <f t="shared" si="6"/>
        <v>9855.9361685852018</v>
      </c>
      <c r="E92" s="46">
        <f t="shared" si="7"/>
        <v>2785.4243012740717</v>
      </c>
      <c r="F92" s="42">
        <f t="shared" si="8"/>
        <v>0</v>
      </c>
      <c r="G92" s="44">
        <f t="shared" si="9"/>
        <v>1816772.022206763</v>
      </c>
    </row>
    <row r="93" spans="1:7" x14ac:dyDescent="0.2">
      <c r="A93" s="35">
        <v>7</v>
      </c>
      <c r="B93" s="35">
        <v>82</v>
      </c>
      <c r="C93" s="44">
        <f t="shared" si="5"/>
        <v>12641.360469859274</v>
      </c>
      <c r="D93" s="45">
        <f t="shared" si="6"/>
        <v>9840.8484536199667</v>
      </c>
      <c r="E93" s="46">
        <f t="shared" si="7"/>
        <v>2800.5120162393068</v>
      </c>
      <c r="F93" s="42">
        <f t="shared" si="8"/>
        <v>0</v>
      </c>
      <c r="G93" s="44">
        <f t="shared" si="9"/>
        <v>1813971.5101905237</v>
      </c>
    </row>
    <row r="94" spans="1:7" x14ac:dyDescent="0.2">
      <c r="A94" s="35">
        <v>7</v>
      </c>
      <c r="B94" s="35">
        <v>83</v>
      </c>
      <c r="C94" s="44">
        <f t="shared" si="5"/>
        <v>12641.360469859274</v>
      </c>
      <c r="D94" s="45">
        <f t="shared" si="6"/>
        <v>9825.6790135320043</v>
      </c>
      <c r="E94" s="46">
        <f t="shared" si="7"/>
        <v>2815.6814563272692</v>
      </c>
      <c r="F94" s="42">
        <f t="shared" si="8"/>
        <v>0</v>
      </c>
      <c r="G94" s="44">
        <f t="shared" si="9"/>
        <v>1811155.8287341965</v>
      </c>
    </row>
    <row r="95" spans="1:7" s="47" customFormat="1" x14ac:dyDescent="0.2">
      <c r="A95" s="35">
        <v>7</v>
      </c>
      <c r="B95" s="47">
        <v>84</v>
      </c>
      <c r="C95" s="48">
        <f t="shared" si="5"/>
        <v>12641.360469859274</v>
      </c>
      <c r="D95" s="49">
        <f t="shared" si="6"/>
        <v>9810.4274056435643</v>
      </c>
      <c r="E95" s="50">
        <f t="shared" si="7"/>
        <v>2830.9330642157092</v>
      </c>
      <c r="F95" s="51">
        <f t="shared" si="8"/>
        <v>0</v>
      </c>
      <c r="G95" s="48">
        <f t="shared" si="9"/>
        <v>1808324.8956699807</v>
      </c>
    </row>
    <row r="96" spans="1:7" x14ac:dyDescent="0.2">
      <c r="A96" s="35">
        <v>8</v>
      </c>
      <c r="B96" s="35">
        <v>85</v>
      </c>
      <c r="C96" s="44">
        <f t="shared" si="5"/>
        <v>12641.360469859274</v>
      </c>
      <c r="D96" s="45">
        <f t="shared" si="6"/>
        <v>9795.0931848790624</v>
      </c>
      <c r="E96" s="46">
        <f t="shared" si="7"/>
        <v>2846.2672849802111</v>
      </c>
      <c r="F96" s="42">
        <f t="shared" si="8"/>
        <v>0</v>
      </c>
      <c r="G96" s="44">
        <f t="shared" si="9"/>
        <v>1805478.6283850004</v>
      </c>
    </row>
    <row r="97" spans="1:7" x14ac:dyDescent="0.2">
      <c r="A97" s="35">
        <v>8</v>
      </c>
      <c r="B97" s="35">
        <v>86</v>
      </c>
      <c r="C97" s="44">
        <f t="shared" si="5"/>
        <v>12641.360469859274</v>
      </c>
      <c r="D97" s="45">
        <f t="shared" si="6"/>
        <v>9779.675903752086</v>
      </c>
      <c r="E97" s="46">
        <f t="shared" si="7"/>
        <v>2861.6845661071875</v>
      </c>
      <c r="F97" s="42">
        <f t="shared" si="8"/>
        <v>0</v>
      </c>
      <c r="G97" s="44">
        <f t="shared" si="9"/>
        <v>1802616.9438188933</v>
      </c>
    </row>
    <row r="98" spans="1:7" x14ac:dyDescent="0.2">
      <c r="A98" s="35">
        <v>8</v>
      </c>
      <c r="B98" s="35">
        <v>87</v>
      </c>
      <c r="C98" s="44">
        <f t="shared" si="5"/>
        <v>12641.360469859274</v>
      </c>
      <c r="D98" s="45">
        <f t="shared" si="6"/>
        <v>9764.1751123523391</v>
      </c>
      <c r="E98" s="46">
        <f t="shared" si="7"/>
        <v>2877.1853575069345</v>
      </c>
      <c r="F98" s="42">
        <f t="shared" si="8"/>
        <v>0</v>
      </c>
      <c r="G98" s="44">
        <f t="shared" si="9"/>
        <v>1799739.7584613864</v>
      </c>
    </row>
    <row r="99" spans="1:7" x14ac:dyDescent="0.2">
      <c r="A99" s="35">
        <v>8</v>
      </c>
      <c r="B99" s="35">
        <v>88</v>
      </c>
      <c r="C99" s="44">
        <f t="shared" si="5"/>
        <v>12641.360469859274</v>
      </c>
      <c r="D99" s="45">
        <f t="shared" si="6"/>
        <v>9748.5903583325107</v>
      </c>
      <c r="E99" s="46">
        <f t="shared" si="7"/>
        <v>2892.7701115267628</v>
      </c>
      <c r="F99" s="42">
        <f t="shared" si="8"/>
        <v>0</v>
      </c>
      <c r="G99" s="44">
        <f t="shared" si="9"/>
        <v>1796846.9883498596</v>
      </c>
    </row>
    <row r="100" spans="1:7" x14ac:dyDescent="0.2">
      <c r="A100" s="35">
        <v>8</v>
      </c>
      <c r="B100" s="35">
        <v>89</v>
      </c>
      <c r="C100" s="44">
        <f t="shared" si="5"/>
        <v>12641.360469859274</v>
      </c>
      <c r="D100" s="45">
        <f t="shared" si="6"/>
        <v>9732.9211868950733</v>
      </c>
      <c r="E100" s="46">
        <f t="shared" si="7"/>
        <v>2908.4392829642002</v>
      </c>
      <c r="F100" s="42">
        <f t="shared" si="8"/>
        <v>0</v>
      </c>
      <c r="G100" s="44">
        <f t="shared" si="9"/>
        <v>1793938.5490668954</v>
      </c>
    </row>
    <row r="101" spans="1:7" x14ac:dyDescent="0.2">
      <c r="A101" s="35">
        <v>8</v>
      </c>
      <c r="B101" s="35">
        <v>90</v>
      </c>
      <c r="C101" s="44">
        <f t="shared" si="5"/>
        <v>12641.360469859274</v>
      </c>
      <c r="D101" s="45">
        <f t="shared" si="6"/>
        <v>9717.1671407790163</v>
      </c>
      <c r="E101" s="46">
        <f t="shared" si="7"/>
        <v>2924.1933290802572</v>
      </c>
      <c r="F101" s="42">
        <f t="shared" si="8"/>
        <v>0</v>
      </c>
      <c r="G101" s="44">
        <f t="shared" si="9"/>
        <v>1791014.3557378151</v>
      </c>
    </row>
    <row r="102" spans="1:7" x14ac:dyDescent="0.2">
      <c r="A102" s="35">
        <v>8</v>
      </c>
      <c r="B102" s="35">
        <v>91</v>
      </c>
      <c r="C102" s="44">
        <f t="shared" si="5"/>
        <v>12641.360469859274</v>
      </c>
      <c r="D102" s="45">
        <f t="shared" si="6"/>
        <v>9701.3277602464987</v>
      </c>
      <c r="E102" s="46">
        <f t="shared" si="7"/>
        <v>2940.0327096127749</v>
      </c>
      <c r="F102" s="42">
        <f t="shared" si="8"/>
        <v>0</v>
      </c>
      <c r="G102" s="44">
        <f t="shared" si="9"/>
        <v>1788074.3230282024</v>
      </c>
    </row>
    <row r="103" spans="1:7" x14ac:dyDescent="0.2">
      <c r="A103" s="35">
        <v>8</v>
      </c>
      <c r="B103" s="35">
        <v>92</v>
      </c>
      <c r="C103" s="44">
        <f t="shared" si="5"/>
        <v>12641.360469859274</v>
      </c>
      <c r="D103" s="45">
        <f t="shared" si="6"/>
        <v>9685.40258306943</v>
      </c>
      <c r="E103" s="46">
        <f t="shared" si="7"/>
        <v>2955.9578867898435</v>
      </c>
      <c r="F103" s="42">
        <f t="shared" si="8"/>
        <v>0</v>
      </c>
      <c r="G103" s="44">
        <f t="shared" si="9"/>
        <v>1785118.3651414125</v>
      </c>
    </row>
    <row r="104" spans="1:7" x14ac:dyDescent="0.2">
      <c r="A104" s="35">
        <v>8</v>
      </c>
      <c r="B104" s="35">
        <v>93</v>
      </c>
      <c r="C104" s="44">
        <f t="shared" si="5"/>
        <v>12641.360469859274</v>
      </c>
      <c r="D104" s="45">
        <f t="shared" si="6"/>
        <v>9669.3911445159847</v>
      </c>
      <c r="E104" s="46">
        <f t="shared" si="7"/>
        <v>2971.9693253432888</v>
      </c>
      <c r="F104" s="42">
        <f t="shared" si="8"/>
        <v>0</v>
      </c>
      <c r="G104" s="44">
        <f t="shared" si="9"/>
        <v>1782146.3958160691</v>
      </c>
    </row>
    <row r="105" spans="1:7" x14ac:dyDescent="0.2">
      <c r="A105" s="35">
        <v>8</v>
      </c>
      <c r="B105" s="35">
        <v>94</v>
      </c>
      <c r="C105" s="44">
        <f t="shared" si="5"/>
        <v>12641.360469859274</v>
      </c>
      <c r="D105" s="45">
        <f t="shared" si="6"/>
        <v>9653.2929773370415</v>
      </c>
      <c r="E105" s="46">
        <f t="shared" si="7"/>
        <v>2988.067492522232</v>
      </c>
      <c r="F105" s="42">
        <f t="shared" si="8"/>
        <v>0</v>
      </c>
      <c r="G105" s="44">
        <f t="shared" si="9"/>
        <v>1779158.3283235468</v>
      </c>
    </row>
    <row r="106" spans="1:7" x14ac:dyDescent="0.2">
      <c r="A106" s="35">
        <v>8</v>
      </c>
      <c r="B106" s="35">
        <v>95</v>
      </c>
      <c r="C106" s="44">
        <f t="shared" si="5"/>
        <v>12641.360469859274</v>
      </c>
      <c r="D106" s="45">
        <f t="shared" si="6"/>
        <v>9637.1076117525463</v>
      </c>
      <c r="E106" s="46">
        <f t="shared" si="7"/>
        <v>3004.2528581067272</v>
      </c>
      <c r="F106" s="42">
        <f t="shared" si="8"/>
        <v>0</v>
      </c>
      <c r="G106" s="44">
        <f t="shared" si="9"/>
        <v>1776154.0754654401</v>
      </c>
    </row>
    <row r="107" spans="1:7" s="47" customFormat="1" x14ac:dyDescent="0.2">
      <c r="A107" s="35">
        <v>8</v>
      </c>
      <c r="B107" s="47">
        <v>96</v>
      </c>
      <c r="C107" s="48">
        <f t="shared" si="5"/>
        <v>12641.360469859274</v>
      </c>
      <c r="D107" s="49">
        <f t="shared" si="6"/>
        <v>9620.8345754378006</v>
      </c>
      <c r="E107" s="50">
        <f t="shared" si="7"/>
        <v>3020.5258944214729</v>
      </c>
      <c r="F107" s="51">
        <f t="shared" si="8"/>
        <v>0</v>
      </c>
      <c r="G107" s="48">
        <f t="shared" si="9"/>
        <v>1773133.5495710187</v>
      </c>
    </row>
    <row r="108" spans="1:7" x14ac:dyDescent="0.2">
      <c r="A108" s="35"/>
      <c r="B108" s="35">
        <v>97</v>
      </c>
      <c r="C108" s="44">
        <f t="shared" si="5"/>
        <v>12641.360469859274</v>
      </c>
      <c r="D108" s="45">
        <f t="shared" si="6"/>
        <v>9604.4733935096847</v>
      </c>
      <c r="E108" s="46">
        <f t="shared" si="7"/>
        <v>3036.8870763495888</v>
      </c>
      <c r="F108" s="42">
        <f t="shared" si="8"/>
        <v>0</v>
      </c>
      <c r="G108" s="44">
        <f t="shared" si="9"/>
        <v>1770096.662494669</v>
      </c>
    </row>
    <row r="109" spans="1:7" x14ac:dyDescent="0.2">
      <c r="A109" s="35"/>
      <c r="B109" s="35">
        <v>98</v>
      </c>
      <c r="C109" s="44">
        <f t="shared" si="5"/>
        <v>12641.360469859274</v>
      </c>
      <c r="D109" s="45">
        <f t="shared" si="6"/>
        <v>9588.0235885127913</v>
      </c>
      <c r="E109" s="46">
        <f t="shared" si="7"/>
        <v>3053.3368813464822</v>
      </c>
      <c r="F109" s="42">
        <f t="shared" si="8"/>
        <v>0</v>
      </c>
      <c r="G109" s="44">
        <f t="shared" si="9"/>
        <v>1767043.3256133224</v>
      </c>
    </row>
    <row r="110" spans="1:7" x14ac:dyDescent="0.2">
      <c r="A110" s="35"/>
      <c r="B110" s="35">
        <v>99</v>
      </c>
      <c r="C110" s="44">
        <f t="shared" si="5"/>
        <v>12641.360469859274</v>
      </c>
      <c r="D110" s="45">
        <f t="shared" si="6"/>
        <v>9571.484680405496</v>
      </c>
      <c r="E110" s="46">
        <f t="shared" si="7"/>
        <v>3069.8757894537775</v>
      </c>
      <c r="F110" s="42">
        <f t="shared" si="8"/>
        <v>0</v>
      </c>
      <c r="G110" s="44">
        <f t="shared" si="9"/>
        <v>1763973.4498238687</v>
      </c>
    </row>
    <row r="111" spans="1:7" x14ac:dyDescent="0.2">
      <c r="A111" s="35"/>
      <c r="B111" s="35">
        <v>100</v>
      </c>
      <c r="C111" s="44">
        <f t="shared" si="5"/>
        <v>12641.360469859274</v>
      </c>
      <c r="D111" s="45">
        <f t="shared" si="6"/>
        <v>9554.856186545956</v>
      </c>
      <c r="E111" s="46">
        <f t="shared" si="7"/>
        <v>3086.5042833133175</v>
      </c>
      <c r="F111" s="42">
        <f t="shared" si="8"/>
        <v>0</v>
      </c>
      <c r="G111" s="44">
        <f t="shared" si="9"/>
        <v>1760886.9455405553</v>
      </c>
    </row>
    <row r="112" spans="1:7" x14ac:dyDescent="0.2">
      <c r="A112" s="35"/>
      <c r="B112" s="35">
        <v>101</v>
      </c>
      <c r="C112" s="44">
        <f t="shared" si="5"/>
        <v>12641.360469859274</v>
      </c>
      <c r="D112" s="45">
        <f t="shared" si="6"/>
        <v>9538.1376216780081</v>
      </c>
      <c r="E112" s="46">
        <f t="shared" si="7"/>
        <v>3103.2228481812654</v>
      </c>
      <c r="F112" s="42">
        <f t="shared" si="8"/>
        <v>0</v>
      </c>
      <c r="G112" s="44">
        <f t="shared" si="9"/>
        <v>1757783.7226923739</v>
      </c>
    </row>
    <row r="113" spans="1:7" x14ac:dyDescent="0.2">
      <c r="A113" s="35"/>
      <c r="B113" s="35">
        <v>102</v>
      </c>
      <c r="C113" s="44">
        <f t="shared" si="5"/>
        <v>12641.360469859274</v>
      </c>
      <c r="D113" s="45">
        <f t="shared" si="6"/>
        <v>9521.3284979170257</v>
      </c>
      <c r="E113" s="46">
        <f t="shared" si="7"/>
        <v>3120.0319719422478</v>
      </c>
      <c r="F113" s="42">
        <f t="shared" si="8"/>
        <v>0</v>
      </c>
      <c r="G113" s="44">
        <f t="shared" si="9"/>
        <v>1754663.6907204317</v>
      </c>
    </row>
    <row r="114" spans="1:7" x14ac:dyDescent="0.2">
      <c r="A114" s="35"/>
      <c r="B114" s="35">
        <v>103</v>
      </c>
      <c r="C114" s="44">
        <f t="shared" si="5"/>
        <v>12641.360469859274</v>
      </c>
      <c r="D114" s="45">
        <f t="shared" si="6"/>
        <v>9504.4283247356725</v>
      </c>
      <c r="E114" s="46">
        <f t="shared" si="7"/>
        <v>3136.932145123601</v>
      </c>
      <c r="F114" s="42">
        <f t="shared" si="8"/>
        <v>0</v>
      </c>
      <c r="G114" s="44">
        <f t="shared" si="9"/>
        <v>1751526.7585753081</v>
      </c>
    </row>
    <row r="115" spans="1:7" x14ac:dyDescent="0.2">
      <c r="A115" s="35"/>
      <c r="B115" s="35">
        <v>104</v>
      </c>
      <c r="C115" s="44">
        <f t="shared" si="5"/>
        <v>12641.360469859274</v>
      </c>
      <c r="D115" s="45">
        <f t="shared" si="6"/>
        <v>9487.4366089495852</v>
      </c>
      <c r="E115" s="46">
        <f t="shared" si="7"/>
        <v>3153.9238609096883</v>
      </c>
      <c r="F115" s="42">
        <f t="shared" si="8"/>
        <v>0</v>
      </c>
      <c r="G115" s="44">
        <f t="shared" si="9"/>
        <v>1748372.8347143985</v>
      </c>
    </row>
    <row r="116" spans="1:7" x14ac:dyDescent="0.2">
      <c r="A116" s="35"/>
      <c r="B116" s="35">
        <v>105</v>
      </c>
      <c r="C116" s="44">
        <f t="shared" si="5"/>
        <v>12641.360469859274</v>
      </c>
      <c r="D116" s="45">
        <f t="shared" si="6"/>
        <v>9470.3528547029928</v>
      </c>
      <c r="E116" s="46">
        <f t="shared" si="7"/>
        <v>3171.0076151562807</v>
      </c>
      <c r="F116" s="42">
        <f t="shared" si="8"/>
        <v>0</v>
      </c>
      <c r="G116" s="44">
        <f t="shared" si="9"/>
        <v>1745201.8270992422</v>
      </c>
    </row>
    <row r="117" spans="1:7" x14ac:dyDescent="0.2">
      <c r="A117" s="35"/>
      <c r="B117" s="35">
        <v>106</v>
      </c>
      <c r="C117" s="44">
        <f t="shared" si="5"/>
        <v>12641.360469859274</v>
      </c>
      <c r="D117" s="45">
        <f t="shared" si="6"/>
        <v>9453.1765634542298</v>
      </c>
      <c r="E117" s="46">
        <f t="shared" si="7"/>
        <v>3188.1839064050437</v>
      </c>
      <c r="F117" s="42">
        <f t="shared" si="8"/>
        <v>0</v>
      </c>
      <c r="G117" s="44">
        <f t="shared" si="9"/>
        <v>1742013.6431928372</v>
      </c>
    </row>
    <row r="118" spans="1:7" x14ac:dyDescent="0.2">
      <c r="A118" s="35"/>
      <c r="B118" s="35">
        <v>107</v>
      </c>
      <c r="C118" s="44">
        <f t="shared" si="5"/>
        <v>12641.360469859274</v>
      </c>
      <c r="D118" s="45">
        <f t="shared" si="6"/>
        <v>9435.9072339612012</v>
      </c>
      <c r="E118" s="46">
        <f t="shared" si="7"/>
        <v>3205.4532358980723</v>
      </c>
      <c r="F118" s="42">
        <f t="shared" si="8"/>
        <v>0</v>
      </c>
      <c r="G118" s="44">
        <f t="shared" si="9"/>
        <v>1738808.1899569391</v>
      </c>
    </row>
    <row r="119" spans="1:7" x14ac:dyDescent="0.2">
      <c r="A119" s="35"/>
      <c r="B119" s="35">
        <v>108</v>
      </c>
      <c r="C119" s="44">
        <f t="shared" si="5"/>
        <v>12641.360469859274</v>
      </c>
      <c r="D119" s="45">
        <f t="shared" si="6"/>
        <v>9418.5443622667535</v>
      </c>
      <c r="E119" s="46">
        <f t="shared" si="7"/>
        <v>3222.81610759252</v>
      </c>
      <c r="F119" s="42">
        <f t="shared" si="8"/>
        <v>0</v>
      </c>
      <c r="G119" s="44">
        <f t="shared" si="9"/>
        <v>1735585.3738493465</v>
      </c>
    </row>
    <row r="120" spans="1:7" x14ac:dyDescent="0.2">
      <c r="A120" s="35"/>
      <c r="B120" s="35">
        <v>109</v>
      </c>
      <c r="C120" s="44">
        <f t="shared" si="5"/>
        <v>12641.360469859274</v>
      </c>
      <c r="D120" s="45">
        <f t="shared" si="6"/>
        <v>9401.0874416839615</v>
      </c>
      <c r="E120" s="46">
        <f t="shared" si="7"/>
        <v>3240.273028175312</v>
      </c>
      <c r="F120" s="42">
        <f t="shared" si="8"/>
        <v>0</v>
      </c>
      <c r="G120" s="44">
        <f t="shared" si="9"/>
        <v>1732345.1008211712</v>
      </c>
    </row>
    <row r="121" spans="1:7" x14ac:dyDescent="0.2">
      <c r="A121" s="35"/>
      <c r="B121" s="35">
        <v>110</v>
      </c>
      <c r="C121" s="44">
        <f t="shared" si="5"/>
        <v>12641.360469859274</v>
      </c>
      <c r="D121" s="45">
        <f t="shared" si="6"/>
        <v>9383.535962781345</v>
      </c>
      <c r="E121" s="46">
        <f t="shared" si="7"/>
        <v>3257.8245070779285</v>
      </c>
      <c r="F121" s="42">
        <f t="shared" si="8"/>
        <v>0</v>
      </c>
      <c r="G121" s="44">
        <f t="shared" si="9"/>
        <v>1729087.2763140933</v>
      </c>
    </row>
    <row r="122" spans="1:7" x14ac:dyDescent="0.2">
      <c r="A122" s="35"/>
      <c r="B122" s="35">
        <v>111</v>
      </c>
      <c r="C122" s="44">
        <f t="shared" si="5"/>
        <v>12641.360469859274</v>
      </c>
      <c r="D122" s="45">
        <f t="shared" si="6"/>
        <v>9365.889413368006</v>
      </c>
      <c r="E122" s="46">
        <f t="shared" si="7"/>
        <v>3275.4710564912675</v>
      </c>
      <c r="F122" s="42">
        <f t="shared" si="8"/>
        <v>0</v>
      </c>
      <c r="G122" s="44">
        <f t="shared" si="9"/>
        <v>1725811.8052576019</v>
      </c>
    </row>
    <row r="123" spans="1:7" x14ac:dyDescent="0.2">
      <c r="A123" s="35"/>
      <c r="B123" s="35">
        <v>112</v>
      </c>
      <c r="C123" s="44">
        <f t="shared" si="5"/>
        <v>12641.360469859274</v>
      </c>
      <c r="D123" s="45">
        <f t="shared" si="6"/>
        <v>9348.1472784786765</v>
      </c>
      <c r="E123" s="46">
        <f t="shared" si="7"/>
        <v>3293.213191380597</v>
      </c>
      <c r="F123" s="42">
        <f t="shared" si="8"/>
        <v>0</v>
      </c>
      <c r="G123" s="44">
        <f t="shared" si="9"/>
        <v>1722518.5920662214</v>
      </c>
    </row>
    <row r="124" spans="1:7" x14ac:dyDescent="0.2">
      <c r="A124" s="35"/>
      <c r="B124" s="35">
        <v>113</v>
      </c>
      <c r="C124" s="44">
        <f t="shared" si="5"/>
        <v>12641.360469859274</v>
      </c>
      <c r="D124" s="45">
        <f t="shared" si="6"/>
        <v>9330.3090403586993</v>
      </c>
      <c r="E124" s="46">
        <f t="shared" si="7"/>
        <v>3311.0514295005742</v>
      </c>
      <c r="F124" s="42">
        <f t="shared" si="8"/>
        <v>0</v>
      </c>
      <c r="G124" s="44">
        <f t="shared" si="9"/>
        <v>1719207.5406367208</v>
      </c>
    </row>
    <row r="125" spans="1:7" x14ac:dyDescent="0.2">
      <c r="A125" s="35"/>
      <c r="B125" s="35">
        <v>114</v>
      </c>
      <c r="C125" s="44">
        <f t="shared" si="5"/>
        <v>12641.360469859274</v>
      </c>
      <c r="D125" s="45">
        <f t="shared" si="6"/>
        <v>9312.3741784489048</v>
      </c>
      <c r="E125" s="46">
        <f t="shared" si="7"/>
        <v>3328.9862914103687</v>
      </c>
      <c r="F125" s="42">
        <f t="shared" si="8"/>
        <v>0</v>
      </c>
      <c r="G125" s="44">
        <f t="shared" si="9"/>
        <v>1715878.5543453104</v>
      </c>
    </row>
    <row r="126" spans="1:7" x14ac:dyDescent="0.2">
      <c r="A126" s="35"/>
      <c r="B126" s="35">
        <v>115</v>
      </c>
      <c r="C126" s="44">
        <f t="shared" si="5"/>
        <v>12641.360469859274</v>
      </c>
      <c r="D126" s="45">
        <f t="shared" si="6"/>
        <v>9294.3421693704313</v>
      </c>
      <c r="E126" s="46">
        <f t="shared" si="7"/>
        <v>3347.0183004888422</v>
      </c>
      <c r="F126" s="42">
        <f t="shared" si="8"/>
        <v>0</v>
      </c>
      <c r="G126" s="44">
        <f t="shared" si="9"/>
        <v>1712531.5360448216</v>
      </c>
    </row>
    <row r="127" spans="1:7" x14ac:dyDescent="0.2">
      <c r="A127" s="35"/>
      <c r="B127" s="35">
        <v>116</v>
      </c>
      <c r="C127" s="44">
        <f t="shared" si="5"/>
        <v>12641.360469859274</v>
      </c>
      <c r="D127" s="45">
        <f t="shared" si="6"/>
        <v>9276.2124869094514</v>
      </c>
      <c r="E127" s="46">
        <f t="shared" si="7"/>
        <v>3365.1479829498221</v>
      </c>
      <c r="F127" s="42">
        <f t="shared" si="8"/>
        <v>0</v>
      </c>
      <c r="G127" s="44">
        <f t="shared" si="9"/>
        <v>1709166.3880618718</v>
      </c>
    </row>
    <row r="128" spans="1:7" x14ac:dyDescent="0.2">
      <c r="A128" s="35"/>
      <c r="B128" s="35">
        <v>117</v>
      </c>
      <c r="C128" s="44">
        <f t="shared" si="5"/>
        <v>12641.360469859274</v>
      </c>
      <c r="D128" s="45">
        <f t="shared" si="6"/>
        <v>9257.9846020018049</v>
      </c>
      <c r="E128" s="46">
        <f t="shared" si="7"/>
        <v>3383.3758678574686</v>
      </c>
      <c r="F128" s="42">
        <f t="shared" si="8"/>
        <v>0</v>
      </c>
      <c r="G128" s="44">
        <f t="shared" si="9"/>
        <v>1705783.0121940144</v>
      </c>
    </row>
    <row r="129" spans="1:7" x14ac:dyDescent="0.2">
      <c r="A129" s="35"/>
      <c r="B129" s="35">
        <v>118</v>
      </c>
      <c r="C129" s="44">
        <f t="shared" si="5"/>
        <v>12641.360469859274</v>
      </c>
      <c r="D129" s="45">
        <f t="shared" si="6"/>
        <v>9239.6579827175774</v>
      </c>
      <c r="E129" s="46">
        <f t="shared" si="7"/>
        <v>3401.7024871416961</v>
      </c>
      <c r="F129" s="42">
        <f t="shared" si="8"/>
        <v>0</v>
      </c>
      <c r="G129" s="44">
        <f t="shared" si="9"/>
        <v>1702381.3097068728</v>
      </c>
    </row>
    <row r="130" spans="1:7" x14ac:dyDescent="0.2">
      <c r="A130" s="35"/>
      <c r="B130" s="35">
        <v>119</v>
      </c>
      <c r="C130" s="44">
        <f t="shared" si="5"/>
        <v>12641.360469859274</v>
      </c>
      <c r="D130" s="45">
        <f t="shared" si="6"/>
        <v>9221.2320942455608</v>
      </c>
      <c r="E130" s="46">
        <f t="shared" si="7"/>
        <v>3420.1283756137127</v>
      </c>
      <c r="F130" s="42">
        <f t="shared" si="8"/>
        <v>0</v>
      </c>
      <c r="G130" s="44">
        <f t="shared" si="9"/>
        <v>1698961.1813312592</v>
      </c>
    </row>
    <row r="131" spans="1:7" x14ac:dyDescent="0.2">
      <c r="A131" s="47"/>
      <c r="B131" s="47">
        <v>120</v>
      </c>
      <c r="C131" s="48">
        <f t="shared" si="5"/>
        <v>12641.360469859274</v>
      </c>
      <c r="D131" s="49">
        <f t="shared" si="6"/>
        <v>9202.7063988776536</v>
      </c>
      <c r="E131" s="50">
        <f t="shared" si="7"/>
        <v>3438.65407098162</v>
      </c>
      <c r="F131" s="51">
        <f t="shared" si="8"/>
        <v>0</v>
      </c>
      <c r="G131" s="48">
        <f t="shared" si="9"/>
        <v>1695522.5272602777</v>
      </c>
    </row>
    <row r="132" spans="1:7" x14ac:dyDescent="0.2">
      <c r="A132" s="35"/>
      <c r="B132" s="35">
        <v>121</v>
      </c>
      <c r="C132" s="44">
        <f t="shared" si="5"/>
        <v>12641.360469859274</v>
      </c>
      <c r="D132" s="45">
        <f t="shared" si="6"/>
        <v>9184.0803559931701</v>
      </c>
      <c r="E132" s="46">
        <f t="shared" si="7"/>
        <v>3457.2801138661034</v>
      </c>
      <c r="F132" s="42">
        <f t="shared" si="8"/>
        <v>0</v>
      </c>
      <c r="G132" s="44">
        <f t="shared" si="9"/>
        <v>1692065.2471464116</v>
      </c>
    </row>
    <row r="133" spans="1:7" x14ac:dyDescent="0.2">
      <c r="A133" s="35"/>
      <c r="B133" s="35">
        <v>122</v>
      </c>
      <c r="C133" s="44">
        <f t="shared" si="5"/>
        <v>12641.360469859274</v>
      </c>
      <c r="D133" s="45">
        <f t="shared" si="6"/>
        <v>9165.3534220430629</v>
      </c>
      <c r="E133" s="46">
        <f t="shared" si="7"/>
        <v>3476.0070478162106</v>
      </c>
      <c r="F133" s="42">
        <f t="shared" si="8"/>
        <v>0</v>
      </c>
      <c r="G133" s="44">
        <f t="shared" si="9"/>
        <v>1688589.2400985954</v>
      </c>
    </row>
    <row r="134" spans="1:7" x14ac:dyDescent="0.2">
      <c r="A134" s="35"/>
      <c r="B134" s="35">
        <v>123</v>
      </c>
      <c r="C134" s="44">
        <f t="shared" si="5"/>
        <v>12641.360469859274</v>
      </c>
      <c r="D134" s="45">
        <f t="shared" si="6"/>
        <v>9146.5250505340591</v>
      </c>
      <c r="E134" s="46">
        <f t="shared" si="7"/>
        <v>3494.8354193252144</v>
      </c>
      <c r="F134" s="42">
        <f t="shared" si="8"/>
        <v>0</v>
      </c>
      <c r="G134" s="44">
        <f t="shared" si="9"/>
        <v>1685094.4046792702</v>
      </c>
    </row>
    <row r="135" spans="1:7" x14ac:dyDescent="0.2">
      <c r="A135" s="35"/>
      <c r="B135" s="35">
        <v>124</v>
      </c>
      <c r="C135" s="44">
        <f t="shared" si="5"/>
        <v>12641.360469859274</v>
      </c>
      <c r="D135" s="45">
        <f t="shared" si="6"/>
        <v>9127.5946920127135</v>
      </c>
      <c r="E135" s="46">
        <f t="shared" si="7"/>
        <v>3513.76577784656</v>
      </c>
      <c r="F135" s="42">
        <f t="shared" si="8"/>
        <v>0</v>
      </c>
      <c r="G135" s="44">
        <f t="shared" si="9"/>
        <v>1681580.6389014237</v>
      </c>
    </row>
    <row r="136" spans="1:7" x14ac:dyDescent="0.2">
      <c r="A136" s="35"/>
      <c r="B136" s="35">
        <v>125</v>
      </c>
      <c r="C136" s="44">
        <f t="shared" si="5"/>
        <v>12641.360469859274</v>
      </c>
      <c r="D136" s="45">
        <f t="shared" si="6"/>
        <v>9108.5617940493794</v>
      </c>
      <c r="E136" s="46">
        <f t="shared" si="7"/>
        <v>3532.7986758098941</v>
      </c>
      <c r="F136" s="42">
        <f t="shared" si="8"/>
        <v>0</v>
      </c>
      <c r="G136" s="44">
        <f t="shared" si="9"/>
        <v>1678047.8402256137</v>
      </c>
    </row>
    <row r="137" spans="1:7" x14ac:dyDescent="0.2">
      <c r="A137" s="35"/>
      <c r="B137" s="35">
        <v>126</v>
      </c>
      <c r="C137" s="44">
        <f t="shared" si="5"/>
        <v>12641.360469859274</v>
      </c>
      <c r="D137" s="45">
        <f t="shared" si="6"/>
        <v>9089.4258012220744</v>
      </c>
      <c r="E137" s="46">
        <f t="shared" si="7"/>
        <v>3551.9346686371991</v>
      </c>
      <c r="F137" s="42">
        <f t="shared" si="8"/>
        <v>0</v>
      </c>
      <c r="G137" s="44">
        <f t="shared" si="9"/>
        <v>1674495.9055569766</v>
      </c>
    </row>
    <row r="138" spans="1:7" x14ac:dyDescent="0.2">
      <c r="A138" s="35"/>
      <c r="B138" s="35">
        <v>127</v>
      </c>
      <c r="C138" s="44">
        <f t="shared" si="5"/>
        <v>12641.360469859274</v>
      </c>
      <c r="D138" s="45">
        <f t="shared" si="6"/>
        <v>9070.1861551002894</v>
      </c>
      <c r="E138" s="46">
        <f t="shared" si="7"/>
        <v>3571.1743147589841</v>
      </c>
      <c r="F138" s="42">
        <f t="shared" si="8"/>
        <v>0</v>
      </c>
      <c r="G138" s="44">
        <f t="shared" si="9"/>
        <v>1670924.7312422176</v>
      </c>
    </row>
    <row r="139" spans="1:7" x14ac:dyDescent="0.2">
      <c r="A139" s="35"/>
      <c r="B139" s="35">
        <v>128</v>
      </c>
      <c r="C139" s="44">
        <f t="shared" si="5"/>
        <v>12641.360469859274</v>
      </c>
      <c r="D139" s="45">
        <f t="shared" si="6"/>
        <v>9050.8422942286797</v>
      </c>
      <c r="E139" s="46">
        <f t="shared" si="7"/>
        <v>3590.5181756305938</v>
      </c>
      <c r="F139" s="42">
        <f t="shared" si="8"/>
        <v>0</v>
      </c>
      <c r="G139" s="44">
        <f t="shared" si="9"/>
        <v>1667334.213066587</v>
      </c>
    </row>
    <row r="140" spans="1:7" x14ac:dyDescent="0.2">
      <c r="A140" s="35"/>
      <c r="B140" s="35">
        <v>129</v>
      </c>
      <c r="C140" s="44">
        <f t="shared" si="5"/>
        <v>12641.360469859274</v>
      </c>
      <c r="D140" s="45">
        <f t="shared" si="6"/>
        <v>9031.3936541106796</v>
      </c>
      <c r="E140" s="46">
        <f t="shared" si="7"/>
        <v>3609.9668157485939</v>
      </c>
      <c r="F140" s="42">
        <f t="shared" si="8"/>
        <v>0</v>
      </c>
      <c r="G140" s="44">
        <f t="shared" si="9"/>
        <v>1663724.2462508385</v>
      </c>
    </row>
    <row r="141" spans="1:7" x14ac:dyDescent="0.2">
      <c r="A141" s="35"/>
      <c r="B141" s="35">
        <v>130</v>
      </c>
      <c r="C141" s="44">
        <f t="shared" ref="C141:C204" si="10">PMT($D$4/$D$7,$D$8,-$D$3)</f>
        <v>12641.360469859274</v>
      </c>
      <c r="D141" s="45">
        <f t="shared" ref="D141:D204" si="11">G140*($D$4/$D$7)</f>
        <v>9011.8396671920418</v>
      </c>
      <c r="E141" s="46">
        <f t="shared" ref="E141:E204" si="12">C141-D141</f>
        <v>3629.5208026672317</v>
      </c>
      <c r="F141" s="42">
        <f t="shared" ref="F141:F204" si="13">$D$5</f>
        <v>0</v>
      </c>
      <c r="G141" s="44">
        <f t="shared" ref="G141:G204" si="14">G140-E141-F141</f>
        <v>1660094.7254481714</v>
      </c>
    </row>
    <row r="142" spans="1:7" x14ac:dyDescent="0.2">
      <c r="A142" s="35"/>
      <c r="B142" s="35">
        <v>131</v>
      </c>
      <c r="C142" s="44">
        <f t="shared" si="10"/>
        <v>12641.360469859274</v>
      </c>
      <c r="D142" s="45">
        <f t="shared" si="11"/>
        <v>8992.1797628442619</v>
      </c>
      <c r="E142" s="46">
        <f t="shared" si="12"/>
        <v>3649.1807070150116</v>
      </c>
      <c r="F142" s="42">
        <f t="shared" si="13"/>
        <v>0</v>
      </c>
      <c r="G142" s="44">
        <f t="shared" si="14"/>
        <v>1656445.5447411563</v>
      </c>
    </row>
    <row r="143" spans="1:7" x14ac:dyDescent="0.2">
      <c r="A143" s="35"/>
      <c r="B143" s="35">
        <v>132</v>
      </c>
      <c r="C143" s="44">
        <f t="shared" si="10"/>
        <v>12641.360469859274</v>
      </c>
      <c r="D143" s="45">
        <f t="shared" si="11"/>
        <v>8972.41336734793</v>
      </c>
      <c r="E143" s="46">
        <f t="shared" si="12"/>
        <v>3668.9471025113435</v>
      </c>
      <c r="F143" s="42">
        <f t="shared" si="13"/>
        <v>0</v>
      </c>
      <c r="G143" s="44">
        <f t="shared" si="14"/>
        <v>1652776.597638645</v>
      </c>
    </row>
    <row r="144" spans="1:7" x14ac:dyDescent="0.2">
      <c r="A144" s="35"/>
      <c r="B144" s="35">
        <v>133</v>
      </c>
      <c r="C144" s="44">
        <f t="shared" si="10"/>
        <v>12641.360469859274</v>
      </c>
      <c r="D144" s="45">
        <f t="shared" si="11"/>
        <v>8952.5399038759933</v>
      </c>
      <c r="E144" s="46">
        <f t="shared" si="12"/>
        <v>3688.8205659832802</v>
      </c>
      <c r="F144" s="42">
        <f t="shared" si="13"/>
        <v>0</v>
      </c>
      <c r="G144" s="44">
        <f t="shared" si="14"/>
        <v>1649087.7770726618</v>
      </c>
    </row>
    <row r="145" spans="1:7" x14ac:dyDescent="0.2">
      <c r="A145" s="35"/>
      <c r="B145" s="35">
        <v>134</v>
      </c>
      <c r="C145" s="44">
        <f t="shared" si="10"/>
        <v>12641.360469859274</v>
      </c>
      <c r="D145" s="45">
        <f t="shared" si="11"/>
        <v>8932.5587924769188</v>
      </c>
      <c r="E145" s="46">
        <f t="shared" si="12"/>
        <v>3708.8016773823547</v>
      </c>
      <c r="F145" s="42">
        <f t="shared" si="13"/>
        <v>0</v>
      </c>
      <c r="G145" s="44">
        <f t="shared" si="14"/>
        <v>1645378.9753952795</v>
      </c>
    </row>
    <row r="146" spans="1:7" x14ac:dyDescent="0.2">
      <c r="A146" s="35"/>
      <c r="B146" s="35">
        <v>135</v>
      </c>
      <c r="C146" s="44">
        <f t="shared" si="10"/>
        <v>12641.360469859274</v>
      </c>
      <c r="D146" s="45">
        <f t="shared" si="11"/>
        <v>8912.4694500577643</v>
      </c>
      <c r="E146" s="46">
        <f t="shared" si="12"/>
        <v>3728.8910198015092</v>
      </c>
      <c r="F146" s="42">
        <f t="shared" si="13"/>
        <v>0</v>
      </c>
      <c r="G146" s="44">
        <f t="shared" si="14"/>
        <v>1641650.0843754779</v>
      </c>
    </row>
    <row r="147" spans="1:7" x14ac:dyDescent="0.2">
      <c r="A147" s="35"/>
      <c r="B147" s="35">
        <v>136</v>
      </c>
      <c r="C147" s="44">
        <f t="shared" si="10"/>
        <v>12641.360469859274</v>
      </c>
      <c r="D147" s="45">
        <f t="shared" si="11"/>
        <v>8892.2712903671727</v>
      </c>
      <c r="E147" s="46">
        <f t="shared" si="12"/>
        <v>3749.0891794921008</v>
      </c>
      <c r="F147" s="42">
        <f t="shared" si="13"/>
        <v>0</v>
      </c>
      <c r="G147" s="44">
        <f t="shared" si="14"/>
        <v>1637900.9951959858</v>
      </c>
    </row>
    <row r="148" spans="1:7" x14ac:dyDescent="0.2">
      <c r="A148" s="35"/>
      <c r="B148" s="35">
        <v>137</v>
      </c>
      <c r="C148" s="44">
        <f t="shared" si="10"/>
        <v>12641.360469859274</v>
      </c>
      <c r="D148" s="45">
        <f t="shared" si="11"/>
        <v>8871.9637239782569</v>
      </c>
      <c r="E148" s="46">
        <f t="shared" si="12"/>
        <v>3769.3967458810166</v>
      </c>
      <c r="F148" s="42">
        <f t="shared" si="13"/>
        <v>0</v>
      </c>
      <c r="G148" s="44">
        <f t="shared" si="14"/>
        <v>1634131.5984501047</v>
      </c>
    </row>
    <row r="149" spans="1:7" x14ac:dyDescent="0.2">
      <c r="A149" s="35"/>
      <c r="B149" s="35">
        <v>138</v>
      </c>
      <c r="C149" s="44">
        <f t="shared" si="10"/>
        <v>12641.360469859274</v>
      </c>
      <c r="D149" s="45">
        <f t="shared" si="11"/>
        <v>8851.5461582714015</v>
      </c>
      <c r="E149" s="46">
        <f t="shared" si="12"/>
        <v>3789.814311587872</v>
      </c>
      <c r="F149" s="42">
        <f t="shared" si="13"/>
        <v>0</v>
      </c>
      <c r="G149" s="44">
        <f t="shared" si="14"/>
        <v>1630341.7841385168</v>
      </c>
    </row>
    <row r="150" spans="1:7" x14ac:dyDescent="0.2">
      <c r="A150" s="35"/>
      <c r="B150" s="35">
        <v>139</v>
      </c>
      <c r="C150" s="44">
        <f t="shared" si="10"/>
        <v>12641.360469859274</v>
      </c>
      <c r="D150" s="45">
        <f t="shared" si="11"/>
        <v>8831.017997416966</v>
      </c>
      <c r="E150" s="46">
        <f t="shared" si="12"/>
        <v>3810.3424724423076</v>
      </c>
      <c r="F150" s="42">
        <f t="shared" si="13"/>
        <v>0</v>
      </c>
      <c r="G150" s="44">
        <f t="shared" si="14"/>
        <v>1626531.4416660746</v>
      </c>
    </row>
    <row r="151" spans="1:7" x14ac:dyDescent="0.2">
      <c r="A151" s="35"/>
      <c r="B151" s="35">
        <v>140</v>
      </c>
      <c r="C151" s="44">
        <f t="shared" si="10"/>
        <v>12641.360469859274</v>
      </c>
      <c r="D151" s="45">
        <f t="shared" si="11"/>
        <v>8810.378642357904</v>
      </c>
      <c r="E151" s="46">
        <f t="shared" si="12"/>
        <v>3830.9818275013695</v>
      </c>
      <c r="F151" s="42">
        <f t="shared" si="13"/>
        <v>0</v>
      </c>
      <c r="G151" s="44">
        <f t="shared" si="14"/>
        <v>1622700.4598385731</v>
      </c>
    </row>
    <row r="152" spans="1:7" x14ac:dyDescent="0.2">
      <c r="A152" s="35"/>
      <c r="B152" s="35">
        <v>141</v>
      </c>
      <c r="C152" s="44">
        <f t="shared" si="10"/>
        <v>12641.360469859274</v>
      </c>
      <c r="D152" s="45">
        <f t="shared" si="11"/>
        <v>8789.6274907922707</v>
      </c>
      <c r="E152" s="46">
        <f t="shared" si="12"/>
        <v>3851.7329790670028</v>
      </c>
      <c r="F152" s="42">
        <f t="shared" si="13"/>
        <v>0</v>
      </c>
      <c r="G152" s="44">
        <f t="shared" si="14"/>
        <v>1618848.7268595062</v>
      </c>
    </row>
    <row r="153" spans="1:7" x14ac:dyDescent="0.2">
      <c r="A153" s="35"/>
      <c r="B153" s="35">
        <v>142</v>
      </c>
      <c r="C153" s="44">
        <f t="shared" si="10"/>
        <v>12641.360469859274</v>
      </c>
      <c r="D153" s="45">
        <f t="shared" si="11"/>
        <v>8768.7639371556597</v>
      </c>
      <c r="E153" s="46">
        <f t="shared" si="12"/>
        <v>3872.5965327036138</v>
      </c>
      <c r="F153" s="42">
        <f t="shared" si="13"/>
        <v>0</v>
      </c>
      <c r="G153" s="44">
        <f t="shared" si="14"/>
        <v>1614976.1303268026</v>
      </c>
    </row>
    <row r="154" spans="1:7" x14ac:dyDescent="0.2">
      <c r="A154" s="35"/>
      <c r="B154" s="35">
        <v>143</v>
      </c>
      <c r="C154" s="44">
        <f t="shared" si="10"/>
        <v>12641.360469859274</v>
      </c>
      <c r="D154" s="45">
        <f t="shared" si="11"/>
        <v>8747.7873726035141</v>
      </c>
      <c r="E154" s="46">
        <f t="shared" si="12"/>
        <v>3893.5730972557594</v>
      </c>
      <c r="F154" s="42">
        <f t="shared" si="13"/>
        <v>0</v>
      </c>
      <c r="G154" s="44">
        <f t="shared" si="14"/>
        <v>1611082.5572295468</v>
      </c>
    </row>
    <row r="155" spans="1:7" x14ac:dyDescent="0.2">
      <c r="A155" s="35"/>
      <c r="B155" s="35">
        <v>144</v>
      </c>
      <c r="C155" s="44">
        <f t="shared" si="10"/>
        <v>12641.360469859274</v>
      </c>
      <c r="D155" s="45">
        <f t="shared" si="11"/>
        <v>8726.6971849933798</v>
      </c>
      <c r="E155" s="46">
        <f t="shared" si="12"/>
        <v>3914.6632848658937</v>
      </c>
      <c r="F155" s="42">
        <f t="shared" si="13"/>
        <v>0</v>
      </c>
      <c r="G155" s="44">
        <f t="shared" si="14"/>
        <v>1607167.8939446809</v>
      </c>
    </row>
    <row r="156" spans="1:7" x14ac:dyDescent="0.2">
      <c r="A156" s="35"/>
      <c r="B156" s="35">
        <v>145</v>
      </c>
      <c r="C156" s="44">
        <f t="shared" si="10"/>
        <v>12641.360469859274</v>
      </c>
      <c r="D156" s="45">
        <f t="shared" si="11"/>
        <v>8705.4927588670216</v>
      </c>
      <c r="E156" s="46">
        <f t="shared" si="12"/>
        <v>3935.8677109922519</v>
      </c>
      <c r="F156" s="42">
        <f t="shared" si="13"/>
        <v>0</v>
      </c>
      <c r="G156" s="44">
        <f t="shared" si="14"/>
        <v>1603232.0262336887</v>
      </c>
    </row>
    <row r="157" spans="1:7" x14ac:dyDescent="0.2">
      <c r="A157" s="35"/>
      <c r="B157" s="35">
        <v>146</v>
      </c>
      <c r="C157" s="44">
        <f t="shared" si="10"/>
        <v>12641.360469859274</v>
      </c>
      <c r="D157" s="45">
        <f t="shared" si="11"/>
        <v>8684.1734754324807</v>
      </c>
      <c r="E157" s="46">
        <f t="shared" si="12"/>
        <v>3957.1869944267928</v>
      </c>
      <c r="F157" s="42">
        <f t="shared" si="13"/>
        <v>0</v>
      </c>
      <c r="G157" s="44">
        <f t="shared" si="14"/>
        <v>1599274.8392392618</v>
      </c>
    </row>
    <row r="158" spans="1:7" x14ac:dyDescent="0.2">
      <c r="A158" s="35"/>
      <c r="B158" s="35">
        <v>147</v>
      </c>
      <c r="C158" s="44">
        <f t="shared" si="10"/>
        <v>12641.360469859274</v>
      </c>
      <c r="D158" s="45">
        <f t="shared" si="11"/>
        <v>8662.7387125460009</v>
      </c>
      <c r="E158" s="46">
        <f t="shared" si="12"/>
        <v>3978.6217573132726</v>
      </c>
      <c r="F158" s="42">
        <f t="shared" si="13"/>
        <v>0</v>
      </c>
      <c r="G158" s="44">
        <f t="shared" si="14"/>
        <v>1595296.2174819484</v>
      </c>
    </row>
    <row r="159" spans="1:7" x14ac:dyDescent="0.2">
      <c r="A159" s="35"/>
      <c r="B159" s="35">
        <v>148</v>
      </c>
      <c r="C159" s="44">
        <f t="shared" si="10"/>
        <v>12641.360469859274</v>
      </c>
      <c r="D159" s="45">
        <f t="shared" si="11"/>
        <v>8641.1878446938881</v>
      </c>
      <c r="E159" s="46">
        <f t="shared" si="12"/>
        <v>4000.1726251653854</v>
      </c>
      <c r="F159" s="42">
        <f t="shared" si="13"/>
        <v>0</v>
      </c>
      <c r="G159" s="44">
        <f t="shared" si="14"/>
        <v>1591296.044856783</v>
      </c>
    </row>
    <row r="160" spans="1:7" x14ac:dyDescent="0.2">
      <c r="A160" s="35"/>
      <c r="B160" s="35">
        <v>149</v>
      </c>
      <c r="C160" s="44">
        <f t="shared" si="10"/>
        <v>12641.360469859274</v>
      </c>
      <c r="D160" s="45">
        <f t="shared" si="11"/>
        <v>8619.5202429742421</v>
      </c>
      <c r="E160" s="46">
        <f t="shared" si="12"/>
        <v>4021.8402268850314</v>
      </c>
      <c r="F160" s="42">
        <f t="shared" si="13"/>
        <v>0</v>
      </c>
      <c r="G160" s="44">
        <f t="shared" si="14"/>
        <v>1587274.2046298981</v>
      </c>
    </row>
    <row r="161" spans="1:7" x14ac:dyDescent="0.2">
      <c r="A161" s="35"/>
      <c r="B161" s="35">
        <v>150</v>
      </c>
      <c r="C161" s="44">
        <f t="shared" si="10"/>
        <v>12641.360469859274</v>
      </c>
      <c r="D161" s="45">
        <f t="shared" si="11"/>
        <v>8597.735275078614</v>
      </c>
      <c r="E161" s="46">
        <f t="shared" si="12"/>
        <v>4043.6251947806595</v>
      </c>
      <c r="F161" s="42">
        <f t="shared" si="13"/>
        <v>0</v>
      </c>
      <c r="G161" s="44">
        <f t="shared" si="14"/>
        <v>1583230.5794351173</v>
      </c>
    </row>
    <row r="162" spans="1:7" x14ac:dyDescent="0.2">
      <c r="A162" s="35"/>
      <c r="B162" s="35">
        <v>151</v>
      </c>
      <c r="C162" s="44">
        <f t="shared" si="10"/>
        <v>12641.360469859274</v>
      </c>
      <c r="D162" s="45">
        <f t="shared" si="11"/>
        <v>8575.8323052735523</v>
      </c>
      <c r="E162" s="46">
        <f t="shared" si="12"/>
        <v>4065.5281645857212</v>
      </c>
      <c r="F162" s="42">
        <f t="shared" si="13"/>
        <v>0</v>
      </c>
      <c r="G162" s="44">
        <f t="shared" si="14"/>
        <v>1579165.0512705315</v>
      </c>
    </row>
    <row r="163" spans="1:7" x14ac:dyDescent="0.2">
      <c r="A163" s="35"/>
      <c r="B163" s="35">
        <v>152</v>
      </c>
      <c r="C163" s="44">
        <f t="shared" si="10"/>
        <v>12641.360469859274</v>
      </c>
      <c r="D163" s="45">
        <f t="shared" si="11"/>
        <v>8553.8106943820458</v>
      </c>
      <c r="E163" s="46">
        <f t="shared" si="12"/>
        <v>4087.5497754772277</v>
      </c>
      <c r="F163" s="42">
        <f t="shared" si="13"/>
        <v>0</v>
      </c>
      <c r="G163" s="44">
        <f t="shared" si="14"/>
        <v>1575077.5014950542</v>
      </c>
    </row>
    <row r="164" spans="1:7" x14ac:dyDescent="0.2">
      <c r="A164" s="35"/>
      <c r="B164" s="35">
        <v>153</v>
      </c>
      <c r="C164" s="44">
        <f t="shared" si="10"/>
        <v>12641.360469859274</v>
      </c>
      <c r="D164" s="45">
        <f t="shared" si="11"/>
        <v>8531.6697997648771</v>
      </c>
      <c r="E164" s="46">
        <f t="shared" si="12"/>
        <v>4109.6906700943964</v>
      </c>
      <c r="F164" s="42">
        <f t="shared" si="13"/>
        <v>0</v>
      </c>
      <c r="G164" s="44">
        <f t="shared" si="14"/>
        <v>1570967.8108249598</v>
      </c>
    </row>
    <row r="165" spans="1:7" x14ac:dyDescent="0.2">
      <c r="A165" s="35"/>
      <c r="B165" s="35">
        <v>154</v>
      </c>
      <c r="C165" s="44">
        <f t="shared" si="10"/>
        <v>12641.360469859274</v>
      </c>
      <c r="D165" s="45">
        <f t="shared" si="11"/>
        <v>8509.4089753018652</v>
      </c>
      <c r="E165" s="46">
        <f t="shared" si="12"/>
        <v>4131.9514945574083</v>
      </c>
      <c r="F165" s="42">
        <f t="shared" si="13"/>
        <v>0</v>
      </c>
      <c r="G165" s="44">
        <f t="shared" si="14"/>
        <v>1566835.8593304025</v>
      </c>
    </row>
    <row r="166" spans="1:7" x14ac:dyDescent="0.2">
      <c r="A166" s="35"/>
      <c r="B166" s="35">
        <v>155</v>
      </c>
      <c r="C166" s="44">
        <f t="shared" si="10"/>
        <v>12641.360469859274</v>
      </c>
      <c r="D166" s="45">
        <f t="shared" si="11"/>
        <v>8487.0275713730134</v>
      </c>
      <c r="E166" s="46">
        <f t="shared" si="12"/>
        <v>4154.3328984862601</v>
      </c>
      <c r="F166" s="42">
        <f t="shared" si="13"/>
        <v>0</v>
      </c>
      <c r="G166" s="44">
        <f t="shared" si="14"/>
        <v>1562681.5264319163</v>
      </c>
    </row>
    <row r="167" spans="1:7" x14ac:dyDescent="0.2">
      <c r="A167" s="35"/>
      <c r="B167" s="35">
        <v>156</v>
      </c>
      <c r="C167" s="44">
        <f t="shared" si="10"/>
        <v>12641.360469859274</v>
      </c>
      <c r="D167" s="45">
        <f t="shared" si="11"/>
        <v>8464.5249348395464</v>
      </c>
      <c r="E167" s="46">
        <f t="shared" si="12"/>
        <v>4176.8355350197271</v>
      </c>
      <c r="F167" s="42">
        <f t="shared" si="13"/>
        <v>0</v>
      </c>
      <c r="G167" s="44">
        <f t="shared" si="14"/>
        <v>1558504.6908968966</v>
      </c>
    </row>
    <row r="168" spans="1:7" x14ac:dyDescent="0.2">
      <c r="A168" s="35"/>
      <c r="B168" s="35">
        <v>157</v>
      </c>
      <c r="C168" s="44">
        <f t="shared" si="10"/>
        <v>12641.360469859274</v>
      </c>
      <c r="D168" s="45">
        <f t="shared" si="11"/>
        <v>8441.9004090248563</v>
      </c>
      <c r="E168" s="46">
        <f t="shared" si="12"/>
        <v>4199.4600608344172</v>
      </c>
      <c r="F168" s="42">
        <f t="shared" si="13"/>
        <v>0</v>
      </c>
      <c r="G168" s="44">
        <f t="shared" si="14"/>
        <v>1554305.2308360622</v>
      </c>
    </row>
    <row r="169" spans="1:7" x14ac:dyDescent="0.2">
      <c r="A169" s="35"/>
      <c r="B169" s="35">
        <v>158</v>
      </c>
      <c r="C169" s="44">
        <f t="shared" si="10"/>
        <v>12641.360469859274</v>
      </c>
      <c r="D169" s="45">
        <f t="shared" si="11"/>
        <v>8419.153333695338</v>
      </c>
      <c r="E169" s="46">
        <f t="shared" si="12"/>
        <v>4222.2071361639355</v>
      </c>
      <c r="F169" s="42">
        <f t="shared" si="13"/>
        <v>0</v>
      </c>
      <c r="G169" s="44">
        <f t="shared" si="14"/>
        <v>1550083.0236998983</v>
      </c>
    </row>
    <row r="170" spans="1:7" x14ac:dyDescent="0.2">
      <c r="A170" s="35"/>
      <c r="B170" s="35">
        <v>159</v>
      </c>
      <c r="C170" s="44">
        <f t="shared" si="10"/>
        <v>12641.360469859274</v>
      </c>
      <c r="D170" s="45">
        <f t="shared" si="11"/>
        <v>8396.2830450411166</v>
      </c>
      <c r="E170" s="46">
        <f t="shared" si="12"/>
        <v>4245.0774248181569</v>
      </c>
      <c r="F170" s="42">
        <f t="shared" si="13"/>
        <v>0</v>
      </c>
      <c r="G170" s="44">
        <f t="shared" si="14"/>
        <v>1545837.9462750801</v>
      </c>
    </row>
    <row r="171" spans="1:7" x14ac:dyDescent="0.2">
      <c r="A171" s="35"/>
      <c r="B171" s="35">
        <v>160</v>
      </c>
      <c r="C171" s="44">
        <f t="shared" si="10"/>
        <v>12641.360469859274</v>
      </c>
      <c r="D171" s="45">
        <f t="shared" si="11"/>
        <v>8373.2888756566845</v>
      </c>
      <c r="E171" s="46">
        <f t="shared" si="12"/>
        <v>4268.071594202589</v>
      </c>
      <c r="F171" s="42">
        <f t="shared" si="13"/>
        <v>0</v>
      </c>
      <c r="G171" s="44">
        <f t="shared" si="14"/>
        <v>1541569.8746808774</v>
      </c>
    </row>
    <row r="172" spans="1:7" x14ac:dyDescent="0.2">
      <c r="A172" s="35"/>
      <c r="B172" s="35">
        <v>161</v>
      </c>
      <c r="C172" s="44">
        <f t="shared" si="10"/>
        <v>12641.360469859274</v>
      </c>
      <c r="D172" s="45">
        <f t="shared" si="11"/>
        <v>8350.17015452142</v>
      </c>
      <c r="E172" s="46">
        <f t="shared" si="12"/>
        <v>4291.1903153378535</v>
      </c>
      <c r="F172" s="42">
        <f t="shared" si="13"/>
        <v>0</v>
      </c>
      <c r="G172" s="44">
        <f t="shared" si="14"/>
        <v>1537278.6843655396</v>
      </c>
    </row>
    <row r="173" spans="1:7" x14ac:dyDescent="0.2">
      <c r="A173" s="35"/>
      <c r="B173" s="35">
        <v>162</v>
      </c>
      <c r="C173" s="44">
        <f t="shared" si="10"/>
        <v>12641.360469859274</v>
      </c>
      <c r="D173" s="45">
        <f t="shared" si="11"/>
        <v>8326.9262069800061</v>
      </c>
      <c r="E173" s="46">
        <f t="shared" si="12"/>
        <v>4314.4342628792674</v>
      </c>
      <c r="F173" s="42">
        <f t="shared" si="13"/>
        <v>0</v>
      </c>
      <c r="G173" s="44">
        <f t="shared" si="14"/>
        <v>1532964.2501026604</v>
      </c>
    </row>
    <row r="174" spans="1:7" x14ac:dyDescent="0.2">
      <c r="A174" s="35"/>
      <c r="B174" s="35">
        <v>163</v>
      </c>
      <c r="C174" s="44">
        <f t="shared" si="10"/>
        <v>12641.360469859274</v>
      </c>
      <c r="D174" s="45">
        <f t="shared" si="11"/>
        <v>8303.5563547227448</v>
      </c>
      <c r="E174" s="46">
        <f t="shared" si="12"/>
        <v>4337.8041151365287</v>
      </c>
      <c r="F174" s="42">
        <f t="shared" si="13"/>
        <v>0</v>
      </c>
      <c r="G174" s="44">
        <f t="shared" si="14"/>
        <v>1528626.4459875238</v>
      </c>
    </row>
    <row r="175" spans="1:7" x14ac:dyDescent="0.2">
      <c r="A175" s="35"/>
      <c r="B175" s="35">
        <v>164</v>
      </c>
      <c r="C175" s="44">
        <f t="shared" si="10"/>
        <v>12641.360469859274</v>
      </c>
      <c r="D175" s="45">
        <f t="shared" si="11"/>
        <v>8280.0599157657543</v>
      </c>
      <c r="E175" s="46">
        <f t="shared" si="12"/>
        <v>4361.3005540935192</v>
      </c>
      <c r="F175" s="42">
        <f t="shared" si="13"/>
        <v>0</v>
      </c>
      <c r="G175" s="44">
        <f t="shared" si="14"/>
        <v>1524265.1454334303</v>
      </c>
    </row>
    <row r="176" spans="1:7" x14ac:dyDescent="0.2">
      <c r="A176" s="35"/>
      <c r="B176" s="35">
        <v>165</v>
      </c>
      <c r="C176" s="44">
        <f t="shared" si="10"/>
        <v>12641.360469859274</v>
      </c>
      <c r="D176" s="45">
        <f t="shared" si="11"/>
        <v>8256.4362044310819</v>
      </c>
      <c r="E176" s="46">
        <f t="shared" si="12"/>
        <v>4384.9242654281916</v>
      </c>
      <c r="F176" s="42">
        <f t="shared" si="13"/>
        <v>0</v>
      </c>
      <c r="G176" s="44">
        <f t="shared" si="14"/>
        <v>1519880.2211680021</v>
      </c>
    </row>
    <row r="177" spans="1:7" x14ac:dyDescent="0.2">
      <c r="A177" s="35"/>
      <c r="B177" s="35">
        <v>166</v>
      </c>
      <c r="C177" s="44">
        <f t="shared" si="10"/>
        <v>12641.360469859274</v>
      </c>
      <c r="D177" s="45">
        <f t="shared" si="11"/>
        <v>8232.6845313266786</v>
      </c>
      <c r="E177" s="46">
        <f t="shared" si="12"/>
        <v>4408.675938532595</v>
      </c>
      <c r="F177" s="42">
        <f t="shared" si="13"/>
        <v>0</v>
      </c>
      <c r="G177" s="44">
        <f t="shared" si="14"/>
        <v>1515471.5452294694</v>
      </c>
    </row>
    <row r="178" spans="1:7" x14ac:dyDescent="0.2">
      <c r="A178" s="35"/>
      <c r="B178" s="35">
        <v>167</v>
      </c>
      <c r="C178" s="44">
        <f t="shared" si="10"/>
        <v>12641.360469859274</v>
      </c>
      <c r="D178" s="45">
        <f t="shared" si="11"/>
        <v>8208.8042033262936</v>
      </c>
      <c r="E178" s="46">
        <f t="shared" si="12"/>
        <v>4432.5562665329799</v>
      </c>
      <c r="F178" s="42">
        <f t="shared" si="13"/>
        <v>0</v>
      </c>
      <c r="G178" s="44">
        <f t="shared" si="14"/>
        <v>1511038.9889629364</v>
      </c>
    </row>
    <row r="179" spans="1:7" x14ac:dyDescent="0.2">
      <c r="A179" s="35"/>
      <c r="B179" s="35">
        <v>168</v>
      </c>
      <c r="C179" s="44">
        <f t="shared" si="10"/>
        <v>12641.360469859274</v>
      </c>
      <c r="D179" s="45">
        <f t="shared" si="11"/>
        <v>8184.7945235492398</v>
      </c>
      <c r="E179" s="46">
        <f t="shared" si="12"/>
        <v>4456.5659463100337</v>
      </c>
      <c r="F179" s="42">
        <f t="shared" si="13"/>
        <v>0</v>
      </c>
      <c r="G179" s="44">
        <f t="shared" si="14"/>
        <v>1506582.4230166264</v>
      </c>
    </row>
    <row r="180" spans="1:7" x14ac:dyDescent="0.2">
      <c r="A180" s="35"/>
      <c r="B180" s="35">
        <v>169</v>
      </c>
      <c r="C180" s="44">
        <f t="shared" si="10"/>
        <v>12641.360469859274</v>
      </c>
      <c r="D180" s="45">
        <f t="shared" si="11"/>
        <v>8160.65479134006</v>
      </c>
      <c r="E180" s="46">
        <f t="shared" si="12"/>
        <v>4480.7056785192135</v>
      </c>
      <c r="F180" s="42">
        <f t="shared" si="13"/>
        <v>0</v>
      </c>
      <c r="G180" s="44">
        <f t="shared" si="14"/>
        <v>1502101.7173381071</v>
      </c>
    </row>
    <row r="181" spans="1:7" x14ac:dyDescent="0.2">
      <c r="A181" s="35"/>
      <c r="B181" s="35">
        <v>170</v>
      </c>
      <c r="C181" s="44">
        <f t="shared" si="10"/>
        <v>12641.360469859274</v>
      </c>
      <c r="D181" s="45">
        <f t="shared" si="11"/>
        <v>8136.3843022480805</v>
      </c>
      <c r="E181" s="46">
        <f t="shared" si="12"/>
        <v>4504.976167611193</v>
      </c>
      <c r="F181" s="42">
        <f t="shared" si="13"/>
        <v>0</v>
      </c>
      <c r="G181" s="44">
        <f t="shared" si="14"/>
        <v>1497596.741170496</v>
      </c>
    </row>
    <row r="182" spans="1:7" x14ac:dyDescent="0.2">
      <c r="A182" s="35"/>
      <c r="B182" s="35">
        <v>171</v>
      </c>
      <c r="C182" s="44">
        <f t="shared" si="10"/>
        <v>12641.360469859274</v>
      </c>
      <c r="D182" s="45">
        <f t="shared" si="11"/>
        <v>8111.9823480068535</v>
      </c>
      <c r="E182" s="46">
        <f t="shared" si="12"/>
        <v>4529.37812185242</v>
      </c>
      <c r="F182" s="42">
        <f t="shared" si="13"/>
        <v>0</v>
      </c>
      <c r="G182" s="44">
        <f t="shared" si="14"/>
        <v>1493067.3630486436</v>
      </c>
    </row>
    <row r="183" spans="1:7" x14ac:dyDescent="0.2">
      <c r="A183" s="35"/>
      <c r="B183" s="35">
        <v>172</v>
      </c>
      <c r="C183" s="44">
        <f t="shared" si="10"/>
        <v>12641.360469859274</v>
      </c>
      <c r="D183" s="45">
        <f t="shared" si="11"/>
        <v>8087.4482165134859</v>
      </c>
      <c r="E183" s="46">
        <f t="shared" si="12"/>
        <v>4553.9122533457876</v>
      </c>
      <c r="F183" s="42">
        <f t="shared" si="13"/>
        <v>0</v>
      </c>
      <c r="G183" s="44">
        <f t="shared" si="14"/>
        <v>1488513.4507952977</v>
      </c>
    </row>
    <row r="184" spans="1:7" x14ac:dyDescent="0.2">
      <c r="A184" s="35"/>
      <c r="B184" s="35">
        <v>173</v>
      </c>
      <c r="C184" s="44">
        <f t="shared" si="10"/>
        <v>12641.360469859274</v>
      </c>
      <c r="D184" s="45">
        <f t="shared" si="11"/>
        <v>8062.7811918078633</v>
      </c>
      <c r="E184" s="46">
        <f t="shared" si="12"/>
        <v>4578.5792780514103</v>
      </c>
      <c r="F184" s="42">
        <f t="shared" si="13"/>
        <v>0</v>
      </c>
      <c r="G184" s="44">
        <f t="shared" si="14"/>
        <v>1483934.8715172464</v>
      </c>
    </row>
    <row r="185" spans="1:7" x14ac:dyDescent="0.2">
      <c r="A185" s="35"/>
      <c r="B185" s="35">
        <v>174</v>
      </c>
      <c r="C185" s="44">
        <f t="shared" si="10"/>
        <v>12641.360469859274</v>
      </c>
      <c r="D185" s="45">
        <f t="shared" si="11"/>
        <v>8037.9805540517518</v>
      </c>
      <c r="E185" s="46">
        <f t="shared" si="12"/>
        <v>4603.3799158075217</v>
      </c>
      <c r="F185" s="42">
        <f t="shared" si="13"/>
        <v>0</v>
      </c>
      <c r="G185" s="44">
        <f t="shared" si="14"/>
        <v>1479331.4916014387</v>
      </c>
    </row>
    <row r="186" spans="1:7" x14ac:dyDescent="0.2">
      <c r="A186" s="35"/>
      <c r="B186" s="35">
        <v>175</v>
      </c>
      <c r="C186" s="44">
        <f t="shared" si="10"/>
        <v>12641.360469859274</v>
      </c>
      <c r="D186" s="45">
        <f t="shared" si="11"/>
        <v>8013.0455795077933</v>
      </c>
      <c r="E186" s="46">
        <f t="shared" si="12"/>
        <v>4628.3148903514802</v>
      </c>
      <c r="F186" s="42">
        <f t="shared" si="13"/>
        <v>0</v>
      </c>
      <c r="G186" s="44">
        <f t="shared" si="14"/>
        <v>1474703.1767110873</v>
      </c>
    </row>
    <row r="187" spans="1:7" x14ac:dyDescent="0.2">
      <c r="A187" s="35"/>
      <c r="B187" s="35">
        <v>176</v>
      </c>
      <c r="C187" s="44">
        <f t="shared" si="10"/>
        <v>12641.360469859274</v>
      </c>
      <c r="D187" s="45">
        <f t="shared" si="11"/>
        <v>7987.9755405183905</v>
      </c>
      <c r="E187" s="46">
        <f t="shared" si="12"/>
        <v>4653.384929340883</v>
      </c>
      <c r="F187" s="42">
        <f t="shared" si="13"/>
        <v>0</v>
      </c>
      <c r="G187" s="44">
        <f t="shared" si="14"/>
        <v>1470049.7917817465</v>
      </c>
    </row>
    <row r="188" spans="1:7" x14ac:dyDescent="0.2">
      <c r="A188" s="35"/>
      <c r="B188" s="35">
        <v>177</v>
      </c>
      <c r="C188" s="44">
        <f t="shared" si="10"/>
        <v>12641.360469859274</v>
      </c>
      <c r="D188" s="45">
        <f t="shared" si="11"/>
        <v>7962.7697054844612</v>
      </c>
      <c r="E188" s="46">
        <f t="shared" si="12"/>
        <v>4678.5907643748124</v>
      </c>
      <c r="F188" s="42">
        <f t="shared" si="13"/>
        <v>0</v>
      </c>
      <c r="G188" s="44">
        <f t="shared" si="14"/>
        <v>1465371.2010173718</v>
      </c>
    </row>
    <row r="189" spans="1:7" x14ac:dyDescent="0.2">
      <c r="A189" s="35"/>
      <c r="B189" s="35">
        <v>178</v>
      </c>
      <c r="C189" s="44">
        <f t="shared" si="10"/>
        <v>12641.360469859274</v>
      </c>
      <c r="D189" s="45">
        <f t="shared" si="11"/>
        <v>7937.4273388440979</v>
      </c>
      <c r="E189" s="46">
        <f t="shared" si="12"/>
        <v>4703.9331310151756</v>
      </c>
      <c r="F189" s="42">
        <f t="shared" si="13"/>
        <v>0</v>
      </c>
      <c r="G189" s="44">
        <f t="shared" si="14"/>
        <v>1460667.2678863567</v>
      </c>
    </row>
    <row r="190" spans="1:7" x14ac:dyDescent="0.2">
      <c r="A190" s="35"/>
      <c r="B190" s="35">
        <v>179</v>
      </c>
      <c r="C190" s="44">
        <f t="shared" si="10"/>
        <v>12641.360469859274</v>
      </c>
      <c r="D190" s="45">
        <f t="shared" si="11"/>
        <v>7911.9477010510991</v>
      </c>
      <c r="E190" s="46">
        <f t="shared" si="12"/>
        <v>4729.4127688081744</v>
      </c>
      <c r="F190" s="42">
        <f t="shared" si="13"/>
        <v>0</v>
      </c>
      <c r="G190" s="44">
        <f t="shared" si="14"/>
        <v>1455937.8551175485</v>
      </c>
    </row>
    <row r="191" spans="1:7" x14ac:dyDescent="0.2">
      <c r="A191" s="35"/>
      <c r="B191" s="35">
        <v>180</v>
      </c>
      <c r="C191" s="44">
        <f t="shared" si="10"/>
        <v>12641.360469859274</v>
      </c>
      <c r="D191" s="45">
        <f t="shared" si="11"/>
        <v>7886.3300485533882</v>
      </c>
      <c r="E191" s="46">
        <f t="shared" si="12"/>
        <v>4755.0304213058853</v>
      </c>
      <c r="F191" s="42">
        <f t="shared" si="13"/>
        <v>0</v>
      </c>
      <c r="G191" s="44">
        <f t="shared" si="14"/>
        <v>1451182.8246962426</v>
      </c>
    </row>
    <row r="192" spans="1:7" x14ac:dyDescent="0.2">
      <c r="A192" s="35"/>
      <c r="B192" s="35">
        <v>181</v>
      </c>
      <c r="C192" s="44">
        <f t="shared" si="10"/>
        <v>12641.360469859274</v>
      </c>
      <c r="D192" s="45">
        <f t="shared" si="11"/>
        <v>7860.5736337713142</v>
      </c>
      <c r="E192" s="46">
        <f t="shared" si="12"/>
        <v>4780.7868360879593</v>
      </c>
      <c r="F192" s="42">
        <f t="shared" si="13"/>
        <v>0</v>
      </c>
      <c r="G192" s="44">
        <f t="shared" si="14"/>
        <v>1446402.0378601546</v>
      </c>
    </row>
    <row r="193" spans="1:7" x14ac:dyDescent="0.2">
      <c r="A193" s="35"/>
      <c r="B193" s="35">
        <v>182</v>
      </c>
      <c r="C193" s="44">
        <f t="shared" si="10"/>
        <v>12641.360469859274</v>
      </c>
      <c r="D193" s="45">
        <f t="shared" si="11"/>
        <v>7834.6777050758383</v>
      </c>
      <c r="E193" s="46">
        <f t="shared" si="12"/>
        <v>4806.6827647834352</v>
      </c>
      <c r="F193" s="42">
        <f t="shared" si="13"/>
        <v>0</v>
      </c>
      <c r="G193" s="44">
        <f t="shared" si="14"/>
        <v>1441595.3550953711</v>
      </c>
    </row>
    <row r="194" spans="1:7" x14ac:dyDescent="0.2">
      <c r="A194" s="35"/>
      <c r="B194" s="35">
        <v>183</v>
      </c>
      <c r="C194" s="44">
        <f t="shared" si="10"/>
        <v>12641.360469859274</v>
      </c>
      <c r="D194" s="45">
        <f t="shared" si="11"/>
        <v>7808.6415067665939</v>
      </c>
      <c r="E194" s="46">
        <f t="shared" si="12"/>
        <v>4832.7189630926796</v>
      </c>
      <c r="F194" s="42">
        <f t="shared" si="13"/>
        <v>0</v>
      </c>
      <c r="G194" s="44">
        <f t="shared" si="14"/>
        <v>1436762.6361322785</v>
      </c>
    </row>
    <row r="195" spans="1:7" x14ac:dyDescent="0.2">
      <c r="A195" s="35"/>
      <c r="B195" s="35">
        <v>184</v>
      </c>
      <c r="C195" s="44">
        <f t="shared" si="10"/>
        <v>12641.360469859274</v>
      </c>
      <c r="D195" s="45">
        <f t="shared" si="11"/>
        <v>7782.4642790498419</v>
      </c>
      <c r="E195" s="46">
        <f t="shared" si="12"/>
        <v>4858.8961908094316</v>
      </c>
      <c r="F195" s="42">
        <f t="shared" si="13"/>
        <v>0</v>
      </c>
      <c r="G195" s="44">
        <f t="shared" si="14"/>
        <v>1431903.7399414692</v>
      </c>
    </row>
    <row r="196" spans="1:7" x14ac:dyDescent="0.2">
      <c r="A196" s="35"/>
      <c r="B196" s="35">
        <v>185</v>
      </c>
      <c r="C196" s="44">
        <f t="shared" si="10"/>
        <v>12641.360469859274</v>
      </c>
      <c r="D196" s="45">
        <f t="shared" si="11"/>
        <v>7756.1452580162913</v>
      </c>
      <c r="E196" s="46">
        <f t="shared" si="12"/>
        <v>4885.2152118429822</v>
      </c>
      <c r="F196" s="42">
        <f t="shared" si="13"/>
        <v>0</v>
      </c>
      <c r="G196" s="44">
        <f t="shared" si="14"/>
        <v>1427018.5247296263</v>
      </c>
    </row>
    <row r="197" spans="1:7" x14ac:dyDescent="0.2">
      <c r="A197" s="35"/>
      <c r="B197" s="35">
        <v>186</v>
      </c>
      <c r="C197" s="44">
        <f t="shared" si="10"/>
        <v>12641.360469859274</v>
      </c>
      <c r="D197" s="45">
        <f t="shared" si="11"/>
        <v>7729.6836756188095</v>
      </c>
      <c r="E197" s="46">
        <f t="shared" si="12"/>
        <v>4911.676794240464</v>
      </c>
      <c r="F197" s="42">
        <f t="shared" si="13"/>
        <v>0</v>
      </c>
      <c r="G197" s="44">
        <f t="shared" si="14"/>
        <v>1422106.8479353858</v>
      </c>
    </row>
    <row r="198" spans="1:7" x14ac:dyDescent="0.2">
      <c r="A198" s="35"/>
      <c r="B198" s="35">
        <v>187</v>
      </c>
      <c r="C198" s="44">
        <f t="shared" si="10"/>
        <v>12641.360469859274</v>
      </c>
      <c r="D198" s="45">
        <f t="shared" si="11"/>
        <v>7703.0787596500068</v>
      </c>
      <c r="E198" s="46">
        <f t="shared" si="12"/>
        <v>4938.2817102092667</v>
      </c>
      <c r="F198" s="42">
        <f t="shared" si="13"/>
        <v>0</v>
      </c>
      <c r="G198" s="44">
        <f t="shared" si="14"/>
        <v>1417168.5662251764</v>
      </c>
    </row>
    <row r="199" spans="1:7" x14ac:dyDescent="0.2">
      <c r="A199" s="35"/>
      <c r="B199" s="35">
        <v>188</v>
      </c>
      <c r="C199" s="44">
        <f t="shared" si="10"/>
        <v>12641.360469859274</v>
      </c>
      <c r="D199" s="45">
        <f t="shared" si="11"/>
        <v>7676.3297337197064</v>
      </c>
      <c r="E199" s="46">
        <f t="shared" si="12"/>
        <v>4965.0307361395671</v>
      </c>
      <c r="F199" s="42">
        <f t="shared" si="13"/>
        <v>0</v>
      </c>
      <c r="G199" s="44">
        <f t="shared" si="14"/>
        <v>1412203.5354890369</v>
      </c>
    </row>
    <row r="200" spans="1:7" x14ac:dyDescent="0.2">
      <c r="A200" s="35"/>
      <c r="B200" s="35">
        <v>189</v>
      </c>
      <c r="C200" s="44">
        <f t="shared" si="10"/>
        <v>12641.360469859274</v>
      </c>
      <c r="D200" s="45">
        <f t="shared" si="11"/>
        <v>7649.4358172322836</v>
      </c>
      <c r="E200" s="46">
        <f t="shared" si="12"/>
        <v>4991.9246526269899</v>
      </c>
      <c r="F200" s="42">
        <f t="shared" si="13"/>
        <v>0</v>
      </c>
      <c r="G200" s="44">
        <f t="shared" si="14"/>
        <v>1407211.61083641</v>
      </c>
    </row>
    <row r="201" spans="1:7" x14ac:dyDescent="0.2">
      <c r="A201" s="35"/>
      <c r="B201" s="35">
        <v>190</v>
      </c>
      <c r="C201" s="44">
        <f t="shared" si="10"/>
        <v>12641.360469859274</v>
      </c>
      <c r="D201" s="45">
        <f t="shared" si="11"/>
        <v>7622.3962253638874</v>
      </c>
      <c r="E201" s="46">
        <f t="shared" si="12"/>
        <v>5018.9642444953861</v>
      </c>
      <c r="F201" s="42">
        <f t="shared" si="13"/>
        <v>0</v>
      </c>
      <c r="G201" s="44">
        <f t="shared" si="14"/>
        <v>1402192.6465919146</v>
      </c>
    </row>
    <row r="202" spans="1:7" x14ac:dyDescent="0.2">
      <c r="A202" s="35"/>
      <c r="B202" s="35">
        <v>191</v>
      </c>
      <c r="C202" s="44">
        <f t="shared" si="10"/>
        <v>12641.360469859274</v>
      </c>
      <c r="D202" s="45">
        <f t="shared" si="11"/>
        <v>7595.2101690395375</v>
      </c>
      <c r="E202" s="46">
        <f t="shared" si="12"/>
        <v>5046.150300819736</v>
      </c>
      <c r="F202" s="42">
        <f t="shared" si="13"/>
        <v>0</v>
      </c>
      <c r="G202" s="44">
        <f t="shared" si="14"/>
        <v>1397146.4962910949</v>
      </c>
    </row>
    <row r="203" spans="1:7" x14ac:dyDescent="0.2">
      <c r="A203" s="35"/>
      <c r="B203" s="35">
        <v>192</v>
      </c>
      <c r="C203" s="44">
        <f t="shared" si="10"/>
        <v>12641.360469859274</v>
      </c>
      <c r="D203" s="45">
        <f t="shared" si="11"/>
        <v>7567.8768549100978</v>
      </c>
      <c r="E203" s="46">
        <f t="shared" si="12"/>
        <v>5073.4836149491757</v>
      </c>
      <c r="F203" s="42">
        <f t="shared" si="13"/>
        <v>0</v>
      </c>
      <c r="G203" s="44">
        <f t="shared" si="14"/>
        <v>1392073.0126761456</v>
      </c>
    </row>
    <row r="204" spans="1:7" x14ac:dyDescent="0.2">
      <c r="A204" s="35"/>
      <c r="B204" s="35">
        <v>193</v>
      </c>
      <c r="C204" s="44">
        <f t="shared" si="10"/>
        <v>12641.360469859274</v>
      </c>
      <c r="D204" s="45">
        <f t="shared" si="11"/>
        <v>7540.3954853291225</v>
      </c>
      <c r="E204" s="46">
        <f t="shared" si="12"/>
        <v>5100.964984530151</v>
      </c>
      <c r="F204" s="42">
        <f t="shared" si="13"/>
        <v>0</v>
      </c>
      <c r="G204" s="44">
        <f t="shared" si="14"/>
        <v>1386972.0476916155</v>
      </c>
    </row>
    <row r="205" spans="1:7" x14ac:dyDescent="0.2">
      <c r="A205" s="35"/>
      <c r="B205" s="35">
        <v>194</v>
      </c>
      <c r="C205" s="44">
        <f t="shared" ref="C205:C268" si="15">PMT($D$4/$D$7,$D$8,-$D$3)</f>
        <v>12641.360469859274</v>
      </c>
      <c r="D205" s="45">
        <f t="shared" ref="D205:D268" si="16">G204*($D$4/$D$7)</f>
        <v>7512.765258329584</v>
      </c>
      <c r="E205" s="46">
        <f t="shared" ref="E205:E268" si="17">C205-D205</f>
        <v>5128.5952115296895</v>
      </c>
      <c r="F205" s="42">
        <f t="shared" ref="F205:F268" si="18">$D$5</f>
        <v>0</v>
      </c>
      <c r="G205" s="44">
        <f t="shared" ref="G205:G268" si="19">G204-E205-F205</f>
        <v>1381843.4524800859</v>
      </c>
    </row>
    <row r="206" spans="1:7" x14ac:dyDescent="0.2">
      <c r="A206" s="35"/>
      <c r="B206" s="35">
        <v>195</v>
      </c>
      <c r="C206" s="44">
        <f t="shared" si="15"/>
        <v>12641.360469859274</v>
      </c>
      <c r="D206" s="45">
        <f t="shared" si="16"/>
        <v>7484.9853676004659</v>
      </c>
      <c r="E206" s="46">
        <f t="shared" si="17"/>
        <v>5156.3751022588076</v>
      </c>
      <c r="F206" s="42">
        <f t="shared" si="18"/>
        <v>0</v>
      </c>
      <c r="G206" s="44">
        <f t="shared" si="19"/>
        <v>1376687.0773778271</v>
      </c>
    </row>
    <row r="207" spans="1:7" x14ac:dyDescent="0.2">
      <c r="A207" s="35"/>
      <c r="B207" s="35">
        <v>196</v>
      </c>
      <c r="C207" s="44">
        <f t="shared" si="15"/>
        <v>12641.360469859274</v>
      </c>
      <c r="D207" s="45">
        <f t="shared" si="16"/>
        <v>7457.0550024632303</v>
      </c>
      <c r="E207" s="46">
        <f t="shared" si="17"/>
        <v>5184.3054673960432</v>
      </c>
      <c r="F207" s="42">
        <f t="shared" si="18"/>
        <v>0</v>
      </c>
      <c r="G207" s="44">
        <f t="shared" si="19"/>
        <v>1371502.7719104311</v>
      </c>
    </row>
    <row r="208" spans="1:7" x14ac:dyDescent="0.2">
      <c r="A208" s="35"/>
      <c r="B208" s="35">
        <v>197</v>
      </c>
      <c r="C208" s="44">
        <f t="shared" si="15"/>
        <v>12641.360469859274</v>
      </c>
      <c r="D208" s="45">
        <f t="shared" si="16"/>
        <v>7428.9733478481685</v>
      </c>
      <c r="E208" s="46">
        <f t="shared" si="17"/>
        <v>5212.387122011105</v>
      </c>
      <c r="F208" s="42">
        <f t="shared" si="18"/>
        <v>0</v>
      </c>
      <c r="G208" s="44">
        <f t="shared" si="19"/>
        <v>1366290.3847884201</v>
      </c>
    </row>
    <row r="209" spans="1:7" x14ac:dyDescent="0.2">
      <c r="A209" s="35"/>
      <c r="B209" s="35">
        <v>198</v>
      </c>
      <c r="C209" s="44">
        <f t="shared" si="15"/>
        <v>12641.360469859274</v>
      </c>
      <c r="D209" s="45">
        <f t="shared" si="16"/>
        <v>7400.7395842706092</v>
      </c>
      <c r="E209" s="46">
        <f t="shared" si="17"/>
        <v>5240.6208855886644</v>
      </c>
      <c r="F209" s="42">
        <f t="shared" si="18"/>
        <v>0</v>
      </c>
      <c r="G209" s="44">
        <f t="shared" si="19"/>
        <v>1361049.7639028314</v>
      </c>
    </row>
    <row r="210" spans="1:7" x14ac:dyDescent="0.2">
      <c r="A210" s="35"/>
      <c r="B210" s="35">
        <v>199</v>
      </c>
      <c r="C210" s="44">
        <f t="shared" si="15"/>
        <v>12641.360469859274</v>
      </c>
      <c r="D210" s="45">
        <f t="shared" si="16"/>
        <v>7372.3528878070038</v>
      </c>
      <c r="E210" s="46">
        <f t="shared" si="17"/>
        <v>5269.0075820522698</v>
      </c>
      <c r="F210" s="42">
        <f t="shared" si="18"/>
        <v>0</v>
      </c>
      <c r="G210" s="44">
        <f t="shared" si="19"/>
        <v>1355780.756320779</v>
      </c>
    </row>
    <row r="211" spans="1:7" x14ac:dyDescent="0.2">
      <c r="A211" s="35"/>
      <c r="B211" s="35">
        <v>200</v>
      </c>
      <c r="C211" s="44">
        <f t="shared" si="15"/>
        <v>12641.360469859274</v>
      </c>
      <c r="D211" s="45">
        <f t="shared" si="16"/>
        <v>7343.812430070886</v>
      </c>
      <c r="E211" s="46">
        <f t="shared" si="17"/>
        <v>5297.5480397883875</v>
      </c>
      <c r="F211" s="42">
        <f t="shared" si="18"/>
        <v>0</v>
      </c>
      <c r="G211" s="44">
        <f t="shared" si="19"/>
        <v>1350483.2082809906</v>
      </c>
    </row>
    <row r="212" spans="1:7" x14ac:dyDescent="0.2">
      <c r="A212" s="35"/>
      <c r="B212" s="35">
        <v>201</v>
      </c>
      <c r="C212" s="44">
        <f t="shared" si="15"/>
        <v>12641.360469859274</v>
      </c>
      <c r="D212" s="45">
        <f t="shared" si="16"/>
        <v>7315.1173781886991</v>
      </c>
      <c r="E212" s="46">
        <f t="shared" si="17"/>
        <v>5326.2430916705744</v>
      </c>
      <c r="F212" s="42">
        <f t="shared" si="18"/>
        <v>0</v>
      </c>
      <c r="G212" s="44">
        <f t="shared" si="19"/>
        <v>1345156.96518932</v>
      </c>
    </row>
    <row r="213" spans="1:7" x14ac:dyDescent="0.2">
      <c r="A213" s="35"/>
      <c r="B213" s="35">
        <v>202</v>
      </c>
      <c r="C213" s="44">
        <f t="shared" si="15"/>
        <v>12641.360469859274</v>
      </c>
      <c r="D213" s="45">
        <f t="shared" si="16"/>
        <v>7286.2668947754837</v>
      </c>
      <c r="E213" s="46">
        <f t="shared" si="17"/>
        <v>5355.0935750837898</v>
      </c>
      <c r="F213" s="42">
        <f t="shared" si="18"/>
        <v>0</v>
      </c>
      <c r="G213" s="44">
        <f t="shared" si="19"/>
        <v>1339801.8716142362</v>
      </c>
    </row>
    <row r="214" spans="1:7" x14ac:dyDescent="0.2">
      <c r="A214" s="35"/>
      <c r="B214" s="35">
        <v>203</v>
      </c>
      <c r="C214" s="44">
        <f t="shared" si="15"/>
        <v>12641.360469859274</v>
      </c>
      <c r="D214" s="45">
        <f t="shared" si="16"/>
        <v>7257.2601379104462</v>
      </c>
      <c r="E214" s="46">
        <f t="shared" si="17"/>
        <v>5384.1003319488273</v>
      </c>
      <c r="F214" s="42">
        <f t="shared" si="18"/>
        <v>0</v>
      </c>
      <c r="G214" s="44">
        <f t="shared" si="19"/>
        <v>1334417.7712822873</v>
      </c>
    </row>
    <row r="215" spans="1:7" x14ac:dyDescent="0.2">
      <c r="A215" s="35"/>
      <c r="B215" s="35">
        <v>204</v>
      </c>
      <c r="C215" s="44">
        <f t="shared" si="15"/>
        <v>12641.360469859274</v>
      </c>
      <c r="D215" s="45">
        <f t="shared" si="16"/>
        <v>7228.0962611123896</v>
      </c>
      <c r="E215" s="46">
        <f t="shared" si="17"/>
        <v>5413.2642087468839</v>
      </c>
      <c r="F215" s="42">
        <f t="shared" si="18"/>
        <v>0</v>
      </c>
      <c r="G215" s="44">
        <f t="shared" si="19"/>
        <v>1329004.5070735405</v>
      </c>
    </row>
    <row r="216" spans="1:7" x14ac:dyDescent="0.2">
      <c r="A216" s="35"/>
      <c r="B216" s="35">
        <v>205</v>
      </c>
      <c r="C216" s="44">
        <f t="shared" si="15"/>
        <v>12641.360469859274</v>
      </c>
      <c r="D216" s="45">
        <f t="shared" si="16"/>
        <v>7198.7744133150109</v>
      </c>
      <c r="E216" s="46">
        <f t="shared" si="17"/>
        <v>5442.5860565442626</v>
      </c>
      <c r="F216" s="42">
        <f t="shared" si="18"/>
        <v>0</v>
      </c>
      <c r="G216" s="44">
        <f t="shared" si="19"/>
        <v>1323561.9210169963</v>
      </c>
    </row>
    <row r="217" spans="1:7" x14ac:dyDescent="0.2">
      <c r="A217" s="35"/>
      <c r="B217" s="35">
        <v>206</v>
      </c>
      <c r="C217" s="44">
        <f t="shared" si="15"/>
        <v>12641.360469859274</v>
      </c>
      <c r="D217" s="45">
        <f t="shared" si="16"/>
        <v>7169.2937388420632</v>
      </c>
      <c r="E217" s="46">
        <f t="shared" si="17"/>
        <v>5472.0667310172103</v>
      </c>
      <c r="F217" s="42">
        <f t="shared" si="18"/>
        <v>0</v>
      </c>
      <c r="G217" s="44">
        <f t="shared" si="19"/>
        <v>1318089.8542859789</v>
      </c>
    </row>
    <row r="218" spans="1:7" x14ac:dyDescent="0.2">
      <c r="A218" s="35"/>
      <c r="B218" s="35">
        <v>207</v>
      </c>
      <c r="C218" s="44">
        <f t="shared" si="15"/>
        <v>12641.360469859274</v>
      </c>
      <c r="D218" s="45">
        <f t="shared" si="16"/>
        <v>7139.6533773823858</v>
      </c>
      <c r="E218" s="46">
        <f t="shared" si="17"/>
        <v>5501.7070924768877</v>
      </c>
      <c r="F218" s="42">
        <f t="shared" si="18"/>
        <v>0</v>
      </c>
      <c r="G218" s="44">
        <f t="shared" si="19"/>
        <v>1312588.1471935022</v>
      </c>
    </row>
    <row r="219" spans="1:7" x14ac:dyDescent="0.2">
      <c r="A219" s="35"/>
      <c r="B219" s="35">
        <v>208</v>
      </c>
      <c r="C219" s="44">
        <f t="shared" si="15"/>
        <v>12641.360469859274</v>
      </c>
      <c r="D219" s="45">
        <f t="shared" si="16"/>
        <v>7109.852463964804</v>
      </c>
      <c r="E219" s="46">
        <f t="shared" si="17"/>
        <v>5531.5080058944695</v>
      </c>
      <c r="F219" s="42">
        <f t="shared" si="18"/>
        <v>0</v>
      </c>
      <c r="G219" s="44">
        <f t="shared" si="19"/>
        <v>1307056.6391876077</v>
      </c>
    </row>
    <row r="220" spans="1:7" x14ac:dyDescent="0.2">
      <c r="A220" s="35"/>
      <c r="B220" s="35">
        <v>209</v>
      </c>
      <c r="C220" s="44">
        <f t="shared" si="15"/>
        <v>12641.360469859274</v>
      </c>
      <c r="D220" s="45">
        <f t="shared" si="16"/>
        <v>7079.8901289328751</v>
      </c>
      <c r="E220" s="46">
        <f t="shared" si="17"/>
        <v>5561.4703409263984</v>
      </c>
      <c r="F220" s="42">
        <f t="shared" si="18"/>
        <v>0</v>
      </c>
      <c r="G220" s="44">
        <f t="shared" si="19"/>
        <v>1301495.1688466812</v>
      </c>
    </row>
    <row r="221" spans="1:7" x14ac:dyDescent="0.2">
      <c r="A221" s="35"/>
      <c r="B221" s="35">
        <v>210</v>
      </c>
      <c r="C221" s="44">
        <f t="shared" si="15"/>
        <v>12641.360469859274</v>
      </c>
      <c r="D221" s="45">
        <f t="shared" si="16"/>
        <v>7049.765497919524</v>
      </c>
      <c r="E221" s="46">
        <f t="shared" si="17"/>
        <v>5591.5949719397495</v>
      </c>
      <c r="F221" s="42">
        <f t="shared" si="18"/>
        <v>0</v>
      </c>
      <c r="G221" s="44">
        <f t="shared" si="19"/>
        <v>1295903.5738747416</v>
      </c>
    </row>
    <row r="222" spans="1:7" x14ac:dyDescent="0.2">
      <c r="A222" s="35"/>
      <c r="B222" s="35">
        <v>211</v>
      </c>
      <c r="C222" s="44">
        <f t="shared" si="15"/>
        <v>12641.360469859274</v>
      </c>
      <c r="D222" s="45">
        <f t="shared" si="16"/>
        <v>7019.4776918215166</v>
      </c>
      <c r="E222" s="46">
        <f t="shared" si="17"/>
        <v>5621.8827780377569</v>
      </c>
      <c r="F222" s="42">
        <f t="shared" si="18"/>
        <v>0</v>
      </c>
      <c r="G222" s="44">
        <f t="shared" si="19"/>
        <v>1290281.6910967038</v>
      </c>
    </row>
    <row r="223" spans="1:7" x14ac:dyDescent="0.2">
      <c r="A223" s="35"/>
      <c r="B223" s="35">
        <v>212</v>
      </c>
      <c r="C223" s="44">
        <f t="shared" si="15"/>
        <v>12641.360469859274</v>
      </c>
      <c r="D223" s="45">
        <f t="shared" si="16"/>
        <v>6989.0258267738127</v>
      </c>
      <c r="E223" s="46">
        <f t="shared" si="17"/>
        <v>5652.3346430854608</v>
      </c>
      <c r="F223" s="42">
        <f t="shared" si="18"/>
        <v>0</v>
      </c>
      <c r="G223" s="44">
        <f t="shared" si="19"/>
        <v>1284629.3564536183</v>
      </c>
    </row>
    <row r="224" spans="1:7" x14ac:dyDescent="0.2">
      <c r="A224" s="35"/>
      <c r="B224" s="35">
        <v>213</v>
      </c>
      <c r="C224" s="44">
        <f t="shared" si="15"/>
        <v>12641.360469859274</v>
      </c>
      <c r="D224" s="45">
        <f t="shared" si="16"/>
        <v>6958.4090141237657</v>
      </c>
      <c r="E224" s="46">
        <f t="shared" si="17"/>
        <v>5682.9514557355078</v>
      </c>
      <c r="F224" s="42">
        <f t="shared" si="18"/>
        <v>0</v>
      </c>
      <c r="G224" s="44">
        <f t="shared" si="19"/>
        <v>1278946.4049978827</v>
      </c>
    </row>
    <row r="225" spans="1:7" x14ac:dyDescent="0.2">
      <c r="A225" s="35"/>
      <c r="B225" s="35">
        <v>214</v>
      </c>
      <c r="C225" s="44">
        <f t="shared" si="15"/>
        <v>12641.360469859274</v>
      </c>
      <c r="D225" s="45">
        <f t="shared" si="16"/>
        <v>6927.6263604051983</v>
      </c>
      <c r="E225" s="46">
        <f t="shared" si="17"/>
        <v>5713.7341094540752</v>
      </c>
      <c r="F225" s="42">
        <f t="shared" si="18"/>
        <v>0</v>
      </c>
      <c r="G225" s="44">
        <f t="shared" si="19"/>
        <v>1273232.6708884286</v>
      </c>
    </row>
    <row r="226" spans="1:7" x14ac:dyDescent="0.2">
      <c r="A226" s="35"/>
      <c r="B226" s="35">
        <v>215</v>
      </c>
      <c r="C226" s="44">
        <f t="shared" si="15"/>
        <v>12641.360469859274</v>
      </c>
      <c r="D226" s="45">
        <f t="shared" si="16"/>
        <v>6896.6769673123217</v>
      </c>
      <c r="E226" s="46">
        <f t="shared" si="17"/>
        <v>5744.6835025469518</v>
      </c>
      <c r="F226" s="42">
        <f t="shared" si="18"/>
        <v>0</v>
      </c>
      <c r="G226" s="44">
        <f t="shared" si="19"/>
        <v>1267487.9873858816</v>
      </c>
    </row>
    <row r="227" spans="1:7" x14ac:dyDescent="0.2">
      <c r="A227" s="35"/>
      <c r="B227" s="35">
        <v>216</v>
      </c>
      <c r="C227" s="44">
        <f t="shared" si="15"/>
        <v>12641.360469859274</v>
      </c>
      <c r="D227" s="45">
        <f t="shared" si="16"/>
        <v>6865.5599316735252</v>
      </c>
      <c r="E227" s="46">
        <f t="shared" si="17"/>
        <v>5775.8005381857483</v>
      </c>
      <c r="F227" s="42">
        <f t="shared" si="18"/>
        <v>0</v>
      </c>
      <c r="G227" s="44">
        <f t="shared" si="19"/>
        <v>1261712.1868476958</v>
      </c>
    </row>
    <row r="228" spans="1:7" x14ac:dyDescent="0.2">
      <c r="A228" s="35"/>
      <c r="B228" s="35">
        <v>217</v>
      </c>
      <c r="C228" s="44">
        <f t="shared" si="15"/>
        <v>12641.360469859274</v>
      </c>
      <c r="D228" s="45">
        <f t="shared" si="16"/>
        <v>6834.2743454250194</v>
      </c>
      <c r="E228" s="46">
        <f t="shared" si="17"/>
        <v>5807.0861244342541</v>
      </c>
      <c r="F228" s="42">
        <f t="shared" si="18"/>
        <v>0</v>
      </c>
      <c r="G228" s="44">
        <f t="shared" si="19"/>
        <v>1255905.1007232615</v>
      </c>
    </row>
    <row r="229" spans="1:7" x14ac:dyDescent="0.2">
      <c r="A229" s="35"/>
      <c r="B229" s="35">
        <v>218</v>
      </c>
      <c r="C229" s="44">
        <f t="shared" si="15"/>
        <v>12641.360469859274</v>
      </c>
      <c r="D229" s="45">
        <f t="shared" si="16"/>
        <v>6802.8192955843333</v>
      </c>
      <c r="E229" s="46">
        <f t="shared" si="17"/>
        <v>5838.5411742749402</v>
      </c>
      <c r="F229" s="42">
        <f t="shared" si="18"/>
        <v>0</v>
      </c>
      <c r="G229" s="44">
        <f t="shared" si="19"/>
        <v>1250066.5595489866</v>
      </c>
    </row>
    <row r="230" spans="1:7" x14ac:dyDescent="0.2">
      <c r="A230" s="35"/>
      <c r="B230" s="35">
        <v>219</v>
      </c>
      <c r="C230" s="44">
        <f t="shared" si="15"/>
        <v>12641.360469859274</v>
      </c>
      <c r="D230" s="45">
        <f t="shared" si="16"/>
        <v>6771.1938642236773</v>
      </c>
      <c r="E230" s="46">
        <f t="shared" si="17"/>
        <v>5870.1666056355962</v>
      </c>
      <c r="F230" s="42">
        <f t="shared" si="18"/>
        <v>0</v>
      </c>
      <c r="G230" s="44">
        <f t="shared" si="19"/>
        <v>1244196.3929433511</v>
      </c>
    </row>
    <row r="231" spans="1:7" x14ac:dyDescent="0.2">
      <c r="A231" s="35"/>
      <c r="B231" s="35">
        <v>220</v>
      </c>
      <c r="C231" s="44">
        <f t="shared" si="15"/>
        <v>12641.360469859274</v>
      </c>
      <c r="D231" s="45">
        <f t="shared" si="16"/>
        <v>6739.3971284431518</v>
      </c>
      <c r="E231" s="46">
        <f t="shared" si="17"/>
        <v>5901.9633414161217</v>
      </c>
      <c r="F231" s="42">
        <f t="shared" si="18"/>
        <v>0</v>
      </c>
      <c r="G231" s="44">
        <f t="shared" si="19"/>
        <v>1238294.429601935</v>
      </c>
    </row>
    <row r="232" spans="1:7" x14ac:dyDescent="0.2">
      <c r="A232" s="35"/>
      <c r="B232" s="35">
        <v>221</v>
      </c>
      <c r="C232" s="44">
        <f t="shared" si="15"/>
        <v>12641.360469859274</v>
      </c>
      <c r="D232" s="45">
        <f t="shared" si="16"/>
        <v>6707.4281603438149</v>
      </c>
      <c r="E232" s="46">
        <f t="shared" si="17"/>
        <v>5933.9323095154587</v>
      </c>
      <c r="F232" s="42">
        <f t="shared" si="18"/>
        <v>0</v>
      </c>
      <c r="G232" s="44">
        <f t="shared" si="19"/>
        <v>1232360.4972924194</v>
      </c>
    </row>
    <row r="233" spans="1:7" x14ac:dyDescent="0.2">
      <c r="A233" s="35"/>
      <c r="B233" s="35">
        <v>222</v>
      </c>
      <c r="C233" s="44">
        <f t="shared" si="15"/>
        <v>12641.360469859274</v>
      </c>
      <c r="D233" s="45">
        <f t="shared" si="16"/>
        <v>6675.2860270006058</v>
      </c>
      <c r="E233" s="46">
        <f t="shared" si="17"/>
        <v>5966.0744428586677</v>
      </c>
      <c r="F233" s="42">
        <f t="shared" si="18"/>
        <v>0</v>
      </c>
      <c r="G233" s="44">
        <f t="shared" si="19"/>
        <v>1226394.4228495609</v>
      </c>
    </row>
    <row r="234" spans="1:7" x14ac:dyDescent="0.2">
      <c r="A234" s="35"/>
      <c r="B234" s="35">
        <v>223</v>
      </c>
      <c r="C234" s="44">
        <f t="shared" si="15"/>
        <v>12641.360469859274</v>
      </c>
      <c r="D234" s="45">
        <f t="shared" si="16"/>
        <v>6642.9697904351215</v>
      </c>
      <c r="E234" s="46">
        <f t="shared" si="17"/>
        <v>5998.390679424152</v>
      </c>
      <c r="F234" s="42">
        <f t="shared" si="18"/>
        <v>0</v>
      </c>
      <c r="G234" s="44">
        <f t="shared" si="19"/>
        <v>1220396.0321701367</v>
      </c>
    </row>
    <row r="235" spans="1:7" x14ac:dyDescent="0.2">
      <c r="A235" s="35"/>
      <c r="B235" s="35">
        <v>224</v>
      </c>
      <c r="C235" s="44">
        <f t="shared" si="15"/>
        <v>12641.360469859274</v>
      </c>
      <c r="D235" s="45">
        <f t="shared" si="16"/>
        <v>6610.478507588241</v>
      </c>
      <c r="E235" s="46">
        <f t="shared" si="17"/>
        <v>6030.8819622710325</v>
      </c>
      <c r="F235" s="42">
        <f t="shared" si="18"/>
        <v>0</v>
      </c>
      <c r="G235" s="44">
        <f t="shared" si="19"/>
        <v>1214365.1502078658</v>
      </c>
    </row>
    <row r="236" spans="1:7" x14ac:dyDescent="0.2">
      <c r="A236" s="35"/>
      <c r="B236" s="35">
        <v>225</v>
      </c>
      <c r="C236" s="44">
        <f t="shared" si="15"/>
        <v>12641.360469859274</v>
      </c>
      <c r="D236" s="45">
        <f t="shared" si="16"/>
        <v>6577.8112302926065</v>
      </c>
      <c r="E236" s="46">
        <f t="shared" si="17"/>
        <v>6063.549239566667</v>
      </c>
      <c r="F236" s="42">
        <f t="shared" si="18"/>
        <v>0</v>
      </c>
      <c r="G236" s="44">
        <f t="shared" si="19"/>
        <v>1208301.600968299</v>
      </c>
    </row>
    <row r="237" spans="1:7" x14ac:dyDescent="0.2">
      <c r="A237" s="35"/>
      <c r="B237" s="35">
        <v>226</v>
      </c>
      <c r="C237" s="44">
        <f t="shared" si="15"/>
        <v>12641.360469859274</v>
      </c>
      <c r="D237" s="45">
        <f t="shared" si="16"/>
        <v>6544.9670052449528</v>
      </c>
      <c r="E237" s="46">
        <f t="shared" si="17"/>
        <v>6096.3934646143207</v>
      </c>
      <c r="F237" s="42">
        <f t="shared" si="18"/>
        <v>0</v>
      </c>
      <c r="G237" s="44">
        <f t="shared" si="19"/>
        <v>1202205.2075036846</v>
      </c>
    </row>
    <row r="238" spans="1:7" x14ac:dyDescent="0.2">
      <c r="A238" s="35"/>
      <c r="B238" s="35">
        <v>227</v>
      </c>
      <c r="C238" s="44">
        <f t="shared" si="15"/>
        <v>12641.360469859274</v>
      </c>
      <c r="D238" s="45">
        <f t="shared" si="16"/>
        <v>6511.944873978292</v>
      </c>
      <c r="E238" s="46">
        <f t="shared" si="17"/>
        <v>6129.4155958809815</v>
      </c>
      <c r="F238" s="42">
        <f t="shared" si="18"/>
        <v>0</v>
      </c>
      <c r="G238" s="44">
        <f t="shared" si="19"/>
        <v>1196075.7919078036</v>
      </c>
    </row>
    <row r="239" spans="1:7" x14ac:dyDescent="0.2">
      <c r="A239" s="35"/>
      <c r="B239" s="35">
        <v>228</v>
      </c>
      <c r="C239" s="44">
        <f t="shared" si="15"/>
        <v>12641.360469859274</v>
      </c>
      <c r="D239" s="45">
        <f t="shared" si="16"/>
        <v>6478.7438728339366</v>
      </c>
      <c r="E239" s="46">
        <f t="shared" si="17"/>
        <v>6162.6165970253369</v>
      </c>
      <c r="F239" s="42">
        <f t="shared" si="18"/>
        <v>0</v>
      </c>
      <c r="G239" s="44">
        <f t="shared" si="19"/>
        <v>1189913.1753107782</v>
      </c>
    </row>
    <row r="240" spans="1:7" x14ac:dyDescent="0.2">
      <c r="A240" s="35"/>
      <c r="B240" s="35">
        <v>229</v>
      </c>
      <c r="C240" s="44">
        <f t="shared" si="15"/>
        <v>12641.360469859274</v>
      </c>
      <c r="D240" s="45">
        <f t="shared" si="16"/>
        <v>6445.3630329333819</v>
      </c>
      <c r="E240" s="46">
        <f t="shared" si="17"/>
        <v>6195.9974369258916</v>
      </c>
      <c r="F240" s="42">
        <f t="shared" si="18"/>
        <v>0</v>
      </c>
      <c r="G240" s="44">
        <f t="shared" si="19"/>
        <v>1183717.1778738522</v>
      </c>
    </row>
    <row r="241" spans="1:7" x14ac:dyDescent="0.2">
      <c r="A241" s="35"/>
      <c r="B241" s="35">
        <v>230</v>
      </c>
      <c r="C241" s="44">
        <f t="shared" si="15"/>
        <v>12641.360469859274</v>
      </c>
      <c r="D241" s="45">
        <f t="shared" si="16"/>
        <v>6411.8013801500329</v>
      </c>
      <c r="E241" s="46">
        <f t="shared" si="17"/>
        <v>6229.5590897092407</v>
      </c>
      <c r="F241" s="42">
        <f t="shared" si="18"/>
        <v>0</v>
      </c>
      <c r="G241" s="44">
        <f t="shared" si="19"/>
        <v>1177487.6187841429</v>
      </c>
    </row>
    <row r="242" spans="1:7" x14ac:dyDescent="0.2">
      <c r="A242" s="35"/>
      <c r="B242" s="35">
        <v>231</v>
      </c>
      <c r="C242" s="44">
        <f t="shared" si="15"/>
        <v>12641.360469859274</v>
      </c>
      <c r="D242" s="45">
        <f t="shared" si="16"/>
        <v>6378.0579350807739</v>
      </c>
      <c r="E242" s="46">
        <f t="shared" si="17"/>
        <v>6263.3025347784996</v>
      </c>
      <c r="F242" s="42">
        <f t="shared" si="18"/>
        <v>0</v>
      </c>
      <c r="G242" s="44">
        <f t="shared" si="19"/>
        <v>1171224.3162493643</v>
      </c>
    </row>
    <row r="243" spans="1:7" x14ac:dyDescent="0.2">
      <c r="A243" s="35"/>
      <c r="B243" s="35">
        <v>232</v>
      </c>
      <c r="C243" s="44">
        <f t="shared" si="15"/>
        <v>12641.360469859274</v>
      </c>
      <c r="D243" s="45">
        <f t="shared" si="16"/>
        <v>6344.1317130173902</v>
      </c>
      <c r="E243" s="46">
        <f t="shared" si="17"/>
        <v>6297.2287568418833</v>
      </c>
      <c r="F243" s="42">
        <f t="shared" si="18"/>
        <v>0</v>
      </c>
      <c r="G243" s="44">
        <f t="shared" si="19"/>
        <v>1164927.0874925223</v>
      </c>
    </row>
    <row r="244" spans="1:7" x14ac:dyDescent="0.2">
      <c r="A244" s="35"/>
      <c r="B244" s="35">
        <v>233</v>
      </c>
      <c r="C244" s="44">
        <f t="shared" si="15"/>
        <v>12641.360469859274</v>
      </c>
      <c r="D244" s="45">
        <f t="shared" si="16"/>
        <v>6310.0217239178291</v>
      </c>
      <c r="E244" s="46">
        <f t="shared" si="17"/>
        <v>6331.3387459414444</v>
      </c>
      <c r="F244" s="42">
        <f t="shared" si="18"/>
        <v>0</v>
      </c>
      <c r="G244" s="44">
        <f t="shared" si="19"/>
        <v>1158595.7487465809</v>
      </c>
    </row>
    <row r="245" spans="1:7" x14ac:dyDescent="0.2">
      <c r="A245" s="35"/>
      <c r="B245" s="35">
        <v>234</v>
      </c>
      <c r="C245" s="44">
        <f t="shared" si="15"/>
        <v>12641.360469859274</v>
      </c>
      <c r="D245" s="45">
        <f t="shared" si="16"/>
        <v>6275.7269723773134</v>
      </c>
      <c r="E245" s="46">
        <f t="shared" si="17"/>
        <v>6365.6334974819601</v>
      </c>
      <c r="F245" s="42">
        <f t="shared" si="18"/>
        <v>0</v>
      </c>
      <c r="G245" s="44">
        <f t="shared" si="19"/>
        <v>1152230.115249099</v>
      </c>
    </row>
    <row r="246" spans="1:7" x14ac:dyDescent="0.2">
      <c r="A246" s="35"/>
      <c r="B246" s="35">
        <v>235</v>
      </c>
      <c r="C246" s="44">
        <f t="shared" si="15"/>
        <v>12641.360469859274</v>
      </c>
      <c r="D246" s="45">
        <f t="shared" si="16"/>
        <v>6241.2464575992863</v>
      </c>
      <c r="E246" s="46">
        <f t="shared" si="17"/>
        <v>6400.1140122599872</v>
      </c>
      <c r="F246" s="42">
        <f t="shared" si="18"/>
        <v>0</v>
      </c>
      <c r="G246" s="44">
        <f t="shared" si="19"/>
        <v>1145830.001236839</v>
      </c>
    </row>
    <row r="247" spans="1:7" x14ac:dyDescent="0.2">
      <c r="A247" s="35"/>
      <c r="B247" s="35">
        <v>236</v>
      </c>
      <c r="C247" s="44">
        <f t="shared" si="15"/>
        <v>12641.360469859274</v>
      </c>
      <c r="D247" s="45">
        <f t="shared" si="16"/>
        <v>6206.5791733662118</v>
      </c>
      <c r="E247" s="46">
        <f t="shared" si="17"/>
        <v>6434.7812964930617</v>
      </c>
      <c r="F247" s="42">
        <f t="shared" si="18"/>
        <v>0</v>
      </c>
      <c r="G247" s="44">
        <f t="shared" si="19"/>
        <v>1139395.219940346</v>
      </c>
    </row>
    <row r="248" spans="1:7" x14ac:dyDescent="0.2">
      <c r="A248" s="35"/>
      <c r="B248" s="35">
        <v>237</v>
      </c>
      <c r="C248" s="44">
        <f t="shared" si="15"/>
        <v>12641.360469859274</v>
      </c>
      <c r="D248" s="45">
        <f t="shared" si="16"/>
        <v>6171.7241080102076</v>
      </c>
      <c r="E248" s="46">
        <f t="shared" si="17"/>
        <v>6469.6363618490659</v>
      </c>
      <c r="F248" s="42">
        <f t="shared" si="18"/>
        <v>0</v>
      </c>
      <c r="G248" s="44">
        <f t="shared" si="19"/>
        <v>1132925.5835784969</v>
      </c>
    </row>
    <row r="249" spans="1:7" x14ac:dyDescent="0.2">
      <c r="A249" s="35"/>
      <c r="B249" s="35">
        <v>238</v>
      </c>
      <c r="C249" s="44">
        <f t="shared" si="15"/>
        <v>12641.360469859274</v>
      </c>
      <c r="D249" s="45">
        <f t="shared" si="16"/>
        <v>6136.680244383525</v>
      </c>
      <c r="E249" s="46">
        <f t="shared" si="17"/>
        <v>6504.6802254757486</v>
      </c>
      <c r="F249" s="42">
        <f t="shared" si="18"/>
        <v>0</v>
      </c>
      <c r="G249" s="44">
        <f t="shared" si="19"/>
        <v>1126420.9033530212</v>
      </c>
    </row>
    <row r="250" spans="1:7" x14ac:dyDescent="0.2">
      <c r="A250" s="35"/>
      <c r="B250" s="35">
        <v>239</v>
      </c>
      <c r="C250" s="44">
        <f t="shared" si="15"/>
        <v>12641.360469859274</v>
      </c>
      <c r="D250" s="45">
        <f t="shared" si="16"/>
        <v>6101.4465598288652</v>
      </c>
      <c r="E250" s="46">
        <f t="shared" si="17"/>
        <v>6539.9139100304083</v>
      </c>
      <c r="F250" s="42">
        <f t="shared" si="18"/>
        <v>0</v>
      </c>
      <c r="G250" s="44">
        <f t="shared" si="19"/>
        <v>1119880.9894429909</v>
      </c>
    </row>
    <row r="251" spans="1:7" x14ac:dyDescent="0.2">
      <c r="A251" s="35"/>
      <c r="B251" s="35">
        <v>240</v>
      </c>
      <c r="C251" s="44">
        <f t="shared" si="15"/>
        <v>12641.360469859274</v>
      </c>
      <c r="D251" s="45">
        <f t="shared" si="16"/>
        <v>6066.0220261495342</v>
      </c>
      <c r="E251" s="46">
        <f t="shared" si="17"/>
        <v>6575.3384437097393</v>
      </c>
      <c r="F251" s="42">
        <f t="shared" si="18"/>
        <v>0</v>
      </c>
      <c r="G251" s="44">
        <f t="shared" si="19"/>
        <v>1113305.6509992811</v>
      </c>
    </row>
    <row r="252" spans="1:7" x14ac:dyDescent="0.2">
      <c r="A252" s="35"/>
      <c r="B252" s="35">
        <v>241</v>
      </c>
      <c r="C252" s="44">
        <f t="shared" si="15"/>
        <v>12641.360469859274</v>
      </c>
      <c r="D252" s="45">
        <f t="shared" si="16"/>
        <v>6030.4056095794394</v>
      </c>
      <c r="E252" s="46">
        <f t="shared" si="17"/>
        <v>6610.9548602798341</v>
      </c>
      <c r="F252" s="42">
        <f t="shared" si="18"/>
        <v>0</v>
      </c>
      <c r="G252" s="44">
        <f t="shared" si="19"/>
        <v>1106694.6961390013</v>
      </c>
    </row>
    <row r="253" spans="1:7" x14ac:dyDescent="0.2">
      <c r="A253" s="35"/>
      <c r="B253" s="35">
        <v>242</v>
      </c>
      <c r="C253" s="44">
        <f t="shared" si="15"/>
        <v>12641.360469859274</v>
      </c>
      <c r="D253" s="45">
        <f t="shared" si="16"/>
        <v>5994.5962707529243</v>
      </c>
      <c r="E253" s="46">
        <f t="shared" si="17"/>
        <v>6646.7641991063492</v>
      </c>
      <c r="F253" s="42">
        <f t="shared" si="18"/>
        <v>0</v>
      </c>
      <c r="G253" s="44">
        <f t="shared" si="19"/>
        <v>1100047.931939895</v>
      </c>
    </row>
    <row r="254" spans="1:7" x14ac:dyDescent="0.2">
      <c r="A254" s="35"/>
      <c r="B254" s="35">
        <v>243</v>
      </c>
      <c r="C254" s="44">
        <f t="shared" si="15"/>
        <v>12641.360469859274</v>
      </c>
      <c r="D254" s="45">
        <f t="shared" si="16"/>
        <v>5958.5929646744316</v>
      </c>
      <c r="E254" s="46">
        <f t="shared" si="17"/>
        <v>6682.7675051848419</v>
      </c>
      <c r="F254" s="42">
        <f t="shared" si="18"/>
        <v>0</v>
      </c>
      <c r="G254" s="44">
        <f t="shared" si="19"/>
        <v>1093365.1644347103</v>
      </c>
    </row>
    <row r="255" spans="1:7" x14ac:dyDescent="0.2">
      <c r="A255" s="35"/>
      <c r="B255" s="35">
        <v>244</v>
      </c>
      <c r="C255" s="44">
        <f t="shared" si="15"/>
        <v>12641.360469859274</v>
      </c>
      <c r="D255" s="45">
        <f t="shared" si="16"/>
        <v>5922.3946406880141</v>
      </c>
      <c r="E255" s="46">
        <f t="shared" si="17"/>
        <v>6718.9658291712594</v>
      </c>
      <c r="F255" s="42">
        <f t="shared" si="18"/>
        <v>0</v>
      </c>
      <c r="G255" s="44">
        <f t="shared" si="19"/>
        <v>1086646.198605539</v>
      </c>
    </row>
    <row r="256" spans="1:7" x14ac:dyDescent="0.2">
      <c r="A256" s="35"/>
      <c r="B256" s="35">
        <v>245</v>
      </c>
      <c r="C256" s="44">
        <f t="shared" si="15"/>
        <v>12641.360469859274</v>
      </c>
      <c r="D256" s="45">
        <f t="shared" si="16"/>
        <v>5886.0002424466702</v>
      </c>
      <c r="E256" s="46">
        <f t="shared" si="17"/>
        <v>6755.3602274126033</v>
      </c>
      <c r="F256" s="42">
        <f t="shared" si="18"/>
        <v>0</v>
      </c>
      <c r="G256" s="44">
        <f t="shared" si="19"/>
        <v>1079890.8383781265</v>
      </c>
    </row>
    <row r="257" spans="1:7" x14ac:dyDescent="0.2">
      <c r="A257" s="35"/>
      <c r="B257" s="35">
        <v>246</v>
      </c>
      <c r="C257" s="44">
        <f t="shared" si="15"/>
        <v>12641.360469859274</v>
      </c>
      <c r="D257" s="45">
        <f t="shared" si="16"/>
        <v>5849.4087078815191</v>
      </c>
      <c r="E257" s="46">
        <f t="shared" si="17"/>
        <v>6791.9517619777544</v>
      </c>
      <c r="F257" s="42">
        <f t="shared" si="18"/>
        <v>0</v>
      </c>
      <c r="G257" s="44">
        <f t="shared" si="19"/>
        <v>1073098.8866161488</v>
      </c>
    </row>
    <row r="258" spans="1:7" x14ac:dyDescent="0.2">
      <c r="A258" s="35"/>
      <c r="B258" s="35">
        <v>247</v>
      </c>
      <c r="C258" s="44">
        <f t="shared" si="15"/>
        <v>12641.360469859274</v>
      </c>
      <c r="D258" s="45">
        <f t="shared" si="16"/>
        <v>5812.6189691708059</v>
      </c>
      <c r="E258" s="46">
        <f t="shared" si="17"/>
        <v>6828.7415006884676</v>
      </c>
      <c r="F258" s="42">
        <f t="shared" si="18"/>
        <v>0</v>
      </c>
      <c r="G258" s="44">
        <f t="shared" si="19"/>
        <v>1066270.1451154603</v>
      </c>
    </row>
    <row r="259" spans="1:7" x14ac:dyDescent="0.2">
      <c r="A259" s="35"/>
      <c r="B259" s="35">
        <v>248</v>
      </c>
      <c r="C259" s="44">
        <f t="shared" si="15"/>
        <v>12641.360469859274</v>
      </c>
      <c r="D259" s="45">
        <f t="shared" si="16"/>
        <v>5775.6299527087431</v>
      </c>
      <c r="E259" s="46">
        <f t="shared" si="17"/>
        <v>6865.7305171505304</v>
      </c>
      <c r="F259" s="42">
        <f t="shared" si="18"/>
        <v>0</v>
      </c>
      <c r="G259" s="44">
        <f t="shared" si="19"/>
        <v>1059404.4145983097</v>
      </c>
    </row>
    <row r="260" spans="1:7" x14ac:dyDescent="0.2">
      <c r="A260" s="35"/>
      <c r="B260" s="35">
        <v>249</v>
      </c>
      <c r="C260" s="44">
        <f t="shared" si="15"/>
        <v>12641.360469859274</v>
      </c>
      <c r="D260" s="45">
        <f t="shared" si="16"/>
        <v>5738.4405790741775</v>
      </c>
      <c r="E260" s="46">
        <f t="shared" si="17"/>
        <v>6902.919890785096</v>
      </c>
      <c r="F260" s="42">
        <f t="shared" si="18"/>
        <v>0</v>
      </c>
      <c r="G260" s="44">
        <f t="shared" si="19"/>
        <v>1052501.4947075245</v>
      </c>
    </row>
    <row r="261" spans="1:7" x14ac:dyDescent="0.2">
      <c r="A261" s="35"/>
      <c r="B261" s="35">
        <v>250</v>
      </c>
      <c r="C261" s="44">
        <f t="shared" si="15"/>
        <v>12641.360469859274</v>
      </c>
      <c r="D261" s="45">
        <f t="shared" si="16"/>
        <v>5701.0497629990914</v>
      </c>
      <c r="E261" s="46">
        <f t="shared" si="17"/>
        <v>6940.3107068601821</v>
      </c>
      <c r="F261" s="42">
        <f t="shared" si="18"/>
        <v>0</v>
      </c>
      <c r="G261" s="44">
        <f t="shared" si="19"/>
        <v>1045561.1840006644</v>
      </c>
    </row>
    <row r="262" spans="1:7" x14ac:dyDescent="0.2">
      <c r="A262" s="35"/>
      <c r="B262" s="35">
        <v>251</v>
      </c>
      <c r="C262" s="44">
        <f t="shared" si="15"/>
        <v>12641.360469859274</v>
      </c>
      <c r="D262" s="45">
        <f t="shared" si="16"/>
        <v>5663.4564133369322</v>
      </c>
      <c r="E262" s="46">
        <f t="shared" si="17"/>
        <v>6977.9040565223413</v>
      </c>
      <c r="F262" s="42">
        <f t="shared" si="18"/>
        <v>0</v>
      </c>
      <c r="G262" s="44">
        <f t="shared" si="19"/>
        <v>1038583.2799441421</v>
      </c>
    </row>
    <row r="263" spans="1:7" x14ac:dyDescent="0.2">
      <c r="A263" s="35"/>
      <c r="B263" s="35">
        <v>252</v>
      </c>
      <c r="C263" s="44">
        <f t="shared" si="15"/>
        <v>12641.360469859274</v>
      </c>
      <c r="D263" s="45">
        <f t="shared" si="16"/>
        <v>5625.6594330307698</v>
      </c>
      <c r="E263" s="46">
        <f t="shared" si="17"/>
        <v>7015.7010368285037</v>
      </c>
      <c r="F263" s="42">
        <f t="shared" si="18"/>
        <v>0</v>
      </c>
      <c r="G263" s="44">
        <f t="shared" si="19"/>
        <v>1031567.5789073136</v>
      </c>
    </row>
    <row r="264" spans="1:7" x14ac:dyDescent="0.2">
      <c r="A264" s="35"/>
      <c r="B264" s="35">
        <v>253</v>
      </c>
      <c r="C264" s="44">
        <f t="shared" si="15"/>
        <v>12641.360469859274</v>
      </c>
      <c r="D264" s="45">
        <f t="shared" si="16"/>
        <v>5587.6577190812823</v>
      </c>
      <c r="E264" s="46">
        <f t="shared" si="17"/>
        <v>7053.7027507779912</v>
      </c>
      <c r="F264" s="42">
        <f t="shared" si="18"/>
        <v>0</v>
      </c>
      <c r="G264" s="44">
        <f t="shared" si="19"/>
        <v>1024513.8761565357</v>
      </c>
    </row>
    <row r="265" spans="1:7" x14ac:dyDescent="0.2">
      <c r="A265" s="35"/>
      <c r="B265" s="35">
        <v>254</v>
      </c>
      <c r="C265" s="44">
        <f t="shared" si="15"/>
        <v>12641.360469859274</v>
      </c>
      <c r="D265" s="45">
        <f t="shared" si="16"/>
        <v>5549.4501625145685</v>
      </c>
      <c r="E265" s="46">
        <f t="shared" si="17"/>
        <v>7091.910307344705</v>
      </c>
      <c r="F265" s="42">
        <f t="shared" si="18"/>
        <v>0</v>
      </c>
      <c r="G265" s="44">
        <f t="shared" si="19"/>
        <v>1017421.965849191</v>
      </c>
    </row>
    <row r="266" spans="1:7" x14ac:dyDescent="0.2">
      <c r="A266" s="35"/>
      <c r="B266" s="35">
        <v>255</v>
      </c>
      <c r="C266" s="44">
        <f t="shared" si="15"/>
        <v>12641.360469859274</v>
      </c>
      <c r="D266" s="45">
        <f t="shared" si="16"/>
        <v>5511.0356483497844</v>
      </c>
      <c r="E266" s="46">
        <f t="shared" si="17"/>
        <v>7130.3248215094891</v>
      </c>
      <c r="F266" s="42">
        <f t="shared" si="18"/>
        <v>0</v>
      </c>
      <c r="G266" s="44">
        <f t="shared" si="19"/>
        <v>1010291.6410276814</v>
      </c>
    </row>
    <row r="267" spans="1:7" x14ac:dyDescent="0.2">
      <c r="A267" s="35"/>
      <c r="B267" s="35">
        <v>256</v>
      </c>
      <c r="C267" s="44">
        <f t="shared" si="15"/>
        <v>12641.360469859274</v>
      </c>
      <c r="D267" s="45">
        <f t="shared" si="16"/>
        <v>5472.4130555666079</v>
      </c>
      <c r="E267" s="46">
        <f t="shared" si="17"/>
        <v>7168.9474142926656</v>
      </c>
      <c r="F267" s="42">
        <f t="shared" si="18"/>
        <v>0</v>
      </c>
      <c r="G267" s="44">
        <f t="shared" si="19"/>
        <v>1003122.6936133887</v>
      </c>
    </row>
    <row r="268" spans="1:7" x14ac:dyDescent="0.2">
      <c r="A268" s="35"/>
      <c r="B268" s="35">
        <v>257</v>
      </c>
      <c r="C268" s="44">
        <f t="shared" si="15"/>
        <v>12641.360469859274</v>
      </c>
      <c r="D268" s="45">
        <f t="shared" si="16"/>
        <v>5433.581257072522</v>
      </c>
      <c r="E268" s="46">
        <f t="shared" si="17"/>
        <v>7207.7792127867515</v>
      </c>
      <c r="F268" s="42">
        <f t="shared" si="18"/>
        <v>0</v>
      </c>
      <c r="G268" s="44">
        <f t="shared" si="19"/>
        <v>995914.91440060199</v>
      </c>
    </row>
    <row r="269" spans="1:7" x14ac:dyDescent="0.2">
      <c r="A269" s="35"/>
      <c r="B269" s="35">
        <v>258</v>
      </c>
      <c r="C269" s="44">
        <f t="shared" ref="C269:C332" si="20">PMT($D$4/$D$7,$D$8,-$D$3)</f>
        <v>12641.360469859274</v>
      </c>
      <c r="D269" s="45">
        <f t="shared" ref="D269:D332" si="21">G268*($D$4/$D$7)</f>
        <v>5394.5391196699275</v>
      </c>
      <c r="E269" s="46">
        <f t="shared" ref="E269:E332" si="22">C269-D269</f>
        <v>7246.821350189346</v>
      </c>
      <c r="F269" s="42">
        <f t="shared" ref="F269:F332" si="23">$D$5</f>
        <v>0</v>
      </c>
      <c r="G269" s="44">
        <f t="shared" ref="G269:G332" si="24">G268-E269-F269</f>
        <v>988668.0930504126</v>
      </c>
    </row>
    <row r="270" spans="1:7" x14ac:dyDescent="0.2">
      <c r="A270" s="35"/>
      <c r="B270" s="35">
        <v>259</v>
      </c>
      <c r="C270" s="44">
        <f t="shared" si="20"/>
        <v>12641.360469859274</v>
      </c>
      <c r="D270" s="45">
        <f t="shared" si="21"/>
        <v>5355.2855040230688</v>
      </c>
      <c r="E270" s="46">
        <f t="shared" si="22"/>
        <v>7286.0749658362047</v>
      </c>
      <c r="F270" s="42">
        <f t="shared" si="23"/>
        <v>0</v>
      </c>
      <c r="G270" s="44">
        <f t="shared" si="24"/>
        <v>981382.01808457635</v>
      </c>
    </row>
    <row r="271" spans="1:7" x14ac:dyDescent="0.2">
      <c r="A271" s="35"/>
      <c r="B271" s="35">
        <v>260</v>
      </c>
      <c r="C271" s="44">
        <f t="shared" si="20"/>
        <v>12641.360469859274</v>
      </c>
      <c r="D271" s="45">
        <f t="shared" si="21"/>
        <v>5315.819264624789</v>
      </c>
      <c r="E271" s="46">
        <f t="shared" si="22"/>
        <v>7325.5412052344846</v>
      </c>
      <c r="F271" s="42">
        <f t="shared" si="23"/>
        <v>0</v>
      </c>
      <c r="G271" s="44">
        <f t="shared" si="24"/>
        <v>974056.47687934188</v>
      </c>
    </row>
    <row r="272" spans="1:7" x14ac:dyDescent="0.2">
      <c r="A272" s="35"/>
      <c r="B272" s="35">
        <v>261</v>
      </c>
      <c r="C272" s="44">
        <f t="shared" si="20"/>
        <v>12641.360469859274</v>
      </c>
      <c r="D272" s="45">
        <f t="shared" si="21"/>
        <v>5276.1392497631023</v>
      </c>
      <c r="E272" s="46">
        <f t="shared" si="22"/>
        <v>7365.2212200961712</v>
      </c>
      <c r="F272" s="42">
        <f t="shared" si="23"/>
        <v>0</v>
      </c>
      <c r="G272" s="44">
        <f t="shared" si="24"/>
        <v>966691.25565924565</v>
      </c>
    </row>
    <row r="273" spans="1:7" x14ac:dyDescent="0.2">
      <c r="A273" s="35"/>
      <c r="B273" s="35">
        <v>262</v>
      </c>
      <c r="C273" s="44">
        <f t="shared" si="20"/>
        <v>12641.360469859274</v>
      </c>
      <c r="D273" s="45">
        <f t="shared" si="21"/>
        <v>5236.2443014875807</v>
      </c>
      <c r="E273" s="46">
        <f t="shared" si="22"/>
        <v>7405.1161683716928</v>
      </c>
      <c r="F273" s="42">
        <f t="shared" si="23"/>
        <v>0</v>
      </c>
      <c r="G273" s="44">
        <f t="shared" si="24"/>
        <v>959286.13949087402</v>
      </c>
    </row>
    <row r="274" spans="1:7" x14ac:dyDescent="0.2">
      <c r="A274" s="35"/>
      <c r="B274" s="35">
        <v>263</v>
      </c>
      <c r="C274" s="44">
        <f t="shared" si="20"/>
        <v>12641.360469859274</v>
      </c>
      <c r="D274" s="45">
        <f t="shared" si="21"/>
        <v>5196.133255575568</v>
      </c>
      <c r="E274" s="46">
        <f t="shared" si="22"/>
        <v>7445.2272142837055</v>
      </c>
      <c r="F274" s="42">
        <f t="shared" si="23"/>
        <v>0</v>
      </c>
      <c r="G274" s="44">
        <f t="shared" si="24"/>
        <v>951840.91227659036</v>
      </c>
    </row>
    <row r="275" spans="1:7" x14ac:dyDescent="0.2">
      <c r="A275" s="35"/>
      <c r="B275" s="35">
        <v>264</v>
      </c>
      <c r="C275" s="44">
        <f t="shared" si="20"/>
        <v>12641.360469859274</v>
      </c>
      <c r="D275" s="45">
        <f t="shared" si="21"/>
        <v>5155.8049414981979</v>
      </c>
      <c r="E275" s="46">
        <f t="shared" si="22"/>
        <v>7485.5555283610756</v>
      </c>
      <c r="F275" s="42">
        <f t="shared" si="23"/>
        <v>0</v>
      </c>
      <c r="G275" s="44">
        <f t="shared" si="24"/>
        <v>944355.35674822924</v>
      </c>
    </row>
    <row r="276" spans="1:7" x14ac:dyDescent="0.2">
      <c r="A276" s="35"/>
      <c r="B276" s="35">
        <v>265</v>
      </c>
      <c r="C276" s="44">
        <f t="shared" si="20"/>
        <v>12641.360469859274</v>
      </c>
      <c r="D276" s="45">
        <f t="shared" si="21"/>
        <v>5115.258182386242</v>
      </c>
      <c r="E276" s="46">
        <f t="shared" si="22"/>
        <v>7526.1022874730315</v>
      </c>
      <c r="F276" s="42">
        <f t="shared" si="23"/>
        <v>0</v>
      </c>
      <c r="G276" s="44">
        <f t="shared" si="24"/>
        <v>936829.2544607562</v>
      </c>
    </row>
    <row r="277" spans="1:7" x14ac:dyDescent="0.2">
      <c r="A277" s="35"/>
      <c r="B277" s="35">
        <v>266</v>
      </c>
      <c r="C277" s="44">
        <f t="shared" si="20"/>
        <v>12641.360469859274</v>
      </c>
      <c r="D277" s="45">
        <f t="shared" si="21"/>
        <v>5074.4917949957626</v>
      </c>
      <c r="E277" s="46">
        <f t="shared" si="22"/>
        <v>7566.8686748635109</v>
      </c>
      <c r="F277" s="42">
        <f t="shared" si="23"/>
        <v>0</v>
      </c>
      <c r="G277" s="44">
        <f t="shared" si="24"/>
        <v>929262.38578589272</v>
      </c>
    </row>
    <row r="278" spans="1:7" x14ac:dyDescent="0.2">
      <c r="A278" s="35"/>
      <c r="B278" s="35">
        <v>267</v>
      </c>
      <c r="C278" s="44">
        <f t="shared" si="20"/>
        <v>12641.360469859274</v>
      </c>
      <c r="D278" s="45">
        <f t="shared" si="21"/>
        <v>5033.5045896735855</v>
      </c>
      <c r="E278" s="46">
        <f t="shared" si="22"/>
        <v>7607.855880185688</v>
      </c>
      <c r="F278" s="42">
        <f t="shared" si="23"/>
        <v>0</v>
      </c>
      <c r="G278" s="44">
        <f t="shared" si="24"/>
        <v>921654.52990570699</v>
      </c>
    </row>
    <row r="279" spans="1:7" x14ac:dyDescent="0.2">
      <c r="A279" s="35"/>
      <c r="B279" s="35">
        <v>268</v>
      </c>
      <c r="C279" s="44">
        <f t="shared" si="20"/>
        <v>12641.360469859274</v>
      </c>
      <c r="D279" s="45">
        <f t="shared" si="21"/>
        <v>4992.2953703225794</v>
      </c>
      <c r="E279" s="46">
        <f t="shared" si="22"/>
        <v>7649.0650995366941</v>
      </c>
      <c r="F279" s="42">
        <f t="shared" si="23"/>
        <v>0</v>
      </c>
      <c r="G279" s="44">
        <f t="shared" si="24"/>
        <v>914005.46480617032</v>
      </c>
    </row>
    <row r="280" spans="1:7" x14ac:dyDescent="0.2">
      <c r="A280" s="35"/>
      <c r="B280" s="35">
        <v>269</v>
      </c>
      <c r="C280" s="44">
        <f t="shared" si="20"/>
        <v>12641.360469859274</v>
      </c>
      <c r="D280" s="45">
        <f t="shared" si="21"/>
        <v>4950.8629343667562</v>
      </c>
      <c r="E280" s="46">
        <f t="shared" si="22"/>
        <v>7690.4975354925173</v>
      </c>
      <c r="F280" s="42">
        <f t="shared" si="23"/>
        <v>0</v>
      </c>
      <c r="G280" s="44">
        <f t="shared" si="24"/>
        <v>906314.96727067779</v>
      </c>
    </row>
    <row r="281" spans="1:7" x14ac:dyDescent="0.2">
      <c r="A281" s="35"/>
      <c r="B281" s="35">
        <v>270</v>
      </c>
      <c r="C281" s="44">
        <f t="shared" si="20"/>
        <v>12641.360469859274</v>
      </c>
      <c r="D281" s="45">
        <f t="shared" si="21"/>
        <v>4909.2060727161715</v>
      </c>
      <c r="E281" s="46">
        <f t="shared" si="22"/>
        <v>7732.154397143102</v>
      </c>
      <c r="F281" s="42">
        <f t="shared" si="23"/>
        <v>0</v>
      </c>
      <c r="G281" s="44">
        <f t="shared" si="24"/>
        <v>898582.81287353474</v>
      </c>
    </row>
    <row r="282" spans="1:7" x14ac:dyDescent="0.2">
      <c r="A282" s="35"/>
      <c r="B282" s="35">
        <v>271</v>
      </c>
      <c r="C282" s="44">
        <f t="shared" si="20"/>
        <v>12641.360469859274</v>
      </c>
      <c r="D282" s="45">
        <f t="shared" si="21"/>
        <v>4867.3235697316468</v>
      </c>
      <c r="E282" s="46">
        <f t="shared" si="22"/>
        <v>7774.0369001276267</v>
      </c>
      <c r="F282" s="42">
        <f t="shared" si="23"/>
        <v>0</v>
      </c>
      <c r="G282" s="44">
        <f t="shared" si="24"/>
        <v>890808.77597340709</v>
      </c>
    </row>
    <row r="283" spans="1:7" x14ac:dyDescent="0.2">
      <c r="A283" s="35"/>
      <c r="B283" s="35">
        <v>272</v>
      </c>
      <c r="C283" s="44">
        <f t="shared" si="20"/>
        <v>12641.360469859274</v>
      </c>
      <c r="D283" s="45">
        <f t="shared" si="21"/>
        <v>4825.2142031892881</v>
      </c>
      <c r="E283" s="46">
        <f t="shared" si="22"/>
        <v>7816.1462666699854</v>
      </c>
      <c r="F283" s="42">
        <f t="shared" si="23"/>
        <v>0</v>
      </c>
      <c r="G283" s="44">
        <f t="shared" si="24"/>
        <v>882992.62970673712</v>
      </c>
    </row>
    <row r="284" spans="1:7" x14ac:dyDescent="0.2">
      <c r="A284" s="35"/>
      <c r="B284" s="35">
        <v>273</v>
      </c>
      <c r="C284" s="44">
        <f t="shared" si="20"/>
        <v>12641.360469859274</v>
      </c>
      <c r="D284" s="45">
        <f t="shared" si="21"/>
        <v>4782.8767442448261</v>
      </c>
      <c r="E284" s="46">
        <f t="shared" si="22"/>
        <v>7858.4837256144474</v>
      </c>
      <c r="F284" s="42">
        <f t="shared" si="23"/>
        <v>0</v>
      </c>
      <c r="G284" s="44">
        <f t="shared" si="24"/>
        <v>875134.14598112262</v>
      </c>
    </row>
    <row r="285" spans="1:7" x14ac:dyDescent="0.2">
      <c r="A285" s="35"/>
      <c r="B285" s="35">
        <v>274</v>
      </c>
      <c r="C285" s="44">
        <f t="shared" si="20"/>
        <v>12641.360469859274</v>
      </c>
      <c r="D285" s="45">
        <f t="shared" si="21"/>
        <v>4740.3099573977479</v>
      </c>
      <c r="E285" s="46">
        <f t="shared" si="22"/>
        <v>7901.0505124615256</v>
      </c>
      <c r="F285" s="42">
        <f t="shared" si="23"/>
        <v>0</v>
      </c>
      <c r="G285" s="44">
        <f t="shared" si="24"/>
        <v>867233.09546866105</v>
      </c>
    </row>
    <row r="286" spans="1:7" x14ac:dyDescent="0.2">
      <c r="A286" s="35"/>
      <c r="B286" s="35">
        <v>275</v>
      </c>
      <c r="C286" s="44">
        <f t="shared" si="20"/>
        <v>12641.360469859274</v>
      </c>
      <c r="D286" s="45">
        <f t="shared" si="21"/>
        <v>4697.5126004552476</v>
      </c>
      <c r="E286" s="46">
        <f t="shared" si="22"/>
        <v>7943.8478694040259</v>
      </c>
      <c r="F286" s="42">
        <f t="shared" si="23"/>
        <v>0</v>
      </c>
      <c r="G286" s="44">
        <f t="shared" si="24"/>
        <v>859289.24759925704</v>
      </c>
    </row>
    <row r="287" spans="1:7" x14ac:dyDescent="0.2">
      <c r="A287" s="35"/>
      <c r="B287" s="35">
        <v>276</v>
      </c>
      <c r="C287" s="44">
        <f t="shared" si="20"/>
        <v>12641.360469859274</v>
      </c>
      <c r="D287" s="45">
        <f t="shared" si="21"/>
        <v>4654.4834244959757</v>
      </c>
      <c r="E287" s="46">
        <f t="shared" si="22"/>
        <v>7986.8770453632978</v>
      </c>
      <c r="F287" s="42">
        <f t="shared" si="23"/>
        <v>0</v>
      </c>
      <c r="G287" s="44">
        <f t="shared" si="24"/>
        <v>851302.37055389374</v>
      </c>
    </row>
    <row r="288" spans="1:7" x14ac:dyDescent="0.2">
      <c r="A288" s="35"/>
      <c r="B288" s="35">
        <v>277</v>
      </c>
      <c r="C288" s="44">
        <f t="shared" si="20"/>
        <v>12641.360469859274</v>
      </c>
      <c r="D288" s="45">
        <f t="shared" si="21"/>
        <v>4611.2211738335909</v>
      </c>
      <c r="E288" s="46">
        <f t="shared" si="22"/>
        <v>8030.1392960256826</v>
      </c>
      <c r="F288" s="42">
        <f t="shared" si="23"/>
        <v>0</v>
      </c>
      <c r="G288" s="44">
        <f t="shared" si="24"/>
        <v>843272.231257868</v>
      </c>
    </row>
    <row r="289" spans="1:7" x14ac:dyDescent="0.2">
      <c r="A289" s="35"/>
      <c r="B289" s="35">
        <v>278</v>
      </c>
      <c r="C289" s="44">
        <f t="shared" si="20"/>
        <v>12641.360469859274</v>
      </c>
      <c r="D289" s="45">
        <f t="shared" si="21"/>
        <v>4567.7245859801187</v>
      </c>
      <c r="E289" s="46">
        <f t="shared" si="22"/>
        <v>8073.6358838791548</v>
      </c>
      <c r="F289" s="42">
        <f t="shared" si="23"/>
        <v>0</v>
      </c>
      <c r="G289" s="44">
        <f t="shared" si="24"/>
        <v>835198.59537398885</v>
      </c>
    </row>
    <row r="290" spans="1:7" x14ac:dyDescent="0.2">
      <c r="A290" s="35"/>
      <c r="B290" s="35">
        <v>279</v>
      </c>
      <c r="C290" s="44">
        <f t="shared" si="20"/>
        <v>12641.360469859274</v>
      </c>
      <c r="D290" s="45">
        <f t="shared" si="21"/>
        <v>4523.9923916091066</v>
      </c>
      <c r="E290" s="46">
        <f t="shared" si="22"/>
        <v>8117.3680782501669</v>
      </c>
      <c r="F290" s="42">
        <f t="shared" si="23"/>
        <v>0</v>
      </c>
      <c r="G290" s="44">
        <f t="shared" si="24"/>
        <v>827081.22729573864</v>
      </c>
    </row>
    <row r="291" spans="1:7" x14ac:dyDescent="0.2">
      <c r="A291" s="35"/>
      <c r="B291" s="35">
        <v>280</v>
      </c>
      <c r="C291" s="44">
        <f t="shared" si="20"/>
        <v>12641.360469859274</v>
      </c>
      <c r="D291" s="45">
        <f t="shared" si="21"/>
        <v>4480.0233145185848</v>
      </c>
      <c r="E291" s="46">
        <f t="shared" si="22"/>
        <v>8161.3371553406887</v>
      </c>
      <c r="F291" s="42">
        <f t="shared" si="23"/>
        <v>0</v>
      </c>
      <c r="G291" s="44">
        <f t="shared" si="24"/>
        <v>818919.89014039794</v>
      </c>
    </row>
    <row r="292" spans="1:7" x14ac:dyDescent="0.2">
      <c r="A292" s="35"/>
      <c r="B292" s="35">
        <v>281</v>
      </c>
      <c r="C292" s="44">
        <f t="shared" si="20"/>
        <v>12641.360469859274</v>
      </c>
      <c r="D292" s="45">
        <f t="shared" si="21"/>
        <v>4435.816071593822</v>
      </c>
      <c r="E292" s="46">
        <f t="shared" si="22"/>
        <v>8205.5443982654506</v>
      </c>
      <c r="F292" s="42">
        <f t="shared" si="23"/>
        <v>0</v>
      </c>
      <c r="G292" s="44">
        <f t="shared" si="24"/>
        <v>810714.34574213251</v>
      </c>
    </row>
    <row r="293" spans="1:7" x14ac:dyDescent="0.2">
      <c r="A293" s="35"/>
      <c r="B293" s="35">
        <v>282</v>
      </c>
      <c r="C293" s="44">
        <f t="shared" si="20"/>
        <v>12641.360469859274</v>
      </c>
      <c r="D293" s="45">
        <f t="shared" si="21"/>
        <v>4391.3693727698846</v>
      </c>
      <c r="E293" s="46">
        <f t="shared" si="22"/>
        <v>8249.9910970893889</v>
      </c>
      <c r="F293" s="42">
        <f t="shared" si="23"/>
        <v>0</v>
      </c>
      <c r="G293" s="44">
        <f t="shared" si="24"/>
        <v>802464.35464504315</v>
      </c>
    </row>
    <row r="294" spans="1:7" x14ac:dyDescent="0.2">
      <c r="A294" s="35"/>
      <c r="B294" s="35">
        <v>283</v>
      </c>
      <c r="C294" s="44">
        <f t="shared" si="20"/>
        <v>12641.360469859274</v>
      </c>
      <c r="D294" s="45">
        <f t="shared" si="21"/>
        <v>4346.681920993984</v>
      </c>
      <c r="E294" s="46">
        <f t="shared" si="22"/>
        <v>8294.6785488652895</v>
      </c>
      <c r="F294" s="42">
        <f t="shared" si="23"/>
        <v>0</v>
      </c>
      <c r="G294" s="44">
        <f t="shared" si="24"/>
        <v>794169.67609617789</v>
      </c>
    </row>
    <row r="295" spans="1:7" x14ac:dyDescent="0.2">
      <c r="A295" s="35"/>
      <c r="B295" s="35">
        <v>284</v>
      </c>
      <c r="C295" s="44">
        <f t="shared" si="20"/>
        <v>12641.360469859274</v>
      </c>
      <c r="D295" s="45">
        <f t="shared" si="21"/>
        <v>4301.7524121876304</v>
      </c>
      <c r="E295" s="46">
        <f t="shared" si="22"/>
        <v>8339.6080576716431</v>
      </c>
      <c r="F295" s="42">
        <f t="shared" si="23"/>
        <v>0</v>
      </c>
      <c r="G295" s="44">
        <f t="shared" si="24"/>
        <v>785830.0680385062</v>
      </c>
    </row>
    <row r="296" spans="1:7" x14ac:dyDescent="0.2">
      <c r="A296" s="35"/>
      <c r="B296" s="35">
        <v>285</v>
      </c>
      <c r="C296" s="44">
        <f t="shared" si="20"/>
        <v>12641.360469859274</v>
      </c>
      <c r="D296" s="45">
        <f t="shared" si="21"/>
        <v>4256.5795352085752</v>
      </c>
      <c r="E296" s="46">
        <f t="shared" si="22"/>
        <v>8384.7809346506983</v>
      </c>
      <c r="F296" s="42">
        <f t="shared" si="23"/>
        <v>0</v>
      </c>
      <c r="G296" s="44">
        <f t="shared" si="24"/>
        <v>777445.28710385552</v>
      </c>
    </row>
    <row r="297" spans="1:7" x14ac:dyDescent="0.2">
      <c r="A297" s="35"/>
      <c r="B297" s="35">
        <v>286</v>
      </c>
      <c r="C297" s="44">
        <f t="shared" si="20"/>
        <v>12641.360469859274</v>
      </c>
      <c r="D297" s="45">
        <f t="shared" si="21"/>
        <v>4211.1619718125512</v>
      </c>
      <c r="E297" s="46">
        <f t="shared" si="22"/>
        <v>8430.1984980467223</v>
      </c>
      <c r="F297" s="42">
        <f t="shared" si="23"/>
        <v>0</v>
      </c>
      <c r="G297" s="44">
        <f t="shared" si="24"/>
        <v>769015.08860580879</v>
      </c>
    </row>
    <row r="298" spans="1:7" x14ac:dyDescent="0.2">
      <c r="A298" s="35"/>
      <c r="B298" s="35">
        <v>287</v>
      </c>
      <c r="C298" s="44">
        <f t="shared" si="20"/>
        <v>12641.360469859274</v>
      </c>
      <c r="D298" s="45">
        <f t="shared" si="21"/>
        <v>4165.4983966147975</v>
      </c>
      <c r="E298" s="46">
        <f t="shared" si="22"/>
        <v>8475.8620732444761</v>
      </c>
      <c r="F298" s="42">
        <f t="shared" si="23"/>
        <v>0</v>
      </c>
      <c r="G298" s="44">
        <f t="shared" si="24"/>
        <v>760539.22653256427</v>
      </c>
    </row>
    <row r="299" spans="1:7" x14ac:dyDescent="0.2">
      <c r="A299" s="35"/>
      <c r="B299" s="35">
        <v>288</v>
      </c>
      <c r="C299" s="44">
        <f t="shared" si="20"/>
        <v>12641.360469859274</v>
      </c>
      <c r="D299" s="45">
        <f t="shared" si="21"/>
        <v>4119.5874770513901</v>
      </c>
      <c r="E299" s="46">
        <f t="shared" si="22"/>
        <v>8521.7729928078843</v>
      </c>
      <c r="F299" s="42">
        <f t="shared" si="23"/>
        <v>0</v>
      </c>
      <c r="G299" s="44">
        <f t="shared" si="24"/>
        <v>752017.45353975636</v>
      </c>
    </row>
    <row r="300" spans="1:7" x14ac:dyDescent="0.2">
      <c r="A300" s="35"/>
      <c r="B300" s="35">
        <v>289</v>
      </c>
      <c r="C300" s="44">
        <f t="shared" si="20"/>
        <v>12641.360469859274</v>
      </c>
      <c r="D300" s="45">
        <f t="shared" si="21"/>
        <v>4073.4278733403471</v>
      </c>
      <c r="E300" s="46">
        <f t="shared" si="22"/>
        <v>8567.9325965189273</v>
      </c>
      <c r="F300" s="42">
        <f t="shared" si="23"/>
        <v>0</v>
      </c>
      <c r="G300" s="44">
        <f t="shared" si="24"/>
        <v>743449.52094323747</v>
      </c>
    </row>
    <row r="301" spans="1:7" x14ac:dyDescent="0.2">
      <c r="A301" s="35"/>
      <c r="B301" s="35">
        <v>290</v>
      </c>
      <c r="C301" s="44">
        <f t="shared" si="20"/>
        <v>12641.360469859274</v>
      </c>
      <c r="D301" s="45">
        <f t="shared" si="21"/>
        <v>4027.0182384425366</v>
      </c>
      <c r="E301" s="46">
        <f t="shared" si="22"/>
        <v>8614.3422314167365</v>
      </c>
      <c r="F301" s="42">
        <f t="shared" si="23"/>
        <v>0</v>
      </c>
      <c r="G301" s="44">
        <f t="shared" si="24"/>
        <v>734835.17871182074</v>
      </c>
    </row>
    <row r="302" spans="1:7" x14ac:dyDescent="0.2">
      <c r="A302" s="35"/>
      <c r="B302" s="35">
        <v>291</v>
      </c>
      <c r="C302" s="44">
        <f t="shared" si="20"/>
        <v>12641.360469859274</v>
      </c>
      <c r="D302" s="45">
        <f t="shared" si="21"/>
        <v>3980.3572180223623</v>
      </c>
      <c r="E302" s="46">
        <f t="shared" si="22"/>
        <v>8661.0032518369117</v>
      </c>
      <c r="F302" s="42">
        <f t="shared" si="23"/>
        <v>0</v>
      </c>
      <c r="G302" s="44">
        <f t="shared" si="24"/>
        <v>726174.17545998388</v>
      </c>
    </row>
    <row r="303" spans="1:7" x14ac:dyDescent="0.2">
      <c r="A303" s="35"/>
      <c r="B303" s="35">
        <v>292</v>
      </c>
      <c r="C303" s="44">
        <f t="shared" si="20"/>
        <v>12641.360469859274</v>
      </c>
      <c r="D303" s="45">
        <f t="shared" si="21"/>
        <v>3933.443450408246</v>
      </c>
      <c r="E303" s="46">
        <f t="shared" si="22"/>
        <v>8707.917019451028</v>
      </c>
      <c r="F303" s="42">
        <f t="shared" si="23"/>
        <v>0</v>
      </c>
      <c r="G303" s="44">
        <f t="shared" si="24"/>
        <v>717466.25844053284</v>
      </c>
    </row>
    <row r="304" spans="1:7" x14ac:dyDescent="0.2">
      <c r="A304" s="35"/>
      <c r="B304" s="35">
        <v>293</v>
      </c>
      <c r="C304" s="44">
        <f t="shared" si="20"/>
        <v>12641.360469859274</v>
      </c>
      <c r="D304" s="45">
        <f t="shared" si="21"/>
        <v>3886.2755665528862</v>
      </c>
      <c r="E304" s="46">
        <f t="shared" si="22"/>
        <v>8755.0849033063878</v>
      </c>
      <c r="F304" s="42">
        <f t="shared" si="23"/>
        <v>0</v>
      </c>
      <c r="G304" s="44">
        <f t="shared" si="24"/>
        <v>708711.17353722639</v>
      </c>
    </row>
    <row r="305" spans="1:7" x14ac:dyDescent="0.2">
      <c r="A305" s="35"/>
      <c r="B305" s="35">
        <v>294</v>
      </c>
      <c r="C305" s="44">
        <f t="shared" si="20"/>
        <v>12641.360469859274</v>
      </c>
      <c r="D305" s="45">
        <f t="shared" si="21"/>
        <v>3838.8521899933098</v>
      </c>
      <c r="E305" s="46">
        <f t="shared" si="22"/>
        <v>8802.5082798659641</v>
      </c>
      <c r="F305" s="42">
        <f t="shared" si="23"/>
        <v>0</v>
      </c>
      <c r="G305" s="44">
        <f t="shared" si="24"/>
        <v>699908.66525736044</v>
      </c>
    </row>
    <row r="306" spans="1:7" x14ac:dyDescent="0.2">
      <c r="A306" s="35"/>
      <c r="B306" s="35">
        <v>295</v>
      </c>
      <c r="C306" s="44">
        <f t="shared" si="20"/>
        <v>12641.360469859274</v>
      </c>
      <c r="D306" s="45">
        <f t="shared" si="21"/>
        <v>3791.1719368107024</v>
      </c>
      <c r="E306" s="46">
        <f t="shared" si="22"/>
        <v>8850.1885330485711</v>
      </c>
      <c r="F306" s="42">
        <f t="shared" si="23"/>
        <v>0</v>
      </c>
      <c r="G306" s="44">
        <f t="shared" si="24"/>
        <v>691058.47672431183</v>
      </c>
    </row>
    <row r="307" spans="1:7" x14ac:dyDescent="0.2">
      <c r="A307" s="35"/>
      <c r="B307" s="35">
        <v>296</v>
      </c>
      <c r="C307" s="44">
        <f t="shared" si="20"/>
        <v>12641.360469859274</v>
      </c>
      <c r="D307" s="45">
        <f t="shared" si="21"/>
        <v>3743.2334155900226</v>
      </c>
      <c r="E307" s="46">
        <f t="shared" si="22"/>
        <v>8898.1270542692509</v>
      </c>
      <c r="F307" s="42">
        <f t="shared" si="23"/>
        <v>0</v>
      </c>
      <c r="G307" s="44">
        <f t="shared" si="24"/>
        <v>682160.34967004252</v>
      </c>
    </row>
    <row r="308" spans="1:7" x14ac:dyDescent="0.2">
      <c r="A308" s="35"/>
      <c r="B308" s="35">
        <v>297</v>
      </c>
      <c r="C308" s="44">
        <f t="shared" si="20"/>
        <v>12641.360469859274</v>
      </c>
      <c r="D308" s="45">
        <f t="shared" si="21"/>
        <v>3695.0352273793969</v>
      </c>
      <c r="E308" s="46">
        <f t="shared" si="22"/>
        <v>8946.3252424798775</v>
      </c>
      <c r="F308" s="42">
        <f t="shared" si="23"/>
        <v>0</v>
      </c>
      <c r="G308" s="44">
        <f t="shared" si="24"/>
        <v>673214.0244275626</v>
      </c>
    </row>
    <row r="309" spans="1:7" x14ac:dyDescent="0.2">
      <c r="A309" s="35"/>
      <c r="B309" s="35">
        <v>298</v>
      </c>
      <c r="C309" s="44">
        <f t="shared" si="20"/>
        <v>12641.360469859274</v>
      </c>
      <c r="D309" s="45">
        <f t="shared" si="21"/>
        <v>3646.5759656492974</v>
      </c>
      <c r="E309" s="46">
        <f t="shared" si="22"/>
        <v>8994.7845042099761</v>
      </c>
      <c r="F309" s="42">
        <f t="shared" si="23"/>
        <v>0</v>
      </c>
      <c r="G309" s="44">
        <f t="shared" si="24"/>
        <v>664219.23992335261</v>
      </c>
    </row>
    <row r="310" spans="1:7" x14ac:dyDescent="0.2">
      <c r="A310" s="35"/>
      <c r="B310" s="35">
        <v>299</v>
      </c>
      <c r="C310" s="44">
        <f t="shared" si="20"/>
        <v>12641.360469859274</v>
      </c>
      <c r="D310" s="45">
        <f t="shared" si="21"/>
        <v>3597.8542162514932</v>
      </c>
      <c r="E310" s="46">
        <f t="shared" si="22"/>
        <v>9043.5062536077803</v>
      </c>
      <c r="F310" s="42">
        <f t="shared" si="23"/>
        <v>0</v>
      </c>
      <c r="G310" s="44">
        <f t="shared" si="24"/>
        <v>655175.7336697448</v>
      </c>
    </row>
    <row r="311" spans="1:7" x14ac:dyDescent="0.2">
      <c r="A311" s="35"/>
      <c r="B311" s="35">
        <v>300</v>
      </c>
      <c r="C311" s="44">
        <f t="shared" si="20"/>
        <v>12641.360469859274</v>
      </c>
      <c r="D311" s="45">
        <f t="shared" si="21"/>
        <v>3548.8685573777843</v>
      </c>
      <c r="E311" s="46">
        <f t="shared" si="22"/>
        <v>9092.4919124814896</v>
      </c>
      <c r="F311" s="42">
        <f t="shared" si="23"/>
        <v>0</v>
      </c>
      <c r="G311" s="44">
        <f t="shared" si="24"/>
        <v>646083.24175726331</v>
      </c>
    </row>
    <row r="312" spans="1:7" x14ac:dyDescent="0.2">
      <c r="A312" s="35"/>
      <c r="B312" s="35">
        <v>301</v>
      </c>
      <c r="C312" s="44">
        <f t="shared" si="20"/>
        <v>12641.360469859274</v>
      </c>
      <c r="D312" s="45">
        <f t="shared" si="21"/>
        <v>3499.6175595185096</v>
      </c>
      <c r="E312" s="46">
        <f t="shared" si="22"/>
        <v>9141.742910340763</v>
      </c>
      <c r="F312" s="42">
        <f t="shared" si="23"/>
        <v>0</v>
      </c>
      <c r="G312" s="44">
        <f t="shared" si="24"/>
        <v>636941.49884692254</v>
      </c>
    </row>
    <row r="313" spans="1:7" x14ac:dyDescent="0.2">
      <c r="A313" s="35"/>
      <c r="B313" s="35">
        <v>302</v>
      </c>
      <c r="C313" s="44">
        <f t="shared" si="20"/>
        <v>12641.360469859274</v>
      </c>
      <c r="D313" s="45">
        <f t="shared" si="21"/>
        <v>3450.0997854208304</v>
      </c>
      <c r="E313" s="46">
        <f t="shared" si="22"/>
        <v>9191.2606844384427</v>
      </c>
      <c r="F313" s="42">
        <f t="shared" si="23"/>
        <v>0</v>
      </c>
      <c r="G313" s="44">
        <f t="shared" si="24"/>
        <v>627750.23816248414</v>
      </c>
    </row>
    <row r="314" spans="1:7" x14ac:dyDescent="0.2">
      <c r="A314" s="35"/>
      <c r="B314" s="35">
        <v>303</v>
      </c>
      <c r="C314" s="44">
        <f t="shared" si="20"/>
        <v>12641.360469859274</v>
      </c>
      <c r="D314" s="45">
        <f t="shared" si="21"/>
        <v>3400.3137900467891</v>
      </c>
      <c r="E314" s="46">
        <f t="shared" si="22"/>
        <v>9241.0466798124835</v>
      </c>
      <c r="F314" s="42">
        <f t="shared" si="23"/>
        <v>0</v>
      </c>
      <c r="G314" s="44">
        <f t="shared" si="24"/>
        <v>618509.19148267165</v>
      </c>
    </row>
    <row r="315" spans="1:7" x14ac:dyDescent="0.2">
      <c r="A315" s="35"/>
      <c r="B315" s="35">
        <v>304</v>
      </c>
      <c r="C315" s="44">
        <f t="shared" si="20"/>
        <v>12641.360469859274</v>
      </c>
      <c r="D315" s="45">
        <f t="shared" si="21"/>
        <v>3350.258120531138</v>
      </c>
      <c r="E315" s="46">
        <f t="shared" si="22"/>
        <v>9291.1023493281355</v>
      </c>
      <c r="F315" s="42">
        <f t="shared" si="23"/>
        <v>0</v>
      </c>
      <c r="G315" s="44">
        <f t="shared" si="24"/>
        <v>609218.08913334354</v>
      </c>
    </row>
    <row r="316" spans="1:7" x14ac:dyDescent="0.2">
      <c r="A316" s="35"/>
      <c r="B316" s="35">
        <v>305</v>
      </c>
      <c r="C316" s="44">
        <f t="shared" si="20"/>
        <v>12641.360469859274</v>
      </c>
      <c r="D316" s="45">
        <f t="shared" si="21"/>
        <v>3299.9313161389441</v>
      </c>
      <c r="E316" s="46">
        <f t="shared" si="22"/>
        <v>9341.4291537203299</v>
      </c>
      <c r="F316" s="42">
        <f t="shared" si="23"/>
        <v>0</v>
      </c>
      <c r="G316" s="44">
        <f t="shared" si="24"/>
        <v>599876.65997962316</v>
      </c>
    </row>
    <row r="317" spans="1:7" x14ac:dyDescent="0.2">
      <c r="A317" s="35"/>
      <c r="B317" s="35">
        <v>306</v>
      </c>
      <c r="C317" s="44">
        <f t="shared" si="20"/>
        <v>12641.360469859274</v>
      </c>
      <c r="D317" s="45">
        <f t="shared" si="21"/>
        <v>3249.3319082229591</v>
      </c>
      <c r="E317" s="46">
        <f t="shared" si="22"/>
        <v>9392.0285616363144</v>
      </c>
      <c r="F317" s="42">
        <f t="shared" si="23"/>
        <v>0</v>
      </c>
      <c r="G317" s="44">
        <f t="shared" si="24"/>
        <v>590484.63141798682</v>
      </c>
    </row>
    <row r="318" spans="1:7" x14ac:dyDescent="0.2">
      <c r="A318" s="35"/>
      <c r="B318" s="35">
        <v>307</v>
      </c>
      <c r="C318" s="44">
        <f t="shared" si="20"/>
        <v>12641.360469859274</v>
      </c>
      <c r="D318" s="45">
        <f t="shared" si="21"/>
        <v>3198.458420180762</v>
      </c>
      <c r="E318" s="46">
        <f t="shared" si="22"/>
        <v>9442.9020496785124</v>
      </c>
      <c r="F318" s="42">
        <f t="shared" si="23"/>
        <v>0</v>
      </c>
      <c r="G318" s="44">
        <f t="shared" si="24"/>
        <v>581041.72936830833</v>
      </c>
    </row>
    <row r="319" spans="1:7" x14ac:dyDescent="0.2">
      <c r="A319" s="35"/>
      <c r="B319" s="35">
        <v>308</v>
      </c>
      <c r="C319" s="44">
        <f t="shared" si="20"/>
        <v>12641.360469859274</v>
      </c>
      <c r="D319" s="45">
        <f t="shared" si="21"/>
        <v>3147.3093674116703</v>
      </c>
      <c r="E319" s="46">
        <f t="shared" si="22"/>
        <v>9494.0511024476036</v>
      </c>
      <c r="F319" s="42">
        <f t="shared" si="23"/>
        <v>0</v>
      </c>
      <c r="G319" s="44">
        <f t="shared" si="24"/>
        <v>571547.67826586077</v>
      </c>
    </row>
    <row r="320" spans="1:7" x14ac:dyDescent="0.2">
      <c r="A320" s="35"/>
      <c r="B320" s="35">
        <v>309</v>
      </c>
      <c r="C320" s="44">
        <f t="shared" si="20"/>
        <v>12641.360469859274</v>
      </c>
      <c r="D320" s="45">
        <f t="shared" si="21"/>
        <v>3095.8832572734127</v>
      </c>
      <c r="E320" s="46">
        <f t="shared" si="22"/>
        <v>9545.4772125858617</v>
      </c>
      <c r="F320" s="42">
        <f t="shared" si="23"/>
        <v>0</v>
      </c>
      <c r="G320" s="44">
        <f t="shared" si="24"/>
        <v>562002.20105327491</v>
      </c>
    </row>
    <row r="321" spans="1:7" x14ac:dyDescent="0.2">
      <c r="A321" s="35"/>
      <c r="B321" s="35">
        <v>310</v>
      </c>
      <c r="C321" s="44">
        <f t="shared" si="20"/>
        <v>12641.360469859274</v>
      </c>
      <c r="D321" s="45">
        <f t="shared" si="21"/>
        <v>3044.1785890385727</v>
      </c>
      <c r="E321" s="46">
        <f t="shared" si="22"/>
        <v>9597.1818808207008</v>
      </c>
      <c r="F321" s="42">
        <f t="shared" si="23"/>
        <v>0</v>
      </c>
      <c r="G321" s="44">
        <f t="shared" si="24"/>
        <v>552405.01917245425</v>
      </c>
    </row>
    <row r="322" spans="1:7" x14ac:dyDescent="0.2">
      <c r="A322" s="35"/>
      <c r="B322" s="35">
        <v>311</v>
      </c>
      <c r="C322" s="44">
        <f t="shared" si="20"/>
        <v>12641.360469859274</v>
      </c>
      <c r="D322" s="45">
        <f t="shared" si="21"/>
        <v>2992.1938538507939</v>
      </c>
      <c r="E322" s="46">
        <f t="shared" si="22"/>
        <v>9649.1666160084787</v>
      </c>
      <c r="F322" s="42">
        <f t="shared" si="23"/>
        <v>0</v>
      </c>
      <c r="G322" s="44">
        <f t="shared" si="24"/>
        <v>542755.85255644575</v>
      </c>
    </row>
    <row r="323" spans="1:7" x14ac:dyDescent="0.2">
      <c r="A323" s="35"/>
      <c r="B323" s="35">
        <v>312</v>
      </c>
      <c r="C323" s="44">
        <f t="shared" si="20"/>
        <v>12641.360469859274</v>
      </c>
      <c r="D323" s="45">
        <f t="shared" si="21"/>
        <v>2939.9275346807481</v>
      </c>
      <c r="E323" s="46">
        <f t="shared" si="22"/>
        <v>9701.4329351785254</v>
      </c>
      <c r="F323" s="42">
        <f t="shared" si="23"/>
        <v>0</v>
      </c>
      <c r="G323" s="44">
        <f t="shared" si="24"/>
        <v>533054.41962126724</v>
      </c>
    </row>
    <row r="324" spans="1:7" x14ac:dyDescent="0.2">
      <c r="A324" s="35"/>
      <c r="B324" s="35">
        <v>313</v>
      </c>
      <c r="C324" s="44">
        <f t="shared" si="20"/>
        <v>12641.360469859274</v>
      </c>
      <c r="D324" s="45">
        <f t="shared" si="21"/>
        <v>2887.3781062818643</v>
      </c>
      <c r="E324" s="46">
        <f t="shared" si="22"/>
        <v>9753.9823635774083</v>
      </c>
      <c r="F324" s="42">
        <f t="shared" si="23"/>
        <v>0</v>
      </c>
      <c r="G324" s="44">
        <f t="shared" si="24"/>
        <v>523300.43725768983</v>
      </c>
    </row>
    <row r="325" spans="1:7" x14ac:dyDescent="0.2">
      <c r="A325" s="35"/>
      <c r="B325" s="35">
        <v>314</v>
      </c>
      <c r="C325" s="44">
        <f t="shared" si="20"/>
        <v>12641.360469859274</v>
      </c>
      <c r="D325" s="45">
        <f t="shared" si="21"/>
        <v>2834.5440351458201</v>
      </c>
      <c r="E325" s="46">
        <f t="shared" si="22"/>
        <v>9806.8164347134534</v>
      </c>
      <c r="F325" s="42">
        <f t="shared" si="23"/>
        <v>0</v>
      </c>
      <c r="G325" s="44">
        <f t="shared" si="24"/>
        <v>513493.6208229764</v>
      </c>
    </row>
    <row r="326" spans="1:7" x14ac:dyDescent="0.2">
      <c r="A326" s="35"/>
      <c r="B326" s="35">
        <v>315</v>
      </c>
      <c r="C326" s="44">
        <f t="shared" si="20"/>
        <v>12641.360469859274</v>
      </c>
      <c r="D326" s="45">
        <f t="shared" si="21"/>
        <v>2781.4237794577889</v>
      </c>
      <c r="E326" s="46">
        <f t="shared" si="22"/>
        <v>9859.9366904014842</v>
      </c>
      <c r="F326" s="42">
        <f t="shared" si="23"/>
        <v>0</v>
      </c>
      <c r="G326" s="44">
        <f t="shared" si="24"/>
        <v>503633.68413257494</v>
      </c>
    </row>
    <row r="327" spans="1:7" x14ac:dyDescent="0.2">
      <c r="A327" s="35"/>
      <c r="B327" s="35">
        <v>316</v>
      </c>
      <c r="C327" s="44">
        <f t="shared" si="20"/>
        <v>12641.360469859274</v>
      </c>
      <c r="D327" s="45">
        <f t="shared" si="21"/>
        <v>2728.0157890514479</v>
      </c>
      <c r="E327" s="46">
        <f t="shared" si="22"/>
        <v>9913.3446808078261</v>
      </c>
      <c r="F327" s="42">
        <f t="shared" si="23"/>
        <v>0</v>
      </c>
      <c r="G327" s="44">
        <f t="shared" si="24"/>
        <v>493720.3394517671</v>
      </c>
    </row>
    <row r="328" spans="1:7" x14ac:dyDescent="0.2">
      <c r="A328" s="35"/>
      <c r="B328" s="35">
        <v>317</v>
      </c>
      <c r="C328" s="44">
        <f t="shared" si="20"/>
        <v>12641.360469859274</v>
      </c>
      <c r="D328" s="45">
        <f t="shared" si="21"/>
        <v>2674.3185053637385</v>
      </c>
      <c r="E328" s="46">
        <f t="shared" si="22"/>
        <v>9967.0419644955346</v>
      </c>
      <c r="F328" s="42">
        <f t="shared" si="23"/>
        <v>0</v>
      </c>
      <c r="G328" s="44">
        <f t="shared" si="24"/>
        <v>483753.29748727154</v>
      </c>
    </row>
    <row r="329" spans="1:7" x14ac:dyDescent="0.2">
      <c r="A329" s="35"/>
      <c r="B329" s="35">
        <v>318</v>
      </c>
      <c r="C329" s="44">
        <f t="shared" si="20"/>
        <v>12641.360469859274</v>
      </c>
      <c r="D329" s="45">
        <f t="shared" si="21"/>
        <v>2620.3303613893877</v>
      </c>
      <c r="E329" s="46">
        <f t="shared" si="22"/>
        <v>10021.030108469886</v>
      </c>
      <c r="F329" s="42">
        <f t="shared" si="23"/>
        <v>0</v>
      </c>
      <c r="G329" s="44">
        <f t="shared" si="24"/>
        <v>473732.26737880165</v>
      </c>
    </row>
    <row r="330" spans="1:7" x14ac:dyDescent="0.2">
      <c r="A330" s="35"/>
      <c r="B330" s="35">
        <v>319</v>
      </c>
      <c r="C330" s="44">
        <f t="shared" si="20"/>
        <v>12641.360469859274</v>
      </c>
      <c r="D330" s="45">
        <f t="shared" si="21"/>
        <v>2566.0497816351758</v>
      </c>
      <c r="E330" s="46">
        <f t="shared" si="22"/>
        <v>10075.310688224097</v>
      </c>
      <c r="F330" s="42">
        <f t="shared" si="23"/>
        <v>0</v>
      </c>
      <c r="G330" s="44">
        <f t="shared" si="24"/>
        <v>463656.95669057756</v>
      </c>
    </row>
    <row r="331" spans="1:7" x14ac:dyDescent="0.2">
      <c r="A331" s="35"/>
      <c r="B331" s="35">
        <v>320</v>
      </c>
      <c r="C331" s="44">
        <f t="shared" si="20"/>
        <v>12641.360469859274</v>
      </c>
      <c r="D331" s="45">
        <f t="shared" si="21"/>
        <v>2511.4751820739621</v>
      </c>
      <c r="E331" s="46">
        <f t="shared" si="22"/>
        <v>10129.885287785311</v>
      </c>
      <c r="F331" s="42">
        <f t="shared" si="23"/>
        <v>0</v>
      </c>
      <c r="G331" s="44">
        <f t="shared" si="24"/>
        <v>453527.07140279224</v>
      </c>
    </row>
    <row r="332" spans="1:7" x14ac:dyDescent="0.2">
      <c r="A332" s="35"/>
      <c r="B332" s="35">
        <v>321</v>
      </c>
      <c r="C332" s="44">
        <f t="shared" si="20"/>
        <v>12641.360469859274</v>
      </c>
      <c r="D332" s="45">
        <f t="shared" si="21"/>
        <v>2456.6049700984581</v>
      </c>
      <c r="E332" s="46">
        <f t="shared" si="22"/>
        <v>10184.755499760815</v>
      </c>
      <c r="F332" s="42">
        <f t="shared" si="23"/>
        <v>0</v>
      </c>
      <c r="G332" s="44">
        <f t="shared" si="24"/>
        <v>443342.31590303144</v>
      </c>
    </row>
    <row r="333" spans="1:7" x14ac:dyDescent="0.2">
      <c r="A333" s="35"/>
      <c r="B333" s="35">
        <v>322</v>
      </c>
      <c r="C333" s="44">
        <f t="shared" ref="C333:C371" si="25">PMT($D$4/$D$7,$D$8,-$D$3)</f>
        <v>12641.360469859274</v>
      </c>
      <c r="D333" s="45">
        <f t="shared" ref="D333:D371" si="26">G332*($D$4/$D$7)</f>
        <v>2401.4375444747538</v>
      </c>
      <c r="E333" s="46">
        <f t="shared" ref="E333:E371" si="27">C333-D333</f>
        <v>10239.922925384519</v>
      </c>
      <c r="F333" s="42">
        <f t="shared" ref="F333:F371" si="28">$D$5</f>
        <v>0</v>
      </c>
      <c r="G333" s="44">
        <f t="shared" ref="G333:G371" si="29">G332-E333-F333</f>
        <v>433102.3929776469</v>
      </c>
    </row>
    <row r="334" spans="1:7" x14ac:dyDescent="0.2">
      <c r="A334" s="35"/>
      <c r="B334" s="35">
        <v>323</v>
      </c>
      <c r="C334" s="44">
        <f t="shared" si="25"/>
        <v>12641.360469859274</v>
      </c>
      <c r="D334" s="45">
        <f t="shared" si="26"/>
        <v>2345.9712952955874</v>
      </c>
      <c r="E334" s="46">
        <f t="shared" si="27"/>
        <v>10295.389174563687</v>
      </c>
      <c r="F334" s="42">
        <f t="shared" si="28"/>
        <v>0</v>
      </c>
      <c r="G334" s="44">
        <f t="shared" si="29"/>
        <v>422807.00380308321</v>
      </c>
    </row>
    <row r="335" spans="1:7" x14ac:dyDescent="0.2">
      <c r="A335" s="35"/>
      <c r="B335" s="35">
        <v>324</v>
      </c>
      <c r="C335" s="44">
        <f t="shared" si="25"/>
        <v>12641.360469859274</v>
      </c>
      <c r="D335" s="45">
        <f t="shared" si="26"/>
        <v>2290.2046039333673</v>
      </c>
      <c r="E335" s="46">
        <f t="shared" si="27"/>
        <v>10351.155865925906</v>
      </c>
      <c r="F335" s="42">
        <f t="shared" si="28"/>
        <v>0</v>
      </c>
      <c r="G335" s="44">
        <f t="shared" si="29"/>
        <v>412455.84793715732</v>
      </c>
    </row>
    <row r="336" spans="1:7" x14ac:dyDescent="0.2">
      <c r="A336" s="35"/>
      <c r="B336" s="35">
        <v>325</v>
      </c>
      <c r="C336" s="44">
        <f t="shared" si="25"/>
        <v>12641.360469859274</v>
      </c>
      <c r="D336" s="45">
        <f t="shared" si="26"/>
        <v>2234.1358429929355</v>
      </c>
      <c r="E336" s="46">
        <f t="shared" si="27"/>
        <v>10407.224626866338</v>
      </c>
      <c r="F336" s="42">
        <f t="shared" si="28"/>
        <v>0</v>
      </c>
      <c r="G336" s="44">
        <f t="shared" si="29"/>
        <v>402048.62331029098</v>
      </c>
    </row>
    <row r="337" spans="1:7" x14ac:dyDescent="0.2">
      <c r="A337" s="35"/>
      <c r="B337" s="35">
        <v>326</v>
      </c>
      <c r="C337" s="44">
        <f t="shared" si="25"/>
        <v>12641.360469859274</v>
      </c>
      <c r="D337" s="45">
        <f t="shared" si="26"/>
        <v>2177.7633762640762</v>
      </c>
      <c r="E337" s="46">
        <f t="shared" si="27"/>
        <v>10463.597093595197</v>
      </c>
      <c r="F337" s="42">
        <f t="shared" si="28"/>
        <v>0</v>
      </c>
      <c r="G337" s="44">
        <f t="shared" si="29"/>
        <v>391585.02621669578</v>
      </c>
    </row>
    <row r="338" spans="1:7" x14ac:dyDescent="0.2">
      <c r="A338" s="35"/>
      <c r="B338" s="35">
        <v>327</v>
      </c>
      <c r="C338" s="44">
        <f t="shared" si="25"/>
        <v>12641.360469859274</v>
      </c>
      <c r="D338" s="45">
        <f t="shared" si="26"/>
        <v>2121.0855586737689</v>
      </c>
      <c r="E338" s="46">
        <f t="shared" si="27"/>
        <v>10520.274911185505</v>
      </c>
      <c r="F338" s="42">
        <f t="shared" si="28"/>
        <v>0</v>
      </c>
      <c r="G338" s="44">
        <f t="shared" si="29"/>
        <v>381064.75130551029</v>
      </c>
    </row>
    <row r="339" spans="1:7" x14ac:dyDescent="0.2">
      <c r="A339" s="35"/>
      <c r="B339" s="35">
        <v>328</v>
      </c>
      <c r="C339" s="44">
        <f t="shared" si="25"/>
        <v>12641.360469859274</v>
      </c>
      <c r="D339" s="45">
        <f t="shared" si="26"/>
        <v>2064.1007362381806</v>
      </c>
      <c r="E339" s="46">
        <f t="shared" si="27"/>
        <v>10577.259733621093</v>
      </c>
      <c r="F339" s="42">
        <f t="shared" si="28"/>
        <v>0</v>
      </c>
      <c r="G339" s="44">
        <f t="shared" si="29"/>
        <v>370487.4915718892</v>
      </c>
    </row>
    <row r="340" spans="1:7" x14ac:dyDescent="0.2">
      <c r="A340" s="35"/>
      <c r="B340" s="35">
        <v>329</v>
      </c>
      <c r="C340" s="44">
        <f t="shared" si="25"/>
        <v>12641.360469859274</v>
      </c>
      <c r="D340" s="45">
        <f t="shared" si="26"/>
        <v>2006.8072460143999</v>
      </c>
      <c r="E340" s="46">
        <f t="shared" si="27"/>
        <v>10634.553223844874</v>
      </c>
      <c r="F340" s="42">
        <f t="shared" si="28"/>
        <v>0</v>
      </c>
      <c r="G340" s="44">
        <f t="shared" si="29"/>
        <v>359852.93834804435</v>
      </c>
    </row>
    <row r="341" spans="1:7" x14ac:dyDescent="0.2">
      <c r="A341" s="35"/>
      <c r="B341" s="35">
        <v>330</v>
      </c>
      <c r="C341" s="44">
        <f t="shared" si="25"/>
        <v>12641.360469859274</v>
      </c>
      <c r="D341" s="45">
        <f t="shared" si="26"/>
        <v>1949.203416051907</v>
      </c>
      <c r="E341" s="46">
        <f t="shared" si="27"/>
        <v>10692.157053807367</v>
      </c>
      <c r="F341" s="42">
        <f t="shared" si="28"/>
        <v>0</v>
      </c>
      <c r="G341" s="44">
        <f t="shared" si="29"/>
        <v>349160.78129423701</v>
      </c>
    </row>
    <row r="342" spans="1:7" x14ac:dyDescent="0.2">
      <c r="A342" s="35"/>
      <c r="B342" s="35">
        <v>331</v>
      </c>
      <c r="C342" s="44">
        <f t="shared" si="25"/>
        <v>12641.360469859274</v>
      </c>
      <c r="D342" s="45">
        <f t="shared" si="26"/>
        <v>1891.2875653437839</v>
      </c>
      <c r="E342" s="46">
        <f t="shared" si="27"/>
        <v>10750.072904515489</v>
      </c>
      <c r="F342" s="42">
        <f t="shared" si="28"/>
        <v>0</v>
      </c>
      <c r="G342" s="44">
        <f t="shared" si="29"/>
        <v>338410.70838972152</v>
      </c>
    </row>
    <row r="343" spans="1:7" x14ac:dyDescent="0.2">
      <c r="A343" s="35"/>
      <c r="B343" s="35">
        <v>332</v>
      </c>
      <c r="C343" s="44">
        <f t="shared" si="25"/>
        <v>12641.360469859274</v>
      </c>
      <c r="D343" s="45">
        <f t="shared" si="26"/>
        <v>1833.0580037776583</v>
      </c>
      <c r="E343" s="46">
        <f t="shared" si="27"/>
        <v>10808.302466081615</v>
      </c>
      <c r="F343" s="42">
        <f t="shared" si="28"/>
        <v>0</v>
      </c>
      <c r="G343" s="44">
        <f t="shared" si="29"/>
        <v>327602.40592363989</v>
      </c>
    </row>
    <row r="344" spans="1:7" x14ac:dyDescent="0.2">
      <c r="A344" s="35"/>
      <c r="B344" s="35">
        <v>333</v>
      </c>
      <c r="C344" s="44">
        <f t="shared" si="25"/>
        <v>12641.360469859274</v>
      </c>
      <c r="D344" s="45">
        <f t="shared" si="26"/>
        <v>1774.5130320863827</v>
      </c>
      <c r="E344" s="46">
        <f t="shared" si="27"/>
        <v>10866.847437772891</v>
      </c>
      <c r="F344" s="42">
        <f t="shared" si="28"/>
        <v>0</v>
      </c>
      <c r="G344" s="44">
        <f t="shared" si="29"/>
        <v>316735.55848586699</v>
      </c>
    </row>
    <row r="345" spans="1:7" x14ac:dyDescent="0.2">
      <c r="A345" s="35"/>
      <c r="B345" s="35">
        <v>334</v>
      </c>
      <c r="C345" s="44">
        <f t="shared" si="25"/>
        <v>12641.360469859274</v>
      </c>
      <c r="D345" s="45">
        <f t="shared" si="26"/>
        <v>1715.6509417984462</v>
      </c>
      <c r="E345" s="46">
        <f t="shared" si="27"/>
        <v>10925.709528060826</v>
      </c>
      <c r="F345" s="42">
        <f t="shared" si="28"/>
        <v>0</v>
      </c>
      <c r="G345" s="44">
        <f t="shared" si="29"/>
        <v>305809.84895780619</v>
      </c>
    </row>
    <row r="346" spans="1:7" x14ac:dyDescent="0.2">
      <c r="A346" s="35"/>
      <c r="B346" s="35">
        <v>335</v>
      </c>
      <c r="C346" s="44">
        <f t="shared" si="25"/>
        <v>12641.360469859274</v>
      </c>
      <c r="D346" s="45">
        <f t="shared" si="26"/>
        <v>1656.4700151881168</v>
      </c>
      <c r="E346" s="46">
        <f t="shared" si="27"/>
        <v>10984.890454671156</v>
      </c>
      <c r="F346" s="42">
        <f t="shared" si="28"/>
        <v>0</v>
      </c>
      <c r="G346" s="44">
        <f t="shared" si="29"/>
        <v>294824.95850313501</v>
      </c>
    </row>
    <row r="347" spans="1:7" x14ac:dyDescent="0.2">
      <c r="A347" s="35"/>
      <c r="B347" s="35">
        <v>336</v>
      </c>
      <c r="C347" s="44">
        <f t="shared" si="25"/>
        <v>12641.360469859274</v>
      </c>
      <c r="D347" s="45">
        <f t="shared" si="26"/>
        <v>1596.9685252253148</v>
      </c>
      <c r="E347" s="46">
        <f t="shared" si="27"/>
        <v>11044.391944633959</v>
      </c>
      <c r="F347" s="42">
        <f t="shared" si="28"/>
        <v>0</v>
      </c>
      <c r="G347" s="44">
        <f t="shared" si="29"/>
        <v>283780.56655850104</v>
      </c>
    </row>
    <row r="348" spans="1:7" x14ac:dyDescent="0.2">
      <c r="A348" s="35"/>
      <c r="B348" s="35">
        <v>337</v>
      </c>
      <c r="C348" s="44">
        <f t="shared" si="25"/>
        <v>12641.360469859274</v>
      </c>
      <c r="D348" s="45">
        <f t="shared" si="26"/>
        <v>1537.1447355252139</v>
      </c>
      <c r="E348" s="46">
        <f t="shared" si="27"/>
        <v>11104.215734334059</v>
      </c>
      <c r="F348" s="42">
        <f t="shared" si="28"/>
        <v>0</v>
      </c>
      <c r="G348" s="44">
        <f t="shared" si="29"/>
        <v>272676.35082416696</v>
      </c>
    </row>
    <row r="349" spans="1:7" x14ac:dyDescent="0.2">
      <c r="A349" s="35"/>
      <c r="B349" s="35">
        <v>338</v>
      </c>
      <c r="C349" s="44">
        <f t="shared" si="25"/>
        <v>12641.360469859274</v>
      </c>
      <c r="D349" s="45">
        <f t="shared" si="26"/>
        <v>1476.9969002975711</v>
      </c>
      <c r="E349" s="46">
        <f t="shared" si="27"/>
        <v>11164.363569561703</v>
      </c>
      <c r="F349" s="42">
        <f t="shared" si="28"/>
        <v>0</v>
      </c>
      <c r="G349" s="44">
        <f t="shared" si="29"/>
        <v>261511.98725460525</v>
      </c>
    </row>
    <row r="350" spans="1:7" x14ac:dyDescent="0.2">
      <c r="A350" s="35"/>
      <c r="B350" s="35">
        <v>339</v>
      </c>
      <c r="C350" s="44">
        <f t="shared" si="25"/>
        <v>12641.360469859274</v>
      </c>
      <c r="D350" s="45">
        <f t="shared" si="26"/>
        <v>1416.5232642957785</v>
      </c>
      <c r="E350" s="46">
        <f t="shared" si="27"/>
        <v>11224.837205563495</v>
      </c>
      <c r="F350" s="42">
        <f t="shared" si="28"/>
        <v>0</v>
      </c>
      <c r="G350" s="44">
        <f t="shared" si="29"/>
        <v>250287.15004904175</v>
      </c>
    </row>
    <row r="351" spans="1:7" x14ac:dyDescent="0.2">
      <c r="A351" s="35"/>
      <c r="B351" s="35">
        <v>340</v>
      </c>
      <c r="C351" s="44">
        <f t="shared" si="25"/>
        <v>12641.360469859274</v>
      </c>
      <c r="D351" s="45">
        <f t="shared" si="26"/>
        <v>1355.7220627656429</v>
      </c>
      <c r="E351" s="46">
        <f t="shared" si="27"/>
        <v>11285.638407093631</v>
      </c>
      <c r="F351" s="42">
        <f t="shared" si="28"/>
        <v>0</v>
      </c>
      <c r="G351" s="44">
        <f t="shared" si="29"/>
        <v>239001.51164194813</v>
      </c>
    </row>
    <row r="352" spans="1:7" x14ac:dyDescent="0.2">
      <c r="A352" s="35"/>
      <c r="B352" s="35">
        <v>341</v>
      </c>
      <c r="C352" s="44">
        <f t="shared" si="25"/>
        <v>12641.360469859274</v>
      </c>
      <c r="D352" s="45">
        <f t="shared" si="26"/>
        <v>1294.5915213938858</v>
      </c>
      <c r="E352" s="46">
        <f t="shared" si="27"/>
        <v>11346.768948465387</v>
      </c>
      <c r="F352" s="42">
        <f t="shared" si="28"/>
        <v>0</v>
      </c>
      <c r="G352" s="44">
        <f t="shared" si="29"/>
        <v>227654.74269348275</v>
      </c>
    </row>
    <row r="353" spans="1:7" x14ac:dyDescent="0.2">
      <c r="A353" s="35"/>
      <c r="B353" s="35">
        <v>342</v>
      </c>
      <c r="C353" s="44">
        <f t="shared" si="25"/>
        <v>12641.360469859274</v>
      </c>
      <c r="D353" s="45">
        <f t="shared" si="26"/>
        <v>1233.129856256365</v>
      </c>
      <c r="E353" s="46">
        <f t="shared" si="27"/>
        <v>11408.230613602909</v>
      </c>
      <c r="F353" s="42">
        <f t="shared" si="28"/>
        <v>0</v>
      </c>
      <c r="G353" s="44">
        <f t="shared" si="29"/>
        <v>216246.51207987985</v>
      </c>
    </row>
    <row r="354" spans="1:7" x14ac:dyDescent="0.2">
      <c r="A354" s="35"/>
      <c r="B354" s="35">
        <v>343</v>
      </c>
      <c r="C354" s="44">
        <f t="shared" si="25"/>
        <v>12641.360469859274</v>
      </c>
      <c r="D354" s="45">
        <f t="shared" si="26"/>
        <v>1171.3352737660159</v>
      </c>
      <c r="E354" s="46">
        <f t="shared" si="27"/>
        <v>11470.025196093258</v>
      </c>
      <c r="F354" s="42">
        <f t="shared" si="28"/>
        <v>0</v>
      </c>
      <c r="G354" s="44">
        <f t="shared" si="29"/>
        <v>204776.48688378659</v>
      </c>
    </row>
    <row r="355" spans="1:7" x14ac:dyDescent="0.2">
      <c r="A355" s="35"/>
      <c r="B355" s="35">
        <v>344</v>
      </c>
      <c r="C355" s="44">
        <f t="shared" si="25"/>
        <v>12641.360469859274</v>
      </c>
      <c r="D355" s="45">
        <f t="shared" si="26"/>
        <v>1109.2059706205107</v>
      </c>
      <c r="E355" s="46">
        <f t="shared" si="27"/>
        <v>11532.154499238763</v>
      </c>
      <c r="F355" s="42">
        <f t="shared" si="28"/>
        <v>0</v>
      </c>
      <c r="G355" s="44">
        <f t="shared" si="29"/>
        <v>193244.33238454783</v>
      </c>
    </row>
    <row r="356" spans="1:7" x14ac:dyDescent="0.2">
      <c r="A356" s="35"/>
      <c r="B356" s="35">
        <v>345</v>
      </c>
      <c r="C356" s="44">
        <f t="shared" si="25"/>
        <v>12641.360469859274</v>
      </c>
      <c r="D356" s="45">
        <f t="shared" si="26"/>
        <v>1046.7401337496342</v>
      </c>
      <c r="E356" s="46">
        <f t="shared" si="27"/>
        <v>11594.62033610964</v>
      </c>
      <c r="F356" s="42">
        <f t="shared" si="28"/>
        <v>0</v>
      </c>
      <c r="G356" s="44">
        <f t="shared" si="29"/>
        <v>181649.7120484382</v>
      </c>
    </row>
    <row r="357" spans="1:7" x14ac:dyDescent="0.2">
      <c r="A357" s="35"/>
      <c r="B357" s="35">
        <v>346</v>
      </c>
      <c r="C357" s="44">
        <f t="shared" si="25"/>
        <v>12641.360469859274</v>
      </c>
      <c r="D357" s="45">
        <f t="shared" si="26"/>
        <v>983.93594026237361</v>
      </c>
      <c r="E357" s="46">
        <f t="shared" si="27"/>
        <v>11657.424529596899</v>
      </c>
      <c r="F357" s="42">
        <f t="shared" si="28"/>
        <v>0</v>
      </c>
      <c r="G357" s="44">
        <f t="shared" si="29"/>
        <v>169992.2875188413</v>
      </c>
    </row>
    <row r="358" spans="1:7" x14ac:dyDescent="0.2">
      <c r="A358" s="35"/>
      <c r="B358" s="35">
        <v>347</v>
      </c>
      <c r="C358" s="44">
        <f t="shared" si="25"/>
        <v>12641.360469859274</v>
      </c>
      <c r="D358" s="45">
        <f t="shared" si="26"/>
        <v>920.79155739372379</v>
      </c>
      <c r="E358" s="46">
        <f t="shared" si="27"/>
        <v>11720.568912465549</v>
      </c>
      <c r="F358" s="42">
        <f t="shared" si="28"/>
        <v>0</v>
      </c>
      <c r="G358" s="44">
        <f t="shared" si="29"/>
        <v>158271.71860637574</v>
      </c>
    </row>
    <row r="359" spans="1:7" x14ac:dyDescent="0.2">
      <c r="A359" s="35"/>
      <c r="B359" s="35">
        <v>348</v>
      </c>
      <c r="C359" s="44">
        <f t="shared" si="25"/>
        <v>12641.360469859274</v>
      </c>
      <c r="D359" s="45">
        <f t="shared" si="26"/>
        <v>857.30514245120196</v>
      </c>
      <c r="E359" s="46">
        <f t="shared" si="27"/>
        <v>11784.055327408072</v>
      </c>
      <c r="F359" s="42">
        <f t="shared" si="28"/>
        <v>0</v>
      </c>
      <c r="G359" s="44">
        <f t="shared" si="29"/>
        <v>146487.66327896767</v>
      </c>
    </row>
    <row r="360" spans="1:7" x14ac:dyDescent="0.2">
      <c r="A360" s="35"/>
      <c r="B360" s="35">
        <v>349</v>
      </c>
      <c r="C360" s="44">
        <f t="shared" si="25"/>
        <v>12641.360469859274</v>
      </c>
      <c r="D360" s="45">
        <f t="shared" si="26"/>
        <v>793.47484276107491</v>
      </c>
      <c r="E360" s="46">
        <f t="shared" si="27"/>
        <v>11847.885627098198</v>
      </c>
      <c r="F360" s="42">
        <f t="shared" si="28"/>
        <v>0</v>
      </c>
      <c r="G360" s="44">
        <f t="shared" si="29"/>
        <v>134639.77765186946</v>
      </c>
    </row>
    <row r="361" spans="1:7" x14ac:dyDescent="0.2">
      <c r="A361" s="35"/>
      <c r="B361" s="35">
        <v>350</v>
      </c>
      <c r="C361" s="44">
        <f t="shared" si="25"/>
        <v>12641.360469859274</v>
      </c>
      <c r="D361" s="45">
        <f t="shared" si="26"/>
        <v>729.29879561429289</v>
      </c>
      <c r="E361" s="46">
        <f t="shared" si="27"/>
        <v>11912.06167424498</v>
      </c>
      <c r="F361" s="42">
        <f t="shared" si="28"/>
        <v>0</v>
      </c>
      <c r="G361" s="44">
        <f t="shared" si="29"/>
        <v>122727.71597762448</v>
      </c>
    </row>
    <row r="362" spans="1:7" x14ac:dyDescent="0.2">
      <c r="A362" s="35"/>
      <c r="B362" s="35">
        <v>351</v>
      </c>
      <c r="C362" s="44">
        <f t="shared" si="25"/>
        <v>12641.360469859274</v>
      </c>
      <c r="D362" s="45">
        <f t="shared" si="26"/>
        <v>664.77512821213259</v>
      </c>
      <c r="E362" s="46">
        <f t="shared" si="27"/>
        <v>11976.58534164714</v>
      </c>
      <c r="F362" s="42">
        <f t="shared" si="28"/>
        <v>0</v>
      </c>
      <c r="G362" s="44">
        <f t="shared" si="29"/>
        <v>110751.13063597734</v>
      </c>
    </row>
    <row r="363" spans="1:7" x14ac:dyDescent="0.2">
      <c r="A363" s="35"/>
      <c r="B363" s="35">
        <v>352</v>
      </c>
      <c r="C363" s="44">
        <f t="shared" si="25"/>
        <v>12641.360469859274</v>
      </c>
      <c r="D363" s="45">
        <f t="shared" si="26"/>
        <v>599.90195761154393</v>
      </c>
      <c r="E363" s="46">
        <f t="shared" si="27"/>
        <v>12041.458512247729</v>
      </c>
      <c r="F363" s="42">
        <f t="shared" si="28"/>
        <v>0</v>
      </c>
      <c r="G363" s="44">
        <f t="shared" si="29"/>
        <v>98709.672123729615</v>
      </c>
    </row>
    <row r="364" spans="1:7" x14ac:dyDescent="0.2">
      <c r="A364" s="35"/>
      <c r="B364" s="35">
        <v>353</v>
      </c>
      <c r="C364" s="44">
        <f t="shared" si="25"/>
        <v>12641.360469859274</v>
      </c>
      <c r="D364" s="45">
        <f t="shared" si="26"/>
        <v>534.67739067020204</v>
      </c>
      <c r="E364" s="46">
        <f t="shared" si="27"/>
        <v>12106.683079189072</v>
      </c>
      <c r="F364" s="42">
        <f t="shared" si="28"/>
        <v>0</v>
      </c>
      <c r="G364" s="44">
        <f t="shared" si="29"/>
        <v>86602.989044540547</v>
      </c>
    </row>
    <row r="365" spans="1:7" x14ac:dyDescent="0.2">
      <c r="A365" s="35"/>
      <c r="B365" s="35">
        <v>354</v>
      </c>
      <c r="C365" s="44">
        <f t="shared" si="25"/>
        <v>12641.360469859274</v>
      </c>
      <c r="D365" s="45">
        <f t="shared" si="26"/>
        <v>469.09952399126132</v>
      </c>
      <c r="E365" s="46">
        <f t="shared" si="27"/>
        <v>12172.260945868013</v>
      </c>
      <c r="F365" s="42">
        <f t="shared" si="28"/>
        <v>0</v>
      </c>
      <c r="G365" s="44">
        <f t="shared" si="29"/>
        <v>74430.728098672538</v>
      </c>
    </row>
    <row r="366" spans="1:7" x14ac:dyDescent="0.2">
      <c r="A366" s="35"/>
      <c r="B366" s="35">
        <v>355</v>
      </c>
      <c r="C366" s="44">
        <f t="shared" si="25"/>
        <v>12641.360469859274</v>
      </c>
      <c r="D366" s="45">
        <f t="shared" si="26"/>
        <v>403.16644386780962</v>
      </c>
      <c r="E366" s="46">
        <f t="shared" si="27"/>
        <v>12238.194025991465</v>
      </c>
      <c r="F366" s="42">
        <f t="shared" si="28"/>
        <v>0</v>
      </c>
      <c r="G366" s="44">
        <f t="shared" si="29"/>
        <v>62192.534072681075</v>
      </c>
    </row>
    <row r="367" spans="1:7" x14ac:dyDescent="0.2">
      <c r="A367" s="35"/>
      <c r="B367" s="35">
        <v>356</v>
      </c>
      <c r="C367" s="44">
        <f t="shared" si="25"/>
        <v>12641.360469859274</v>
      </c>
      <c r="D367" s="45">
        <f t="shared" si="26"/>
        <v>336.87622622702253</v>
      </c>
      <c r="E367" s="46">
        <f t="shared" si="27"/>
        <v>12304.484243632251</v>
      </c>
      <c r="F367" s="42">
        <f t="shared" si="28"/>
        <v>0</v>
      </c>
      <c r="G367" s="44">
        <f t="shared" si="29"/>
        <v>49888.049829048825</v>
      </c>
    </row>
    <row r="368" spans="1:7" x14ac:dyDescent="0.2">
      <c r="A368" s="35"/>
      <c r="B368" s="35">
        <v>357</v>
      </c>
      <c r="C368" s="44">
        <f t="shared" si="25"/>
        <v>12641.360469859274</v>
      </c>
      <c r="D368" s="45">
        <f t="shared" si="26"/>
        <v>270.22693657401447</v>
      </c>
      <c r="E368" s="46">
        <f t="shared" si="27"/>
        <v>12371.13353328526</v>
      </c>
      <c r="F368" s="42">
        <f t="shared" si="28"/>
        <v>0</v>
      </c>
      <c r="G368" s="44">
        <f t="shared" si="29"/>
        <v>37516.916295763564</v>
      </c>
    </row>
    <row r="369" spans="1:7" x14ac:dyDescent="0.2">
      <c r="A369" s="35"/>
      <c r="B369" s="35">
        <v>358</v>
      </c>
      <c r="C369" s="44">
        <f t="shared" si="25"/>
        <v>12641.360469859274</v>
      </c>
      <c r="D369" s="45">
        <f t="shared" si="26"/>
        <v>203.21662993538598</v>
      </c>
      <c r="E369" s="46">
        <f t="shared" si="27"/>
        <v>12438.143839923887</v>
      </c>
      <c r="F369" s="42">
        <f t="shared" si="28"/>
        <v>0</v>
      </c>
      <c r="G369" s="44">
        <f t="shared" si="29"/>
        <v>25078.772455839677</v>
      </c>
    </row>
    <row r="370" spans="1:7" x14ac:dyDescent="0.2">
      <c r="A370" s="35"/>
      <c r="B370" s="35">
        <v>359</v>
      </c>
      <c r="C370" s="44">
        <f t="shared" si="25"/>
        <v>12641.360469859274</v>
      </c>
      <c r="D370" s="45">
        <f t="shared" si="26"/>
        <v>135.84335080246493</v>
      </c>
      <c r="E370" s="46">
        <f t="shared" si="27"/>
        <v>12505.517119056809</v>
      </c>
      <c r="F370" s="42">
        <f t="shared" si="28"/>
        <v>0</v>
      </c>
      <c r="G370" s="44">
        <f t="shared" si="29"/>
        <v>12573.255336782868</v>
      </c>
    </row>
    <row r="371" spans="1:7" x14ac:dyDescent="0.2">
      <c r="A371" s="35"/>
      <c r="B371" s="35">
        <v>360</v>
      </c>
      <c r="C371" s="44">
        <f t="shared" si="25"/>
        <v>12641.360469859274</v>
      </c>
      <c r="D371" s="45">
        <f t="shared" si="26"/>
        <v>68.105133074240541</v>
      </c>
      <c r="E371" s="46">
        <f t="shared" si="27"/>
        <v>12573.255336785032</v>
      </c>
      <c r="F371" s="42">
        <f t="shared" si="28"/>
        <v>0</v>
      </c>
      <c r="G371" s="44">
        <f t="shared" si="29"/>
        <v>-2.1645973902195692E-9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workbookViewId="0">
      <selection activeCell="E14" sqref="E14"/>
    </sheetView>
  </sheetViews>
  <sheetFormatPr defaultRowHeight="12.75" x14ac:dyDescent="0.2"/>
  <cols>
    <col min="1" max="1" width="13.5703125" bestFit="1" customWidth="1"/>
    <col min="2" max="2" width="12.28515625" bestFit="1" customWidth="1"/>
    <col min="5" max="5" width="13.42578125" bestFit="1" customWidth="1"/>
    <col min="6" max="6" width="11" customWidth="1"/>
  </cols>
  <sheetData>
    <row r="1" spans="1:10" ht="25.5" x14ac:dyDescent="0.2">
      <c r="C1" t="s">
        <v>97</v>
      </c>
      <c r="D1" t="s">
        <v>107</v>
      </c>
      <c r="F1" t="s">
        <v>150</v>
      </c>
    </row>
    <row r="2" spans="1:10" x14ac:dyDescent="0.2">
      <c r="A2" t="s">
        <v>108</v>
      </c>
      <c r="B2" s="27">
        <v>400000</v>
      </c>
      <c r="C2" s="28">
        <v>0.05</v>
      </c>
      <c r="D2" s="28">
        <v>0.8</v>
      </c>
      <c r="F2" t="s">
        <v>151</v>
      </c>
      <c r="G2" s="31">
        <v>0.01</v>
      </c>
    </row>
    <row r="3" spans="1:10" ht="25.5" x14ac:dyDescent="0.2">
      <c r="A3" t="s">
        <v>74</v>
      </c>
      <c r="B3" s="29">
        <v>100000</v>
      </c>
      <c r="C3" s="31">
        <f>G2+B6*(G3-G2)</f>
        <v>0.12250000000000001</v>
      </c>
      <c r="D3" s="28">
        <v>0.2</v>
      </c>
      <c r="F3" t="s">
        <v>94</v>
      </c>
      <c r="G3" s="31">
        <v>0.1</v>
      </c>
    </row>
    <row r="4" spans="1:10" x14ac:dyDescent="0.2">
      <c r="B4" s="30">
        <f>SUM(B2:B3)</f>
        <v>500000</v>
      </c>
      <c r="I4" t="s">
        <v>155</v>
      </c>
      <c r="J4" s="32">
        <v>0.55000000000000004</v>
      </c>
    </row>
    <row r="5" spans="1:10" x14ac:dyDescent="0.2">
      <c r="J5" s="32">
        <v>0.45</v>
      </c>
    </row>
    <row r="6" spans="1:10" x14ac:dyDescent="0.2">
      <c r="A6" t="s">
        <v>152</v>
      </c>
      <c r="B6">
        <v>1.25</v>
      </c>
    </row>
    <row r="7" spans="1:10" x14ac:dyDescent="0.2">
      <c r="A7" t="s">
        <v>109</v>
      </c>
      <c r="B7" s="32">
        <v>0.25</v>
      </c>
    </row>
    <row r="8" spans="1:10" ht="25.5" x14ac:dyDescent="0.2">
      <c r="A8" t="s">
        <v>153</v>
      </c>
      <c r="B8" s="32">
        <f>D2*C2*(1-B7)+(D3*C3)</f>
        <v>5.4500000000000007E-2</v>
      </c>
      <c r="D8" t="s">
        <v>157</v>
      </c>
      <c r="E8" s="32"/>
    </row>
    <row r="10" spans="1:10" x14ac:dyDescent="0.2">
      <c r="A10" t="s">
        <v>143</v>
      </c>
      <c r="B10" s="32">
        <v>0.05</v>
      </c>
    </row>
    <row r="12" spans="1:10" x14ac:dyDescent="0.2">
      <c r="A12" s="26" t="s">
        <v>114</v>
      </c>
      <c r="B12" s="26">
        <f>B6/(1+(1-B7)*(D2/D3))</f>
        <v>0.3125</v>
      </c>
    </row>
    <row r="14" spans="1:10" x14ac:dyDescent="0.2">
      <c r="A14" t="s">
        <v>154</v>
      </c>
      <c r="B14" s="34">
        <f>B12*(1+(1-B7)*(J4/J5))</f>
        <v>0.59895833333333337</v>
      </c>
    </row>
    <row r="16" spans="1:10" x14ac:dyDescent="0.2">
      <c r="A16" t="s">
        <v>156</v>
      </c>
      <c r="B16" s="33">
        <f>G2+B14*(G3-G2)</f>
        <v>6.3906250000000012E-2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 and Balance Sheet</vt:lpstr>
      <vt:lpstr>Breakeven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2013-12-02T20:49:19Z</dcterms:created>
  <dcterms:modified xsi:type="dcterms:W3CDTF">2013-12-02T20:50:01Z</dcterms:modified>
</cp:coreProperties>
</file>