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3820"/>
  <bookViews>
    <workbookView xWindow="240" yWindow="180" windowWidth="14940" windowHeight="9165"/>
  </bookViews>
  <sheets>
    <sheet name="IS &amp; BS" sheetId="1" r:id="rId1"/>
    <sheet name="Assumptions" sheetId="2" r:id="rId2"/>
    <sheet name="Mortgage Table" sheetId="3" r:id="rId3"/>
    <sheet name="Sheet1" sheetId="4" r:id="rId4"/>
  </sheets>
  <definedNames>
    <definedName name="dp8vwd7v3x3l">Assumptions!$C$2</definedName>
  </definedNames>
  <calcPr calcId="145621"/>
</workbook>
</file>

<file path=xl/calcChain.xml><?xml version="1.0" encoding="utf-8"?>
<calcChain xmlns="http://schemas.openxmlformats.org/spreadsheetml/2006/main">
  <c r="D134" i="1" l="1"/>
  <c r="E54" i="1"/>
  <c r="F54" i="1" s="1"/>
  <c r="G54" i="1" s="1"/>
  <c r="H54" i="1" s="1"/>
  <c r="I54" i="1" s="1"/>
  <c r="J54" i="1" s="1"/>
  <c r="K54" i="1" s="1"/>
  <c r="A93" i="1"/>
  <c r="A94" i="1"/>
  <c r="A92" i="1"/>
  <c r="A91" i="1"/>
  <c r="A90" i="1"/>
  <c r="A89" i="1"/>
  <c r="A88" i="1"/>
  <c r="A87" i="1"/>
  <c r="A86" i="1"/>
  <c r="D27" i="1" l="1"/>
  <c r="D157" i="1"/>
  <c r="L152" i="1"/>
  <c r="XFD147" i="1"/>
  <c r="E146" i="1"/>
  <c r="E42" i="1"/>
  <c r="F42" i="1" s="1"/>
  <c r="G42" i="1" s="1"/>
  <c r="H42" i="1" s="1"/>
  <c r="I42" i="1" s="1"/>
  <c r="J42" i="1" s="1"/>
  <c r="K42" i="1" s="1"/>
  <c r="E41" i="1"/>
  <c r="F41" i="1" s="1"/>
  <c r="G41" i="1" s="1"/>
  <c r="H41" i="1" s="1"/>
  <c r="I41" i="1" s="1"/>
  <c r="J41" i="1" s="1"/>
  <c r="K41" i="1" s="1"/>
  <c r="K27" i="1" s="1"/>
  <c r="H154" i="1"/>
  <c r="H153" i="1"/>
  <c r="H152" i="1"/>
  <c r="G27" i="1" l="1"/>
  <c r="E27" i="1"/>
  <c r="F27" i="1"/>
  <c r="J27" i="1"/>
  <c r="I27" i="1"/>
  <c r="H27" i="1"/>
  <c r="E21" i="1"/>
  <c r="F21" i="1" s="1"/>
  <c r="G21" i="1" s="1"/>
  <c r="H21" i="1" s="1"/>
  <c r="I21" i="1" s="1"/>
  <c r="J21" i="1" s="1"/>
  <c r="K21" i="1" s="1"/>
  <c r="F9" i="3"/>
  <c r="E4" i="2"/>
  <c r="E43" i="2" s="1"/>
  <c r="G17" i="4"/>
  <c r="G19" i="4" s="1"/>
  <c r="E89" i="1"/>
  <c r="F89" i="1"/>
  <c r="G89" i="1"/>
  <c r="H89" i="1"/>
  <c r="I89" i="1"/>
  <c r="J89" i="1"/>
  <c r="K89" i="1"/>
  <c r="D89" i="1"/>
  <c r="E88" i="1"/>
  <c r="F88" i="1"/>
  <c r="G88" i="1"/>
  <c r="H88" i="1"/>
  <c r="I88" i="1"/>
  <c r="J88" i="1"/>
  <c r="K88" i="1"/>
  <c r="D88" i="1"/>
  <c r="E87" i="1"/>
  <c r="F87" i="1"/>
  <c r="G87" i="1"/>
  <c r="H87" i="1"/>
  <c r="I87" i="1"/>
  <c r="J87" i="1"/>
  <c r="K87" i="1"/>
  <c r="D87" i="1"/>
  <c r="E107" i="1"/>
  <c r="F107" i="1"/>
  <c r="G107" i="1"/>
  <c r="H107" i="1"/>
  <c r="I107" i="1"/>
  <c r="J107" i="1"/>
  <c r="K107" i="1"/>
  <c r="D107" i="1"/>
  <c r="E24" i="3"/>
  <c r="E25" i="3"/>
  <c r="E26" i="3"/>
  <c r="E27" i="3"/>
  <c r="E28" i="3"/>
  <c r="E29" i="3"/>
  <c r="E30" i="3"/>
  <c r="E31" i="3"/>
  <c r="E32" i="3"/>
  <c r="E33" i="3"/>
  <c r="E34" i="3"/>
  <c r="E35" i="3"/>
  <c r="B106" i="1"/>
  <c r="E29" i="1"/>
  <c r="E106" i="1" s="1"/>
  <c r="F29" i="1"/>
  <c r="F106" i="1" s="1"/>
  <c r="G29" i="1"/>
  <c r="G106" i="1" s="1"/>
  <c r="H29" i="1"/>
  <c r="H106" i="1" s="1"/>
  <c r="I29" i="1"/>
  <c r="I106" i="1" s="1"/>
  <c r="J29" i="1"/>
  <c r="J106" i="1" s="1"/>
  <c r="K29" i="1"/>
  <c r="K106" i="1" s="1"/>
  <c r="D29" i="1"/>
  <c r="D106" i="1" s="1"/>
  <c r="C5" i="3"/>
  <c r="B10" i="3" s="1"/>
  <c r="E217" i="3"/>
  <c r="E216" i="3"/>
  <c r="E215" i="3"/>
  <c r="E214" i="3"/>
  <c r="E213" i="3"/>
  <c r="E212" i="3"/>
  <c r="E211" i="3"/>
  <c r="E210" i="3"/>
  <c r="E209" i="3"/>
  <c r="E208" i="3"/>
  <c r="E207" i="3"/>
  <c r="E206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5" i="3"/>
  <c r="E104" i="3"/>
  <c r="E103" i="3"/>
  <c r="E102" i="3"/>
  <c r="E101" i="3"/>
  <c r="E100" i="3"/>
  <c r="E99" i="3"/>
  <c r="E98" i="3"/>
  <c r="E97" i="3"/>
  <c r="E96" i="3"/>
  <c r="E95" i="3"/>
  <c r="E94" i="3"/>
  <c r="E91" i="3"/>
  <c r="E90" i="3"/>
  <c r="E89" i="3"/>
  <c r="E88" i="3"/>
  <c r="E87" i="3"/>
  <c r="E86" i="3"/>
  <c r="E85" i="3"/>
  <c r="E84" i="3"/>
  <c r="E83" i="3"/>
  <c r="E82" i="3"/>
  <c r="E81" i="3"/>
  <c r="E80" i="3"/>
  <c r="E77" i="3"/>
  <c r="E76" i="3"/>
  <c r="E75" i="3"/>
  <c r="E74" i="3"/>
  <c r="E73" i="3"/>
  <c r="E72" i="3"/>
  <c r="E71" i="3"/>
  <c r="E70" i="3"/>
  <c r="E69" i="3"/>
  <c r="E68" i="3"/>
  <c r="E67" i="3"/>
  <c r="E66" i="3"/>
  <c r="E63" i="3"/>
  <c r="E62" i="3"/>
  <c r="E61" i="3"/>
  <c r="E60" i="3"/>
  <c r="B60" i="3"/>
  <c r="E59" i="3"/>
  <c r="E58" i="3"/>
  <c r="E57" i="3"/>
  <c r="E56" i="3"/>
  <c r="E55" i="3"/>
  <c r="E54" i="3"/>
  <c r="E53" i="3"/>
  <c r="E52" i="3"/>
  <c r="E49" i="3"/>
  <c r="E48" i="3"/>
  <c r="E47" i="3"/>
  <c r="E46" i="3"/>
  <c r="E45" i="3"/>
  <c r="E44" i="3"/>
  <c r="E43" i="3"/>
  <c r="E42" i="3"/>
  <c r="B42" i="3"/>
  <c r="E41" i="3"/>
  <c r="E40" i="3"/>
  <c r="E39" i="3"/>
  <c r="E38" i="3"/>
  <c r="E21" i="3"/>
  <c r="E20" i="3"/>
  <c r="E19" i="3"/>
  <c r="E18" i="3"/>
  <c r="E17" i="3"/>
  <c r="E16" i="3"/>
  <c r="E15" i="3"/>
  <c r="E14" i="3"/>
  <c r="E13" i="3"/>
  <c r="E12" i="3"/>
  <c r="E11" i="3"/>
  <c r="E10" i="3"/>
  <c r="C10" i="3"/>
  <c r="C43" i="2"/>
  <c r="C42" i="2"/>
  <c r="C41" i="2"/>
  <c r="E34" i="2"/>
  <c r="F34" i="2" s="1"/>
  <c r="G34" i="2" s="1"/>
  <c r="H34" i="2" s="1"/>
  <c r="I34" i="2" s="1"/>
  <c r="J34" i="2" s="1"/>
  <c r="K34" i="2" s="1"/>
  <c r="L34" i="2" s="1"/>
  <c r="K91" i="1" s="1"/>
  <c r="E32" i="2"/>
  <c r="F32" i="2" s="1"/>
  <c r="G32" i="2" s="1"/>
  <c r="H32" i="2" s="1"/>
  <c r="I32" i="2" s="1"/>
  <c r="J32" i="2" s="1"/>
  <c r="K32" i="2" s="1"/>
  <c r="L32" i="2" s="1"/>
  <c r="D30" i="2"/>
  <c r="K90" i="1" s="1"/>
  <c r="B105" i="1"/>
  <c r="A95" i="1"/>
  <c r="K94" i="1"/>
  <c r="J94" i="1"/>
  <c r="I94" i="1"/>
  <c r="H94" i="1"/>
  <c r="G94" i="1"/>
  <c r="F94" i="1"/>
  <c r="E94" i="1"/>
  <c r="D94" i="1"/>
  <c r="K93" i="1"/>
  <c r="J93" i="1"/>
  <c r="I93" i="1"/>
  <c r="H93" i="1"/>
  <c r="G93" i="1"/>
  <c r="F93" i="1"/>
  <c r="E93" i="1"/>
  <c r="D93" i="1"/>
  <c r="K92" i="1"/>
  <c r="J92" i="1"/>
  <c r="I92" i="1"/>
  <c r="H92" i="1"/>
  <c r="G92" i="1"/>
  <c r="F92" i="1"/>
  <c r="E92" i="1"/>
  <c r="D92" i="1"/>
  <c r="J91" i="1"/>
  <c r="H91" i="1"/>
  <c r="F91" i="1"/>
  <c r="D91" i="1"/>
  <c r="J90" i="1"/>
  <c r="H90" i="1"/>
  <c r="F90" i="1"/>
  <c r="D90" i="1"/>
  <c r="K86" i="1"/>
  <c r="J86" i="1"/>
  <c r="I86" i="1"/>
  <c r="H86" i="1"/>
  <c r="G86" i="1"/>
  <c r="F86" i="1"/>
  <c r="E86" i="1"/>
  <c r="D86" i="1"/>
  <c r="A83" i="1"/>
  <c r="K82" i="1"/>
  <c r="J82" i="1"/>
  <c r="I82" i="1"/>
  <c r="H82" i="1"/>
  <c r="G82" i="1"/>
  <c r="F82" i="1"/>
  <c r="E82" i="1"/>
  <c r="D82" i="1"/>
  <c r="K81" i="1"/>
  <c r="J81" i="1"/>
  <c r="I81" i="1"/>
  <c r="H81" i="1"/>
  <c r="G81" i="1"/>
  <c r="F81" i="1"/>
  <c r="E81" i="1"/>
  <c r="D81" i="1"/>
  <c r="K80" i="1"/>
  <c r="J80" i="1"/>
  <c r="I80" i="1"/>
  <c r="H80" i="1"/>
  <c r="G80" i="1"/>
  <c r="F80" i="1"/>
  <c r="E80" i="1"/>
  <c r="D80" i="1"/>
  <c r="K79" i="1"/>
  <c r="I79" i="1"/>
  <c r="G79" i="1"/>
  <c r="E79" i="1"/>
  <c r="K78" i="1"/>
  <c r="I78" i="1"/>
  <c r="G78" i="1"/>
  <c r="E78" i="1"/>
  <c r="K77" i="1"/>
  <c r="J77" i="1"/>
  <c r="I77" i="1"/>
  <c r="H77" i="1"/>
  <c r="G77" i="1"/>
  <c r="F77" i="1"/>
  <c r="E77" i="1"/>
  <c r="D77" i="1"/>
  <c r="K76" i="1"/>
  <c r="J76" i="1"/>
  <c r="I76" i="1"/>
  <c r="H76" i="1"/>
  <c r="G76" i="1"/>
  <c r="F76" i="1"/>
  <c r="E76" i="1"/>
  <c r="E83" i="1" s="1"/>
  <c r="D76" i="1"/>
  <c r="B76" i="1"/>
  <c r="E70" i="1"/>
  <c r="F70" i="1" s="1"/>
  <c r="G70" i="1" s="1"/>
  <c r="H70" i="1" s="1"/>
  <c r="I70" i="1" s="1"/>
  <c r="J70" i="1" s="1"/>
  <c r="K70" i="1" s="1"/>
  <c r="L70" i="1" s="1"/>
  <c r="E69" i="1"/>
  <c r="F69" i="1" s="1"/>
  <c r="G69" i="1" s="1"/>
  <c r="H69" i="1" s="1"/>
  <c r="I69" i="1" s="1"/>
  <c r="J69" i="1" s="1"/>
  <c r="K69" i="1" s="1"/>
  <c r="L69" i="1" s="1"/>
  <c r="K26" i="1"/>
  <c r="K104" i="1" s="1"/>
  <c r="J26" i="1"/>
  <c r="J104" i="1" s="1"/>
  <c r="I26" i="1"/>
  <c r="I104" i="1" s="1"/>
  <c r="H26" i="1"/>
  <c r="H104" i="1" s="1"/>
  <c r="G26" i="1"/>
  <c r="G104" i="1" s="1"/>
  <c r="F26" i="1"/>
  <c r="F104" i="1" s="1"/>
  <c r="E26" i="1"/>
  <c r="E104" i="1" s="1"/>
  <c r="D26" i="1"/>
  <c r="D43" i="1" s="1"/>
  <c r="V24" i="1"/>
  <c r="K22" i="1"/>
  <c r="K103" i="1" s="1"/>
  <c r="J22" i="1"/>
  <c r="J103" i="1" s="1"/>
  <c r="I22" i="1"/>
  <c r="I103" i="1" s="1"/>
  <c r="H22" i="1"/>
  <c r="H103" i="1" s="1"/>
  <c r="G22" i="1"/>
  <c r="G103" i="1" s="1"/>
  <c r="F22" i="1"/>
  <c r="F103" i="1" s="1"/>
  <c r="E22" i="1"/>
  <c r="E103" i="1" s="1"/>
  <c r="D22" i="1"/>
  <c r="D103" i="1" s="1"/>
  <c r="K20" i="1"/>
  <c r="K102" i="1" s="1"/>
  <c r="J20" i="1"/>
  <c r="J102" i="1" s="1"/>
  <c r="I20" i="1"/>
  <c r="I102" i="1" s="1"/>
  <c r="H20" i="1"/>
  <c r="H102" i="1" s="1"/>
  <c r="G20" i="1"/>
  <c r="G102" i="1" s="1"/>
  <c r="F20" i="1"/>
  <c r="F102" i="1" s="1"/>
  <c r="E20" i="1"/>
  <c r="E102" i="1" s="1"/>
  <c r="D20" i="1"/>
  <c r="D102" i="1" s="1"/>
  <c r="D7" i="1"/>
  <c r="E7" i="1" s="1"/>
  <c r="F7" i="1" s="1"/>
  <c r="G7" i="1" s="1"/>
  <c r="H7" i="1" s="1"/>
  <c r="I7" i="1" s="1"/>
  <c r="J7" i="1" s="1"/>
  <c r="K7" i="1" s="1"/>
  <c r="D78" i="1" l="1"/>
  <c r="D83" i="1" s="1"/>
  <c r="F78" i="1"/>
  <c r="F83" i="1" s="1"/>
  <c r="H78" i="1"/>
  <c r="H83" i="1" s="1"/>
  <c r="H97" i="1" s="1"/>
  <c r="J78" i="1"/>
  <c r="J83" i="1" s="1"/>
  <c r="D79" i="1"/>
  <c r="F79" i="1"/>
  <c r="H79" i="1"/>
  <c r="J79" i="1"/>
  <c r="E90" i="1"/>
  <c r="G90" i="1"/>
  <c r="I90" i="1"/>
  <c r="E91" i="1"/>
  <c r="G91" i="1"/>
  <c r="I91" i="1"/>
  <c r="B18" i="3"/>
  <c r="B52" i="3"/>
  <c r="B70" i="3"/>
  <c r="E43" i="1"/>
  <c r="F43" i="1" s="1"/>
  <c r="G43" i="1" s="1"/>
  <c r="H43" i="1" s="1"/>
  <c r="I43" i="1" s="1"/>
  <c r="J43" i="1" s="1"/>
  <c r="K43" i="1" s="1"/>
  <c r="B14" i="3"/>
  <c r="B38" i="3"/>
  <c r="B46" i="3"/>
  <c r="B56" i="3"/>
  <c r="B66" i="3"/>
  <c r="B74" i="3"/>
  <c r="B16" i="3"/>
  <c r="B40" i="3"/>
  <c r="B48" i="3"/>
  <c r="B58" i="3"/>
  <c r="B68" i="3"/>
  <c r="B76" i="3"/>
  <c r="B12" i="3"/>
  <c r="B20" i="3"/>
  <c r="B44" i="3"/>
  <c r="B54" i="3"/>
  <c r="B62" i="3"/>
  <c r="B72" i="3"/>
  <c r="B11" i="3"/>
  <c r="B17" i="3"/>
  <c r="B47" i="3"/>
  <c r="B80" i="3"/>
  <c r="B82" i="3"/>
  <c r="B84" i="3"/>
  <c r="B86" i="3"/>
  <c r="B88" i="3"/>
  <c r="B90" i="3"/>
  <c r="B94" i="3"/>
  <c r="B96" i="3"/>
  <c r="B98" i="3"/>
  <c r="B100" i="3"/>
  <c r="B102" i="3"/>
  <c r="B104" i="3"/>
  <c r="B108" i="3"/>
  <c r="B110" i="3"/>
  <c r="B112" i="3"/>
  <c r="B114" i="3"/>
  <c r="B116" i="3"/>
  <c r="B118" i="3"/>
  <c r="B13" i="3"/>
  <c r="B15" i="3"/>
  <c r="B19" i="3"/>
  <c r="B21" i="3"/>
  <c r="B39" i="3"/>
  <c r="B41" i="3"/>
  <c r="B43" i="3"/>
  <c r="B45" i="3"/>
  <c r="B49" i="3"/>
  <c r="B53" i="3"/>
  <c r="B55" i="3"/>
  <c r="B57" i="3"/>
  <c r="B59" i="3"/>
  <c r="B61" i="3"/>
  <c r="B63" i="3"/>
  <c r="B67" i="3"/>
  <c r="B69" i="3"/>
  <c r="B71" i="3"/>
  <c r="B73" i="3"/>
  <c r="B75" i="3"/>
  <c r="B77" i="3"/>
  <c r="B81" i="3"/>
  <c r="B83" i="3"/>
  <c r="B85" i="3"/>
  <c r="B87" i="3"/>
  <c r="B89" i="3"/>
  <c r="B91" i="3"/>
  <c r="B95" i="3"/>
  <c r="B97" i="3"/>
  <c r="B99" i="3"/>
  <c r="B101" i="3"/>
  <c r="B103" i="3"/>
  <c r="B105" i="3"/>
  <c r="B109" i="3"/>
  <c r="B111" i="3"/>
  <c r="B113" i="3"/>
  <c r="B115" i="3"/>
  <c r="B117" i="3"/>
  <c r="B119" i="3"/>
  <c r="H95" i="1"/>
  <c r="G83" i="1"/>
  <c r="I83" i="1"/>
  <c r="K83" i="1"/>
  <c r="D10" i="3"/>
  <c r="B35" i="3"/>
  <c r="B34" i="3"/>
  <c r="B33" i="3"/>
  <c r="B32" i="3"/>
  <c r="B31" i="3"/>
  <c r="B30" i="3"/>
  <c r="B29" i="3"/>
  <c r="B28" i="3"/>
  <c r="B27" i="3"/>
  <c r="B26" i="3"/>
  <c r="B25" i="3"/>
  <c r="B24" i="3"/>
  <c r="J95" i="1"/>
  <c r="F95" i="1"/>
  <c r="K95" i="1"/>
  <c r="I95" i="1"/>
  <c r="G95" i="1"/>
  <c r="E95" i="1"/>
  <c r="E97" i="1" s="1"/>
  <c r="D95" i="1"/>
  <c r="D104" i="1"/>
  <c r="F4" i="2"/>
  <c r="F42" i="2" s="1"/>
  <c r="E33" i="2"/>
  <c r="D8" i="1" s="1"/>
  <c r="F10" i="3"/>
  <c r="C11" i="3" s="1"/>
  <c r="D11" i="3" s="1"/>
  <c r="F11" i="3" s="1"/>
  <c r="B122" i="3"/>
  <c r="B123" i="3"/>
  <c r="B124" i="3"/>
  <c r="B125" i="3"/>
  <c r="B126" i="3"/>
  <c r="B127" i="3"/>
  <c r="B128" i="3"/>
  <c r="B129" i="3"/>
  <c r="B130" i="3"/>
  <c r="B131" i="3"/>
  <c r="B132" i="3"/>
  <c r="B133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F41" i="2"/>
  <c r="E42" i="2"/>
  <c r="E10" i="2"/>
  <c r="E21" i="2" s="1"/>
  <c r="E26" i="2"/>
  <c r="E22" i="2" s="1"/>
  <c r="E41" i="2"/>
  <c r="D97" i="1" l="1"/>
  <c r="J97" i="1"/>
  <c r="F97" i="1"/>
  <c r="L135" i="1"/>
  <c r="L129" i="1"/>
  <c r="M136" i="1"/>
  <c r="G97" i="1"/>
  <c r="G4" i="2"/>
  <c r="G26" i="2" s="1"/>
  <c r="G22" i="2" s="1"/>
  <c r="F26" i="2"/>
  <c r="F22" i="2" s="1"/>
  <c r="F33" i="2"/>
  <c r="E8" i="1" s="1"/>
  <c r="F43" i="2"/>
  <c r="F10" i="2"/>
  <c r="F14" i="2" s="1"/>
  <c r="D19" i="1"/>
  <c r="I97" i="1"/>
  <c r="K97" i="1"/>
  <c r="L131" i="1"/>
  <c r="D15" i="1"/>
  <c r="E15" i="1"/>
  <c r="E28" i="2"/>
  <c r="E27" i="2"/>
  <c r="D6" i="1" s="1"/>
  <c r="E38" i="2"/>
  <c r="E37" i="2"/>
  <c r="E36" i="2"/>
  <c r="G41" i="2"/>
  <c r="G10" i="2"/>
  <c r="G33" i="2"/>
  <c r="F8" i="1" s="1"/>
  <c r="F21" i="2"/>
  <c r="E19" i="1" s="1"/>
  <c r="F12" i="2"/>
  <c r="E14" i="2"/>
  <c r="E12" i="2"/>
  <c r="D5" i="1" s="1"/>
  <c r="C12" i="3"/>
  <c r="F38" i="2"/>
  <c r="F37" i="2"/>
  <c r="F36" i="2"/>
  <c r="F28" i="2"/>
  <c r="F27" i="2"/>
  <c r="E6" i="1" s="1"/>
  <c r="G42" i="2" l="1"/>
  <c r="G43" i="2"/>
  <c r="H4" i="2"/>
  <c r="H43" i="2" s="1"/>
  <c r="L136" i="1"/>
  <c r="D14" i="1"/>
  <c r="D13" i="1"/>
  <c r="E14" i="1"/>
  <c r="E13" i="1"/>
  <c r="E101" i="1"/>
  <c r="D101" i="1"/>
  <c r="F15" i="1"/>
  <c r="D9" i="1"/>
  <c r="D12" i="3"/>
  <c r="G21" i="2"/>
  <c r="F19" i="1" s="1"/>
  <c r="G14" i="2"/>
  <c r="G12" i="2"/>
  <c r="E9" i="1"/>
  <c r="E5" i="1"/>
  <c r="H42" i="2"/>
  <c r="H33" i="2"/>
  <c r="G8" i="1" s="1"/>
  <c r="H41" i="2"/>
  <c r="H10" i="2"/>
  <c r="G28" i="2"/>
  <c r="G27" i="2"/>
  <c r="F6" i="1" s="1"/>
  <c r="G38" i="2"/>
  <c r="G37" i="2"/>
  <c r="G36" i="2"/>
  <c r="I4" i="2" l="1"/>
  <c r="I43" i="2" s="1"/>
  <c r="H26" i="2"/>
  <c r="H22" i="2" s="1"/>
  <c r="G15" i="1"/>
  <c r="D10" i="1"/>
  <c r="D68" i="1" s="1"/>
  <c r="F14" i="1"/>
  <c r="F13" i="1"/>
  <c r="D38" i="1"/>
  <c r="E147" i="1" s="1"/>
  <c r="F101" i="1"/>
  <c r="F5" i="1"/>
  <c r="D16" i="1"/>
  <c r="D24" i="1" s="1"/>
  <c r="H21" i="2"/>
  <c r="G19" i="1" s="1"/>
  <c r="H14" i="2"/>
  <c r="H12" i="2"/>
  <c r="F9" i="1"/>
  <c r="H38" i="2"/>
  <c r="H37" i="2"/>
  <c r="H36" i="2"/>
  <c r="H28" i="2"/>
  <c r="H27" i="2"/>
  <c r="G6" i="1" s="1"/>
  <c r="I42" i="2"/>
  <c r="I26" i="2"/>
  <c r="I22" i="2" s="1"/>
  <c r="I33" i="2"/>
  <c r="H8" i="1" s="1"/>
  <c r="E38" i="1"/>
  <c r="F147" i="1" s="1"/>
  <c r="E10" i="1"/>
  <c r="F12" i="3"/>
  <c r="J4" i="2" l="1"/>
  <c r="J33" i="2" s="1"/>
  <c r="I8" i="1" s="1"/>
  <c r="I41" i="2"/>
  <c r="I10" i="2"/>
  <c r="I21" i="2" s="1"/>
  <c r="H19" i="1" s="1"/>
  <c r="E137" i="1"/>
  <c r="E138" i="1" s="1"/>
  <c r="E139" i="1" s="1"/>
  <c r="E149" i="1" s="1"/>
  <c r="F10" i="1"/>
  <c r="G9" i="1"/>
  <c r="G14" i="1"/>
  <c r="G38" i="1" s="1"/>
  <c r="G13" i="1"/>
  <c r="D48" i="1"/>
  <c r="G101" i="1"/>
  <c r="F38" i="1"/>
  <c r="G147" i="1" s="1"/>
  <c r="H15" i="1"/>
  <c r="G5" i="1"/>
  <c r="E16" i="1"/>
  <c r="D39" i="1"/>
  <c r="D45" i="1" s="1"/>
  <c r="F16" i="1"/>
  <c r="F24" i="1" s="1"/>
  <c r="C13" i="3"/>
  <c r="E39" i="1"/>
  <c r="I28" i="2"/>
  <c r="I27" i="2"/>
  <c r="H6" i="1" s="1"/>
  <c r="I38" i="2"/>
  <c r="I37" i="2"/>
  <c r="I36" i="2"/>
  <c r="E68" i="1"/>
  <c r="J42" i="2"/>
  <c r="K4" i="2"/>
  <c r="J43" i="2"/>
  <c r="J41" i="2"/>
  <c r="J10" i="2"/>
  <c r="I14" i="2"/>
  <c r="I12" i="2" l="1"/>
  <c r="H13" i="1" s="1"/>
  <c r="J26" i="2"/>
  <c r="J22" i="2" s="1"/>
  <c r="E148" i="1"/>
  <c r="H147" i="1"/>
  <c r="F68" i="1"/>
  <c r="G137" i="1"/>
  <c r="G138" i="1" s="1"/>
  <c r="G10" i="1"/>
  <c r="I15" i="1"/>
  <c r="H14" i="1"/>
  <c r="E48" i="1"/>
  <c r="E24" i="1"/>
  <c r="F137" i="1" s="1"/>
  <c r="F138" i="1" s="1"/>
  <c r="H101" i="1"/>
  <c r="F48" i="1"/>
  <c r="G16" i="1"/>
  <c r="F39" i="1"/>
  <c r="F45" i="1" s="1"/>
  <c r="J38" i="2"/>
  <c r="J37" i="2"/>
  <c r="J36" i="2"/>
  <c r="J28" i="2"/>
  <c r="J27" i="2"/>
  <c r="I6" i="1" s="1"/>
  <c r="G68" i="1"/>
  <c r="D13" i="3"/>
  <c r="J21" i="2"/>
  <c r="I19" i="1" s="1"/>
  <c r="J14" i="2"/>
  <c r="J12" i="2"/>
  <c r="K43" i="2"/>
  <c r="K41" i="2"/>
  <c r="K26" i="2"/>
  <c r="K22" i="2" s="1"/>
  <c r="K10" i="2"/>
  <c r="K42" i="2"/>
  <c r="K33" i="2"/>
  <c r="J8" i="1" s="1"/>
  <c r="L4" i="2"/>
  <c r="H9" i="1"/>
  <c r="E45" i="1"/>
  <c r="H5" i="1" l="1"/>
  <c r="G148" i="1"/>
  <c r="F148" i="1"/>
  <c r="F139" i="1"/>
  <c r="F149" i="1" s="1"/>
  <c r="G139" i="1"/>
  <c r="J15" i="1"/>
  <c r="H38" i="1"/>
  <c r="I147" i="1" s="1"/>
  <c r="I14" i="1"/>
  <c r="I13" i="1"/>
  <c r="G48" i="1"/>
  <c r="G24" i="1"/>
  <c r="H137" i="1" s="1"/>
  <c r="H138" i="1" s="1"/>
  <c r="I101" i="1"/>
  <c r="H10" i="1"/>
  <c r="H16" i="1"/>
  <c r="G39" i="1"/>
  <c r="G45" i="1" s="1"/>
  <c r="K21" i="2"/>
  <c r="J19" i="1" s="1"/>
  <c r="K14" i="2"/>
  <c r="K12" i="2"/>
  <c r="H39" i="1"/>
  <c r="L42" i="2"/>
  <c r="L43" i="2"/>
  <c r="L33" i="2"/>
  <c r="K8" i="1" s="1"/>
  <c r="L41" i="2"/>
  <c r="L26" i="2"/>
  <c r="L22" i="2" s="1"/>
  <c r="L10" i="2"/>
  <c r="K28" i="2"/>
  <c r="K27" i="2"/>
  <c r="J6" i="1" s="1"/>
  <c r="K38" i="2"/>
  <c r="K37" i="2"/>
  <c r="K36" i="2"/>
  <c r="I5" i="1"/>
  <c r="F13" i="3"/>
  <c r="I9" i="1"/>
  <c r="G140" i="1" l="1"/>
  <c r="G149" i="1"/>
  <c r="F140" i="1"/>
  <c r="H148" i="1"/>
  <c r="H139" i="1"/>
  <c r="H68" i="1"/>
  <c r="J14" i="1"/>
  <c r="J13" i="1"/>
  <c r="J101" i="1"/>
  <c r="H48" i="1"/>
  <c r="H24" i="1"/>
  <c r="I137" i="1" s="1"/>
  <c r="I138" i="1" s="1"/>
  <c r="K15" i="1"/>
  <c r="C14" i="3"/>
  <c r="I38" i="1"/>
  <c r="J147" i="1" s="1"/>
  <c r="I10" i="1"/>
  <c r="L21" i="2"/>
  <c r="K19" i="1" s="1"/>
  <c r="L14" i="2"/>
  <c r="L12" i="2"/>
  <c r="H45" i="1"/>
  <c r="J9" i="1"/>
  <c r="L38" i="2"/>
  <c r="L37" i="2"/>
  <c r="L36" i="2"/>
  <c r="L28" i="2"/>
  <c r="L27" i="2"/>
  <c r="K6" i="1" s="1"/>
  <c r="J5" i="1"/>
  <c r="H140" i="1" l="1"/>
  <c r="H149" i="1"/>
  <c r="I148" i="1"/>
  <c r="I139" i="1"/>
  <c r="K14" i="1"/>
  <c r="K13" i="1"/>
  <c r="K101" i="1"/>
  <c r="J38" i="1"/>
  <c r="K147" i="1" s="1"/>
  <c r="J10" i="1"/>
  <c r="J16" i="1"/>
  <c r="K9" i="1"/>
  <c r="I16" i="1"/>
  <c r="K5" i="1"/>
  <c r="I68" i="1"/>
  <c r="D14" i="3"/>
  <c r="I140" i="1" l="1"/>
  <c r="I149" i="1"/>
  <c r="I48" i="1"/>
  <c r="I24" i="1"/>
  <c r="J137" i="1" s="1"/>
  <c r="J138" i="1" s="1"/>
  <c r="J48" i="1"/>
  <c r="J24" i="1"/>
  <c r="K137" i="1" s="1"/>
  <c r="K138" i="1" s="1"/>
  <c r="K38" i="1"/>
  <c r="K10" i="1"/>
  <c r="J39" i="1"/>
  <c r="J68" i="1"/>
  <c r="F14" i="3"/>
  <c r="I39" i="1"/>
  <c r="K16" i="1"/>
  <c r="K148" i="1" l="1"/>
  <c r="J148" i="1"/>
  <c r="L153" i="1"/>
  <c r="L147" i="1"/>
  <c r="K139" i="1"/>
  <c r="J139" i="1"/>
  <c r="K48" i="1"/>
  <c r="L154" i="1" s="1"/>
  <c r="K24" i="1"/>
  <c r="L137" i="1" s="1"/>
  <c r="L138" i="1" s="1"/>
  <c r="K39" i="1"/>
  <c r="C15" i="3"/>
  <c r="D15" i="3" s="1"/>
  <c r="F15" i="3" s="1"/>
  <c r="J45" i="1"/>
  <c r="K68" i="1"/>
  <c r="I45" i="1"/>
  <c r="L148" i="1" l="1"/>
  <c r="J140" i="1"/>
  <c r="J141" i="1" s="1"/>
  <c r="J149" i="1"/>
  <c r="K140" i="1"/>
  <c r="K141" i="1" s="1"/>
  <c r="K149" i="1"/>
  <c r="L139" i="1"/>
  <c r="K45" i="1"/>
  <c r="C16" i="3"/>
  <c r="D16" i="3" s="1"/>
  <c r="F16" i="3" s="1"/>
  <c r="J157" i="1" l="1"/>
  <c r="K157" i="1"/>
  <c r="L140" i="1"/>
  <c r="L141" i="1" s="1"/>
  <c r="L155" i="1"/>
  <c r="L149" i="1"/>
  <c r="C17" i="3"/>
  <c r="D17" i="3" s="1"/>
  <c r="F17" i="3" s="1"/>
  <c r="L157" i="1" l="1"/>
  <c r="C18" i="3"/>
  <c r="D18" i="3" s="1"/>
  <c r="F18" i="3" s="1"/>
  <c r="C19" i="3" l="1"/>
  <c r="D19" i="3" s="1"/>
  <c r="F19" i="3" s="1"/>
  <c r="C20" i="3" l="1"/>
  <c r="D20" i="3" s="1"/>
  <c r="F20" i="3" s="1"/>
  <c r="C21" i="3" l="1"/>
  <c r="D21" i="3" l="1"/>
  <c r="C22" i="3"/>
  <c r="D28" i="1" s="1"/>
  <c r="D30" i="1" l="1"/>
  <c r="D105" i="1"/>
  <c r="D108" i="1" s="1"/>
  <c r="D111" i="1" s="1"/>
  <c r="D112" i="1" s="1"/>
  <c r="D22" i="3"/>
  <c r="F21" i="3"/>
  <c r="C24" i="3" l="1"/>
  <c r="D24" i="3" s="1"/>
  <c r="F24" i="3" s="1"/>
  <c r="D50" i="1"/>
  <c r="D31" i="1"/>
  <c r="D49" i="1" s="1"/>
  <c r="C25" i="3" l="1"/>
  <c r="D25" i="3" s="1"/>
  <c r="F25" i="3" s="1"/>
  <c r="D65" i="1"/>
  <c r="D66" i="1"/>
  <c r="D32" i="1"/>
  <c r="C26" i="3" l="1"/>
  <c r="D71" i="1"/>
  <c r="D53" i="1"/>
  <c r="D56" i="1" s="1"/>
  <c r="D59" i="1" s="1"/>
  <c r="D26" i="3" l="1"/>
  <c r="D67" i="1"/>
  <c r="D72" i="1"/>
  <c r="F26" i="3" l="1"/>
  <c r="C27" i="3" l="1"/>
  <c r="D27" i="3" l="1"/>
  <c r="F27" i="3" l="1"/>
  <c r="C28" i="3" l="1"/>
  <c r="D28" i="3" l="1"/>
  <c r="F28" i="3" l="1"/>
  <c r="C29" i="3" l="1"/>
  <c r="D29" i="3" l="1"/>
  <c r="F29" i="3" l="1"/>
  <c r="C30" i="3" s="1"/>
  <c r="D30" i="3" l="1"/>
  <c r="F30" i="3" l="1"/>
  <c r="C31" i="3" s="1"/>
  <c r="D31" i="3" s="1"/>
  <c r="F31" i="3" s="1"/>
  <c r="C32" i="3" s="1"/>
  <c r="D32" i="3" s="1"/>
  <c r="F32" i="3" s="1"/>
  <c r="C33" i="3" s="1"/>
  <c r="D33" i="3" s="1"/>
  <c r="F33" i="3" s="1"/>
  <c r="C34" i="3" s="1"/>
  <c r="D34" i="3" s="1"/>
  <c r="F34" i="3" s="1"/>
  <c r="C35" i="3" l="1"/>
  <c r="D35" i="3" l="1"/>
  <c r="C36" i="3"/>
  <c r="E28" i="1" s="1"/>
  <c r="E105" i="1" l="1"/>
  <c r="E108" i="1" s="1"/>
  <c r="E111" i="1" s="1"/>
  <c r="E112" i="1" s="1"/>
  <c r="E30" i="1"/>
  <c r="D36" i="3"/>
  <c r="F35" i="3"/>
  <c r="E50" i="1" l="1"/>
  <c r="C38" i="3"/>
  <c r="D38" i="3" s="1"/>
  <c r="F38" i="3" s="1"/>
  <c r="E31" i="1"/>
  <c r="E49" i="1" s="1"/>
  <c r="C39" i="3" l="1"/>
  <c r="D39" i="3" s="1"/>
  <c r="F39" i="3" s="1"/>
  <c r="E65" i="1"/>
  <c r="E66" i="1"/>
  <c r="E32" i="1"/>
  <c r="C40" i="3" l="1"/>
  <c r="D40" i="3" s="1"/>
  <c r="F40" i="3" s="1"/>
  <c r="E71" i="1"/>
  <c r="E53" i="1"/>
  <c r="C41" i="3" l="1"/>
  <c r="D41" i="3" s="1"/>
  <c r="F41" i="3" s="1"/>
  <c r="E56" i="1"/>
  <c r="E59" i="1" s="1"/>
  <c r="E67" i="1"/>
  <c r="E72" i="1"/>
  <c r="C42" i="3" l="1"/>
  <c r="D42" i="3" s="1"/>
  <c r="F42" i="3" s="1"/>
  <c r="C43" i="3" s="1"/>
  <c r="D43" i="3" s="1"/>
  <c r="F43" i="3" s="1"/>
  <c r="C44" i="3" s="1"/>
  <c r="D44" i="3" s="1"/>
  <c r="F44" i="3" s="1"/>
  <c r="C45" i="3" s="1"/>
  <c r="D45" i="3" s="1"/>
  <c r="F45" i="3" s="1"/>
  <c r="C46" i="3" l="1"/>
  <c r="D46" i="3" s="1"/>
  <c r="F46" i="3" s="1"/>
  <c r="C47" i="3" l="1"/>
  <c r="D47" i="3" s="1"/>
  <c r="F47" i="3" s="1"/>
  <c r="C48" i="3" l="1"/>
  <c r="D48" i="3" s="1"/>
  <c r="F48" i="3" s="1"/>
  <c r="C49" i="3" l="1"/>
  <c r="D49" i="3" l="1"/>
  <c r="C50" i="3"/>
  <c r="F28" i="1" s="1"/>
  <c r="F105" i="1" s="1"/>
  <c r="F108" i="1" s="1"/>
  <c r="D50" i="3" l="1"/>
  <c r="F49" i="3"/>
  <c r="F111" i="1"/>
  <c r="F112" i="1" s="1"/>
  <c r="F30" i="1"/>
  <c r="F31" i="1" s="1"/>
  <c r="F49" i="1" l="1"/>
  <c r="C52" i="3"/>
  <c r="F50" i="1"/>
  <c r="F32" i="1" l="1"/>
  <c r="F71" i="1" s="1"/>
  <c r="D52" i="3"/>
  <c r="F66" i="1"/>
  <c r="F65" i="1"/>
  <c r="F53" i="1" l="1"/>
  <c r="F72" i="1" s="1"/>
  <c r="F52" i="3"/>
  <c r="F67" i="1" l="1"/>
  <c r="F56" i="1"/>
  <c r="F59" i="1" s="1"/>
  <c r="C53" i="3"/>
  <c r="D53" i="3" l="1"/>
  <c r="F53" i="3" l="1"/>
  <c r="C54" i="3" l="1"/>
  <c r="D54" i="3" l="1"/>
  <c r="F54" i="3" l="1"/>
  <c r="C55" i="3" l="1"/>
  <c r="D55" i="3" l="1"/>
  <c r="F55" i="3" l="1"/>
  <c r="C56" i="3" l="1"/>
  <c r="D56" i="3" l="1"/>
  <c r="F56" i="3" l="1"/>
  <c r="C57" i="3" l="1"/>
  <c r="D57" i="3" s="1"/>
  <c r="F57" i="3" s="1"/>
  <c r="C58" i="3" l="1"/>
  <c r="D58" i="3" s="1"/>
  <c r="F58" i="3" s="1"/>
  <c r="C59" i="3" l="1"/>
  <c r="D59" i="3" s="1"/>
  <c r="F59" i="3" s="1"/>
  <c r="C60" i="3" l="1"/>
  <c r="D60" i="3" s="1"/>
  <c r="F60" i="3" s="1"/>
  <c r="C61" i="3" l="1"/>
  <c r="D61" i="3" s="1"/>
  <c r="F61" i="3" s="1"/>
  <c r="C62" i="3" l="1"/>
  <c r="D62" i="3" s="1"/>
  <c r="F62" i="3" s="1"/>
  <c r="C63" i="3" l="1"/>
  <c r="D63" i="3" l="1"/>
  <c r="C64" i="3"/>
  <c r="G28" i="1" s="1"/>
  <c r="G105" i="1" s="1"/>
  <c r="G108" i="1" s="1"/>
  <c r="D64" i="3" l="1"/>
  <c r="F63" i="3"/>
  <c r="G111" i="1"/>
  <c r="G112" i="1" s="1"/>
  <c r="G30" i="1"/>
  <c r="G31" i="1" s="1"/>
  <c r="G49" i="1" l="1"/>
  <c r="C66" i="3"/>
  <c r="G50" i="1"/>
  <c r="D66" i="3" l="1"/>
  <c r="G65" i="1"/>
  <c r="G66" i="1"/>
  <c r="G32" i="1"/>
  <c r="G71" i="1" l="1"/>
  <c r="G53" i="1"/>
  <c r="F66" i="3"/>
  <c r="E140" i="1" l="1"/>
  <c r="E141" i="1" s="1"/>
  <c r="G67" i="1"/>
  <c r="G56" i="1"/>
  <c r="G59" i="1" s="1"/>
  <c r="C67" i="3"/>
  <c r="G72" i="1"/>
  <c r="E157" i="1" l="1"/>
  <c r="D67" i="3"/>
  <c r="F67" i="3" l="1"/>
  <c r="C68" i="3" l="1"/>
  <c r="D68" i="3" l="1"/>
  <c r="F68" i="3" l="1"/>
  <c r="C69" i="3" l="1"/>
  <c r="D69" i="3" l="1"/>
  <c r="F69" i="3" l="1"/>
  <c r="C70" i="3" l="1"/>
  <c r="D70" i="3" l="1"/>
  <c r="F70" i="3" l="1"/>
  <c r="C71" i="3" l="1"/>
  <c r="D71" i="3" s="1"/>
  <c r="F71" i="3" s="1"/>
  <c r="C72" i="3" l="1"/>
  <c r="D72" i="3" s="1"/>
  <c r="F72" i="3" s="1"/>
  <c r="C73" i="3" l="1"/>
  <c r="D73" i="3" s="1"/>
  <c r="F73" i="3" s="1"/>
  <c r="C74" i="3" l="1"/>
  <c r="D74" i="3" s="1"/>
  <c r="F74" i="3" s="1"/>
  <c r="C75" i="3" l="1"/>
  <c r="D75" i="3" s="1"/>
  <c r="F75" i="3" s="1"/>
  <c r="C76" i="3" l="1"/>
  <c r="D76" i="3" s="1"/>
  <c r="F76" i="3" s="1"/>
  <c r="C77" i="3" l="1"/>
  <c r="D77" i="3" l="1"/>
  <c r="C78" i="3"/>
  <c r="H28" i="1" s="1"/>
  <c r="H105" i="1" s="1"/>
  <c r="H108" i="1" s="1"/>
  <c r="D78" i="3" l="1"/>
  <c r="F77" i="3"/>
  <c r="H111" i="1"/>
  <c r="H112" i="1" s="1"/>
  <c r="H30" i="1"/>
  <c r="H31" i="1" s="1"/>
  <c r="H49" i="1" l="1"/>
  <c r="C80" i="3"/>
  <c r="H50" i="1"/>
  <c r="H32" i="1" l="1"/>
  <c r="H71" i="1" s="1"/>
  <c r="D80" i="3"/>
  <c r="H65" i="1"/>
  <c r="F141" i="1" s="1"/>
  <c r="H66" i="1"/>
  <c r="H53" i="1" l="1"/>
  <c r="H56" i="1" s="1"/>
  <c r="H59" i="1" s="1"/>
  <c r="F80" i="3"/>
  <c r="H67" i="1" l="1"/>
  <c r="H72" i="1"/>
  <c r="C81" i="3"/>
  <c r="D81" i="3" l="1"/>
  <c r="F81" i="3" l="1"/>
  <c r="C82" i="3" l="1"/>
  <c r="D82" i="3" l="1"/>
  <c r="F82" i="3" l="1"/>
  <c r="C83" i="3" l="1"/>
  <c r="D83" i="3" l="1"/>
  <c r="F83" i="3" l="1"/>
  <c r="C84" i="3" l="1"/>
  <c r="D84" i="3" l="1"/>
  <c r="F84" i="3" l="1"/>
  <c r="C85" i="3" l="1"/>
  <c r="D85" i="3" s="1"/>
  <c r="F85" i="3" s="1"/>
  <c r="C86" i="3" l="1"/>
  <c r="D86" i="3" s="1"/>
  <c r="F86" i="3" s="1"/>
  <c r="C87" i="3" l="1"/>
  <c r="D87" i="3" s="1"/>
  <c r="F87" i="3" s="1"/>
  <c r="C88" i="3" l="1"/>
  <c r="D88" i="3" s="1"/>
  <c r="F88" i="3" s="1"/>
  <c r="C89" i="3" l="1"/>
  <c r="D89" i="3" s="1"/>
  <c r="F89" i="3" s="1"/>
  <c r="C90" i="3" l="1"/>
  <c r="D90" i="3" s="1"/>
  <c r="F90" i="3" s="1"/>
  <c r="C91" i="3" l="1"/>
  <c r="D91" i="3" l="1"/>
  <c r="C92" i="3"/>
  <c r="I28" i="1" s="1"/>
  <c r="I105" i="1" s="1"/>
  <c r="I108" i="1" s="1"/>
  <c r="D92" i="3" l="1"/>
  <c r="F91" i="3"/>
  <c r="I111" i="1"/>
  <c r="I112" i="1" s="1"/>
  <c r="I30" i="1"/>
  <c r="I31" i="1" s="1"/>
  <c r="I49" i="1" l="1"/>
  <c r="C94" i="3"/>
  <c r="I50" i="1"/>
  <c r="D94" i="3" l="1"/>
  <c r="I66" i="1"/>
  <c r="I65" i="1"/>
  <c r="G141" i="1" s="1"/>
  <c r="I32" i="1"/>
  <c r="I71" i="1" l="1"/>
  <c r="I53" i="1"/>
  <c r="F94" i="3"/>
  <c r="C95" i="3" l="1"/>
  <c r="I67" i="1"/>
  <c r="I56" i="1"/>
  <c r="I59" i="1" s="1"/>
  <c r="I72" i="1"/>
  <c r="F157" i="1" l="1"/>
  <c r="D95" i="3"/>
  <c r="F95" i="3" l="1"/>
  <c r="C96" i="3" l="1"/>
  <c r="D96" i="3" l="1"/>
  <c r="F96" i="3" l="1"/>
  <c r="C97" i="3" l="1"/>
  <c r="D97" i="3" l="1"/>
  <c r="F97" i="3" l="1"/>
  <c r="C98" i="3" l="1"/>
  <c r="D98" i="3" l="1"/>
  <c r="F98" i="3" l="1"/>
  <c r="C99" i="3" l="1"/>
  <c r="D99" i="3" s="1"/>
  <c r="F99" i="3" s="1"/>
  <c r="C100" i="3" l="1"/>
  <c r="D100" i="3" s="1"/>
  <c r="F100" i="3" s="1"/>
  <c r="C101" i="3" l="1"/>
  <c r="D101" i="3" s="1"/>
  <c r="F101" i="3" s="1"/>
  <c r="C102" i="3" l="1"/>
  <c r="D102" i="3" s="1"/>
  <c r="F102" i="3" s="1"/>
  <c r="C103" i="3" l="1"/>
  <c r="D103" i="3" s="1"/>
  <c r="F103" i="3" s="1"/>
  <c r="C104" i="3" l="1"/>
  <c r="D104" i="3" s="1"/>
  <c r="F104" i="3" s="1"/>
  <c r="C105" i="3" l="1"/>
  <c r="D105" i="3" l="1"/>
  <c r="C106" i="3"/>
  <c r="J28" i="1" s="1"/>
  <c r="J105" i="1" s="1"/>
  <c r="J108" i="1" s="1"/>
  <c r="D106" i="3" l="1"/>
  <c r="F105" i="3"/>
  <c r="J111" i="1"/>
  <c r="J112" i="1" s="1"/>
  <c r="J30" i="1"/>
  <c r="J31" i="1" s="1"/>
  <c r="J49" i="1" l="1"/>
  <c r="C108" i="3"/>
  <c r="J50" i="1"/>
  <c r="J32" i="1" l="1"/>
  <c r="J71" i="1" s="1"/>
  <c r="D108" i="3"/>
  <c r="J65" i="1"/>
  <c r="H141" i="1" s="1"/>
  <c r="J66" i="1"/>
  <c r="J53" i="1" l="1"/>
  <c r="J56" i="1" s="1"/>
  <c r="J59" i="1" s="1"/>
  <c r="F108" i="3"/>
  <c r="J67" i="1" l="1"/>
  <c r="J72" i="1"/>
  <c r="C109" i="3"/>
  <c r="D109" i="3" l="1"/>
  <c r="F109" i="3" l="1"/>
  <c r="C110" i="3" l="1"/>
  <c r="D110" i="3" l="1"/>
  <c r="F110" i="3" l="1"/>
  <c r="C111" i="3" l="1"/>
  <c r="D111" i="3" l="1"/>
  <c r="F111" i="3" l="1"/>
  <c r="C112" i="3" l="1"/>
  <c r="D112" i="3" l="1"/>
  <c r="F112" i="3" l="1"/>
  <c r="C113" i="3" l="1"/>
  <c r="D113" i="3" s="1"/>
  <c r="F113" i="3" s="1"/>
  <c r="C114" i="3" l="1"/>
  <c r="D114" i="3" s="1"/>
  <c r="F114" i="3" s="1"/>
  <c r="C115" i="3" l="1"/>
  <c r="D115" i="3" s="1"/>
  <c r="F115" i="3" s="1"/>
  <c r="C116" i="3" l="1"/>
  <c r="D116" i="3" s="1"/>
  <c r="F116" i="3" s="1"/>
  <c r="C117" i="3" l="1"/>
  <c r="D117" i="3" s="1"/>
  <c r="F117" i="3" s="1"/>
  <c r="C118" i="3" l="1"/>
  <c r="D118" i="3" s="1"/>
  <c r="F118" i="3" s="1"/>
  <c r="C119" i="3" l="1"/>
  <c r="D119" i="3" l="1"/>
  <c r="C120" i="3"/>
  <c r="K28" i="1" s="1"/>
  <c r="K105" i="1" s="1"/>
  <c r="K108" i="1" s="1"/>
  <c r="D120" i="3" l="1"/>
  <c r="F119" i="3"/>
  <c r="K111" i="1"/>
  <c r="K112" i="1" s="1"/>
  <c r="K30" i="1"/>
  <c r="K31" i="1" s="1"/>
  <c r="K49" i="1" l="1"/>
  <c r="C122" i="3"/>
  <c r="K50" i="1"/>
  <c r="D118" i="1" s="1"/>
  <c r="D122" i="3" l="1"/>
  <c r="K66" i="1"/>
  <c r="K65" i="1"/>
  <c r="I141" i="1" s="1"/>
  <c r="I157" i="1" s="1"/>
  <c r="K32" i="1"/>
  <c r="K71" i="1" l="1"/>
  <c r="K53" i="1"/>
  <c r="F122" i="3"/>
  <c r="H157" i="1" l="1"/>
  <c r="K72" i="1"/>
  <c r="D119" i="1"/>
  <c r="D120" i="1" s="1"/>
  <c r="C123" i="3"/>
  <c r="K67" i="1"/>
  <c r="K56" i="1"/>
  <c r="K59" i="1" s="1"/>
  <c r="H118" i="1" l="1"/>
  <c r="H119" i="1"/>
  <c r="G157" i="1"/>
  <c r="D162" i="1" s="1"/>
  <c r="F119" i="1"/>
  <c r="F118" i="1"/>
  <c r="D123" i="3"/>
  <c r="D124" i="1" l="1"/>
  <c r="D171" i="1" s="1"/>
  <c r="D167" i="1"/>
  <c r="D169" i="1" s="1"/>
  <c r="F123" i="3"/>
  <c r="D163" i="1" l="1"/>
  <c r="L158" i="1"/>
  <c r="J158" i="1"/>
  <c r="H158" i="1"/>
  <c r="F158" i="1"/>
  <c r="K158" i="1"/>
  <c r="I158" i="1"/>
  <c r="G158" i="1"/>
  <c r="E158" i="1"/>
  <c r="D158" i="1"/>
  <c r="C124" i="3"/>
  <c r="D160" i="1" l="1"/>
  <c r="D124" i="3"/>
  <c r="F124" i="3" l="1"/>
  <c r="C125" i="3" l="1"/>
  <c r="D125" i="3" l="1"/>
  <c r="F125" i="3" l="1"/>
  <c r="C126" i="3" l="1"/>
  <c r="D126" i="3" l="1"/>
  <c r="F126" i="3" l="1"/>
  <c r="C127" i="3" l="1"/>
  <c r="D127" i="3" s="1"/>
  <c r="F127" i="3" s="1"/>
  <c r="C128" i="3" l="1"/>
  <c r="D128" i="3" s="1"/>
  <c r="F128" i="3" s="1"/>
  <c r="C129" i="3" l="1"/>
  <c r="D129" i="3" s="1"/>
  <c r="F129" i="3" s="1"/>
  <c r="C130" i="3" l="1"/>
  <c r="D130" i="3" s="1"/>
  <c r="F130" i="3" s="1"/>
  <c r="C131" i="3" l="1"/>
  <c r="D131" i="3" s="1"/>
  <c r="F131" i="3" s="1"/>
  <c r="C132" i="3" l="1"/>
  <c r="D132" i="3" s="1"/>
  <c r="F132" i="3" s="1"/>
  <c r="C133" i="3" l="1"/>
  <c r="D133" i="3" l="1"/>
  <c r="C134" i="3"/>
  <c r="D134" i="3" l="1"/>
  <c r="F133" i="3"/>
  <c r="C136" i="3" l="1"/>
  <c r="D136" i="3" l="1"/>
  <c r="F136" i="3" l="1"/>
  <c r="C137" i="3" l="1"/>
  <c r="D137" i="3" l="1"/>
  <c r="F137" i="3" l="1"/>
  <c r="C138" i="3" l="1"/>
  <c r="D138" i="3" l="1"/>
  <c r="F138" i="3" l="1"/>
  <c r="C139" i="3" l="1"/>
  <c r="D139" i="3" l="1"/>
  <c r="F139" i="3" l="1"/>
  <c r="C140" i="3" l="1"/>
  <c r="D140" i="3" l="1"/>
  <c r="F140" i="3" l="1"/>
  <c r="C141" i="3" l="1"/>
  <c r="D141" i="3" s="1"/>
  <c r="F141" i="3" s="1"/>
  <c r="C142" i="3" l="1"/>
  <c r="D142" i="3" s="1"/>
  <c r="F142" i="3" s="1"/>
  <c r="C143" i="3" l="1"/>
  <c r="D143" i="3" s="1"/>
  <c r="F143" i="3" s="1"/>
  <c r="C144" i="3" l="1"/>
  <c r="D144" i="3" s="1"/>
  <c r="F144" i="3" s="1"/>
  <c r="C145" i="3" l="1"/>
  <c r="D145" i="3" s="1"/>
  <c r="F145" i="3" s="1"/>
  <c r="C146" i="3" l="1"/>
  <c r="D146" i="3" s="1"/>
  <c r="F146" i="3" s="1"/>
  <c r="C147" i="3" l="1"/>
  <c r="D147" i="3" l="1"/>
  <c r="C148" i="3"/>
  <c r="D148" i="3" l="1"/>
  <c r="F147" i="3"/>
  <c r="C150" i="3" l="1"/>
  <c r="D150" i="3" l="1"/>
  <c r="F150" i="3" l="1"/>
  <c r="C151" i="3" l="1"/>
  <c r="D151" i="3" l="1"/>
  <c r="F151" i="3" l="1"/>
  <c r="C152" i="3" l="1"/>
  <c r="D152" i="3" l="1"/>
  <c r="F152" i="3" l="1"/>
  <c r="C153" i="3" l="1"/>
  <c r="D153" i="3" l="1"/>
  <c r="F153" i="3" l="1"/>
  <c r="C154" i="3" l="1"/>
  <c r="D154" i="3" l="1"/>
  <c r="F154" i="3" l="1"/>
  <c r="C155" i="3" l="1"/>
  <c r="D155" i="3" s="1"/>
  <c r="F155" i="3" s="1"/>
  <c r="C156" i="3" l="1"/>
  <c r="D156" i="3" s="1"/>
  <c r="F156" i="3" s="1"/>
  <c r="C157" i="3" l="1"/>
  <c r="D157" i="3" s="1"/>
  <c r="F157" i="3" s="1"/>
  <c r="C158" i="3" l="1"/>
  <c r="D158" i="3" s="1"/>
  <c r="F158" i="3" s="1"/>
  <c r="C159" i="3" l="1"/>
  <c r="D159" i="3" s="1"/>
  <c r="F159" i="3" s="1"/>
  <c r="C160" i="3" l="1"/>
  <c r="D160" i="3" s="1"/>
  <c r="F160" i="3" s="1"/>
  <c r="C161" i="3" l="1"/>
  <c r="D161" i="3" l="1"/>
  <c r="C162" i="3"/>
  <c r="D162" i="3" l="1"/>
  <c r="F161" i="3"/>
  <c r="C164" i="3" l="1"/>
  <c r="D164" i="3" l="1"/>
  <c r="F164" i="3" l="1"/>
  <c r="C165" i="3" l="1"/>
  <c r="D165" i="3" l="1"/>
  <c r="F165" i="3" l="1"/>
  <c r="C166" i="3" l="1"/>
  <c r="D166" i="3" l="1"/>
  <c r="F166" i="3" l="1"/>
  <c r="C167" i="3" l="1"/>
  <c r="D167" i="3" l="1"/>
  <c r="F167" i="3" l="1"/>
  <c r="C168" i="3" l="1"/>
  <c r="D168" i="3" l="1"/>
  <c r="F168" i="3" l="1"/>
  <c r="C169" i="3" l="1"/>
  <c r="D169" i="3" s="1"/>
  <c r="F169" i="3" s="1"/>
  <c r="C170" i="3" l="1"/>
  <c r="D170" i="3" s="1"/>
  <c r="F170" i="3" s="1"/>
  <c r="C171" i="3" l="1"/>
  <c r="D171" i="3" s="1"/>
  <c r="F171" i="3" s="1"/>
  <c r="C172" i="3" l="1"/>
  <c r="D172" i="3" s="1"/>
  <c r="F172" i="3" s="1"/>
  <c r="C173" i="3" l="1"/>
  <c r="D173" i="3" s="1"/>
  <c r="F173" i="3" s="1"/>
  <c r="C174" i="3" l="1"/>
  <c r="D174" i="3" s="1"/>
  <c r="F174" i="3" s="1"/>
  <c r="C175" i="3" l="1"/>
  <c r="D175" i="3" l="1"/>
  <c r="C176" i="3"/>
  <c r="D176" i="3" l="1"/>
  <c r="F175" i="3"/>
  <c r="C178" i="3" l="1"/>
  <c r="D178" i="3" l="1"/>
  <c r="F178" i="3" l="1"/>
  <c r="C179" i="3" l="1"/>
  <c r="D179" i="3" l="1"/>
  <c r="F179" i="3" l="1"/>
  <c r="C180" i="3" l="1"/>
  <c r="D180" i="3" l="1"/>
  <c r="F180" i="3" l="1"/>
  <c r="C181" i="3" l="1"/>
  <c r="D181" i="3" l="1"/>
  <c r="F181" i="3" l="1"/>
  <c r="C182" i="3" l="1"/>
  <c r="D182" i="3" l="1"/>
  <c r="F182" i="3" l="1"/>
  <c r="C183" i="3" l="1"/>
  <c r="D183" i="3" s="1"/>
  <c r="F183" i="3" s="1"/>
  <c r="C184" i="3" l="1"/>
  <c r="D184" i="3" s="1"/>
  <c r="F184" i="3" s="1"/>
  <c r="C185" i="3" l="1"/>
  <c r="D185" i="3" s="1"/>
  <c r="F185" i="3" s="1"/>
  <c r="C186" i="3" l="1"/>
  <c r="D186" i="3" s="1"/>
  <c r="F186" i="3" s="1"/>
  <c r="C187" i="3" l="1"/>
  <c r="D187" i="3" s="1"/>
  <c r="F187" i="3" s="1"/>
  <c r="C188" i="3" l="1"/>
  <c r="D188" i="3" s="1"/>
  <c r="F188" i="3" s="1"/>
  <c r="C189" i="3" l="1"/>
  <c r="D189" i="3" l="1"/>
  <c r="C190" i="3"/>
  <c r="D190" i="3" l="1"/>
  <c r="F189" i="3"/>
  <c r="C192" i="3" l="1"/>
  <c r="D192" i="3" l="1"/>
  <c r="F192" i="3" s="1"/>
  <c r="C193" i="3" l="1"/>
  <c r="D193" i="3" l="1"/>
  <c r="F193" i="3" l="1"/>
  <c r="C194" i="3" l="1"/>
  <c r="D194" i="3" l="1"/>
  <c r="F194" i="3" l="1"/>
  <c r="C195" i="3" l="1"/>
  <c r="D195" i="3" l="1"/>
  <c r="F195" i="3" l="1"/>
  <c r="C196" i="3" l="1"/>
  <c r="D196" i="3" l="1"/>
  <c r="F196" i="3" l="1"/>
  <c r="C197" i="3" l="1"/>
  <c r="D197" i="3" s="1"/>
  <c r="F197" i="3" s="1"/>
  <c r="C198" i="3" l="1"/>
  <c r="D198" i="3" s="1"/>
  <c r="F198" i="3" s="1"/>
  <c r="C199" i="3" l="1"/>
  <c r="D199" i="3" s="1"/>
  <c r="F199" i="3" s="1"/>
  <c r="C200" i="3" l="1"/>
  <c r="D200" i="3" s="1"/>
  <c r="F200" i="3" s="1"/>
  <c r="C201" i="3" l="1"/>
  <c r="D201" i="3" s="1"/>
  <c r="F201" i="3" s="1"/>
  <c r="C202" i="3" l="1"/>
  <c r="D202" i="3" s="1"/>
  <c r="F202" i="3" s="1"/>
  <c r="C203" i="3" l="1"/>
  <c r="D203" i="3" l="1"/>
  <c r="C204" i="3"/>
  <c r="D204" i="3" l="1"/>
  <c r="F203" i="3"/>
  <c r="C206" i="3" l="1"/>
  <c r="D206" i="3" l="1"/>
  <c r="F206" i="3" l="1"/>
  <c r="C207" i="3" l="1"/>
  <c r="D207" i="3" l="1"/>
  <c r="F207" i="3" l="1"/>
  <c r="C208" i="3" l="1"/>
  <c r="D208" i="3" l="1"/>
  <c r="F208" i="3" l="1"/>
  <c r="C209" i="3" l="1"/>
  <c r="D209" i="3" l="1"/>
  <c r="F209" i="3" l="1"/>
  <c r="C210" i="3" l="1"/>
  <c r="D210" i="3" l="1"/>
  <c r="F210" i="3" l="1"/>
  <c r="C211" i="3" l="1"/>
  <c r="D211" i="3" s="1"/>
  <c r="F211" i="3" s="1"/>
  <c r="C212" i="3" l="1"/>
  <c r="D212" i="3" s="1"/>
  <c r="F212" i="3" s="1"/>
  <c r="C213" i="3" l="1"/>
  <c r="D213" i="3" s="1"/>
  <c r="F213" i="3" s="1"/>
  <c r="C214" i="3" l="1"/>
  <c r="D214" i="3" s="1"/>
  <c r="F214" i="3" s="1"/>
  <c r="C215" i="3" l="1"/>
  <c r="D215" i="3" s="1"/>
  <c r="F215" i="3" s="1"/>
  <c r="C216" i="3" l="1"/>
  <c r="D216" i="3" s="1"/>
  <c r="F216" i="3" s="1"/>
  <c r="C217" i="3" l="1"/>
  <c r="D217" i="3" l="1"/>
  <c r="C218" i="3"/>
  <c r="D218" i="3" l="1"/>
  <c r="F217" i="3"/>
</calcChain>
</file>

<file path=xl/sharedStrings.xml><?xml version="1.0" encoding="utf-8"?>
<sst xmlns="http://schemas.openxmlformats.org/spreadsheetml/2006/main" count="200" uniqueCount="179">
  <si>
    <t>Average Payables Period-COGS</t>
  </si>
  <si>
    <t>Accounts Payable</t>
  </si>
  <si>
    <t>Mr. Suds Car Wash</t>
  </si>
  <si>
    <t>Current Ratio</t>
  </si>
  <si>
    <t>Building</t>
  </si>
  <si>
    <t>Yearly value change</t>
  </si>
  <si>
    <t>http://www.bizquest.com/buy-a-business-for-sale/6-bay-self-serve-car-wash-with-land-375-000-00/1100464.html</t>
  </si>
  <si>
    <t>Inventory</t>
  </si>
  <si>
    <t>Payment</t>
  </si>
  <si>
    <t>Self-Serve Average Cost per Min</t>
  </si>
  <si>
    <t>Date</t>
  </si>
  <si>
    <t>Automatic Wash</t>
  </si>
  <si>
    <t>ROA</t>
  </si>
  <si>
    <t>Electricity per Month</t>
  </si>
  <si>
    <t>ROE</t>
  </si>
  <si>
    <t>Equipment Maintanance per Month</t>
  </si>
  <si>
    <t>Debt to Equity</t>
  </si>
  <si>
    <t>Depreciation Expense per Year</t>
  </si>
  <si>
    <t>Price per Unit</t>
  </si>
  <si>
    <t>hours</t>
  </si>
  <si>
    <t>%</t>
  </si>
  <si>
    <t>Total Current Assets</t>
  </si>
  <si>
    <t>Loan Amount</t>
  </si>
  <si>
    <t>Equpment</t>
  </si>
  <si>
    <t>Income Tax %</t>
  </si>
  <si>
    <t>Inventory Expenses</t>
  </si>
  <si>
    <t xml:space="preserve">Cash </t>
  </si>
  <si>
    <t>Balance Sheet</t>
  </si>
  <si>
    <t>Yearly % Change</t>
  </si>
  <si>
    <t>Price</t>
  </si>
  <si>
    <t>Price per Vacuum use</t>
  </si>
  <si>
    <t>Price per Self Serve Wash</t>
  </si>
  <si>
    <t>Rental Price per lot</t>
  </si>
  <si>
    <t>Forecasted Wash Services per Year</t>
  </si>
  <si>
    <t>N</t>
  </si>
  <si>
    <t>Rental Revenue</t>
  </si>
  <si>
    <t>FV</t>
  </si>
  <si>
    <t>I</t>
  </si>
  <si>
    <t>Operating Expense</t>
  </si>
  <si>
    <t>Assumptions</t>
  </si>
  <si>
    <t>Mortgage</t>
  </si>
  <si>
    <t>Cost per Self Serve Wash</t>
  </si>
  <si>
    <t>Automatic Revenue</t>
  </si>
  <si>
    <t>Taxes</t>
  </si>
  <si>
    <t>Average Time Spent (mins)</t>
  </si>
  <si>
    <t>Interest</t>
  </si>
  <si>
    <t>Self-Serve Washes per year</t>
  </si>
  <si>
    <t>Variable Cost per Unit</t>
  </si>
  <si>
    <t>Depreciation Expense</t>
  </si>
  <si>
    <t>Cost per Air Freshener</t>
  </si>
  <si>
    <t>Income Statement</t>
  </si>
  <si>
    <t>Price per Basic Wash</t>
  </si>
  <si>
    <t>% of Total Washes</t>
  </si>
  <si>
    <t>Shareholder's Equity</t>
  </si>
  <si>
    <t>Total Liabilities and Stockholder's Equilty</t>
  </si>
  <si>
    <t>Current Assets</t>
  </si>
  <si>
    <t>Total Fixed Costs</t>
  </si>
  <si>
    <t>Sewage Expense per Month</t>
  </si>
  <si>
    <t>Number of Vacuum uses</t>
  </si>
  <si>
    <t>Cost per shammy</t>
  </si>
  <si>
    <t>Supreme Washes per year</t>
  </si>
  <si>
    <t>Average Collection Period</t>
  </si>
  <si>
    <t>Cost per Vacuum</t>
  </si>
  <si>
    <t>Price per Vacuum</t>
  </si>
  <si>
    <t>Chemicals Expense</t>
  </si>
  <si>
    <t>Fixed Expenses</t>
  </si>
  <si>
    <t>Self-Serve Wash</t>
  </si>
  <si>
    <t>Total COGS</t>
  </si>
  <si>
    <t>Interest Rate</t>
  </si>
  <si>
    <t>Length of Automatic wash</t>
  </si>
  <si>
    <t>DFN</t>
  </si>
  <si>
    <t>Net Proft after Taxes</t>
  </si>
  <si>
    <t>Bank Loan</t>
  </si>
  <si>
    <t>Total Assets</t>
  </si>
  <si>
    <t>Price per shammy</t>
  </si>
  <si>
    <t>Break Even Units</t>
  </si>
  <si>
    <t>Total Expenses</t>
  </si>
  <si>
    <t>Profit Before Taxes</t>
  </si>
  <si>
    <t>Price per Air Freshener</t>
  </si>
  <si>
    <t>Annual Growth</t>
  </si>
  <si>
    <t>Equipment Maintanance</t>
  </si>
  <si>
    <t>Price per Armorall</t>
  </si>
  <si>
    <t>Price per Supreme Wash</t>
  </si>
  <si>
    <t>Contribution Margin</t>
  </si>
  <si>
    <t>Vending Revenue</t>
  </si>
  <si>
    <t>Financial Health Ratios</t>
  </si>
  <si>
    <t>Acid Test</t>
  </si>
  <si>
    <t>Retained Earnings</t>
  </si>
  <si>
    <t>Maintenance Schedule (once per)</t>
  </si>
  <si>
    <t>Cost</t>
  </si>
  <si>
    <t>PV</t>
  </si>
  <si>
    <t>Cost per Armorall</t>
  </si>
  <si>
    <t>Break Even Analysis</t>
  </si>
  <si>
    <t>http://www.dultmeier.com/literature/startacarwash.asp</t>
  </si>
  <si>
    <t>Principle</t>
  </si>
  <si>
    <t>Automatic washes per year</t>
  </si>
  <si>
    <t>Extra Payment</t>
  </si>
  <si>
    <t>Merchandise Expense</t>
  </si>
  <si>
    <t>Vacuum Revenue</t>
  </si>
  <si>
    <t>Electricity</t>
  </si>
  <si>
    <t>Inventory Sales</t>
  </si>
  <si>
    <t>PMT</t>
  </si>
  <si>
    <t>Vending Shammies</t>
  </si>
  <si>
    <t>Less: Accumulated Depreciation</t>
  </si>
  <si>
    <t>Water Expense</t>
  </si>
  <si>
    <t>Other Revenues</t>
  </si>
  <si>
    <t>Sewage Expense</t>
  </si>
  <si>
    <t>Price per Minute</t>
  </si>
  <si>
    <t>Taxes Payable</t>
  </si>
  <si>
    <t>Self Serve Revenue</t>
  </si>
  <si>
    <t>Inflation</t>
  </si>
  <si>
    <t>Forecasted Wash Services per Week</t>
  </si>
  <si>
    <t>Costs of Goods Sold</t>
  </si>
  <si>
    <t>Average Price per Self-Serve Wash</t>
  </si>
  <si>
    <t>Vending Armorall wipes</t>
  </si>
  <si>
    <t>Basic Washes per year</t>
  </si>
  <si>
    <t>Inventory Turnover Ratio</t>
  </si>
  <si>
    <t>hours of operation</t>
  </si>
  <si>
    <t>Accounts Receivable</t>
  </si>
  <si>
    <t>Fixed Costs</t>
  </si>
  <si>
    <t>Excess Pmt</t>
  </si>
  <si>
    <t>Tax Rate</t>
  </si>
  <si>
    <t>Vending Air Fresheners</t>
  </si>
  <si>
    <t>Total Revenue</t>
  </si>
  <si>
    <t>Interest Expense - Mortgage</t>
  </si>
  <si>
    <t>Interest Expense - Bank Loan</t>
  </si>
  <si>
    <t>Bank Loan Interest Rate</t>
  </si>
  <si>
    <t>Supreme Wash - Water Cost</t>
  </si>
  <si>
    <t>Suppreme Wash - Chemical Cost</t>
  </si>
  <si>
    <t>Basic Wash - Water Cost</t>
  </si>
  <si>
    <t>Basic Wash - Chemical Cost</t>
  </si>
  <si>
    <t>Insurance</t>
  </si>
  <si>
    <t>Supreme Wash - Chemical Cost</t>
  </si>
  <si>
    <t>Maintenance cost Automatic</t>
  </si>
  <si>
    <t>Maintenance Cost Self Serve</t>
  </si>
  <si>
    <t>Salary Expense</t>
  </si>
  <si>
    <t>WACC</t>
  </si>
  <si>
    <t>WACC projected for 2015</t>
  </si>
  <si>
    <t>Finance</t>
  </si>
  <si>
    <t>Proportion</t>
  </si>
  <si>
    <t>Debt</t>
  </si>
  <si>
    <t>Equity</t>
  </si>
  <si>
    <t>Tax rate</t>
  </si>
  <si>
    <t>Return After Taxes the factory has to make</t>
  </si>
  <si>
    <t>FCF, NPV, IRR</t>
  </si>
  <si>
    <t>Year 0</t>
  </si>
  <si>
    <t>Year 1</t>
  </si>
  <si>
    <t>Year 2</t>
  </si>
  <si>
    <t>Year 3</t>
  </si>
  <si>
    <t>Year 4</t>
  </si>
  <si>
    <t>After tax Amount on sale of Buildings</t>
  </si>
  <si>
    <t>Initial Capital Expenditures</t>
  </si>
  <si>
    <t xml:space="preserve">Building </t>
  </si>
  <si>
    <t>Less: Taxes on gain from sale</t>
  </si>
  <si>
    <t>Taxable Operating Income</t>
  </si>
  <si>
    <t>Income Tax expense</t>
  </si>
  <si>
    <t>After-Tax Operating Income</t>
  </si>
  <si>
    <t>Operating Net Income</t>
  </si>
  <si>
    <t>Changes in Working Capital</t>
  </si>
  <si>
    <t>Income Taxes Payable</t>
  </si>
  <si>
    <t>Cash Flows from Liquidating Capital</t>
  </si>
  <si>
    <t>Total Free Cash Flows</t>
  </si>
  <si>
    <t>PV of FCF</t>
  </si>
  <si>
    <t>NPV of FCF</t>
  </si>
  <si>
    <t>IRR</t>
  </si>
  <si>
    <t>Year 5</t>
  </si>
  <si>
    <t>Year 6</t>
  </si>
  <si>
    <t>Year 7</t>
  </si>
  <si>
    <t>Year 8</t>
  </si>
  <si>
    <t>Book Value</t>
  </si>
  <si>
    <t>Operating Profit</t>
  </si>
  <si>
    <t>Sell Building &amp; Equipment</t>
  </si>
  <si>
    <t>Depreciation Expense Equipment</t>
  </si>
  <si>
    <t>Gain on sale of Buildings &amp; Equipment</t>
  </si>
  <si>
    <t>Unlevered Beta</t>
  </si>
  <si>
    <t>Relevered Beta</t>
  </si>
  <si>
    <t>WACC projected for 2015 at new debt/value</t>
  </si>
  <si>
    <t>Beta</t>
  </si>
  <si>
    <t>Relevered Proportion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</si>
</sst>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"/>
    <numFmt numFmtId="166" formatCode="mmm\ yyyy"/>
    <numFmt numFmtId="167" formatCode="_(&quot;$&quot;* #,##0_);_(&quot;$&quot;* \(#,##0\);_(&quot;$&quot;* &quot;-&quot;??_);_(@_)"/>
    <numFmt numFmtId="168" formatCode="_(\$* #,##0_);_(\$* \(#,##0\);_(\$* \-??_);_(@_)"/>
    <numFmt numFmtId="169" formatCode="0.000%"/>
  </numFmts>
  <fonts count="12" x14ac:knownFonts="1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wrapText="1"/>
    </xf>
    <xf numFmtId="164" fontId="0" fillId="0" borderId="2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Alignment="1">
      <alignment wrapText="1"/>
    </xf>
    <xf numFmtId="4" fontId="0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165" fontId="0" fillId="0" borderId="0" xfId="0" applyNumberFormat="1" applyFont="1" applyFill="1" applyAlignment="1">
      <alignment wrapText="1"/>
    </xf>
    <xf numFmtId="10" fontId="0" fillId="0" borderId="0" xfId="0" applyNumberFormat="1" applyFont="1" applyFill="1" applyAlignment="1">
      <alignment wrapText="1"/>
    </xf>
    <xf numFmtId="0" fontId="0" fillId="0" borderId="1" xfId="0" applyNumberFormat="1" applyFont="1" applyFill="1" applyBorder="1" applyAlignment="1">
      <alignment wrapText="1"/>
    </xf>
    <xf numFmtId="3" fontId="0" fillId="0" borderId="0" xfId="0" applyNumberFormat="1" applyFont="1" applyFill="1" applyAlignment="1">
      <alignment wrapText="1"/>
    </xf>
    <xf numFmtId="9" fontId="0" fillId="0" borderId="1" xfId="0" applyNumberFormat="1" applyFont="1" applyFill="1" applyBorder="1" applyAlignment="1">
      <alignment wrapText="1"/>
    </xf>
    <xf numFmtId="9" fontId="0" fillId="0" borderId="2" xfId="0" applyNumberFormat="1" applyFont="1" applyFill="1" applyBorder="1" applyAlignment="1">
      <alignment wrapText="1"/>
    </xf>
    <xf numFmtId="9" fontId="0" fillId="0" borderId="0" xfId="0" applyNumberFormat="1" applyFont="1" applyFill="1" applyAlignment="1">
      <alignment wrapText="1"/>
    </xf>
    <xf numFmtId="0" fontId="0" fillId="2" borderId="0" xfId="0" applyNumberFormat="1" applyFont="1" applyFill="1" applyAlignment="1">
      <alignment wrapText="1"/>
    </xf>
    <xf numFmtId="0" fontId="0" fillId="0" borderId="0" xfId="0" applyNumberFormat="1" applyFont="1" applyFill="1" applyAlignment="1">
      <alignment horizontal="right" wrapText="1"/>
    </xf>
    <xf numFmtId="9" fontId="0" fillId="2" borderId="0" xfId="0" applyNumberFormat="1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3" fontId="0" fillId="0" borderId="0" xfId="0" applyNumberFormat="1" applyFont="1" applyFill="1" applyAlignment="1">
      <alignment horizontal="right" wrapText="1"/>
    </xf>
    <xf numFmtId="4" fontId="0" fillId="2" borderId="0" xfId="0" applyNumberFormat="1" applyFont="1" applyFill="1" applyAlignment="1">
      <alignment wrapText="1"/>
    </xf>
    <xf numFmtId="3" fontId="0" fillId="0" borderId="2" xfId="0" applyNumberFormat="1" applyFont="1" applyFill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wrapText="1"/>
    </xf>
    <xf numFmtId="0" fontId="0" fillId="0" borderId="0" xfId="0">
      <alignment vertical="center"/>
    </xf>
    <xf numFmtId="0" fontId="0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0" fontId="0" fillId="0" borderId="2" xfId="0" applyNumberFormat="1" applyFont="1" applyFill="1" applyBorder="1" applyAlignment="1">
      <alignment wrapText="1"/>
    </xf>
    <xf numFmtId="164" fontId="0" fillId="0" borderId="0" xfId="0" applyNumberFormat="1" applyFont="1" applyFill="1" applyBorder="1" applyAlignment="1">
      <alignment wrapText="1"/>
    </xf>
    <xf numFmtId="166" fontId="0" fillId="0" borderId="2" xfId="0" applyNumberFormat="1" applyFont="1" applyFill="1" applyBorder="1" applyAlignment="1">
      <alignment wrapText="1"/>
    </xf>
    <xf numFmtId="166" fontId="0" fillId="0" borderId="0" xfId="0" applyNumberFormat="1" applyFont="1" applyFill="1" applyAlignment="1">
      <alignment wrapText="1"/>
    </xf>
    <xf numFmtId="166" fontId="0" fillId="0" borderId="0" xfId="0" applyNumberFormat="1" applyFont="1" applyFill="1" applyAlignment="1">
      <alignment horizontal="right" wrapText="1"/>
    </xf>
    <xf numFmtId="166" fontId="0" fillId="0" borderId="0" xfId="0" applyNumberFormat="1">
      <alignment vertical="center"/>
    </xf>
    <xf numFmtId="43" fontId="0" fillId="0" borderId="0" xfId="4" applyFont="1" applyFill="1" applyAlignment="1">
      <alignment wrapText="1"/>
    </xf>
    <xf numFmtId="43" fontId="0" fillId="0" borderId="1" xfId="4" applyFont="1" applyFill="1" applyBorder="1" applyAlignment="1">
      <alignment wrapText="1"/>
    </xf>
    <xf numFmtId="44" fontId="0" fillId="0" borderId="2" xfId="2" applyFont="1" applyFill="1" applyBorder="1" applyAlignment="1">
      <alignment wrapText="1"/>
    </xf>
    <xf numFmtId="44" fontId="0" fillId="0" borderId="4" xfId="2" applyFont="1" applyFill="1" applyBorder="1" applyAlignment="1">
      <alignment wrapText="1"/>
    </xf>
    <xf numFmtId="44" fontId="0" fillId="0" borderId="2" xfId="2" applyFont="1" applyFill="1" applyBorder="1" applyAlignment="1">
      <alignment horizontal="right" wrapText="1"/>
    </xf>
    <xf numFmtId="43" fontId="0" fillId="0" borderId="0" xfId="4" applyFont="1" applyFill="1" applyBorder="1" applyAlignment="1">
      <alignment wrapText="1"/>
    </xf>
    <xf numFmtId="164" fontId="0" fillId="0" borderId="0" xfId="0" applyNumberFormat="1">
      <alignment vertical="center"/>
    </xf>
    <xf numFmtId="2" fontId="0" fillId="0" borderId="2" xfId="0" applyNumberFormat="1" applyFont="1" applyFill="1" applyBorder="1" applyAlignment="1">
      <alignment wrapText="1"/>
    </xf>
    <xf numFmtId="2" fontId="0" fillId="0" borderId="0" xfId="0" applyNumberFormat="1" applyFont="1" applyFill="1" applyAlignment="1">
      <alignment wrapText="1"/>
    </xf>
    <xf numFmtId="44" fontId="0" fillId="0" borderId="0" xfId="0" applyNumberFormat="1">
      <alignment vertical="center"/>
    </xf>
    <xf numFmtId="167" fontId="0" fillId="2" borderId="0" xfId="2" applyNumberFormat="1" applyFont="1" applyFill="1" applyAlignment="1">
      <alignment wrapText="1"/>
    </xf>
    <xf numFmtId="43" fontId="0" fillId="0" borderId="0" xfId="4" applyFont="1">
      <alignment vertical="center"/>
    </xf>
    <xf numFmtId="0" fontId="0" fillId="0" borderId="0" xfId="0">
      <alignment vertical="center"/>
    </xf>
    <xf numFmtId="0" fontId="4" fillId="0" borderId="0" xfId="6"/>
    <xf numFmtId="0" fontId="5" fillId="0" borderId="0" xfId="6" applyFont="1"/>
    <xf numFmtId="0" fontId="6" fillId="0" borderId="0" xfId="6" applyFont="1"/>
    <xf numFmtId="10" fontId="6" fillId="0" borderId="0" xfId="6" applyNumberFormat="1" applyFont="1"/>
    <xf numFmtId="168" fontId="6" fillId="0" borderId="0" xfId="6" applyNumberFormat="1" applyFont="1"/>
    <xf numFmtId="0" fontId="0" fillId="0" borderId="0" xfId="0" applyAlignment="1"/>
    <xf numFmtId="9" fontId="0" fillId="0" borderId="0" xfId="1" applyFont="1" applyAlignment="1"/>
    <xf numFmtId="9" fontId="0" fillId="0" borderId="0" xfId="0" applyNumberFormat="1" applyAlignment="1"/>
    <xf numFmtId="169" fontId="0" fillId="0" borderId="0" xfId="0" applyNumberFormat="1" applyAlignment="1"/>
    <xf numFmtId="43" fontId="0" fillId="0" borderId="0" xfId="0" applyNumberFormat="1" applyAlignment="1"/>
    <xf numFmtId="0" fontId="5" fillId="0" borderId="0" xfId="6" applyFont="1" applyBorder="1"/>
    <xf numFmtId="0" fontId="6" fillId="0" borderId="0" xfId="6" applyFont="1" applyBorder="1"/>
    <xf numFmtId="9" fontId="6" fillId="0" borderId="0" xfId="6" applyNumberFormat="1" applyFont="1"/>
    <xf numFmtId="0" fontId="7" fillId="0" borderId="0" xfId="6" applyFont="1"/>
    <xf numFmtId="43" fontId="6" fillId="0" borderId="0" xfId="6" applyNumberFormat="1" applyFont="1"/>
    <xf numFmtId="8" fontId="6" fillId="0" borderId="0" xfId="6" applyNumberFormat="1" applyFont="1"/>
    <xf numFmtId="9" fontId="0" fillId="0" borderId="0" xfId="0" applyNumberFormat="1">
      <alignment vertical="center"/>
    </xf>
    <xf numFmtId="43" fontId="0" fillId="0" borderId="0" xfId="0" applyNumberFormat="1">
      <alignment vertical="center"/>
    </xf>
    <xf numFmtId="44" fontId="6" fillId="0" borderId="0" xfId="6" applyNumberFormat="1" applyFont="1"/>
    <xf numFmtId="168" fontId="6" fillId="0" borderId="0" xfId="6" applyNumberFormat="1" applyFont="1" applyFill="1"/>
    <xf numFmtId="164" fontId="6" fillId="0" borderId="0" xfId="6" applyNumberFormat="1" applyFont="1"/>
    <xf numFmtId="0" fontId="6" fillId="0" borderId="0" xfId="6" applyFont="1" applyFill="1"/>
    <xf numFmtId="10" fontId="8" fillId="0" borderId="0" xfId="1" applyNumberFormat="1" applyFont="1" applyAlignment="1"/>
    <xf numFmtId="0" fontId="10" fillId="0" borderId="0" xfId="6" applyFont="1" applyBorder="1"/>
    <xf numFmtId="0" fontId="9" fillId="0" borderId="0" xfId="6" applyFont="1" applyBorder="1"/>
    <xf numFmtId="2" fontId="9" fillId="0" borderId="0" xfId="6" applyNumberFormat="1" applyFont="1" applyBorder="1"/>
    <xf numFmtId="0" fontId="11" fillId="0" borderId="0" xfId="6" applyFont="1" applyBorder="1"/>
    <xf numFmtId="10" fontId="9" fillId="0" borderId="0" xfId="1" applyNumberFormat="1" applyFont="1" applyBorder="1" applyAlignment="1"/>
    <xf numFmtId="44" fontId="0" fillId="0" borderId="0" xfId="2" applyFont="1" applyAlignment="1"/>
    <xf numFmtId="44" fontId="0" fillId="0" borderId="0" xfId="0" applyNumberFormat="1" applyAlignment="1"/>
    <xf numFmtId="0" fontId="0" fillId="0" borderId="0" xfId="0" applyNumberFormat="1" applyFont="1" applyFill="1" applyAlignment="1">
      <alignment wrapText="1"/>
    </xf>
    <xf numFmtId="0" fontId="0" fillId="0" borderId="0" xfId="0">
      <alignment vertical="center"/>
    </xf>
    <xf numFmtId="0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wrapText="1"/>
    </xf>
  </cellXfs>
  <cellStyles count="7">
    <cellStyle name="Comma" xfId="4"/>
    <cellStyle name="Comma[0]" xfId="5"/>
    <cellStyle name="Currency" xfId="2"/>
    <cellStyle name="Currency[0]" xfId="3"/>
    <cellStyle name="Excel Built-in Normal" xfId="6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CFE2F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1"/>
  <sheetViews>
    <sheetView tabSelected="1" zoomScale="90" zoomScaleNormal="90" workbookViewId="0">
      <selection activeCell="D42" sqref="D42"/>
    </sheetView>
  </sheetViews>
  <sheetFormatPr defaultColWidth="17.140625" defaultRowHeight="12.75" customHeight="1" x14ac:dyDescent="0.2"/>
  <cols>
    <col min="1" max="1" width="4.7109375" bestFit="1" customWidth="1"/>
    <col min="2" max="2" width="28.5703125" customWidth="1"/>
    <col min="3" max="3" width="7" style="29" customWidth="1"/>
    <col min="4" max="22" width="17.140625" customWidth="1"/>
  </cols>
  <sheetData>
    <row r="1" spans="1:11" ht="23.25" x14ac:dyDescent="0.35">
      <c r="A1" s="86" t="s">
        <v>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">
      <c r="B2" s="87" t="s">
        <v>6</v>
      </c>
      <c r="C2" s="87"/>
      <c r="D2" s="87"/>
      <c r="E2" s="87"/>
      <c r="F2" s="87"/>
      <c r="G2" s="87"/>
      <c r="H2" s="87"/>
      <c r="I2" s="87"/>
      <c r="J2" s="87"/>
      <c r="K2" s="87"/>
    </row>
    <row r="4" spans="1:11" x14ac:dyDescent="0.2">
      <c r="A4" s="88" t="s">
        <v>50</v>
      </c>
      <c r="B4" s="88"/>
      <c r="C4" s="27" t="s">
        <v>145</v>
      </c>
      <c r="D4" s="2">
        <v>2013</v>
      </c>
      <c r="E4" s="2">
        <v>2014</v>
      </c>
      <c r="F4" s="2">
        <v>2015</v>
      </c>
      <c r="G4" s="2">
        <v>2016</v>
      </c>
      <c r="H4" s="2">
        <v>2017</v>
      </c>
      <c r="I4" s="2">
        <v>2018</v>
      </c>
      <c r="J4" s="2">
        <v>2019</v>
      </c>
      <c r="K4" s="2">
        <v>2020</v>
      </c>
    </row>
    <row r="5" spans="1:11" x14ac:dyDescent="0.2">
      <c r="A5" s="3"/>
      <c r="B5" s="3" t="s">
        <v>42</v>
      </c>
      <c r="C5" s="32"/>
      <c r="D5" s="40">
        <f>(Assumptions!E12*Assumptions!E11)+(Assumptions!E13*Assumptions!E14)</f>
        <v>102648</v>
      </c>
      <c r="E5" s="40">
        <f>(Assumptions!F12*Assumptions!F11)+(Assumptions!F13*Assumptions!F14)</f>
        <v>107780.4</v>
      </c>
      <c r="F5" s="40">
        <f>(Assumptions!G12*Assumptions!G11)+(Assumptions!G13*Assumptions!G14)</f>
        <v>113169.41999999998</v>
      </c>
      <c r="G5" s="40">
        <f>(Assumptions!H12*Assumptions!H11)+(Assumptions!H13*Assumptions!H14)</f>
        <v>121988.20725000001</v>
      </c>
      <c r="H5" s="40">
        <f>(Assumptions!I12*Assumptions!I11)+(Assumptions!I13*Assumptions!I14)</f>
        <v>128087.61761250002</v>
      </c>
      <c r="I5" s="40">
        <f>(Assumptions!J12*Assumptions!J11)+(Assumptions!J13*Assumptions!J14)</f>
        <v>134491.99849312502</v>
      </c>
      <c r="J5" s="40">
        <f>(Assumptions!K12*Assumptions!K11)+(Assumptions!K13*Assumptions!K14)</f>
        <v>141216.59841778126</v>
      </c>
      <c r="K5" s="40">
        <f>(Assumptions!L12*Assumptions!L11)+(Assumptions!L13*Assumptions!L14)</f>
        <v>147509.15150790004</v>
      </c>
    </row>
    <row r="6" spans="1:11" x14ac:dyDescent="0.2">
      <c r="B6" s="5" t="s">
        <v>109</v>
      </c>
      <c r="C6" s="28"/>
      <c r="D6" s="38">
        <f>Assumptions!E27</f>
        <v>43680</v>
      </c>
      <c r="E6" s="38">
        <f>Assumptions!F27</f>
        <v>45864</v>
      </c>
      <c r="F6" s="38">
        <f>Assumptions!G27</f>
        <v>48157.200000000004</v>
      </c>
      <c r="G6" s="38">
        <f>Assumptions!H27</f>
        <v>50565.06</v>
      </c>
      <c r="H6" s="38">
        <f>Assumptions!I27</f>
        <v>53093.313000000009</v>
      </c>
      <c r="I6" s="38">
        <f>Assumptions!J27</f>
        <v>55747.978650000012</v>
      </c>
      <c r="J6" s="38">
        <f>Assumptions!K27</f>
        <v>58535.377582500019</v>
      </c>
      <c r="K6" s="38">
        <f>Assumptions!L27</f>
        <v>61462.146461625016</v>
      </c>
    </row>
    <row r="7" spans="1:11" x14ac:dyDescent="0.2">
      <c r="B7" s="5" t="s">
        <v>35</v>
      </c>
      <c r="C7" s="28"/>
      <c r="D7" s="38">
        <f>(150*12)</f>
        <v>1800</v>
      </c>
      <c r="E7" s="38">
        <f t="shared" ref="E7:K7" si="0">D7*1.03</f>
        <v>1854</v>
      </c>
      <c r="F7" s="38">
        <f t="shared" si="0"/>
        <v>1909.6200000000001</v>
      </c>
      <c r="G7" s="38">
        <f t="shared" si="0"/>
        <v>1966.9086000000002</v>
      </c>
      <c r="H7" s="38">
        <f t="shared" si="0"/>
        <v>2025.9158580000003</v>
      </c>
      <c r="I7" s="38">
        <f t="shared" si="0"/>
        <v>2086.6933337400005</v>
      </c>
      <c r="J7" s="38">
        <f t="shared" si="0"/>
        <v>2149.2941337522007</v>
      </c>
      <c r="K7" s="38">
        <f t="shared" si="0"/>
        <v>2213.7729577647669</v>
      </c>
    </row>
    <row r="8" spans="1:11" x14ac:dyDescent="0.2">
      <c r="B8" s="5" t="s">
        <v>98</v>
      </c>
      <c r="C8" s="28"/>
      <c r="D8" s="38">
        <f>Assumptions!E34*Assumptions!E33</f>
        <v>12740</v>
      </c>
      <c r="E8" s="38">
        <f>Assumptions!F34*Assumptions!F33</f>
        <v>13377</v>
      </c>
      <c r="F8" s="38">
        <f>Assumptions!G34*Assumptions!G33</f>
        <v>14045.849999999999</v>
      </c>
      <c r="G8" s="38">
        <f>Assumptions!H34*Assumptions!H33</f>
        <v>14748.1425</v>
      </c>
      <c r="H8" s="38">
        <f>Assumptions!I34*Assumptions!I33</f>
        <v>15485.549625000001</v>
      </c>
      <c r="I8" s="38">
        <f>Assumptions!J34*Assumptions!J33</f>
        <v>16259.827106250001</v>
      </c>
      <c r="J8" s="38">
        <f>Assumptions!K34*Assumptions!K33</f>
        <v>17072.818461562503</v>
      </c>
      <c r="K8" s="38">
        <f>Assumptions!L34*Assumptions!L33</f>
        <v>17926.459384640628</v>
      </c>
    </row>
    <row r="9" spans="1:11" x14ac:dyDescent="0.2">
      <c r="B9" s="5" t="s">
        <v>84</v>
      </c>
      <c r="C9" s="28"/>
      <c r="D9" s="39">
        <f>(Assumptions!E36+Assumptions!E37)+Assumptions!E38</f>
        <v>7735</v>
      </c>
      <c r="E9" s="39">
        <f>(Assumptions!F36+Assumptions!F37)+Assumptions!F38</f>
        <v>8121.75</v>
      </c>
      <c r="F9" s="39">
        <f>(Assumptions!G36+Assumptions!G37)+Assumptions!G38</f>
        <v>8527.8375000000015</v>
      </c>
      <c r="G9" s="39">
        <f>(Assumptions!H36+Assumptions!H37)+Assumptions!H38</f>
        <v>8954.229374999999</v>
      </c>
      <c r="H9" s="39">
        <f>(Assumptions!I36+Assumptions!I37)+Assumptions!I38</f>
        <v>9401.9408437500024</v>
      </c>
      <c r="I9" s="39">
        <f>(Assumptions!J36+Assumptions!J37)+Assumptions!J38</f>
        <v>9872.0378859375014</v>
      </c>
      <c r="J9" s="39">
        <f>(Assumptions!K36+Assumptions!K37)+Assumptions!K38</f>
        <v>10365.639780234378</v>
      </c>
      <c r="K9" s="39">
        <f>(Assumptions!L36+Assumptions!L37)+Assumptions!L38</f>
        <v>10883.921769246097</v>
      </c>
    </row>
    <row r="10" spans="1:11" x14ac:dyDescent="0.2">
      <c r="A10" s="85" t="s">
        <v>123</v>
      </c>
      <c r="B10" s="82"/>
      <c r="D10" s="40">
        <f t="shared" ref="D10:K10" si="1">SUM(D5:D9)</f>
        <v>168603</v>
      </c>
      <c r="E10" s="40">
        <f t="shared" si="1"/>
        <v>176997.15</v>
      </c>
      <c r="F10" s="40">
        <f t="shared" si="1"/>
        <v>185809.92749999999</v>
      </c>
      <c r="G10" s="40">
        <f t="shared" si="1"/>
        <v>198222.54772499998</v>
      </c>
      <c r="H10" s="40">
        <f t="shared" si="1"/>
        <v>208094.33693925003</v>
      </c>
      <c r="I10" s="40">
        <f t="shared" si="1"/>
        <v>218458.53546905253</v>
      </c>
      <c r="J10" s="40">
        <f t="shared" si="1"/>
        <v>229339.72837583037</v>
      </c>
      <c r="K10" s="40">
        <f t="shared" si="1"/>
        <v>239995.45208117654</v>
      </c>
    </row>
    <row r="11" spans="1:11" x14ac:dyDescent="0.2">
      <c r="B11" s="5"/>
      <c r="C11" s="28"/>
      <c r="D11" s="5"/>
      <c r="E11" s="5"/>
      <c r="F11" s="5"/>
      <c r="G11" s="5"/>
      <c r="H11" s="5"/>
      <c r="I11" s="5"/>
      <c r="J11" s="5"/>
      <c r="K11" s="5"/>
    </row>
    <row r="12" spans="1:11" x14ac:dyDescent="0.2">
      <c r="A12" s="85" t="s">
        <v>112</v>
      </c>
      <c r="B12" s="82"/>
      <c r="D12" s="5"/>
      <c r="E12" s="5"/>
      <c r="F12" s="5"/>
      <c r="G12" s="5"/>
      <c r="H12" s="5"/>
      <c r="I12" s="5"/>
      <c r="J12" s="5"/>
      <c r="K12" s="5"/>
    </row>
    <row r="13" spans="1:11" x14ac:dyDescent="0.2">
      <c r="B13" s="5" t="s">
        <v>104</v>
      </c>
      <c r="C13" s="28"/>
      <c r="D13" s="38">
        <f>(Assumptions!E15*Assumptions!E12)+(Assumptions!E17*Assumptions!E14)</f>
        <v>5842.2</v>
      </c>
      <c r="E13" s="38">
        <f>(Assumptions!F15*Assumptions!F12)+(Assumptions!F17*Assumptions!F14)</f>
        <v>6134.3099999999995</v>
      </c>
      <c r="F13" s="38">
        <f>(Assumptions!G15*Assumptions!G12)+(Assumptions!G17*Assumptions!G14)</f>
        <v>6441.0254999999997</v>
      </c>
      <c r="G13" s="38">
        <f>(Assumptions!H15*Assumptions!H12)+(Assumptions!H17*Assumptions!H14)</f>
        <v>6763.0767750000005</v>
      </c>
      <c r="H13" s="38">
        <f>(Assumptions!I15*Assumptions!I12)+(Assumptions!I17*Assumptions!I14)</f>
        <v>7101.23061375</v>
      </c>
      <c r="I13" s="38">
        <f>(Assumptions!J15*Assumptions!J12)+(Assumptions!J17*Assumptions!J14)</f>
        <v>7456.2921444375006</v>
      </c>
      <c r="J13" s="38">
        <f>(Assumptions!K15*Assumptions!K12)+(Assumptions!K17*Assumptions!K14)</f>
        <v>7829.1067516593757</v>
      </c>
      <c r="K13" s="38">
        <f>(Assumptions!L15*Assumptions!L12)+(Assumptions!L17*Assumptions!L14)</f>
        <v>8297.3897723193768</v>
      </c>
    </row>
    <row r="14" spans="1:11" x14ac:dyDescent="0.2">
      <c r="B14" s="5" t="s">
        <v>64</v>
      </c>
      <c r="C14" s="28"/>
      <c r="D14" s="38">
        <f>(Assumptions!E16*Assumptions!E12)+(Assumptions!E18*Assumptions!E14)</f>
        <v>31258.5</v>
      </c>
      <c r="E14" s="38">
        <f>(Assumptions!F16*Assumptions!F12)+(Assumptions!F18*Assumptions!F14)</f>
        <v>32821.425000000003</v>
      </c>
      <c r="F14" s="38">
        <f>(Assumptions!G16*Assumptions!G12)+(Assumptions!G18*Assumptions!G14)</f>
        <v>34462.496249999997</v>
      </c>
      <c r="G14" s="38">
        <f>(Assumptions!H16*Assumptions!H12)+(Assumptions!H18*Assumptions!H14)</f>
        <v>36185.621062500002</v>
      </c>
      <c r="H14" s="38">
        <f>(Assumptions!I16*Assumptions!I12)+(Assumptions!I18*Assumptions!I14)</f>
        <v>37994.902115625002</v>
      </c>
      <c r="I14" s="38">
        <f>(Assumptions!J16*Assumptions!J12)+(Assumptions!J18*Assumptions!J14)</f>
        <v>39894.647221406252</v>
      </c>
      <c r="J14" s="38">
        <f>(Assumptions!K16*Assumptions!K12)+(Assumptions!K18*Assumptions!K14)</f>
        <v>41889.379582476569</v>
      </c>
      <c r="K14" s="38">
        <f>(Assumptions!L16*Assumptions!L12)+(Assumptions!L18*Assumptions!L14)</f>
        <v>45328.33301544845</v>
      </c>
    </row>
    <row r="15" spans="1:11" x14ac:dyDescent="0.2">
      <c r="B15" s="5" t="s">
        <v>97</v>
      </c>
      <c r="C15" s="28"/>
      <c r="D15" s="39">
        <f>SUM(Assumptions!E41:E43)</f>
        <v>2957.5</v>
      </c>
      <c r="E15" s="39">
        <f>SUM(Assumptions!F41:F43)</f>
        <v>3105.375</v>
      </c>
      <c r="F15" s="39">
        <f>SUM(Assumptions!G41:G43)</f>
        <v>3260.6437500000002</v>
      </c>
      <c r="G15" s="39">
        <f>SUM(Assumptions!H41:H43)</f>
        <v>3423.6759375000001</v>
      </c>
      <c r="H15" s="39">
        <f>SUM(Assumptions!I41:I43)</f>
        <v>3594.8597343750007</v>
      </c>
      <c r="I15" s="39">
        <f>SUM(Assumptions!J41:J43)</f>
        <v>3774.6027210937505</v>
      </c>
      <c r="J15" s="39">
        <f>SUM(Assumptions!K41:K43)</f>
        <v>3963.3328571484385</v>
      </c>
      <c r="K15" s="39">
        <f>SUM(Assumptions!L41:L43)</f>
        <v>4161.4995000058607</v>
      </c>
    </row>
    <row r="16" spans="1:11" x14ac:dyDescent="0.2">
      <c r="A16" s="85" t="s">
        <v>67</v>
      </c>
      <c r="B16" s="82"/>
      <c r="D16" s="40">
        <f t="shared" ref="D16:K16" si="2">SUM(D13:D14)</f>
        <v>37100.699999999997</v>
      </c>
      <c r="E16" s="40">
        <f t="shared" si="2"/>
        <v>38955.735000000001</v>
      </c>
      <c r="F16" s="40">
        <f t="shared" si="2"/>
        <v>40903.52175</v>
      </c>
      <c r="G16" s="40">
        <f t="shared" si="2"/>
        <v>42948.697837500004</v>
      </c>
      <c r="H16" s="40">
        <f t="shared" si="2"/>
        <v>45096.132729375</v>
      </c>
      <c r="I16" s="40">
        <f t="shared" si="2"/>
        <v>47350.939365843755</v>
      </c>
      <c r="J16" s="40">
        <f t="shared" si="2"/>
        <v>49718.486334135945</v>
      </c>
      <c r="K16" s="40">
        <f t="shared" si="2"/>
        <v>53625.722787767823</v>
      </c>
    </row>
    <row r="17" spans="1:22" x14ac:dyDescent="0.2">
      <c r="D17" s="5"/>
      <c r="E17" s="5"/>
      <c r="F17" s="5"/>
      <c r="G17" s="5"/>
      <c r="H17" s="5"/>
      <c r="I17" s="5"/>
      <c r="J17" s="5"/>
      <c r="K17" s="5"/>
    </row>
    <row r="18" spans="1:22" x14ac:dyDescent="0.2">
      <c r="A18" s="85" t="s">
        <v>38</v>
      </c>
      <c r="B18" s="82"/>
      <c r="D18" s="5"/>
      <c r="E18" s="5"/>
      <c r="F18" s="5"/>
      <c r="G18" s="5"/>
      <c r="H18" s="5"/>
      <c r="I18" s="5"/>
      <c r="J18" s="5"/>
      <c r="K18" s="5"/>
    </row>
    <row r="19" spans="1:22" x14ac:dyDescent="0.2">
      <c r="B19" s="5" t="s">
        <v>80</v>
      </c>
      <c r="C19" s="28"/>
      <c r="D19" s="38">
        <f>Assumptions!E21+Assumptions!E22</f>
        <v>10374</v>
      </c>
      <c r="E19" s="38">
        <f>Assumptions!F21+Assumptions!F22</f>
        <v>10892.700000000003</v>
      </c>
      <c r="F19" s="38">
        <f>Assumptions!G21+Assumptions!G22</f>
        <v>11437.335000000001</v>
      </c>
      <c r="G19" s="38">
        <f>Assumptions!H21+Assumptions!H22</f>
        <v>12009.201750000004</v>
      </c>
      <c r="H19" s="38">
        <f>Assumptions!I21+Assumptions!I22</f>
        <v>12609.661837500002</v>
      </c>
      <c r="I19" s="38">
        <f>Assumptions!J21+Assumptions!J22</f>
        <v>13240.144929375001</v>
      </c>
      <c r="J19" s="38">
        <f>Assumptions!K21+Assumptions!K22</f>
        <v>13902.152175843752</v>
      </c>
      <c r="K19" s="38">
        <f>Assumptions!L21+Assumptions!L22</f>
        <v>14597.259784635942</v>
      </c>
    </row>
    <row r="20" spans="1:22" x14ac:dyDescent="0.2">
      <c r="B20" s="5" t="s">
        <v>99</v>
      </c>
      <c r="C20" s="28"/>
      <c r="D20" s="38">
        <f t="shared" ref="D20:K20" si="3">300*12</f>
        <v>3600</v>
      </c>
      <c r="E20" s="38">
        <f t="shared" si="3"/>
        <v>3600</v>
      </c>
      <c r="F20" s="38">
        <f t="shared" si="3"/>
        <v>3600</v>
      </c>
      <c r="G20" s="38">
        <f t="shared" si="3"/>
        <v>3600</v>
      </c>
      <c r="H20" s="38">
        <f t="shared" si="3"/>
        <v>3600</v>
      </c>
      <c r="I20" s="38">
        <f t="shared" si="3"/>
        <v>3600</v>
      </c>
      <c r="J20" s="38">
        <f t="shared" si="3"/>
        <v>3600</v>
      </c>
      <c r="K20" s="38">
        <f t="shared" si="3"/>
        <v>3600</v>
      </c>
    </row>
    <row r="21" spans="1:22" x14ac:dyDescent="0.2">
      <c r="B21" t="s">
        <v>135</v>
      </c>
      <c r="D21" s="49">
        <v>21000</v>
      </c>
      <c r="E21" s="49">
        <f>D21</f>
        <v>21000</v>
      </c>
      <c r="F21" s="49">
        <f t="shared" ref="F21:K21" si="4">E21</f>
        <v>21000</v>
      </c>
      <c r="G21" s="49">
        <f t="shared" si="4"/>
        <v>21000</v>
      </c>
      <c r="H21" s="49">
        <f t="shared" si="4"/>
        <v>21000</v>
      </c>
      <c r="I21" s="49">
        <f t="shared" si="4"/>
        <v>21000</v>
      </c>
      <c r="J21" s="49">
        <f t="shared" si="4"/>
        <v>21000</v>
      </c>
      <c r="K21" s="49">
        <f t="shared" si="4"/>
        <v>21000</v>
      </c>
    </row>
    <row r="22" spans="1:22" x14ac:dyDescent="0.2">
      <c r="B22" s="5" t="s">
        <v>106</v>
      </c>
      <c r="C22" s="28"/>
      <c r="D22" s="43">
        <f t="shared" ref="D22:K22" si="5">70*12</f>
        <v>840</v>
      </c>
      <c r="E22" s="43">
        <f t="shared" si="5"/>
        <v>840</v>
      </c>
      <c r="F22" s="43">
        <f t="shared" si="5"/>
        <v>840</v>
      </c>
      <c r="G22" s="43">
        <f t="shared" si="5"/>
        <v>840</v>
      </c>
      <c r="H22" s="43">
        <f t="shared" si="5"/>
        <v>840</v>
      </c>
      <c r="I22" s="43">
        <f t="shared" si="5"/>
        <v>840</v>
      </c>
      <c r="J22" s="43">
        <f t="shared" si="5"/>
        <v>840</v>
      </c>
      <c r="K22" s="43">
        <f t="shared" si="5"/>
        <v>840</v>
      </c>
    </row>
    <row r="23" spans="1:22" x14ac:dyDescent="0.2">
      <c r="B23" s="5" t="s">
        <v>131</v>
      </c>
      <c r="C23" s="28"/>
      <c r="D23" s="43">
        <v>890</v>
      </c>
      <c r="E23" s="43">
        <v>890</v>
      </c>
      <c r="F23" s="43">
        <v>890</v>
      </c>
      <c r="G23" s="43">
        <v>890</v>
      </c>
      <c r="H23" s="43">
        <v>890</v>
      </c>
      <c r="I23" s="43">
        <v>890</v>
      </c>
      <c r="J23" s="43">
        <v>890</v>
      </c>
      <c r="K23" s="43">
        <v>890</v>
      </c>
    </row>
    <row r="24" spans="1:22" x14ac:dyDescent="0.2">
      <c r="A24" s="85" t="s">
        <v>76</v>
      </c>
      <c r="B24" s="82"/>
      <c r="D24" s="40">
        <f t="shared" ref="D24:K24" si="6">SUM(D19:D23)+D16</f>
        <v>73804.7</v>
      </c>
      <c r="E24" s="40">
        <f t="shared" si="6"/>
        <v>76178.434999999998</v>
      </c>
      <c r="F24" s="40">
        <f t="shared" si="6"/>
        <v>78670.856750000006</v>
      </c>
      <c r="G24" s="40">
        <f t="shared" si="6"/>
        <v>81287.899587500011</v>
      </c>
      <c r="H24" s="40">
        <f t="shared" si="6"/>
        <v>84035.794566875004</v>
      </c>
      <c r="I24" s="40">
        <f t="shared" si="6"/>
        <v>86921.084295218752</v>
      </c>
      <c r="J24" s="40">
        <f t="shared" si="6"/>
        <v>89950.638509979704</v>
      </c>
      <c r="K24" s="40">
        <f t="shared" si="6"/>
        <v>94552.982572403766</v>
      </c>
      <c r="V24" s="7">
        <f>SUM(V13:V21)</f>
        <v>0</v>
      </c>
    </row>
    <row r="25" spans="1:22" x14ac:dyDescent="0.2">
      <c r="D25" s="5"/>
      <c r="E25" s="5"/>
      <c r="F25" s="5"/>
      <c r="G25" s="5"/>
      <c r="H25" s="5"/>
      <c r="I25" s="5"/>
      <c r="J25" s="5"/>
      <c r="K25" s="5"/>
    </row>
    <row r="26" spans="1:22" x14ac:dyDescent="0.2">
      <c r="B26" s="5" t="s">
        <v>48</v>
      </c>
      <c r="C26" s="28"/>
      <c r="D26" s="38">
        <f t="shared" ref="D26:K26" si="7">D42/30</f>
        <v>20000</v>
      </c>
      <c r="E26" s="38">
        <f t="shared" si="7"/>
        <v>20000</v>
      </c>
      <c r="F26" s="38">
        <f t="shared" si="7"/>
        <v>20000</v>
      </c>
      <c r="G26" s="38">
        <f t="shared" si="7"/>
        <v>20000</v>
      </c>
      <c r="H26" s="38">
        <f t="shared" si="7"/>
        <v>20000</v>
      </c>
      <c r="I26" s="38">
        <f t="shared" si="7"/>
        <v>20000</v>
      </c>
      <c r="J26" s="38">
        <f t="shared" si="7"/>
        <v>20000</v>
      </c>
      <c r="K26" s="38">
        <f t="shared" si="7"/>
        <v>20000</v>
      </c>
    </row>
    <row r="27" spans="1:22" s="29" customFormat="1" ht="25.5" x14ac:dyDescent="0.2">
      <c r="B27" s="28" t="s">
        <v>172</v>
      </c>
      <c r="C27" s="28"/>
      <c r="D27" s="38">
        <f>D41/10</f>
        <v>10000</v>
      </c>
      <c r="E27" s="38">
        <f t="shared" ref="E27:K27" si="8">E41/10</f>
        <v>10000</v>
      </c>
      <c r="F27" s="38">
        <f t="shared" si="8"/>
        <v>10000</v>
      </c>
      <c r="G27" s="38">
        <f t="shared" si="8"/>
        <v>10000</v>
      </c>
      <c r="H27" s="38">
        <f t="shared" si="8"/>
        <v>10000</v>
      </c>
      <c r="I27" s="38">
        <f t="shared" si="8"/>
        <v>10000</v>
      </c>
      <c r="J27" s="38">
        <f t="shared" si="8"/>
        <v>10000</v>
      </c>
      <c r="K27" s="38">
        <f t="shared" si="8"/>
        <v>10000</v>
      </c>
    </row>
    <row r="28" spans="1:22" x14ac:dyDescent="0.2">
      <c r="B28" s="7" t="s">
        <v>124</v>
      </c>
      <c r="C28" s="30"/>
      <c r="D28" s="38">
        <f>'Mortgage Table'!C22</f>
        <v>16182.690113816117</v>
      </c>
      <c r="E28" s="38">
        <f>'Mortgage Table'!C36</f>
        <v>15463.244021646353</v>
      </c>
      <c r="F28" s="38">
        <f>'Mortgage Table'!C50</f>
        <v>14699.424068757098</v>
      </c>
      <c r="G28" s="38">
        <f>'Mortgage Table'!C64</f>
        <v>13888.493372515186</v>
      </c>
      <c r="H28" s="38">
        <f>'Mortgage Table'!C78</f>
        <v>13027.546245355317</v>
      </c>
      <c r="I28" s="38">
        <f>'Mortgage Table'!C92</f>
        <v>12113.4977832612</v>
      </c>
      <c r="J28" s="38">
        <f>'Mortgage Table'!C106</f>
        <v>11143.072812087006</v>
      </c>
      <c r="K28" s="38">
        <f>'Mortgage Table'!C120</f>
        <v>10112.794152112119</v>
      </c>
    </row>
    <row r="29" spans="1:22" x14ac:dyDescent="0.2">
      <c r="B29" s="5" t="s">
        <v>125</v>
      </c>
      <c r="C29" s="28"/>
      <c r="D29" s="38">
        <f>D51*Assumptions!$B$6</f>
        <v>4365.3618625817226</v>
      </c>
      <c r="E29" s="38">
        <f>E51*Assumptions!$B$6</f>
        <v>0</v>
      </c>
      <c r="F29" s="38">
        <f>F51*Assumptions!$B$6</f>
        <v>0</v>
      </c>
      <c r="G29" s="38">
        <f>G51*Assumptions!$B$6</f>
        <v>0</v>
      </c>
      <c r="H29" s="38">
        <f>H51*Assumptions!$B$6</f>
        <v>0</v>
      </c>
      <c r="I29" s="38">
        <f>I51*Assumptions!$B$6</f>
        <v>0</v>
      </c>
      <c r="J29" s="38">
        <f>J51*Assumptions!$B$6</f>
        <v>0</v>
      </c>
      <c r="K29" s="38">
        <f>K51*Assumptions!$B$6</f>
        <v>0</v>
      </c>
    </row>
    <row r="30" spans="1:22" x14ac:dyDescent="0.2">
      <c r="A30" s="85" t="s">
        <v>77</v>
      </c>
      <c r="B30" s="82"/>
      <c r="D30" s="38">
        <f>((D10-D24)-D26)-D28-D29</f>
        <v>54250.248023602158</v>
      </c>
      <c r="E30" s="38">
        <f t="shared" ref="E30:K30" si="9">((E10-E24)-E26)-E28</f>
        <v>65355.470978353645</v>
      </c>
      <c r="F30" s="38">
        <f t="shared" si="9"/>
        <v>72439.646681242884</v>
      </c>
      <c r="G30" s="38">
        <f t="shared" si="9"/>
        <v>83046.154764984793</v>
      </c>
      <c r="H30" s="38">
        <f t="shared" si="9"/>
        <v>91030.996127019709</v>
      </c>
      <c r="I30" s="38">
        <f t="shared" si="9"/>
        <v>99423.953390572569</v>
      </c>
      <c r="J30" s="38">
        <f t="shared" si="9"/>
        <v>108246.01705376366</v>
      </c>
      <c r="K30" s="38">
        <f t="shared" si="9"/>
        <v>115329.67535666065</v>
      </c>
    </row>
    <row r="31" spans="1:22" x14ac:dyDescent="0.2">
      <c r="B31" s="5" t="s">
        <v>43</v>
      </c>
      <c r="C31" s="28"/>
      <c r="D31" s="39">
        <f>IF((D30&lt;0),0,(D30*Assumptions!$B$5))</f>
        <v>18987.586808260756</v>
      </c>
      <c r="E31" s="39">
        <f>IF((E30&lt;0),0,(E30*Assumptions!$B$5))</f>
        <v>22874.414842423776</v>
      </c>
      <c r="F31" s="39">
        <f>IF((F30&lt;0),0,(F30*Assumptions!$B$5))</f>
        <v>25353.87633843501</v>
      </c>
      <c r="G31" s="39">
        <f>IF((G30&lt;0),0,(G30*Assumptions!$B$5))</f>
        <v>29066.154167744677</v>
      </c>
      <c r="H31" s="39">
        <f>IF((H30&lt;0),0,(H30*Assumptions!$B$5))</f>
        <v>31860.848644456895</v>
      </c>
      <c r="I31" s="39">
        <f>IF((I30&lt;0),0,(I30*Assumptions!$B$5))</f>
        <v>34798.383686700399</v>
      </c>
      <c r="J31" s="39">
        <f>IF((J30&lt;0),0,(J30*Assumptions!$B$5))</f>
        <v>37886.105968817275</v>
      </c>
      <c r="K31" s="39">
        <f>IF((K30&lt;0),0,(K30*Assumptions!$B$5))</f>
        <v>40365.386374831221</v>
      </c>
    </row>
    <row r="32" spans="1:22" ht="13.5" thickBot="1" x14ac:dyDescent="0.25">
      <c r="A32" s="85" t="s">
        <v>71</v>
      </c>
      <c r="B32" s="82"/>
      <c r="D32" s="41">
        <f t="shared" ref="D32:K32" si="10">D30-D31</f>
        <v>35262.661215341403</v>
      </c>
      <c r="E32" s="41">
        <f t="shared" si="10"/>
        <v>42481.056135929874</v>
      </c>
      <c r="F32" s="41">
        <f t="shared" si="10"/>
        <v>47085.770342807875</v>
      </c>
      <c r="G32" s="41">
        <f t="shared" si="10"/>
        <v>53980.000597240112</v>
      </c>
      <c r="H32" s="41">
        <f t="shared" si="10"/>
        <v>59170.14748256281</v>
      </c>
      <c r="I32" s="41">
        <f t="shared" si="10"/>
        <v>64625.56970387217</v>
      </c>
      <c r="J32" s="41">
        <f t="shared" si="10"/>
        <v>70359.91108494639</v>
      </c>
      <c r="K32" s="41">
        <f t="shared" si="10"/>
        <v>74964.288981829421</v>
      </c>
      <c r="L32" s="47"/>
    </row>
    <row r="33" spans="1:11" ht="13.5" thickTop="1" x14ac:dyDescent="0.2">
      <c r="B33" s="5"/>
      <c r="C33" s="28"/>
      <c r="D33" s="33"/>
      <c r="E33" s="33"/>
      <c r="F33" s="33"/>
      <c r="G33" s="33"/>
      <c r="H33" s="33"/>
      <c r="I33" s="33"/>
      <c r="J33" s="33"/>
      <c r="K33" s="33"/>
    </row>
    <row r="34" spans="1:11" x14ac:dyDescent="0.2">
      <c r="A34" s="84" t="s">
        <v>27</v>
      </c>
      <c r="B34" s="82"/>
      <c r="D34" s="5"/>
      <c r="E34" s="5"/>
      <c r="F34" s="5"/>
      <c r="G34" s="5"/>
      <c r="H34" s="5"/>
      <c r="I34" s="5"/>
      <c r="J34" s="5"/>
      <c r="K34" s="5"/>
    </row>
    <row r="35" spans="1:11" x14ac:dyDescent="0.2">
      <c r="A35" s="85" t="s">
        <v>55</v>
      </c>
      <c r="B35" s="82"/>
      <c r="D35" s="5"/>
      <c r="E35" s="5"/>
      <c r="F35" s="5"/>
      <c r="G35" s="5"/>
      <c r="H35" s="5"/>
      <c r="I35" s="5"/>
      <c r="J35" s="5"/>
      <c r="K35" s="5"/>
    </row>
    <row r="36" spans="1:11" x14ac:dyDescent="0.2">
      <c r="B36" s="5" t="s">
        <v>26</v>
      </c>
      <c r="C36" s="28"/>
      <c r="D36" s="38">
        <v>500.07</v>
      </c>
      <c r="E36" s="38">
        <v>26518.31</v>
      </c>
      <c r="F36" s="38">
        <v>91138.880000000005</v>
      </c>
      <c r="G36" s="38">
        <v>162840.21</v>
      </c>
      <c r="H36" s="38">
        <v>237688.37</v>
      </c>
      <c r="I36" s="38">
        <v>316922.84999999998</v>
      </c>
      <c r="J36" s="38">
        <v>400736.27</v>
      </c>
      <c r="K36" s="38">
        <v>486442.72</v>
      </c>
    </row>
    <row r="37" spans="1:11" x14ac:dyDescent="0.2">
      <c r="B37" s="5" t="s">
        <v>118</v>
      </c>
      <c r="C37" s="28"/>
      <c r="D37" s="38">
        <v>150</v>
      </c>
      <c r="E37" s="38">
        <v>150</v>
      </c>
      <c r="F37" s="38">
        <v>150</v>
      </c>
      <c r="G37" s="38">
        <v>150</v>
      </c>
      <c r="H37" s="38">
        <v>150</v>
      </c>
      <c r="I37" s="38">
        <v>150</v>
      </c>
      <c r="J37" s="38">
        <v>150</v>
      </c>
      <c r="K37" s="38">
        <v>150</v>
      </c>
    </row>
    <row r="38" spans="1:11" x14ac:dyDescent="0.2">
      <c r="B38" s="5" t="s">
        <v>7</v>
      </c>
      <c r="C38" s="28"/>
      <c r="D38" s="39">
        <f t="shared" ref="D38:K38" si="11">(D14+D15)/D70</f>
        <v>11405.333333333334</v>
      </c>
      <c r="E38" s="39">
        <f t="shared" si="11"/>
        <v>12876.989247311829</v>
      </c>
      <c r="F38" s="39">
        <f t="shared" si="11"/>
        <v>14538.536246964966</v>
      </c>
      <c r="G38" s="39">
        <f t="shared" si="11"/>
        <v>16414.476407863676</v>
      </c>
      <c r="H38" s="39">
        <f t="shared" si="11"/>
        <v>18532.473363717054</v>
      </c>
      <c r="I38" s="39">
        <f t="shared" si="11"/>
        <v>20923.760249357965</v>
      </c>
      <c r="J38" s="39">
        <f t="shared" si="11"/>
        <v>23623.600281533192</v>
      </c>
      <c r="K38" s="39">
        <f t="shared" si="11"/>
        <v>27416.631160641755</v>
      </c>
    </row>
    <row r="39" spans="1:11" x14ac:dyDescent="0.2">
      <c r="A39" s="85" t="s">
        <v>21</v>
      </c>
      <c r="B39" s="82"/>
      <c r="D39" s="40">
        <f t="shared" ref="D39:K39" si="12">SUM(D36:D38)</f>
        <v>12055.403333333334</v>
      </c>
      <c r="E39" s="40">
        <f t="shared" si="12"/>
        <v>39545.299247311828</v>
      </c>
      <c r="F39" s="40">
        <f t="shared" si="12"/>
        <v>105827.41624696497</v>
      </c>
      <c r="G39" s="40">
        <f t="shared" si="12"/>
        <v>179404.68640786366</v>
      </c>
      <c r="H39" s="40">
        <f t="shared" si="12"/>
        <v>256370.84336371705</v>
      </c>
      <c r="I39" s="40">
        <f t="shared" si="12"/>
        <v>337996.61024935794</v>
      </c>
      <c r="J39" s="40">
        <f t="shared" si="12"/>
        <v>424509.87028153322</v>
      </c>
      <c r="K39" s="40">
        <f t="shared" si="12"/>
        <v>514009.3511606417</v>
      </c>
    </row>
    <row r="40" spans="1:11" x14ac:dyDescent="0.2">
      <c r="B40" s="5"/>
      <c r="C40" s="28"/>
      <c r="D40" s="5"/>
      <c r="E40" s="5"/>
      <c r="F40" s="5"/>
      <c r="G40" s="5"/>
      <c r="H40" s="5"/>
      <c r="I40" s="5"/>
      <c r="J40" s="5"/>
      <c r="K40" s="5"/>
    </row>
    <row r="41" spans="1:11" x14ac:dyDescent="0.2">
      <c r="B41" s="5" t="s">
        <v>23</v>
      </c>
      <c r="C41" s="28"/>
      <c r="D41" s="38">
        <v>100000</v>
      </c>
      <c r="E41" s="38">
        <f>D41</f>
        <v>100000</v>
      </c>
      <c r="F41" s="38">
        <f t="shared" ref="F41:K41" si="13">E41</f>
        <v>100000</v>
      </c>
      <c r="G41" s="38">
        <f t="shared" si="13"/>
        <v>100000</v>
      </c>
      <c r="H41" s="38">
        <f t="shared" si="13"/>
        <v>100000</v>
      </c>
      <c r="I41" s="38">
        <f t="shared" si="13"/>
        <v>100000</v>
      </c>
      <c r="J41" s="38">
        <f t="shared" si="13"/>
        <v>100000</v>
      </c>
      <c r="K41" s="38">
        <f t="shared" si="13"/>
        <v>100000</v>
      </c>
    </row>
    <row r="42" spans="1:11" x14ac:dyDescent="0.2">
      <c r="B42" s="5" t="s">
        <v>4</v>
      </c>
      <c r="C42" s="28"/>
      <c r="D42" s="38">
        <v>600000</v>
      </c>
      <c r="E42" s="38">
        <f>D42</f>
        <v>600000</v>
      </c>
      <c r="F42" s="38">
        <f t="shared" ref="F42:K42" si="14">E42</f>
        <v>600000</v>
      </c>
      <c r="G42" s="38">
        <f t="shared" si="14"/>
        <v>600000</v>
      </c>
      <c r="H42" s="38">
        <f t="shared" si="14"/>
        <v>600000</v>
      </c>
      <c r="I42" s="38">
        <f t="shared" si="14"/>
        <v>600000</v>
      </c>
      <c r="J42" s="38">
        <f t="shared" si="14"/>
        <v>600000</v>
      </c>
      <c r="K42" s="38">
        <f t="shared" si="14"/>
        <v>600000</v>
      </c>
    </row>
    <row r="43" spans="1:11" x14ac:dyDescent="0.2">
      <c r="B43" s="5" t="s">
        <v>103</v>
      </c>
      <c r="C43" s="28"/>
      <c r="D43" s="38">
        <f>D26+D27</f>
        <v>30000</v>
      </c>
      <c r="E43" s="38">
        <f>D43+(E26+E27)</f>
        <v>60000</v>
      </c>
      <c r="F43" s="38">
        <f t="shared" ref="F43:K43" si="15">E43+(F26+F27)</f>
        <v>90000</v>
      </c>
      <c r="G43" s="38">
        <f t="shared" si="15"/>
        <v>120000</v>
      </c>
      <c r="H43" s="38">
        <f t="shared" si="15"/>
        <v>150000</v>
      </c>
      <c r="I43" s="38">
        <f t="shared" si="15"/>
        <v>180000</v>
      </c>
      <c r="J43" s="38">
        <f t="shared" si="15"/>
        <v>210000</v>
      </c>
      <c r="K43" s="38">
        <f t="shared" si="15"/>
        <v>240000</v>
      </c>
    </row>
    <row r="44" spans="1:11" x14ac:dyDescent="0.2">
      <c r="B44" s="5"/>
      <c r="C44" s="28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85" t="s">
        <v>73</v>
      </c>
      <c r="B45" s="82"/>
      <c r="D45" s="42">
        <f>((D39+D41)+D42)-D43</f>
        <v>682055.40333333332</v>
      </c>
      <c r="E45" s="40">
        <f t="shared" ref="E45:K45" si="16">((E39+E41)+E42)-E43</f>
        <v>679545.29924731189</v>
      </c>
      <c r="F45" s="40">
        <f t="shared" si="16"/>
        <v>715827.41624696495</v>
      </c>
      <c r="G45" s="40">
        <f t="shared" si="16"/>
        <v>759404.68640786363</v>
      </c>
      <c r="H45" s="40">
        <f t="shared" si="16"/>
        <v>806370.84336371708</v>
      </c>
      <c r="I45" s="40">
        <f t="shared" si="16"/>
        <v>857996.610249358</v>
      </c>
      <c r="J45" s="40">
        <f t="shared" si="16"/>
        <v>914509.87028153334</v>
      </c>
      <c r="K45" s="40">
        <f t="shared" si="16"/>
        <v>974009.35116064176</v>
      </c>
    </row>
    <row r="46" spans="1:11" x14ac:dyDescent="0.2">
      <c r="B46" s="5"/>
      <c r="C46" s="28"/>
      <c r="D46" s="5"/>
      <c r="E46" s="5"/>
      <c r="F46" s="5"/>
      <c r="G46" s="5"/>
      <c r="H46" s="5"/>
      <c r="I46" s="5"/>
      <c r="J46" s="5"/>
      <c r="K46" s="5"/>
    </row>
    <row r="47" spans="1:11" x14ac:dyDescent="0.2">
      <c r="B47" s="5"/>
      <c r="C47" s="28"/>
      <c r="D47" s="5"/>
      <c r="E47" s="5"/>
      <c r="F47" s="5"/>
      <c r="G47" s="5"/>
      <c r="H47" s="5"/>
      <c r="I47" s="5"/>
      <c r="J47" s="5"/>
      <c r="K47" s="5"/>
    </row>
    <row r="48" spans="1:11" x14ac:dyDescent="0.2">
      <c r="B48" s="5" t="s">
        <v>1</v>
      </c>
      <c r="C48" s="28"/>
      <c r="D48" s="38">
        <f t="shared" ref="D48:K48" si="17">(D16/360)*D69</f>
        <v>3091.7249999999999</v>
      </c>
      <c r="E48" s="38">
        <f t="shared" si="17"/>
        <v>2975.7853125000001</v>
      </c>
      <c r="F48" s="38">
        <f t="shared" si="17"/>
        <v>2840.5223437499999</v>
      </c>
      <c r="G48" s="38">
        <f t="shared" si="17"/>
        <v>2684.2936148437502</v>
      </c>
      <c r="H48" s="38">
        <f t="shared" si="17"/>
        <v>2505.3407071874999</v>
      </c>
      <c r="I48" s="38">
        <f t="shared" si="17"/>
        <v>2301.7817747285162</v>
      </c>
      <c r="J48" s="38">
        <f t="shared" si="17"/>
        <v>2071.6035972556642</v>
      </c>
      <c r="K48" s="38">
        <f t="shared" si="17"/>
        <v>1862.0042634641607</v>
      </c>
    </row>
    <row r="49" spans="1:11" x14ac:dyDescent="0.2">
      <c r="B49" s="5" t="s">
        <v>108</v>
      </c>
      <c r="C49" s="28"/>
      <c r="D49" s="38">
        <f t="shared" ref="D49:K49" si="18">D31</f>
        <v>18987.586808260756</v>
      </c>
      <c r="E49" s="38">
        <f t="shared" si="18"/>
        <v>22874.414842423776</v>
      </c>
      <c r="F49" s="38">
        <f t="shared" si="18"/>
        <v>25353.87633843501</v>
      </c>
      <c r="G49" s="38">
        <f t="shared" si="18"/>
        <v>29066.154167744677</v>
      </c>
      <c r="H49" s="38">
        <f t="shared" si="18"/>
        <v>31860.848644456895</v>
      </c>
      <c r="I49" s="38">
        <f t="shared" si="18"/>
        <v>34798.383686700399</v>
      </c>
      <c r="J49" s="38">
        <f t="shared" si="18"/>
        <v>37886.105968817275</v>
      </c>
      <c r="K49" s="38">
        <f t="shared" si="18"/>
        <v>40365.386374831221</v>
      </c>
    </row>
    <row r="50" spans="1:11" x14ac:dyDescent="0.2">
      <c r="B50" s="5" t="s">
        <v>40</v>
      </c>
      <c r="C50" s="28"/>
      <c r="D50" s="38">
        <f>'Mortgage Table'!F21</f>
        <v>263335.41478821728</v>
      </c>
      <c r="E50" s="38">
        <f>'Mortgage Table'!F35</f>
        <v>250951.38348426466</v>
      </c>
      <c r="F50" s="38">
        <f>'Mortgage Table'!F49</f>
        <v>237803.53222742293</v>
      </c>
      <c r="G50" s="38">
        <f>'Mortgage Table'!F63</f>
        <v>223844.75027433923</v>
      </c>
      <c r="H50" s="38">
        <f>'Mortgage Table'!F77</f>
        <v>209025.02119409567</v>
      </c>
      <c r="I50" s="38">
        <f>'Mortgage Table'!F91</f>
        <v>193291.24365175792</v>
      </c>
      <c r="J50" s="38">
        <f>'Mortgage Table'!F105</f>
        <v>176587.04113824602</v>
      </c>
      <c r="K50" s="38">
        <f>'Mortgage Table'!F119</f>
        <v>158852.55996475925</v>
      </c>
    </row>
    <row r="51" spans="1:11" x14ac:dyDescent="0.2">
      <c r="B51" s="5" t="s">
        <v>72</v>
      </c>
      <c r="C51" s="28"/>
      <c r="D51" s="5">
        <v>36378.015521514353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</row>
    <row r="52" spans="1:11" x14ac:dyDescent="0.2">
      <c r="B52" s="5"/>
      <c r="C52" s="28"/>
      <c r="D52" s="5"/>
      <c r="E52" s="5"/>
      <c r="F52" s="5"/>
      <c r="G52" s="5"/>
      <c r="H52" s="5"/>
      <c r="I52" s="5"/>
      <c r="J52" s="5"/>
      <c r="K52" s="5"/>
    </row>
    <row r="53" spans="1:11" x14ac:dyDescent="0.2">
      <c r="B53" s="5" t="s">
        <v>87</v>
      </c>
      <c r="C53" s="28"/>
      <c r="D53" s="38">
        <f>D32</f>
        <v>35262.661215341403</v>
      </c>
      <c r="E53" s="38">
        <f t="shared" ref="E53:K53" si="19">D53+E32</f>
        <v>77743.717351271276</v>
      </c>
      <c r="F53" s="38">
        <f t="shared" si="19"/>
        <v>124829.48769407914</v>
      </c>
      <c r="G53" s="38">
        <f t="shared" si="19"/>
        <v>178809.48829131926</v>
      </c>
      <c r="H53" s="38">
        <f t="shared" si="19"/>
        <v>237979.63577388207</v>
      </c>
      <c r="I53" s="38">
        <f t="shared" si="19"/>
        <v>302605.20547775424</v>
      </c>
      <c r="J53" s="38">
        <f t="shared" si="19"/>
        <v>372965.1165627006</v>
      </c>
      <c r="K53" s="38">
        <f t="shared" si="19"/>
        <v>447929.40554453002</v>
      </c>
    </row>
    <row r="54" spans="1:11" x14ac:dyDescent="0.2">
      <c r="B54" s="5" t="s">
        <v>53</v>
      </c>
      <c r="C54" s="28"/>
      <c r="D54" s="38">
        <v>325000</v>
      </c>
      <c r="E54" s="38">
        <f>D54</f>
        <v>325000</v>
      </c>
      <c r="F54" s="38">
        <f t="shared" ref="F54:K54" si="20">E54</f>
        <v>325000</v>
      </c>
      <c r="G54" s="38">
        <f t="shared" si="20"/>
        <v>325000</v>
      </c>
      <c r="H54" s="38">
        <f t="shared" si="20"/>
        <v>325000</v>
      </c>
      <c r="I54" s="38">
        <f t="shared" si="20"/>
        <v>325000</v>
      </c>
      <c r="J54" s="38">
        <f t="shared" si="20"/>
        <v>325000</v>
      </c>
      <c r="K54" s="38">
        <f t="shared" si="20"/>
        <v>325000</v>
      </c>
    </row>
    <row r="55" spans="1:11" x14ac:dyDescent="0.2">
      <c r="B55" s="5"/>
      <c r="C55" s="28"/>
      <c r="D55" s="39"/>
      <c r="E55" s="39"/>
      <c r="F55" s="39"/>
      <c r="G55" s="39"/>
      <c r="H55" s="39"/>
      <c r="I55" s="39"/>
      <c r="J55" s="39"/>
      <c r="K55" s="39"/>
    </row>
    <row r="56" spans="1:11" x14ac:dyDescent="0.2">
      <c r="A56" s="85" t="s">
        <v>54</v>
      </c>
      <c r="B56" s="82"/>
      <c r="D56" s="40">
        <f>SUM(D48:D54)</f>
        <v>682055.40333333379</v>
      </c>
      <c r="E56" s="40">
        <f>SUM(E48:E54)</f>
        <v>679545.30099045974</v>
      </c>
      <c r="F56" s="40">
        <f t="shared" ref="F56:K56" si="21">SUM(F48:F54)</f>
        <v>715827.41860368708</v>
      </c>
      <c r="G56" s="40">
        <f t="shared" si="21"/>
        <v>759404.68634824688</v>
      </c>
      <c r="H56" s="40">
        <f t="shared" si="21"/>
        <v>806370.84631962213</v>
      </c>
      <c r="I56" s="40">
        <f t="shared" si="21"/>
        <v>857996.614590941</v>
      </c>
      <c r="J56" s="40">
        <f t="shared" si="21"/>
        <v>914509.86726701958</v>
      </c>
      <c r="K56" s="40">
        <f t="shared" si="21"/>
        <v>974009.35614758462</v>
      </c>
    </row>
    <row r="59" spans="1:11" x14ac:dyDescent="0.2">
      <c r="A59" s="81" t="s">
        <v>70</v>
      </c>
      <c r="B59" s="82"/>
      <c r="D59" s="8">
        <f>D45-D56</f>
        <v>0</v>
      </c>
      <c r="E59" s="8">
        <f t="shared" ref="E59:K59" si="22">E45-E56</f>
        <v>-1.7431478481739759E-3</v>
      </c>
      <c r="F59" s="8">
        <f t="shared" si="22"/>
        <v>-2.356722136028111E-3</v>
      </c>
      <c r="G59" s="8">
        <f t="shared" si="22"/>
        <v>5.9616751968860626E-5</v>
      </c>
      <c r="H59" s="8">
        <f t="shared" si="22"/>
        <v>-2.9559050453826785E-3</v>
      </c>
      <c r="I59" s="8">
        <f t="shared" si="22"/>
        <v>-4.3415830004960299E-3</v>
      </c>
      <c r="J59" s="8">
        <f t="shared" si="22"/>
        <v>3.0145137570798397E-3</v>
      </c>
      <c r="K59" s="8">
        <f t="shared" si="22"/>
        <v>-4.9869428621605039E-3</v>
      </c>
    </row>
    <row r="64" spans="1:11" x14ac:dyDescent="0.2">
      <c r="A64" s="83" t="s">
        <v>85</v>
      </c>
      <c r="B64" s="83"/>
      <c r="C64" s="31"/>
    </row>
    <row r="65" spans="1:14" x14ac:dyDescent="0.2">
      <c r="B65" s="7" t="s">
        <v>3</v>
      </c>
      <c r="C65" s="30"/>
      <c r="D65" s="8">
        <f t="shared" ref="D65:K65" si="23">D39/((D48+D49)+D50)</f>
        <v>4.2238196595851811E-2</v>
      </c>
      <c r="E65" s="8">
        <f t="shared" si="23"/>
        <v>0.14286514812306575</v>
      </c>
      <c r="F65" s="8">
        <f t="shared" si="23"/>
        <v>0.39785052419421835</v>
      </c>
      <c r="G65" s="8">
        <f t="shared" si="23"/>
        <v>0.70190945593549692</v>
      </c>
      <c r="H65" s="8">
        <f t="shared" si="23"/>
        <v>1.0533282725734985</v>
      </c>
      <c r="I65" s="8">
        <f t="shared" si="23"/>
        <v>1.4670538782255842</v>
      </c>
      <c r="J65" s="8">
        <f t="shared" si="23"/>
        <v>1.9603794084169708</v>
      </c>
      <c r="K65" s="8">
        <f t="shared" si="23"/>
        <v>2.5562436713311651</v>
      </c>
    </row>
    <row r="66" spans="1:14" x14ac:dyDescent="0.2">
      <c r="B66" s="7" t="s">
        <v>86</v>
      </c>
      <c r="C66" s="30"/>
      <c r="D66" s="8">
        <f t="shared" ref="D66:K66" si="24">D36/(D48+D49)</f>
        <v>2.26488037463606E-2</v>
      </c>
      <c r="E66" s="8">
        <f t="shared" si="24"/>
        <v>1.025845441856239</v>
      </c>
      <c r="F66" s="8">
        <f t="shared" si="24"/>
        <v>3.2325172466823089</v>
      </c>
      <c r="G66" s="8">
        <f t="shared" si="24"/>
        <v>5.128753179011845</v>
      </c>
      <c r="H66" s="8">
        <f t="shared" si="24"/>
        <v>6.9163434900479235</v>
      </c>
      <c r="I66" s="8">
        <f t="shared" si="24"/>
        <v>8.5423567808474594</v>
      </c>
      <c r="J66" s="8">
        <f t="shared" si="24"/>
        <v>10.029010029650319</v>
      </c>
      <c r="K66" s="8">
        <f t="shared" si="24"/>
        <v>11.519601676710103</v>
      </c>
    </row>
    <row r="67" spans="1:14" x14ac:dyDescent="0.2">
      <c r="B67" s="7" t="s">
        <v>16</v>
      </c>
      <c r="C67" s="30"/>
      <c r="D67" s="10">
        <f t="shared" ref="D67:K67" si="25">SUM(D48:D50)/(D53+D54)</f>
        <v>0.79224065473128724</v>
      </c>
      <c r="E67" s="10">
        <f t="shared" si="25"/>
        <v>0.68728963783627017</v>
      </c>
      <c r="F67" s="10">
        <f t="shared" si="25"/>
        <v>0.59133057788890053</v>
      </c>
      <c r="G67" s="10">
        <f t="shared" si="25"/>
        <v>0.50732509807186099</v>
      </c>
      <c r="H67" s="10">
        <f t="shared" si="25"/>
        <v>0.43232684644298025</v>
      </c>
      <c r="I67" s="10">
        <f t="shared" si="25"/>
        <v>0.36709607744219569</v>
      </c>
      <c r="J67" s="10">
        <f t="shared" si="25"/>
        <v>0.31025153774266884</v>
      </c>
      <c r="K67" s="10">
        <f t="shared" si="25"/>
        <v>0.2601530607590139</v>
      </c>
    </row>
    <row r="68" spans="1:14" x14ac:dyDescent="0.2">
      <c r="B68" s="7" t="s">
        <v>61</v>
      </c>
      <c r="C68" s="30"/>
      <c r="D68" s="8">
        <f t="shared" ref="D68:K68" si="26">D37/(D10/360)</f>
        <v>0.32027899859433107</v>
      </c>
      <c r="E68" s="8">
        <f t="shared" si="26"/>
        <v>0.30508965822331036</v>
      </c>
      <c r="F68" s="8">
        <f t="shared" si="26"/>
        <v>0.29061956337074618</v>
      </c>
      <c r="G68" s="8">
        <f t="shared" si="26"/>
        <v>0.27242107731818582</v>
      </c>
      <c r="H68" s="8">
        <f t="shared" si="26"/>
        <v>0.2594976912599235</v>
      </c>
      <c r="I68" s="8">
        <f t="shared" si="26"/>
        <v>0.24718649643996077</v>
      </c>
      <c r="J68" s="8">
        <f t="shared" si="26"/>
        <v>0.23545855043269051</v>
      </c>
      <c r="K68" s="8">
        <f t="shared" si="26"/>
        <v>0.22500426375469371</v>
      </c>
    </row>
    <row r="69" spans="1:14" ht="25.5" x14ac:dyDescent="0.2">
      <c r="B69" s="7" t="s">
        <v>0</v>
      </c>
      <c r="C69" s="30"/>
      <c r="D69" s="7">
        <v>30</v>
      </c>
      <c r="E69" s="7">
        <f t="shared" ref="E69:L69" si="27">D69+$M$69</f>
        <v>27.5</v>
      </c>
      <c r="F69" s="7">
        <f t="shared" si="27"/>
        <v>25</v>
      </c>
      <c r="G69" s="7">
        <f t="shared" si="27"/>
        <v>22.5</v>
      </c>
      <c r="H69" s="7">
        <f t="shared" si="27"/>
        <v>20</v>
      </c>
      <c r="I69" s="7">
        <f t="shared" si="27"/>
        <v>17.5</v>
      </c>
      <c r="J69" s="7">
        <f t="shared" si="27"/>
        <v>15</v>
      </c>
      <c r="K69" s="7">
        <f t="shared" si="27"/>
        <v>12.5</v>
      </c>
      <c r="L69" s="7">
        <f t="shared" si="27"/>
        <v>10</v>
      </c>
      <c r="M69" s="7">
        <v>-2.5</v>
      </c>
      <c r="N69" s="7" t="s">
        <v>5</v>
      </c>
    </row>
    <row r="70" spans="1:14" x14ac:dyDescent="0.2">
      <c r="B70" s="7" t="s">
        <v>116</v>
      </c>
      <c r="C70" s="30"/>
      <c r="D70" s="8">
        <v>3</v>
      </c>
      <c r="E70" s="8">
        <f t="shared" ref="E70:L70" si="28">D70*(1+$M$70)</f>
        <v>2.79</v>
      </c>
      <c r="F70" s="8">
        <f t="shared" si="28"/>
        <v>2.5947</v>
      </c>
      <c r="G70" s="8">
        <f t="shared" si="28"/>
        <v>2.413071</v>
      </c>
      <c r="H70" s="8">
        <f t="shared" si="28"/>
        <v>2.2441560299999996</v>
      </c>
      <c r="I70" s="8">
        <f t="shared" si="28"/>
        <v>2.0870651078999995</v>
      </c>
      <c r="J70" s="8">
        <f t="shared" si="28"/>
        <v>1.9409705503469994</v>
      </c>
      <c r="K70" s="8">
        <f t="shared" si="28"/>
        <v>1.8051026118227094</v>
      </c>
      <c r="L70" s="8">
        <f t="shared" si="28"/>
        <v>1.6787454289951196</v>
      </c>
      <c r="M70" s="7">
        <v>-7.0000000000000007E-2</v>
      </c>
      <c r="N70" s="7" t="s">
        <v>28</v>
      </c>
    </row>
    <row r="71" spans="1:14" x14ac:dyDescent="0.2">
      <c r="B71" s="7" t="s">
        <v>12</v>
      </c>
      <c r="C71" s="30"/>
      <c r="D71" s="11">
        <f t="shared" ref="D71:K71" si="29">D32/D45</f>
        <v>5.1700581863300447E-2</v>
      </c>
      <c r="E71" s="11">
        <f t="shared" si="29"/>
        <v>6.2513943048363926E-2</v>
      </c>
      <c r="F71" s="11">
        <f t="shared" si="29"/>
        <v>6.5778104154874936E-2</v>
      </c>
      <c r="G71" s="11">
        <f t="shared" si="29"/>
        <v>7.1081995625515995E-2</v>
      </c>
      <c r="H71" s="11">
        <f t="shared" si="29"/>
        <v>7.3378332028646839E-2</v>
      </c>
      <c r="I71" s="11">
        <f t="shared" si="29"/>
        <v>7.5321474387981743E-2</v>
      </c>
      <c r="J71" s="11">
        <f t="shared" si="29"/>
        <v>7.6937289986040255E-2</v>
      </c>
      <c r="K71" s="11">
        <f t="shared" si="29"/>
        <v>7.6964650177640523E-2</v>
      </c>
    </row>
    <row r="72" spans="1:14" x14ac:dyDescent="0.2">
      <c r="B72" s="7" t="s">
        <v>14</v>
      </c>
      <c r="C72" s="30"/>
      <c r="D72" s="11">
        <f t="shared" ref="D72:K72" si="30">D32/(D53+D54)</f>
        <v>9.7880421735583895E-2</v>
      </c>
      <c r="E72" s="11">
        <f t="shared" si="30"/>
        <v>0.1054791280552195</v>
      </c>
      <c r="F72" s="11">
        <f t="shared" si="30"/>
        <v>0.10467470815259236</v>
      </c>
      <c r="G72" s="11">
        <f t="shared" si="30"/>
        <v>0.10714367603578577</v>
      </c>
      <c r="H72" s="11">
        <f t="shared" si="30"/>
        <v>0.1051017545265673</v>
      </c>
      <c r="I72" s="11">
        <f t="shared" si="30"/>
        <v>0.10297169166192147</v>
      </c>
      <c r="J72" s="11">
        <f t="shared" si="30"/>
        <v>0.10080720284625531</v>
      </c>
      <c r="K72" s="11">
        <f t="shared" si="30"/>
        <v>9.698723899502433E-2</v>
      </c>
    </row>
    <row r="75" spans="1:14" x14ac:dyDescent="0.2">
      <c r="A75" s="83" t="s">
        <v>92</v>
      </c>
      <c r="B75" s="83"/>
      <c r="C75" s="31"/>
    </row>
    <row r="76" spans="1:14" x14ac:dyDescent="0.2">
      <c r="A76" s="46">
        <v>1</v>
      </c>
      <c r="B76" s="7" t="str">
        <f>Assumptions!C11</f>
        <v>Price per Basic Wash</v>
      </c>
      <c r="C76" s="30"/>
      <c r="D76" s="7">
        <f>Assumptions!E11</f>
        <v>8</v>
      </c>
      <c r="E76" s="7">
        <f>Assumptions!F11</f>
        <v>8</v>
      </c>
      <c r="F76" s="7">
        <f>Assumptions!G11</f>
        <v>8</v>
      </c>
      <c r="G76" s="7">
        <f>Assumptions!H11</f>
        <v>8.25</v>
      </c>
      <c r="H76" s="7">
        <f>Assumptions!I11</f>
        <v>8.25</v>
      </c>
      <c r="I76" s="7">
        <f>Assumptions!J11</f>
        <v>8.25</v>
      </c>
      <c r="J76" s="7">
        <f>Assumptions!K11</f>
        <v>8.25</v>
      </c>
      <c r="K76" s="7">
        <f>Assumptions!L11</f>
        <v>8</v>
      </c>
    </row>
    <row r="77" spans="1:14" x14ac:dyDescent="0.2">
      <c r="A77" s="46">
        <v>0.5</v>
      </c>
      <c r="B77" s="7" t="s">
        <v>82</v>
      </c>
      <c r="C77" s="30"/>
      <c r="D77" s="7">
        <f>Assumptions!E13</f>
        <v>12</v>
      </c>
      <c r="E77" s="7">
        <f>Assumptions!F13</f>
        <v>12</v>
      </c>
      <c r="F77" s="7">
        <f>Assumptions!G13</f>
        <v>12</v>
      </c>
      <c r="G77" s="7">
        <f>Assumptions!H13</f>
        <v>12.25</v>
      </c>
      <c r="H77" s="7">
        <f>Assumptions!I13</f>
        <v>12.25</v>
      </c>
      <c r="I77" s="7">
        <f>Assumptions!J13</f>
        <v>12.25</v>
      </c>
      <c r="J77" s="7">
        <f>Assumptions!K13</f>
        <v>12.25</v>
      </c>
      <c r="K77" s="7">
        <f>Assumptions!L13</f>
        <v>12</v>
      </c>
    </row>
    <row r="78" spans="1:14" x14ac:dyDescent="0.2">
      <c r="A78" s="46">
        <v>1</v>
      </c>
      <c r="B78" s="7" t="s">
        <v>31</v>
      </c>
      <c r="C78" s="30"/>
      <c r="D78" s="7">
        <f>Assumptions!$D$30</f>
        <v>6</v>
      </c>
      <c r="E78" s="7">
        <f>Assumptions!$D$30</f>
        <v>6</v>
      </c>
      <c r="F78" s="7">
        <f>Assumptions!$D$30</f>
        <v>6</v>
      </c>
      <c r="G78" s="7">
        <f>Assumptions!$D$30</f>
        <v>6</v>
      </c>
      <c r="H78" s="7">
        <f>Assumptions!$D$30</f>
        <v>6</v>
      </c>
      <c r="I78" s="7">
        <f>Assumptions!$D$30</f>
        <v>6</v>
      </c>
      <c r="J78" s="7">
        <f>Assumptions!$D$30</f>
        <v>6</v>
      </c>
      <c r="K78" s="7">
        <f>Assumptions!$D$30</f>
        <v>6</v>
      </c>
    </row>
    <row r="79" spans="1:14" x14ac:dyDescent="0.2">
      <c r="A79" s="46">
        <v>1</v>
      </c>
      <c r="B79" s="7" t="s">
        <v>63</v>
      </c>
      <c r="C79" s="30"/>
      <c r="D79" s="7">
        <f>Assumptions!E34</f>
        <v>2</v>
      </c>
      <c r="E79" s="7">
        <f>Assumptions!F34</f>
        <v>2</v>
      </c>
      <c r="F79" s="7">
        <f>Assumptions!G34</f>
        <v>2</v>
      </c>
      <c r="G79" s="7">
        <f>Assumptions!H34</f>
        <v>2</v>
      </c>
      <c r="H79" s="7">
        <f>Assumptions!I34</f>
        <v>2</v>
      </c>
      <c r="I79" s="7">
        <f>Assumptions!J34</f>
        <v>2</v>
      </c>
      <c r="J79" s="7">
        <f>Assumptions!K34</f>
        <v>2</v>
      </c>
      <c r="K79" s="7">
        <f>Assumptions!L34</f>
        <v>2</v>
      </c>
    </row>
    <row r="80" spans="1:14" x14ac:dyDescent="0.2">
      <c r="A80" s="46">
        <v>1</v>
      </c>
      <c r="B80" s="7" t="s">
        <v>78</v>
      </c>
      <c r="C80" s="30"/>
      <c r="D80" s="7">
        <f>Assumptions!$D$36</f>
        <v>1</v>
      </c>
      <c r="E80" s="7">
        <f>Assumptions!$D$36</f>
        <v>1</v>
      </c>
      <c r="F80" s="7">
        <f>Assumptions!$D$36</f>
        <v>1</v>
      </c>
      <c r="G80" s="7">
        <f>Assumptions!$D$36</f>
        <v>1</v>
      </c>
      <c r="H80" s="7">
        <f>Assumptions!$D$36</f>
        <v>1</v>
      </c>
      <c r="I80" s="7">
        <f>Assumptions!$D$36</f>
        <v>1</v>
      </c>
      <c r="J80" s="7">
        <f>Assumptions!$D$36</f>
        <v>1</v>
      </c>
      <c r="K80" s="7">
        <f>Assumptions!$D$36</f>
        <v>1</v>
      </c>
    </row>
    <row r="81" spans="1:11" x14ac:dyDescent="0.2">
      <c r="A81" s="46">
        <v>1</v>
      </c>
      <c r="B81" s="7" t="s">
        <v>81</v>
      </c>
      <c r="C81" s="30"/>
      <c r="D81" s="7">
        <f>Assumptions!$D$37</f>
        <v>1.25</v>
      </c>
      <c r="E81" s="7">
        <f>Assumptions!$D$37</f>
        <v>1.25</v>
      </c>
      <c r="F81" s="7">
        <f>Assumptions!$D$37</f>
        <v>1.25</v>
      </c>
      <c r="G81" s="7">
        <f>Assumptions!$D$37</f>
        <v>1.25</v>
      </c>
      <c r="H81" s="7">
        <f>Assumptions!$D$37</f>
        <v>1.25</v>
      </c>
      <c r="I81" s="7">
        <f>Assumptions!$D$37</f>
        <v>1.25</v>
      </c>
      <c r="J81" s="7">
        <f>Assumptions!$D$37</f>
        <v>1.25</v>
      </c>
      <c r="K81" s="7">
        <f>Assumptions!$D$37</f>
        <v>1.25</v>
      </c>
    </row>
    <row r="82" spans="1:11" x14ac:dyDescent="0.2">
      <c r="A82" s="46">
        <v>1</v>
      </c>
      <c r="B82" s="7" t="s">
        <v>74</v>
      </c>
      <c r="C82" s="30"/>
      <c r="D82" s="12">
        <f>Assumptions!$D$38</f>
        <v>2</v>
      </c>
      <c r="E82" s="12">
        <f>Assumptions!$D$38</f>
        <v>2</v>
      </c>
      <c r="F82" s="12">
        <f>Assumptions!$D$38</f>
        <v>2</v>
      </c>
      <c r="G82" s="12">
        <f>Assumptions!$D$38</f>
        <v>2</v>
      </c>
      <c r="H82" s="12">
        <f>Assumptions!$D$38</f>
        <v>2</v>
      </c>
      <c r="I82" s="12">
        <f>Assumptions!$D$38</f>
        <v>2</v>
      </c>
      <c r="J82" s="12">
        <f>Assumptions!$D$38</f>
        <v>2</v>
      </c>
      <c r="K82" s="12">
        <f>Assumptions!$D$38</f>
        <v>2</v>
      </c>
    </row>
    <row r="83" spans="1:11" x14ac:dyDescent="0.2">
      <c r="A83" s="7">
        <f>SUM(A76:A82)</f>
        <v>6.5</v>
      </c>
      <c r="B83" s="9" t="s">
        <v>18</v>
      </c>
      <c r="C83" s="31"/>
      <c r="D83" s="4">
        <f t="shared" ref="D83:K83" si="31">(((((($A$76*D76)+($A$77*D77))+($A$78*D78))+($A$79*D79))+($A$80*D80))+($A$81*D81))+($A$82*D82)</f>
        <v>26.25</v>
      </c>
      <c r="E83" s="4">
        <f t="shared" si="31"/>
        <v>26.25</v>
      </c>
      <c r="F83" s="4">
        <f t="shared" si="31"/>
        <v>26.25</v>
      </c>
      <c r="G83" s="4">
        <f t="shared" si="31"/>
        <v>26.625</v>
      </c>
      <c r="H83" s="4">
        <f t="shared" si="31"/>
        <v>26.625</v>
      </c>
      <c r="I83" s="4">
        <f t="shared" si="31"/>
        <v>26.625</v>
      </c>
      <c r="J83" s="4">
        <f t="shared" si="31"/>
        <v>26.625</v>
      </c>
      <c r="K83" s="4">
        <f t="shared" si="31"/>
        <v>26.25</v>
      </c>
    </row>
    <row r="85" spans="1:11" x14ac:dyDescent="0.2">
      <c r="B85" s="9"/>
      <c r="C85" s="31"/>
    </row>
    <row r="86" spans="1:11" x14ac:dyDescent="0.2">
      <c r="A86" s="46">
        <f>0.5*A76</f>
        <v>0.5</v>
      </c>
      <c r="B86" s="7" t="s">
        <v>129</v>
      </c>
      <c r="C86" s="30"/>
      <c r="D86" s="7">
        <f>Assumptions!E15</f>
        <v>0.5</v>
      </c>
      <c r="E86" s="7">
        <f>Assumptions!F15</f>
        <v>0.5</v>
      </c>
      <c r="F86" s="7">
        <f>Assumptions!G15</f>
        <v>0.5</v>
      </c>
      <c r="G86" s="7">
        <f>Assumptions!H15</f>
        <v>0.5</v>
      </c>
      <c r="H86" s="7">
        <f>Assumptions!I15</f>
        <v>0.5</v>
      </c>
      <c r="I86" s="7">
        <f>Assumptions!J15</f>
        <v>0.5</v>
      </c>
      <c r="J86" s="7">
        <f>Assumptions!K15</f>
        <v>0.5</v>
      </c>
      <c r="K86" s="7">
        <f>Assumptions!L15</f>
        <v>0.5</v>
      </c>
    </row>
    <row r="87" spans="1:11" x14ac:dyDescent="0.2">
      <c r="A87" s="46">
        <f>0.5*A76</f>
        <v>0.5</v>
      </c>
      <c r="B87" s="7" t="s">
        <v>130</v>
      </c>
      <c r="C87" s="30"/>
      <c r="D87" s="7">
        <f>Assumptions!E16</f>
        <v>2.25</v>
      </c>
      <c r="E87" s="7">
        <f>Assumptions!F16</f>
        <v>2.25</v>
      </c>
      <c r="F87" s="7">
        <f>Assumptions!G16</f>
        <v>2.25</v>
      </c>
      <c r="G87" s="7">
        <f>Assumptions!H16</f>
        <v>2.25</v>
      </c>
      <c r="H87" s="7">
        <f>Assumptions!I16</f>
        <v>2.25</v>
      </c>
      <c r="I87" s="7">
        <f>Assumptions!J16</f>
        <v>2.25</v>
      </c>
      <c r="J87" s="7">
        <f>Assumptions!K16</f>
        <v>2.25</v>
      </c>
      <c r="K87" s="7">
        <f>Assumptions!L16</f>
        <v>2.25</v>
      </c>
    </row>
    <row r="88" spans="1:11" x14ac:dyDescent="0.2">
      <c r="A88" s="46">
        <f>0.5*A77</f>
        <v>0.25</v>
      </c>
      <c r="B88" s="7" t="s">
        <v>127</v>
      </c>
      <c r="C88" s="30"/>
      <c r="D88" s="7">
        <f>Assumptions!E17</f>
        <v>0.6</v>
      </c>
      <c r="E88" s="7">
        <f>Assumptions!F17</f>
        <v>0.6</v>
      </c>
      <c r="F88" s="7">
        <f>Assumptions!G17</f>
        <v>0.6</v>
      </c>
      <c r="G88" s="7">
        <f>Assumptions!H17</f>
        <v>0.6</v>
      </c>
      <c r="H88" s="7">
        <f>Assumptions!I17</f>
        <v>0.6</v>
      </c>
      <c r="I88" s="7">
        <f>Assumptions!J17</f>
        <v>0.6</v>
      </c>
      <c r="J88" s="7">
        <f>Assumptions!K17</f>
        <v>0.6</v>
      </c>
      <c r="K88" s="7">
        <f>Assumptions!L17</f>
        <v>0.6</v>
      </c>
    </row>
    <row r="89" spans="1:11" x14ac:dyDescent="0.2">
      <c r="A89" s="46">
        <f>0.5*A77</f>
        <v>0.25</v>
      </c>
      <c r="B89" s="7" t="s">
        <v>132</v>
      </c>
      <c r="C89" s="30"/>
      <c r="D89" s="7">
        <f>Assumptions!E18</f>
        <v>4</v>
      </c>
      <c r="E89" s="7">
        <f>Assumptions!F18</f>
        <v>4</v>
      </c>
      <c r="F89" s="7">
        <f>Assumptions!G18</f>
        <v>4</v>
      </c>
      <c r="G89" s="7">
        <f>Assumptions!H18</f>
        <v>4</v>
      </c>
      <c r="H89" s="7">
        <f>Assumptions!I18</f>
        <v>4</v>
      </c>
      <c r="I89" s="7">
        <f>Assumptions!J18</f>
        <v>4</v>
      </c>
      <c r="J89" s="7">
        <f>Assumptions!K18</f>
        <v>4</v>
      </c>
      <c r="K89" s="7">
        <f>Assumptions!L18</f>
        <v>4</v>
      </c>
    </row>
    <row r="90" spans="1:11" x14ac:dyDescent="0.2">
      <c r="A90" s="46">
        <f>0.5*A78</f>
        <v>0.5</v>
      </c>
      <c r="B90" s="7" t="s">
        <v>41</v>
      </c>
      <c r="C90" s="30"/>
      <c r="D90" s="7">
        <f>Assumptions!$D$30</f>
        <v>6</v>
      </c>
      <c r="E90" s="7">
        <f>Assumptions!$D$30</f>
        <v>6</v>
      </c>
      <c r="F90" s="7">
        <f>Assumptions!$D$30</f>
        <v>6</v>
      </c>
      <c r="G90" s="7">
        <f>Assumptions!$D$30</f>
        <v>6</v>
      </c>
      <c r="H90" s="7">
        <f>Assumptions!$D$30</f>
        <v>6</v>
      </c>
      <c r="I90" s="7">
        <f>Assumptions!$D$30</f>
        <v>6</v>
      </c>
      <c r="J90" s="7">
        <f>Assumptions!$D$30</f>
        <v>6</v>
      </c>
      <c r="K90" s="7">
        <f>Assumptions!$D$30</f>
        <v>6</v>
      </c>
    </row>
    <row r="91" spans="1:11" x14ac:dyDescent="0.2">
      <c r="A91" s="46">
        <f>A79</f>
        <v>1</v>
      </c>
      <c r="B91" s="7" t="s">
        <v>62</v>
      </c>
      <c r="C91" s="30"/>
      <c r="D91" s="7">
        <f>Assumptions!E34</f>
        <v>2</v>
      </c>
      <c r="E91" s="7">
        <f>Assumptions!F34</f>
        <v>2</v>
      </c>
      <c r="F91" s="7">
        <f>Assumptions!G34</f>
        <v>2</v>
      </c>
      <c r="G91" s="7">
        <f>Assumptions!H34</f>
        <v>2</v>
      </c>
      <c r="H91" s="7">
        <f>Assumptions!I34</f>
        <v>2</v>
      </c>
      <c r="I91" s="7">
        <f>Assumptions!J34</f>
        <v>2</v>
      </c>
      <c r="J91" s="7">
        <f>Assumptions!K34</f>
        <v>2</v>
      </c>
      <c r="K91" s="7">
        <f>Assumptions!L34</f>
        <v>2</v>
      </c>
    </row>
    <row r="92" spans="1:11" x14ac:dyDescent="0.2">
      <c r="A92" s="46">
        <f>A80</f>
        <v>1</v>
      </c>
      <c r="B92" s="7" t="s">
        <v>49</v>
      </c>
      <c r="C92" s="30"/>
      <c r="D92" s="7">
        <f>Assumptions!$D$36</f>
        <v>1</v>
      </c>
      <c r="E92" s="7">
        <f>Assumptions!$D$36</f>
        <v>1</v>
      </c>
      <c r="F92" s="7">
        <f>Assumptions!$D$36</f>
        <v>1</v>
      </c>
      <c r="G92" s="7">
        <f>Assumptions!$D$36</f>
        <v>1</v>
      </c>
      <c r="H92" s="7">
        <f>Assumptions!$D$36</f>
        <v>1</v>
      </c>
      <c r="I92" s="7">
        <f>Assumptions!$D$36</f>
        <v>1</v>
      </c>
      <c r="J92" s="7">
        <f>Assumptions!$D$36</f>
        <v>1</v>
      </c>
      <c r="K92" s="7">
        <f>Assumptions!$D$36</f>
        <v>1</v>
      </c>
    </row>
    <row r="93" spans="1:11" x14ac:dyDescent="0.2">
      <c r="A93" s="46">
        <f t="shared" ref="A93:A94" si="32">A81</f>
        <v>1</v>
      </c>
      <c r="B93" s="7" t="s">
        <v>91</v>
      </c>
      <c r="C93" s="30"/>
      <c r="D93" s="7">
        <f>Assumptions!$D$37</f>
        <v>1.25</v>
      </c>
      <c r="E93" s="7">
        <f>Assumptions!$D$37</f>
        <v>1.25</v>
      </c>
      <c r="F93" s="7">
        <f>Assumptions!$D$37</f>
        <v>1.25</v>
      </c>
      <c r="G93" s="7">
        <f>Assumptions!$D$37</f>
        <v>1.25</v>
      </c>
      <c r="H93" s="7">
        <f>Assumptions!$D$37</f>
        <v>1.25</v>
      </c>
      <c r="I93" s="7">
        <f>Assumptions!$D$37</f>
        <v>1.25</v>
      </c>
      <c r="J93" s="7">
        <f>Assumptions!$D$37</f>
        <v>1.25</v>
      </c>
      <c r="K93" s="7">
        <f>Assumptions!$D$37</f>
        <v>1.25</v>
      </c>
    </row>
    <row r="94" spans="1:11" x14ac:dyDescent="0.2">
      <c r="A94" s="46">
        <f t="shared" si="32"/>
        <v>1</v>
      </c>
      <c r="B94" s="7" t="s">
        <v>59</v>
      </c>
      <c r="C94" s="30"/>
      <c r="D94" s="12">
        <f>Assumptions!$D$38</f>
        <v>2</v>
      </c>
      <c r="E94" s="12">
        <f>Assumptions!$D$38</f>
        <v>2</v>
      </c>
      <c r="F94" s="12">
        <f>Assumptions!$D$38</f>
        <v>2</v>
      </c>
      <c r="G94" s="12">
        <f>Assumptions!$D$38</f>
        <v>2</v>
      </c>
      <c r="H94" s="12">
        <f>Assumptions!$D$38</f>
        <v>2</v>
      </c>
      <c r="I94" s="12">
        <f>Assumptions!$D$38</f>
        <v>2</v>
      </c>
      <c r="J94" s="12">
        <f>Assumptions!$D$38</f>
        <v>2</v>
      </c>
      <c r="K94" s="12">
        <f>Assumptions!$D$38</f>
        <v>2</v>
      </c>
    </row>
    <row r="95" spans="1:11" x14ac:dyDescent="0.2">
      <c r="A95" s="7">
        <f>SUM(A86:A94)</f>
        <v>6</v>
      </c>
      <c r="B95" s="9" t="s">
        <v>47</v>
      </c>
      <c r="C95" s="31"/>
      <c r="D95" s="45">
        <f>(((((($A$86*D86)+($A$88*D88))+($A$90*D90))+($A$91*D91))+($A$92*D92))+($A$93*D93))+($A$94*D94)+($A$87*D87)+($A$89*D89)</f>
        <v>11.775</v>
      </c>
      <c r="E95" s="45">
        <f t="shared" ref="E95:K95" si="33">(((((($A$86*E86)+($A$88*E88))+($A$90*E90))+($A$91*E91))+($A$92*E92))+($A$93*E93))+($A$94*E94)+($A$87*E87)+($A$89*E89)</f>
        <v>11.775</v>
      </c>
      <c r="F95" s="45">
        <f t="shared" si="33"/>
        <v>11.775</v>
      </c>
      <c r="G95" s="45">
        <f t="shared" si="33"/>
        <v>11.775</v>
      </c>
      <c r="H95" s="45">
        <f t="shared" si="33"/>
        <v>11.775</v>
      </c>
      <c r="I95" s="45">
        <f t="shared" si="33"/>
        <v>11.775</v>
      </c>
      <c r="J95" s="45">
        <f t="shared" si="33"/>
        <v>11.775</v>
      </c>
      <c r="K95" s="45">
        <f t="shared" si="33"/>
        <v>11.775</v>
      </c>
    </row>
    <row r="97" spans="1:11" x14ac:dyDescent="0.2">
      <c r="A97" s="83" t="s">
        <v>83</v>
      </c>
      <c r="B97" s="82"/>
      <c r="D97" s="5">
        <f t="shared" ref="D97:K97" si="34">D83-D95</f>
        <v>14.475</v>
      </c>
      <c r="E97" s="5">
        <f t="shared" si="34"/>
        <v>14.475</v>
      </c>
      <c r="F97" s="5">
        <f t="shared" si="34"/>
        <v>14.475</v>
      </c>
      <c r="G97" s="5">
        <f t="shared" si="34"/>
        <v>14.85</v>
      </c>
      <c r="H97" s="5">
        <f t="shared" si="34"/>
        <v>14.85</v>
      </c>
      <c r="I97" s="5">
        <f t="shared" si="34"/>
        <v>14.85</v>
      </c>
      <c r="J97" s="5">
        <f t="shared" si="34"/>
        <v>14.85</v>
      </c>
      <c r="K97" s="5">
        <f t="shared" si="34"/>
        <v>14.475</v>
      </c>
    </row>
    <row r="100" spans="1:11" x14ac:dyDescent="0.2">
      <c r="A100" s="83" t="s">
        <v>119</v>
      </c>
      <c r="B100" s="82"/>
    </row>
    <row r="101" spans="1:11" x14ac:dyDescent="0.2">
      <c r="B101" s="5" t="s">
        <v>80</v>
      </c>
      <c r="C101" s="28"/>
      <c r="D101" s="5">
        <f>D19</f>
        <v>10374</v>
      </c>
      <c r="E101" s="5">
        <f t="shared" ref="E101:K101" si="35">E19</f>
        <v>10892.700000000003</v>
      </c>
      <c r="F101" s="5">
        <f t="shared" si="35"/>
        <v>11437.335000000001</v>
      </c>
      <c r="G101" s="5">
        <f t="shared" si="35"/>
        <v>12009.201750000004</v>
      </c>
      <c r="H101" s="5">
        <f t="shared" si="35"/>
        <v>12609.661837500002</v>
      </c>
      <c r="I101" s="5">
        <f t="shared" si="35"/>
        <v>13240.144929375001</v>
      </c>
      <c r="J101" s="5">
        <f t="shared" si="35"/>
        <v>13902.152175843752</v>
      </c>
      <c r="K101" s="5">
        <f t="shared" si="35"/>
        <v>14597.259784635942</v>
      </c>
    </row>
    <row r="102" spans="1:11" x14ac:dyDescent="0.2">
      <c r="B102" s="5" t="s">
        <v>99</v>
      </c>
      <c r="C102" s="28"/>
      <c r="D102" s="5">
        <f>D20</f>
        <v>3600</v>
      </c>
      <c r="E102" s="5">
        <f t="shared" ref="E102:K102" si="36">E20</f>
        <v>3600</v>
      </c>
      <c r="F102" s="5">
        <f t="shared" si="36"/>
        <v>3600</v>
      </c>
      <c r="G102" s="5">
        <f t="shared" si="36"/>
        <v>3600</v>
      </c>
      <c r="H102" s="5">
        <f t="shared" si="36"/>
        <v>3600</v>
      </c>
      <c r="I102" s="5">
        <f t="shared" si="36"/>
        <v>3600</v>
      </c>
      <c r="J102" s="5">
        <f t="shared" si="36"/>
        <v>3600</v>
      </c>
      <c r="K102" s="5">
        <f t="shared" si="36"/>
        <v>3600</v>
      </c>
    </row>
    <row r="103" spans="1:11" x14ac:dyDescent="0.2">
      <c r="B103" s="5" t="s">
        <v>106</v>
      </c>
      <c r="C103" s="28"/>
      <c r="D103" s="5">
        <f t="shared" ref="D103:K103" si="37">D22</f>
        <v>840</v>
      </c>
      <c r="E103" s="5">
        <f t="shared" si="37"/>
        <v>840</v>
      </c>
      <c r="F103" s="5">
        <f t="shared" si="37"/>
        <v>840</v>
      </c>
      <c r="G103" s="5">
        <f t="shared" si="37"/>
        <v>840</v>
      </c>
      <c r="H103" s="5">
        <f t="shared" si="37"/>
        <v>840</v>
      </c>
      <c r="I103" s="5">
        <f t="shared" si="37"/>
        <v>840</v>
      </c>
      <c r="J103" s="5">
        <f t="shared" si="37"/>
        <v>840</v>
      </c>
      <c r="K103" s="5">
        <f t="shared" si="37"/>
        <v>840</v>
      </c>
    </row>
    <row r="104" spans="1:11" x14ac:dyDescent="0.2">
      <c r="B104" s="5" t="s">
        <v>48</v>
      </c>
      <c r="C104" s="28"/>
      <c r="D104" s="5">
        <f>D26</f>
        <v>20000</v>
      </c>
      <c r="E104" s="5">
        <f t="shared" ref="E104:K104" si="38">E26</f>
        <v>20000</v>
      </c>
      <c r="F104" s="5">
        <f t="shared" si="38"/>
        <v>20000</v>
      </c>
      <c r="G104" s="5">
        <f t="shared" si="38"/>
        <v>20000</v>
      </c>
      <c r="H104" s="5">
        <f t="shared" si="38"/>
        <v>20000</v>
      </c>
      <c r="I104" s="5">
        <f t="shared" si="38"/>
        <v>20000</v>
      </c>
      <c r="J104" s="5">
        <f t="shared" si="38"/>
        <v>20000</v>
      </c>
      <c r="K104" s="5">
        <f t="shared" si="38"/>
        <v>20000</v>
      </c>
    </row>
    <row r="105" spans="1:11" x14ac:dyDescent="0.2">
      <c r="B105" s="7" t="str">
        <f>B28</f>
        <v>Interest Expense - Mortgage</v>
      </c>
      <c r="C105" s="30"/>
      <c r="D105" s="33">
        <f>D28</f>
        <v>16182.690113816117</v>
      </c>
      <c r="E105" s="33">
        <f t="shared" ref="E105:K105" si="39">E28</f>
        <v>15463.244021646353</v>
      </c>
      <c r="F105" s="33">
        <f t="shared" si="39"/>
        <v>14699.424068757098</v>
      </c>
      <c r="G105" s="33">
        <f t="shared" si="39"/>
        <v>13888.493372515186</v>
      </c>
      <c r="H105" s="33">
        <f t="shared" si="39"/>
        <v>13027.546245355317</v>
      </c>
      <c r="I105" s="33">
        <f t="shared" si="39"/>
        <v>12113.4977832612</v>
      </c>
      <c r="J105" s="33">
        <f t="shared" si="39"/>
        <v>11143.072812087006</v>
      </c>
      <c r="K105" s="33">
        <f t="shared" si="39"/>
        <v>10112.794152112119</v>
      </c>
    </row>
    <row r="106" spans="1:11" x14ac:dyDescent="0.2">
      <c r="B106" s="5" t="str">
        <f>B29</f>
        <v>Interest Expense - Bank Loan</v>
      </c>
      <c r="C106" s="28"/>
      <c r="D106" s="33">
        <f>D29</f>
        <v>4365.3618625817226</v>
      </c>
      <c r="E106" s="33">
        <f t="shared" ref="E106:K106" si="40">E29</f>
        <v>0</v>
      </c>
      <c r="F106" s="33">
        <f t="shared" si="40"/>
        <v>0</v>
      </c>
      <c r="G106" s="33">
        <f t="shared" si="40"/>
        <v>0</v>
      </c>
      <c r="H106" s="33">
        <f t="shared" si="40"/>
        <v>0</v>
      </c>
      <c r="I106" s="33">
        <f t="shared" si="40"/>
        <v>0</v>
      </c>
      <c r="J106" s="33">
        <f t="shared" si="40"/>
        <v>0</v>
      </c>
      <c r="K106" s="33">
        <f t="shared" si="40"/>
        <v>0</v>
      </c>
    </row>
    <row r="107" spans="1:11" x14ac:dyDescent="0.2">
      <c r="B107" s="5" t="s">
        <v>131</v>
      </c>
      <c r="C107" s="28"/>
      <c r="D107" s="33">
        <f t="shared" ref="D107:K107" si="41">D23</f>
        <v>890</v>
      </c>
      <c r="E107" s="33">
        <f t="shared" si="41"/>
        <v>890</v>
      </c>
      <c r="F107" s="33">
        <f t="shared" si="41"/>
        <v>890</v>
      </c>
      <c r="G107" s="33">
        <f t="shared" si="41"/>
        <v>890</v>
      </c>
      <c r="H107" s="33">
        <f t="shared" si="41"/>
        <v>890</v>
      </c>
      <c r="I107" s="33">
        <f t="shared" si="41"/>
        <v>890</v>
      </c>
      <c r="J107" s="33">
        <f t="shared" si="41"/>
        <v>890</v>
      </c>
      <c r="K107" s="33">
        <f t="shared" si="41"/>
        <v>890</v>
      </c>
    </row>
    <row r="108" spans="1:11" x14ac:dyDescent="0.2">
      <c r="B108" s="7" t="s">
        <v>56</v>
      </c>
      <c r="C108" s="30"/>
      <c r="D108" s="4">
        <f>SUM(D101:D107)</f>
        <v>56252.051976397845</v>
      </c>
      <c r="E108" s="4">
        <f t="shared" ref="E108:K108" si="42">SUM(E101:E107)</f>
        <v>51685.944021646355</v>
      </c>
      <c r="F108" s="4">
        <f t="shared" si="42"/>
        <v>51466.759068757099</v>
      </c>
      <c r="G108" s="4">
        <f t="shared" si="42"/>
        <v>51227.695122515193</v>
      </c>
      <c r="H108" s="4">
        <f t="shared" si="42"/>
        <v>50967.208082855323</v>
      </c>
      <c r="I108" s="4">
        <f t="shared" si="42"/>
        <v>50683.642712636203</v>
      </c>
      <c r="J108" s="4">
        <f t="shared" si="42"/>
        <v>50375.224987930756</v>
      </c>
      <c r="K108" s="4">
        <f t="shared" si="42"/>
        <v>50040.05393674806</v>
      </c>
    </row>
    <row r="111" spans="1:11" x14ac:dyDescent="0.2">
      <c r="B111" s="9" t="s">
        <v>75</v>
      </c>
      <c r="C111" s="31"/>
      <c r="D111" s="13">
        <f>D108/D97</f>
        <v>3886.1521227217854</v>
      </c>
      <c r="E111" s="13">
        <f t="shared" ref="E111:K111" si="43">E108/E97</f>
        <v>3570.7042502000936</v>
      </c>
      <c r="F111" s="13">
        <f t="shared" si="43"/>
        <v>3555.5619391196615</v>
      </c>
      <c r="G111" s="13">
        <f t="shared" si="43"/>
        <v>3449.6764392266123</v>
      </c>
      <c r="H111" s="13">
        <f t="shared" si="43"/>
        <v>3432.1352244347017</v>
      </c>
      <c r="I111" s="13">
        <f t="shared" si="43"/>
        <v>3413.0399133088354</v>
      </c>
      <c r="J111" s="13">
        <f t="shared" si="43"/>
        <v>3392.2710429583003</v>
      </c>
      <c r="K111" s="13">
        <f t="shared" si="43"/>
        <v>3456.998544853061</v>
      </c>
    </row>
    <row r="112" spans="1:11" ht="12.75" customHeight="1" x14ac:dyDescent="0.2">
      <c r="D112" s="44">
        <f t="shared" ref="D112:K112" si="44">D111*D83</f>
        <v>102011.49322144687</v>
      </c>
      <c r="E112" s="44">
        <f t="shared" si="44"/>
        <v>93730.98656775245</v>
      </c>
      <c r="F112" s="44">
        <f t="shared" si="44"/>
        <v>93333.500901891108</v>
      </c>
      <c r="G112" s="44">
        <f t="shared" si="44"/>
        <v>91847.635194408547</v>
      </c>
      <c r="H112" s="44">
        <f t="shared" si="44"/>
        <v>91380.600350573935</v>
      </c>
      <c r="I112" s="44">
        <f t="shared" si="44"/>
        <v>90872.187691847736</v>
      </c>
      <c r="J112" s="44">
        <f t="shared" si="44"/>
        <v>90319.216518764748</v>
      </c>
      <c r="K112" s="44">
        <f t="shared" si="44"/>
        <v>90746.211802392849</v>
      </c>
    </row>
    <row r="116" spans="1:13" ht="12.75" customHeight="1" x14ac:dyDescent="0.25">
      <c r="A116" s="52" t="s">
        <v>136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1"/>
      <c r="M116" s="51"/>
    </row>
    <row r="117" spans="1:13" ht="12.75" customHeight="1" x14ac:dyDescent="0.2">
      <c r="A117" s="56" t="s">
        <v>138</v>
      </c>
      <c r="B117" s="56"/>
      <c r="C117" s="56"/>
      <c r="D117" s="56"/>
      <c r="E117" s="56"/>
      <c r="F117" s="56" t="s">
        <v>139</v>
      </c>
      <c r="G117" s="56" t="s">
        <v>178</v>
      </c>
      <c r="H117" s="56"/>
      <c r="I117" s="56"/>
      <c r="J117" s="56"/>
    </row>
    <row r="118" spans="1:13" ht="12.75" customHeight="1" x14ac:dyDescent="0.2">
      <c r="A118" s="56"/>
      <c r="B118" s="56" t="s">
        <v>140</v>
      </c>
      <c r="C118" s="56"/>
      <c r="D118" s="60">
        <f>K50</f>
        <v>158852.55996475925</v>
      </c>
      <c r="E118" s="57">
        <v>0.06</v>
      </c>
      <c r="F118" s="57">
        <f>D118/D120</f>
        <v>0.17048254403371535</v>
      </c>
      <c r="G118" s="57">
        <v>0.85</v>
      </c>
      <c r="H118" s="80">
        <f>G118*D120</f>
        <v>792014.67068289593</v>
      </c>
      <c r="I118" s="56"/>
      <c r="J118" s="56"/>
    </row>
    <row r="119" spans="1:13" ht="12.75" customHeight="1" x14ac:dyDescent="0.2">
      <c r="A119" s="56"/>
      <c r="B119" s="56" t="s">
        <v>141</v>
      </c>
      <c r="C119" s="56"/>
      <c r="D119" s="60">
        <f>K53+K54</f>
        <v>772929.40554453002</v>
      </c>
      <c r="E119" s="57">
        <v>0.08</v>
      </c>
      <c r="F119" s="57">
        <f>D119/D120</f>
        <v>0.82951745596628457</v>
      </c>
      <c r="G119" s="57">
        <v>0.15</v>
      </c>
      <c r="H119" s="80">
        <f>G119*D120</f>
        <v>139767.29482639339</v>
      </c>
      <c r="I119" s="56"/>
      <c r="J119" s="56"/>
    </row>
    <row r="120" spans="1:13" ht="12.75" customHeight="1" x14ac:dyDescent="0.2">
      <c r="A120" s="56"/>
      <c r="B120" s="56"/>
      <c r="C120" s="56"/>
      <c r="D120" s="79">
        <f>SUM(D118:D119)</f>
        <v>931781.96550928929</v>
      </c>
      <c r="E120" s="56"/>
      <c r="F120" s="56"/>
      <c r="G120" s="56"/>
      <c r="H120" s="56"/>
      <c r="I120" s="56"/>
      <c r="J120" s="56"/>
    </row>
    <row r="121" spans="1:13" ht="12.75" customHeight="1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1:13" ht="12.75" customHeight="1" x14ac:dyDescent="0.2">
      <c r="A122" s="56"/>
      <c r="B122" s="56" t="s">
        <v>142</v>
      </c>
      <c r="C122" s="56"/>
      <c r="D122" s="58">
        <v>0.35</v>
      </c>
      <c r="E122" s="56"/>
      <c r="F122" s="56"/>
      <c r="G122" s="56"/>
      <c r="H122" s="56"/>
      <c r="I122" s="56"/>
      <c r="J122" s="56"/>
    </row>
    <row r="123" spans="1:13" ht="12.75" customHeight="1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1:13" ht="12.75" customHeight="1" x14ac:dyDescent="0.2">
      <c r="A124" s="56"/>
      <c r="B124" s="56" t="s">
        <v>136</v>
      </c>
      <c r="C124" s="56"/>
      <c r="D124" s="59">
        <f>F118*E118*(1-D122)+(E119*F119)</f>
        <v>7.3010215694617672E-2</v>
      </c>
      <c r="E124" s="56"/>
      <c r="F124" s="56" t="s">
        <v>143</v>
      </c>
      <c r="G124" s="56"/>
      <c r="H124" s="56"/>
      <c r="I124" s="56"/>
      <c r="J124" s="56"/>
    </row>
    <row r="127" spans="1:13" ht="12.75" customHeight="1" x14ac:dyDescent="0.25">
      <c r="A127" s="61" t="s">
        <v>144</v>
      </c>
      <c r="B127" s="62"/>
      <c r="C127" s="62"/>
      <c r="D127" s="62">
        <v>0</v>
      </c>
      <c r="E127" s="62">
        <v>1</v>
      </c>
      <c r="F127" s="62">
        <v>2</v>
      </c>
      <c r="G127" s="62">
        <v>3</v>
      </c>
      <c r="H127" s="62">
        <v>4</v>
      </c>
      <c r="I127" s="62">
        <v>5</v>
      </c>
      <c r="J127" s="62">
        <v>6</v>
      </c>
      <c r="K127" s="62">
        <v>7</v>
      </c>
      <c r="L127" s="62">
        <v>8</v>
      </c>
    </row>
    <row r="128" spans="1:13" ht="12.75" customHeight="1" x14ac:dyDescent="0.25">
      <c r="A128" s="53"/>
      <c r="B128" s="53"/>
      <c r="C128" s="53"/>
      <c r="D128" s="53" t="s">
        <v>145</v>
      </c>
      <c r="E128" s="53" t="s">
        <v>146</v>
      </c>
      <c r="F128" s="53" t="s">
        <v>147</v>
      </c>
      <c r="G128" s="53" t="s">
        <v>148</v>
      </c>
      <c r="H128" s="53" t="s">
        <v>149</v>
      </c>
      <c r="I128" t="s">
        <v>165</v>
      </c>
      <c r="J128" t="s">
        <v>166</v>
      </c>
      <c r="K128" t="s">
        <v>167</v>
      </c>
      <c r="L128" t="s">
        <v>168</v>
      </c>
    </row>
    <row r="129" spans="1:13" ht="12.75" customHeight="1" x14ac:dyDescent="0.25">
      <c r="A129" s="53" t="s">
        <v>173</v>
      </c>
      <c r="B129" s="53"/>
      <c r="C129" s="53"/>
      <c r="D129" s="53"/>
      <c r="E129" s="53"/>
      <c r="F129" s="53"/>
      <c r="G129" s="53"/>
      <c r="H129" s="55"/>
      <c r="L129" s="68">
        <f>(1.3*(K42+K41)-K43)-(K42+K41-K43)</f>
        <v>210000</v>
      </c>
    </row>
    <row r="130" spans="1:13" ht="12.75" customHeight="1" x14ac:dyDescent="0.25">
      <c r="A130" s="53" t="s">
        <v>121</v>
      </c>
      <c r="B130" s="53"/>
      <c r="C130" s="53"/>
      <c r="D130" s="53"/>
      <c r="E130" s="53"/>
      <c r="F130" s="53"/>
      <c r="G130" s="53"/>
      <c r="H130" s="63"/>
      <c r="L130" s="67">
        <v>0.35</v>
      </c>
    </row>
    <row r="131" spans="1:13" ht="12.75" customHeight="1" x14ac:dyDescent="0.25">
      <c r="A131" s="53" t="s">
        <v>150</v>
      </c>
      <c r="B131" s="53"/>
      <c r="C131" s="53"/>
      <c r="D131" s="53"/>
      <c r="E131" s="53"/>
      <c r="F131" s="53"/>
      <c r="G131" s="53"/>
      <c r="H131" s="55"/>
      <c r="L131" s="68">
        <f>L129*L130</f>
        <v>73500</v>
      </c>
    </row>
    <row r="132" spans="1:13" ht="12.75" customHeight="1" x14ac:dyDescent="0.25">
      <c r="A132" s="53"/>
      <c r="B132" s="53"/>
      <c r="C132" s="53"/>
      <c r="D132" s="53"/>
      <c r="E132" s="53"/>
      <c r="F132" s="53"/>
      <c r="G132" s="53"/>
      <c r="H132" s="53"/>
    </row>
    <row r="133" spans="1:13" ht="12.75" customHeight="1" x14ac:dyDescent="0.25">
      <c r="A133" s="53" t="s">
        <v>151</v>
      </c>
      <c r="B133" s="53"/>
      <c r="C133" s="53"/>
      <c r="D133" s="53"/>
      <c r="E133" s="53"/>
      <c r="F133" s="53"/>
      <c r="G133" s="53"/>
      <c r="H133" s="53"/>
    </row>
    <row r="134" spans="1:13" ht="12.75" customHeight="1" x14ac:dyDescent="0.25">
      <c r="A134" s="53"/>
      <c r="B134" s="53" t="s">
        <v>152</v>
      </c>
      <c r="C134" s="53"/>
      <c r="D134" s="55">
        <f>-('Mortgage Table'!C4+'IS &amp; BS'!D54)</f>
        <v>-600000</v>
      </c>
      <c r="E134" s="53"/>
      <c r="F134" s="53"/>
      <c r="G134" s="53"/>
      <c r="H134" s="53"/>
    </row>
    <row r="135" spans="1:13" ht="12.75" customHeight="1" x14ac:dyDescent="0.25">
      <c r="A135" s="53"/>
      <c r="B135" s="53" t="s">
        <v>171</v>
      </c>
      <c r="C135" s="53"/>
      <c r="D135" s="55"/>
      <c r="E135" s="53"/>
      <c r="F135" s="53"/>
      <c r="G135" s="53"/>
      <c r="H135" s="53"/>
      <c r="L135">
        <f>(D42-K43)*2</f>
        <v>720000</v>
      </c>
      <c r="M135" t="s">
        <v>169</v>
      </c>
    </row>
    <row r="136" spans="1:13" ht="12.75" customHeight="1" x14ac:dyDescent="0.25">
      <c r="A136" s="53"/>
      <c r="B136" s="53" t="s">
        <v>153</v>
      </c>
      <c r="C136" s="53"/>
      <c r="D136" s="55"/>
      <c r="E136" s="53"/>
      <c r="F136" s="53"/>
      <c r="G136" s="53"/>
      <c r="H136" s="53"/>
      <c r="L136">
        <f>-(L135-M136)*L130</f>
        <v>-125999.99999999999</v>
      </c>
      <c r="M136" s="68">
        <f>K42-K43</f>
        <v>360000</v>
      </c>
    </row>
    <row r="137" spans="1:13" s="29" customFormat="1" ht="12.75" customHeight="1" x14ac:dyDescent="0.25">
      <c r="A137" s="53"/>
      <c r="B137" s="53" t="s">
        <v>170</v>
      </c>
      <c r="C137" s="53"/>
      <c r="D137" s="55"/>
      <c r="E137" s="69">
        <f t="shared" ref="E137:L137" si="45">D10-D16-D24</f>
        <v>57697.599999999991</v>
      </c>
      <c r="F137" s="69">
        <f t="shared" si="45"/>
        <v>61862.979999999981</v>
      </c>
      <c r="G137" s="69">
        <f t="shared" si="45"/>
        <v>66235.54899999997</v>
      </c>
      <c r="H137" s="69">
        <f t="shared" si="45"/>
        <v>73985.950299999982</v>
      </c>
      <c r="I137" s="69">
        <f t="shared" si="45"/>
        <v>78962.409643000021</v>
      </c>
      <c r="J137" s="69">
        <f t="shared" si="45"/>
        <v>84186.511807990028</v>
      </c>
      <c r="K137" s="69">
        <f t="shared" si="45"/>
        <v>89670.603531714703</v>
      </c>
      <c r="L137" s="69">
        <f t="shared" si="45"/>
        <v>91816.746721004951</v>
      </c>
      <c r="M137" s="68"/>
    </row>
    <row r="138" spans="1:13" ht="12.75" customHeight="1" x14ac:dyDescent="0.25">
      <c r="A138" s="64" t="s">
        <v>154</v>
      </c>
      <c r="B138" s="53"/>
      <c r="C138" s="53"/>
      <c r="D138" s="53"/>
      <c r="E138" s="55">
        <f t="shared" ref="E138:L138" si="46">E137-D26</f>
        <v>37697.599999999991</v>
      </c>
      <c r="F138" s="55">
        <f t="shared" si="46"/>
        <v>41862.979999999981</v>
      </c>
      <c r="G138" s="55">
        <f t="shared" si="46"/>
        <v>46235.54899999997</v>
      </c>
      <c r="H138" s="55">
        <f t="shared" si="46"/>
        <v>53985.950299999982</v>
      </c>
      <c r="I138" s="55">
        <f t="shared" si="46"/>
        <v>58962.409643000021</v>
      </c>
      <c r="J138" s="55">
        <f t="shared" si="46"/>
        <v>64186.511807990028</v>
      </c>
      <c r="K138" s="55">
        <f t="shared" si="46"/>
        <v>69670.603531714703</v>
      </c>
      <c r="L138" s="55">
        <f t="shared" si="46"/>
        <v>71816.746721004951</v>
      </c>
    </row>
    <row r="139" spans="1:13" ht="12.75" customHeight="1" x14ac:dyDescent="0.25">
      <c r="A139" s="53"/>
      <c r="B139" s="53" t="s">
        <v>155</v>
      </c>
      <c r="C139" s="53"/>
      <c r="D139" s="53"/>
      <c r="E139" s="65">
        <f t="shared" ref="E139:L139" si="47">E138*$D$122</f>
        <v>13194.159999999996</v>
      </c>
      <c r="F139" s="65">
        <f t="shared" si="47"/>
        <v>14652.042999999992</v>
      </c>
      <c r="G139" s="65">
        <f t="shared" si="47"/>
        <v>16182.442149999988</v>
      </c>
      <c r="H139" s="65">
        <f t="shared" si="47"/>
        <v>18895.082604999992</v>
      </c>
      <c r="I139" s="65">
        <f t="shared" si="47"/>
        <v>20636.843375050004</v>
      </c>
      <c r="J139" s="65">
        <f t="shared" si="47"/>
        <v>22465.27913279651</v>
      </c>
      <c r="K139" s="65">
        <f t="shared" si="47"/>
        <v>24384.711236100145</v>
      </c>
      <c r="L139" s="65">
        <f t="shared" si="47"/>
        <v>25135.861352351731</v>
      </c>
    </row>
    <row r="140" spans="1:13" ht="12.75" customHeight="1" x14ac:dyDescent="0.25">
      <c r="A140" s="53"/>
      <c r="B140" s="53" t="s">
        <v>156</v>
      </c>
      <c r="C140" s="53"/>
      <c r="D140" s="53"/>
      <c r="E140" s="65">
        <f>E138-E139</f>
        <v>24503.439999999995</v>
      </c>
      <c r="F140" s="65">
        <f t="shared" ref="F140:L140" si="48">F138-F139</f>
        <v>27210.936999999991</v>
      </c>
      <c r="G140" s="65">
        <f t="shared" si="48"/>
        <v>30053.106849999982</v>
      </c>
      <c r="H140" s="65">
        <f t="shared" si="48"/>
        <v>35090.867694999994</v>
      </c>
      <c r="I140" s="65">
        <f t="shared" si="48"/>
        <v>38325.566267950016</v>
      </c>
      <c r="J140" s="65">
        <f t="shared" si="48"/>
        <v>41721.232675193518</v>
      </c>
      <c r="K140" s="65">
        <f t="shared" si="48"/>
        <v>45285.892295614554</v>
      </c>
      <c r="L140" s="65">
        <f t="shared" si="48"/>
        <v>46680.885368653224</v>
      </c>
    </row>
    <row r="141" spans="1:13" ht="12.75" customHeight="1" x14ac:dyDescent="0.25">
      <c r="A141" s="53"/>
      <c r="B141" s="64" t="s">
        <v>157</v>
      </c>
      <c r="C141" s="64"/>
      <c r="D141" s="53"/>
      <c r="E141" s="65">
        <f t="shared" ref="E141:L141" si="49">E140+G65</f>
        <v>24504.141909455931</v>
      </c>
      <c r="F141" s="65">
        <f t="shared" si="49"/>
        <v>27211.990328272565</v>
      </c>
      <c r="G141" s="65">
        <f t="shared" si="49"/>
        <v>30054.573903878209</v>
      </c>
      <c r="H141" s="65">
        <f t="shared" si="49"/>
        <v>35092.828074408411</v>
      </c>
      <c r="I141" s="65">
        <f t="shared" si="49"/>
        <v>38328.122511621346</v>
      </c>
      <c r="J141" s="65">
        <f t="shared" si="49"/>
        <v>41721.232675193518</v>
      </c>
      <c r="K141" s="65">
        <f t="shared" si="49"/>
        <v>45285.892295614554</v>
      </c>
      <c r="L141" s="65">
        <f t="shared" si="49"/>
        <v>46680.885368653224</v>
      </c>
    </row>
    <row r="142" spans="1:13" ht="12.75" customHeight="1" x14ac:dyDescent="0.25">
      <c r="A142" s="53"/>
      <c r="B142" s="53"/>
      <c r="C142" s="53"/>
      <c r="D142" s="53"/>
      <c r="E142" s="53"/>
      <c r="F142" s="53"/>
      <c r="G142" s="53"/>
      <c r="H142" s="53"/>
    </row>
    <row r="143" spans="1:13" ht="12.75" customHeight="1" x14ac:dyDescent="0.25">
      <c r="A143" s="53"/>
      <c r="B143" s="53"/>
      <c r="C143" s="53"/>
      <c r="D143" s="53"/>
      <c r="E143" s="53"/>
      <c r="F143" s="53"/>
      <c r="G143" s="53"/>
      <c r="H143" s="53"/>
    </row>
    <row r="144" spans="1:13" ht="12.75" customHeight="1" x14ac:dyDescent="0.25">
      <c r="A144" s="53"/>
      <c r="B144" s="53"/>
      <c r="C144" s="53"/>
      <c r="D144" s="53"/>
      <c r="E144" s="53"/>
      <c r="F144" s="53"/>
      <c r="G144" s="53"/>
      <c r="H144" s="53"/>
    </row>
    <row r="145" spans="1:12 16384:16384" ht="12.75" customHeight="1" x14ac:dyDescent="0.25">
      <c r="A145" s="64" t="s">
        <v>158</v>
      </c>
      <c r="B145" s="53"/>
      <c r="C145" s="53"/>
      <c r="D145" s="53"/>
      <c r="E145" s="53"/>
      <c r="F145" s="53"/>
      <c r="G145" s="53"/>
      <c r="H145" s="53"/>
    </row>
    <row r="146" spans="1:12 16384:16384" ht="12.75" customHeight="1" x14ac:dyDescent="0.25">
      <c r="A146" s="53"/>
      <c r="B146" s="53" t="s">
        <v>118</v>
      </c>
      <c r="C146" s="53"/>
      <c r="D146" s="53">
        <v>0</v>
      </c>
      <c r="E146" s="55">
        <f>D37-0</f>
        <v>150</v>
      </c>
      <c r="F146" s="55">
        <v>0</v>
      </c>
      <c r="G146" s="55">
        <v>0</v>
      </c>
      <c r="H146" s="55">
        <v>0</v>
      </c>
      <c r="I146" s="70">
        <v>0</v>
      </c>
      <c r="J146" s="70">
        <v>0</v>
      </c>
      <c r="K146" s="70">
        <v>0</v>
      </c>
      <c r="L146" s="70">
        <v>0</v>
      </c>
    </row>
    <row r="147" spans="1:12 16384:16384" ht="12.75" customHeight="1" x14ac:dyDescent="0.25">
      <c r="A147" s="53"/>
      <c r="B147" s="53" t="s">
        <v>7</v>
      </c>
      <c r="C147" s="53"/>
      <c r="D147" s="53">
        <v>0</v>
      </c>
      <c r="E147" s="55">
        <f>D38-C38</f>
        <v>11405.333333333334</v>
      </c>
      <c r="F147" s="55">
        <f>E38-D38</f>
        <v>1471.6559139784949</v>
      </c>
      <c r="G147" s="55">
        <f>F38-E38</f>
        <v>1661.5469996531374</v>
      </c>
      <c r="H147" s="55">
        <f>G38-F38</f>
        <v>1875.94016089871</v>
      </c>
      <c r="I147" s="55">
        <f>H38-G38</f>
        <v>2117.9969558533776</v>
      </c>
      <c r="J147" s="55">
        <f>I38-H38</f>
        <v>2391.2868856409114</v>
      </c>
      <c r="K147" s="55">
        <f>J38-I38</f>
        <v>2699.840032175227</v>
      </c>
      <c r="L147" s="55">
        <f>K38-J38</f>
        <v>3793.0308791085627</v>
      </c>
      <c r="XFD147" s="55">
        <f>XFC38-XFB38</f>
        <v>0</v>
      </c>
    </row>
    <row r="148" spans="1:12 16384:16384" ht="12.75" customHeight="1" x14ac:dyDescent="0.25">
      <c r="A148" s="53"/>
      <c r="B148" s="53" t="s">
        <v>1</v>
      </c>
      <c r="C148" s="53"/>
      <c r="D148" s="53">
        <v>0</v>
      </c>
      <c r="E148" s="55">
        <f>C48-D48</f>
        <v>-3091.7249999999999</v>
      </c>
      <c r="F148" s="55">
        <f t="shared" ref="F148:L148" si="50">D48-E48</f>
        <v>115.93968749999976</v>
      </c>
      <c r="G148" s="55">
        <f t="shared" si="50"/>
        <v>135.26296875000025</v>
      </c>
      <c r="H148" s="55">
        <f t="shared" si="50"/>
        <v>156.22872890624967</v>
      </c>
      <c r="I148" s="55">
        <f t="shared" si="50"/>
        <v>178.95290765625032</v>
      </c>
      <c r="J148" s="55">
        <f t="shared" si="50"/>
        <v>203.55893245898369</v>
      </c>
      <c r="K148" s="55">
        <f t="shared" si="50"/>
        <v>230.17817747285198</v>
      </c>
      <c r="L148" s="55">
        <f t="shared" si="50"/>
        <v>209.59933379150357</v>
      </c>
    </row>
    <row r="149" spans="1:12 16384:16384" ht="12.75" customHeight="1" x14ac:dyDescent="0.25">
      <c r="A149" s="53"/>
      <c r="B149" s="53" t="s">
        <v>159</v>
      </c>
      <c r="C149" s="53"/>
      <c r="D149" s="53">
        <v>0</v>
      </c>
      <c r="E149" s="71">
        <f>-(E139-D139)</f>
        <v>-13194.159999999996</v>
      </c>
      <c r="F149" s="71">
        <f t="shared" ref="F149:L149" si="51">-(F139-E139)</f>
        <v>-1457.8829999999962</v>
      </c>
      <c r="G149" s="71">
        <f t="shared" si="51"/>
        <v>-1530.3991499999956</v>
      </c>
      <c r="H149" s="71">
        <f t="shared" si="51"/>
        <v>-2712.6404550000043</v>
      </c>
      <c r="I149" s="71">
        <f t="shared" si="51"/>
        <v>-1741.7607700500121</v>
      </c>
      <c r="J149" s="71">
        <f t="shared" si="51"/>
        <v>-1828.4357577465053</v>
      </c>
      <c r="K149" s="71">
        <f t="shared" si="51"/>
        <v>-1919.4321033036358</v>
      </c>
      <c r="L149" s="71">
        <f t="shared" si="51"/>
        <v>-751.15011625158513</v>
      </c>
    </row>
    <row r="150" spans="1:12 16384:16384" ht="12.75" customHeight="1" x14ac:dyDescent="0.25">
      <c r="A150" s="53"/>
      <c r="B150" s="53"/>
      <c r="C150" s="53"/>
      <c r="D150" s="53"/>
      <c r="E150" s="53"/>
      <c r="F150" s="53"/>
      <c r="G150" s="53"/>
      <c r="H150" s="53"/>
    </row>
    <row r="151" spans="1:12 16384:16384" ht="12.75" customHeight="1" x14ac:dyDescent="0.25">
      <c r="A151" s="64" t="s">
        <v>160</v>
      </c>
      <c r="B151" s="53"/>
      <c r="C151" s="53"/>
      <c r="D151" s="53"/>
      <c r="E151" s="53"/>
      <c r="F151" s="53"/>
      <c r="G151" s="53"/>
      <c r="H151" s="53"/>
    </row>
    <row r="152" spans="1:12 16384:16384" ht="12.75" customHeight="1" x14ac:dyDescent="0.25">
      <c r="A152" s="53"/>
      <c r="B152" s="53" t="s">
        <v>118</v>
      </c>
      <c r="C152" s="53"/>
      <c r="D152" s="53">
        <v>0</v>
      </c>
      <c r="E152" s="53">
        <v>0</v>
      </c>
      <c r="F152" s="53">
        <v>0</v>
      </c>
      <c r="G152" s="53">
        <v>0</v>
      </c>
      <c r="H152" s="55">
        <f>M76</f>
        <v>0</v>
      </c>
      <c r="I152" s="72">
        <v>0</v>
      </c>
      <c r="J152" s="72">
        <v>0</v>
      </c>
      <c r="K152" s="72">
        <v>0</v>
      </c>
      <c r="L152" s="68">
        <f>K37</f>
        <v>150</v>
      </c>
    </row>
    <row r="153" spans="1:12 16384:16384" ht="12.75" customHeight="1" x14ac:dyDescent="0.25">
      <c r="A153" s="53"/>
      <c r="B153" s="53" t="s">
        <v>7</v>
      </c>
      <c r="C153" s="53"/>
      <c r="D153" s="53">
        <v>0</v>
      </c>
      <c r="E153" s="53">
        <v>0</v>
      </c>
      <c r="F153" s="53">
        <v>0</v>
      </c>
      <c r="G153" s="53">
        <v>0</v>
      </c>
      <c r="H153" s="55">
        <f>M77</f>
        <v>0</v>
      </c>
      <c r="I153" s="72">
        <v>0</v>
      </c>
      <c r="J153" s="72">
        <v>0</v>
      </c>
      <c r="K153" s="72">
        <v>0</v>
      </c>
      <c r="L153" s="68">
        <f>K38</f>
        <v>27416.631160641755</v>
      </c>
    </row>
    <row r="154" spans="1:12 16384:16384" ht="12.75" customHeight="1" x14ac:dyDescent="0.25">
      <c r="A154" s="53"/>
      <c r="B154" s="53" t="s">
        <v>1</v>
      </c>
      <c r="C154" s="53"/>
      <c r="D154" s="53">
        <v>0</v>
      </c>
      <c r="E154" s="53">
        <v>0</v>
      </c>
      <c r="F154" s="53">
        <v>0</v>
      </c>
      <c r="G154" s="53">
        <v>0</v>
      </c>
      <c r="H154" s="55">
        <f>-M87</f>
        <v>0</v>
      </c>
      <c r="I154" s="72">
        <v>0</v>
      </c>
      <c r="J154" s="72">
        <v>0</v>
      </c>
      <c r="K154" s="72">
        <v>0</v>
      </c>
      <c r="L154" s="68">
        <f>-K48</f>
        <v>-1862.0042634641607</v>
      </c>
    </row>
    <row r="155" spans="1:12 16384:16384" ht="12.75" customHeight="1" x14ac:dyDescent="0.25">
      <c r="A155" s="53"/>
      <c r="B155" s="53" t="s">
        <v>159</v>
      </c>
      <c r="C155" s="53"/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72">
        <v>0</v>
      </c>
      <c r="J155" s="72">
        <v>0</v>
      </c>
      <c r="K155" s="72">
        <v>0</v>
      </c>
      <c r="L155" s="68">
        <f>-L139</f>
        <v>-25135.861352351731</v>
      </c>
    </row>
    <row r="156" spans="1:12 16384:16384" ht="12.75" customHeight="1" x14ac:dyDescent="0.25">
      <c r="A156" s="53"/>
      <c r="B156" s="53"/>
      <c r="C156" s="53"/>
      <c r="D156" s="53"/>
      <c r="E156" s="53"/>
      <c r="F156" s="53"/>
      <c r="G156" s="53"/>
      <c r="H156" s="53"/>
    </row>
    <row r="157" spans="1:12 16384:16384" ht="12.75" customHeight="1" x14ac:dyDescent="0.25">
      <c r="A157" s="64" t="s">
        <v>161</v>
      </c>
      <c r="B157" s="53"/>
      <c r="C157" s="53"/>
      <c r="D157" s="55">
        <f>SUM(D134:D155)</f>
        <v>-600000</v>
      </c>
      <c r="E157" s="65">
        <f>E141+SUM(E146:E155)+SUM(E134:E136)</f>
        <v>19773.590242789269</v>
      </c>
      <c r="F157" s="65">
        <f>F141+SUM(F146:F155)+SUM(F134:F136)</f>
        <v>27341.702929751063</v>
      </c>
      <c r="G157" s="65">
        <f>G141+SUM(G146:G155)+SUM(G134:G136)</f>
        <v>30320.984722281351</v>
      </c>
      <c r="H157" s="65">
        <f>H141+SUM(H146:H155)+SUM(H134:H136)</f>
        <v>34412.356509213365</v>
      </c>
      <c r="I157" s="65">
        <f t="shared" ref="I157:L157" si="52">I141+SUM(I146:I155)+SUM(I134:I136)</f>
        <v>38883.311605080962</v>
      </c>
      <c r="J157" s="65">
        <f t="shared" si="52"/>
        <v>42487.642735546906</v>
      </c>
      <c r="K157" s="65">
        <f t="shared" si="52"/>
        <v>46296.478401959001</v>
      </c>
      <c r="L157" s="65">
        <f t="shared" si="52"/>
        <v>644501.1310101276</v>
      </c>
    </row>
    <row r="158" spans="1:12 16384:16384" ht="12.75" customHeight="1" x14ac:dyDescent="0.25">
      <c r="A158" s="64" t="s">
        <v>162</v>
      </c>
      <c r="B158" s="53"/>
      <c r="C158" s="53"/>
      <c r="D158" s="66">
        <f>-PV($D$124,D127,,D157)</f>
        <v>-600000</v>
      </c>
      <c r="E158" s="66">
        <f t="shared" ref="E158:L158" si="53">-PV($D$124,E127,,E157)</f>
        <v>18428.147238084541</v>
      </c>
      <c r="F158" s="66">
        <f t="shared" si="53"/>
        <v>23747.497295494013</v>
      </c>
      <c r="G158" s="66">
        <f t="shared" si="53"/>
        <v>24543.230799316232</v>
      </c>
      <c r="H158" s="66">
        <f t="shared" si="53"/>
        <v>25959.659192711151</v>
      </c>
      <c r="I158" s="66">
        <f t="shared" si="53"/>
        <v>27336.566264010424</v>
      </c>
      <c r="J158" s="66">
        <f t="shared" si="53"/>
        <v>27838.093952173778</v>
      </c>
      <c r="K158" s="66">
        <f t="shared" si="53"/>
        <v>28269.684396780518</v>
      </c>
      <c r="L158" s="66">
        <f t="shared" si="53"/>
        <v>366769.17636102001</v>
      </c>
    </row>
    <row r="159" spans="1:12 16384:16384" ht="12.75" customHeight="1" x14ac:dyDescent="0.25">
      <c r="A159" s="53"/>
      <c r="B159" s="53"/>
      <c r="C159" s="53"/>
      <c r="D159" s="53"/>
      <c r="E159" s="53"/>
      <c r="F159" s="53"/>
      <c r="G159" s="53"/>
      <c r="H159" s="53"/>
    </row>
    <row r="160" spans="1:12 16384:16384" ht="12.75" customHeight="1" x14ac:dyDescent="0.25">
      <c r="A160" s="64" t="s">
        <v>163</v>
      </c>
      <c r="B160" s="53"/>
      <c r="C160" s="53"/>
      <c r="D160" s="66">
        <f>SUM(D158:L158)</f>
        <v>-57107.944500409358</v>
      </c>
      <c r="E160" s="55"/>
      <c r="F160" s="53"/>
      <c r="G160" s="53"/>
      <c r="H160" s="53"/>
    </row>
    <row r="161" spans="1:8" ht="12.75" customHeight="1" x14ac:dyDescent="0.25">
      <c r="A161" s="53"/>
      <c r="B161" s="53"/>
      <c r="C161" s="53"/>
      <c r="D161" s="53"/>
      <c r="E161" s="53"/>
      <c r="F161" s="53"/>
      <c r="G161" s="53"/>
      <c r="H161" s="53"/>
    </row>
    <row r="162" spans="1:8" ht="12.75" customHeight="1" x14ac:dyDescent="0.25">
      <c r="A162" s="64" t="s">
        <v>164</v>
      </c>
      <c r="B162" s="53"/>
      <c r="C162" s="53"/>
      <c r="D162" s="54">
        <f>IRR(D157:L157)</f>
        <v>5.736226692922286E-2</v>
      </c>
      <c r="E162" s="53"/>
      <c r="F162" s="53"/>
      <c r="G162" s="53"/>
      <c r="H162" s="53"/>
    </row>
    <row r="163" spans="1:8" ht="12.75" customHeight="1" x14ac:dyDescent="0.25">
      <c r="A163" s="53" t="s">
        <v>137</v>
      </c>
      <c r="B163" s="53"/>
      <c r="C163" s="53"/>
      <c r="D163" s="73">
        <f>D124</f>
        <v>7.3010215694617672E-2</v>
      </c>
      <c r="E163" s="53"/>
      <c r="F163" s="53"/>
      <c r="G163" s="53"/>
      <c r="H163" s="53"/>
    </row>
    <row r="165" spans="1:8" s="50" customFormat="1" ht="12.75" customHeight="1" x14ac:dyDescent="0.2">
      <c r="A165" s="50" t="s">
        <v>177</v>
      </c>
      <c r="D165" s="50">
        <v>1</v>
      </c>
    </row>
    <row r="166" spans="1:8" s="50" customFormat="1" ht="12.75" customHeight="1" x14ac:dyDescent="0.2"/>
    <row r="167" spans="1:8" ht="12.75" customHeight="1" x14ac:dyDescent="0.25">
      <c r="A167" s="74" t="s">
        <v>174</v>
      </c>
      <c r="B167" s="75"/>
      <c r="D167" s="76">
        <f>D165/(1+(1-D122)*(F118/F119))</f>
        <v>0.8821546447926798</v>
      </c>
    </row>
    <row r="168" spans="1:8" ht="12.75" customHeight="1" x14ac:dyDescent="0.25">
      <c r="A168" s="75"/>
      <c r="B168" s="75"/>
      <c r="D168" s="76"/>
    </row>
    <row r="169" spans="1:8" ht="12.75" customHeight="1" x14ac:dyDescent="0.25">
      <c r="A169" s="74" t="s">
        <v>175</v>
      </c>
      <c r="B169" s="75"/>
      <c r="D169" s="76">
        <f>D167*(1+(1-D122)*(G118/G119))</f>
        <v>4.1314242531123844</v>
      </c>
    </row>
    <row r="170" spans="1:8" ht="12.75" customHeight="1" x14ac:dyDescent="0.25">
      <c r="A170" s="75"/>
      <c r="B170" s="75"/>
      <c r="D170" s="75"/>
    </row>
    <row r="171" spans="1:8" ht="12.75" customHeight="1" x14ac:dyDescent="0.25">
      <c r="A171" s="77" t="s">
        <v>176</v>
      </c>
      <c r="B171" s="75"/>
      <c r="D171" s="78">
        <f>G118*(1-D124)*E118+G119*E119</f>
        <v>5.92764789995745E-2</v>
      </c>
    </row>
  </sheetData>
  <mergeCells count="20">
    <mergeCell ref="A1:K1"/>
    <mergeCell ref="B2:K2"/>
    <mergeCell ref="A4:B4"/>
    <mergeCell ref="A10:B10"/>
    <mergeCell ref="A12:B12"/>
    <mergeCell ref="A16:B16"/>
    <mergeCell ref="A18:B18"/>
    <mergeCell ref="A24:B24"/>
    <mergeCell ref="A30:B30"/>
    <mergeCell ref="A32:B32"/>
    <mergeCell ref="A34:B34"/>
    <mergeCell ref="A35:B35"/>
    <mergeCell ref="A39:B39"/>
    <mergeCell ref="A45:B45"/>
    <mergeCell ref="A56:B56"/>
    <mergeCell ref="A59:B59"/>
    <mergeCell ref="A64:B64"/>
    <mergeCell ref="A75:B75"/>
    <mergeCell ref="A97:B97"/>
    <mergeCell ref="A100:B100"/>
  </mergeCells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workbookViewId="0">
      <selection activeCell="E4" sqref="E4"/>
    </sheetView>
  </sheetViews>
  <sheetFormatPr defaultColWidth="17.140625" defaultRowHeight="12.75" customHeight="1" x14ac:dyDescent="0.2"/>
  <cols>
    <col min="1" max="1" width="21.140625" customWidth="1"/>
    <col min="2" max="2" width="4.7109375" bestFit="1" customWidth="1"/>
    <col min="3" max="3" width="31.7109375" customWidth="1"/>
    <col min="4" max="23" width="17.140625" customWidth="1"/>
  </cols>
  <sheetData>
    <row r="1" spans="1:23" x14ac:dyDescent="0.2">
      <c r="B1" s="14" t="s">
        <v>20</v>
      </c>
      <c r="C1" s="2" t="s">
        <v>39</v>
      </c>
      <c r="D1" s="2"/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</row>
    <row r="2" spans="1:23" x14ac:dyDescent="0.2">
      <c r="B2" s="15"/>
      <c r="C2" s="89" t="s">
        <v>6</v>
      </c>
      <c r="D2" s="89"/>
      <c r="E2" s="89"/>
      <c r="F2" s="89"/>
      <c r="G2" s="89"/>
      <c r="H2" s="89"/>
      <c r="I2" s="89"/>
      <c r="J2" s="89"/>
      <c r="K2" s="89"/>
      <c r="L2" s="89"/>
    </row>
    <row r="3" spans="1:23" ht="14.45" customHeight="1" x14ac:dyDescent="0.2">
      <c r="B3" s="16"/>
      <c r="C3" s="7" t="s">
        <v>111</v>
      </c>
      <c r="E3" s="17">
        <v>350</v>
      </c>
    </row>
    <row r="4" spans="1:23" x14ac:dyDescent="0.2">
      <c r="A4" s="18" t="s">
        <v>79</v>
      </c>
      <c r="B4" s="19">
        <v>0.05</v>
      </c>
      <c r="C4" s="7" t="s">
        <v>33</v>
      </c>
      <c r="E4" s="13">
        <f>E3*52</f>
        <v>18200</v>
      </c>
      <c r="F4" s="13">
        <f t="shared" ref="F4:L4" si="0">E4*(1+$B$4)</f>
        <v>19110</v>
      </c>
      <c r="G4" s="13">
        <f t="shared" si="0"/>
        <v>20065.5</v>
      </c>
      <c r="H4" s="13">
        <f t="shared" si="0"/>
        <v>21068.775000000001</v>
      </c>
      <c r="I4" s="13">
        <f t="shared" si="0"/>
        <v>22122.213750000003</v>
      </c>
      <c r="J4" s="13">
        <f t="shared" si="0"/>
        <v>23228.324437500003</v>
      </c>
      <c r="K4" s="13">
        <f t="shared" si="0"/>
        <v>24389.740659375006</v>
      </c>
      <c r="L4" s="13">
        <f t="shared" si="0"/>
        <v>25609.227692343757</v>
      </c>
    </row>
    <row r="5" spans="1:23" x14ac:dyDescent="0.2">
      <c r="A5" s="18" t="s">
        <v>121</v>
      </c>
      <c r="B5" s="19">
        <v>0.35</v>
      </c>
      <c r="F5" s="13"/>
      <c r="G5" s="13"/>
      <c r="H5" s="13"/>
      <c r="I5" s="13"/>
      <c r="J5" s="13"/>
      <c r="K5" s="13"/>
      <c r="L5" s="13"/>
    </row>
    <row r="6" spans="1:23" ht="16.149999999999999" customHeight="1" x14ac:dyDescent="0.2">
      <c r="A6" s="18" t="s">
        <v>126</v>
      </c>
      <c r="B6" s="19">
        <v>0.12</v>
      </c>
      <c r="F6" s="13"/>
      <c r="G6" s="13"/>
      <c r="H6" s="13"/>
      <c r="I6" s="13"/>
      <c r="J6" s="13"/>
      <c r="K6" s="13"/>
      <c r="L6" s="13"/>
    </row>
    <row r="7" spans="1:23" x14ac:dyDescent="0.2">
      <c r="A7" s="18"/>
      <c r="B7" s="16"/>
      <c r="F7" s="13"/>
      <c r="G7" s="13"/>
      <c r="H7" s="13"/>
      <c r="I7" s="13"/>
      <c r="J7" s="13"/>
      <c r="K7" s="13"/>
      <c r="L7" s="13"/>
    </row>
    <row r="8" spans="1:23" x14ac:dyDescent="0.2">
      <c r="A8" s="9" t="s">
        <v>11</v>
      </c>
      <c r="B8" s="16"/>
      <c r="F8" s="13"/>
      <c r="G8" s="13"/>
      <c r="H8" s="13"/>
      <c r="I8" s="13"/>
      <c r="J8" s="13"/>
      <c r="K8" s="13"/>
      <c r="L8" s="13"/>
    </row>
    <row r="9" spans="1:23" x14ac:dyDescent="0.2">
      <c r="B9" s="19">
        <v>0.6</v>
      </c>
      <c r="C9" s="7" t="s">
        <v>52</v>
      </c>
      <c r="F9" s="13"/>
      <c r="G9" s="13"/>
      <c r="H9" s="13"/>
      <c r="I9" s="13"/>
      <c r="J9" s="13"/>
      <c r="K9" s="13"/>
      <c r="L9" s="13"/>
    </row>
    <row r="10" spans="1:23" x14ac:dyDescent="0.2">
      <c r="B10" s="16"/>
      <c r="C10" s="7" t="s">
        <v>95</v>
      </c>
      <c r="E10" s="13">
        <f t="shared" ref="E10:L10" si="1">E4*$B$9</f>
        <v>10920</v>
      </c>
      <c r="F10" s="13">
        <f t="shared" si="1"/>
        <v>11466</v>
      </c>
      <c r="G10" s="13">
        <f t="shared" si="1"/>
        <v>12039.3</v>
      </c>
      <c r="H10" s="13">
        <f t="shared" si="1"/>
        <v>12641.265000000001</v>
      </c>
      <c r="I10" s="13">
        <f t="shared" si="1"/>
        <v>13273.32825</v>
      </c>
      <c r="J10" s="13">
        <f t="shared" si="1"/>
        <v>13936.994662500001</v>
      </c>
      <c r="K10" s="13">
        <f t="shared" si="1"/>
        <v>14633.844395625003</v>
      </c>
      <c r="L10" s="13">
        <f t="shared" si="1"/>
        <v>15365.536615406254</v>
      </c>
    </row>
    <row r="11" spans="1:23" x14ac:dyDescent="0.2">
      <c r="A11" s="18"/>
      <c r="B11" s="16"/>
      <c r="C11" s="7" t="s">
        <v>51</v>
      </c>
      <c r="E11" s="20">
        <v>8</v>
      </c>
      <c r="F11" s="20">
        <v>8</v>
      </c>
      <c r="G11" s="20">
        <v>8</v>
      </c>
      <c r="H11" s="20">
        <v>8.25</v>
      </c>
      <c r="I11" s="20">
        <v>8.25</v>
      </c>
      <c r="J11" s="20">
        <v>8.25</v>
      </c>
      <c r="K11" s="20">
        <v>8.25</v>
      </c>
      <c r="L11" s="20">
        <v>8</v>
      </c>
    </row>
    <row r="12" spans="1:23" x14ac:dyDescent="0.2">
      <c r="A12" s="21"/>
      <c r="B12" s="19">
        <v>0.65</v>
      </c>
      <c r="C12" s="13" t="s">
        <v>115</v>
      </c>
      <c r="D12" s="13"/>
      <c r="E12" s="13">
        <f t="shared" ref="E12:K12" si="2">$B$12*E10</f>
        <v>7098</v>
      </c>
      <c r="F12" s="13">
        <f t="shared" si="2"/>
        <v>7452.9000000000005</v>
      </c>
      <c r="G12" s="13">
        <f t="shared" si="2"/>
        <v>7825.5450000000001</v>
      </c>
      <c r="H12" s="13">
        <f t="shared" si="2"/>
        <v>8216.8222500000011</v>
      </c>
      <c r="I12" s="13">
        <f t="shared" si="2"/>
        <v>8627.6633625000013</v>
      </c>
      <c r="J12" s="13">
        <f t="shared" si="2"/>
        <v>9059.0465306250007</v>
      </c>
      <c r="K12" s="13">
        <f t="shared" si="2"/>
        <v>9511.9988571562517</v>
      </c>
      <c r="L12" s="13">
        <f>0.6*L10</f>
        <v>9219.3219692437524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2">
      <c r="A13" s="18"/>
      <c r="B13" s="16"/>
      <c r="C13" s="7" t="s">
        <v>82</v>
      </c>
      <c r="E13" s="20">
        <v>12</v>
      </c>
      <c r="F13" s="20">
        <v>12</v>
      </c>
      <c r="G13" s="20">
        <v>12</v>
      </c>
      <c r="H13" s="20">
        <v>12.25</v>
      </c>
      <c r="I13" s="20">
        <v>12.25</v>
      </c>
      <c r="J13" s="20">
        <v>12.25</v>
      </c>
      <c r="K13" s="20">
        <v>12.25</v>
      </c>
      <c r="L13" s="20">
        <v>12</v>
      </c>
    </row>
    <row r="14" spans="1:23" x14ac:dyDescent="0.2">
      <c r="A14" s="21"/>
      <c r="B14" s="19">
        <v>0.35</v>
      </c>
      <c r="C14" s="13" t="s">
        <v>60</v>
      </c>
      <c r="D14" s="13"/>
      <c r="E14" s="13">
        <f t="shared" ref="E14:K14" si="3">$B$14*E10</f>
        <v>3821.9999999999995</v>
      </c>
      <c r="F14" s="13">
        <f t="shared" si="3"/>
        <v>4013.1</v>
      </c>
      <c r="G14" s="13">
        <f t="shared" si="3"/>
        <v>4213.7549999999992</v>
      </c>
      <c r="H14" s="13">
        <f t="shared" si="3"/>
        <v>4424.4427500000002</v>
      </c>
      <c r="I14" s="13">
        <f t="shared" si="3"/>
        <v>4645.6648875000001</v>
      </c>
      <c r="J14" s="13">
        <f t="shared" si="3"/>
        <v>4877.9481318750004</v>
      </c>
      <c r="K14" s="13">
        <f t="shared" si="3"/>
        <v>5121.8455384687504</v>
      </c>
      <c r="L14" s="13">
        <f>0.4*L10</f>
        <v>6146.2146461625016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x14ac:dyDescent="0.2">
      <c r="A15" s="18"/>
      <c r="B15" s="16"/>
      <c r="C15" s="7" t="s">
        <v>129</v>
      </c>
      <c r="E15" s="20">
        <v>0.5</v>
      </c>
      <c r="F15" s="20">
        <v>0.5</v>
      </c>
      <c r="G15" s="20">
        <v>0.5</v>
      </c>
      <c r="H15" s="20">
        <v>0.5</v>
      </c>
      <c r="I15" s="20">
        <v>0.5</v>
      </c>
      <c r="J15" s="20">
        <v>0.5</v>
      </c>
      <c r="K15" s="20">
        <v>0.5</v>
      </c>
      <c r="L15" s="20">
        <v>0.5</v>
      </c>
    </row>
    <row r="16" spans="1:23" x14ac:dyDescent="0.2">
      <c r="A16" s="18"/>
      <c r="B16" s="16"/>
      <c r="C16" s="7" t="s">
        <v>130</v>
      </c>
      <c r="E16" s="20">
        <v>2.25</v>
      </c>
      <c r="F16" s="20">
        <v>2.25</v>
      </c>
      <c r="G16" s="20">
        <v>2.25</v>
      </c>
      <c r="H16" s="20">
        <v>2.25</v>
      </c>
      <c r="I16" s="20">
        <v>2.25</v>
      </c>
      <c r="J16" s="20">
        <v>2.25</v>
      </c>
      <c r="K16" s="20">
        <v>2.25</v>
      </c>
      <c r="L16" s="20">
        <v>2.25</v>
      </c>
    </row>
    <row r="17" spans="1:12" x14ac:dyDescent="0.2">
      <c r="A17" s="18"/>
      <c r="B17" s="16"/>
      <c r="C17" s="7" t="s">
        <v>127</v>
      </c>
      <c r="E17" s="20">
        <v>0.6</v>
      </c>
      <c r="F17" s="20">
        <v>0.6</v>
      </c>
      <c r="G17" s="20">
        <v>0.6</v>
      </c>
      <c r="H17" s="20">
        <v>0.6</v>
      </c>
      <c r="I17" s="20">
        <v>0.6</v>
      </c>
      <c r="J17" s="20">
        <v>0.6</v>
      </c>
      <c r="K17" s="20">
        <v>0.6</v>
      </c>
      <c r="L17" s="20">
        <v>0.6</v>
      </c>
    </row>
    <row r="18" spans="1:12" x14ac:dyDescent="0.2">
      <c r="A18" s="18"/>
      <c r="B18" s="16"/>
      <c r="C18" s="7" t="s">
        <v>128</v>
      </c>
      <c r="E18" s="20">
        <v>4</v>
      </c>
      <c r="F18" s="20">
        <v>4</v>
      </c>
      <c r="G18" s="20">
        <v>4</v>
      </c>
      <c r="H18" s="20">
        <v>4</v>
      </c>
      <c r="I18" s="20">
        <v>4</v>
      </c>
      <c r="J18" s="20">
        <v>4</v>
      </c>
      <c r="K18" s="20">
        <v>4</v>
      </c>
      <c r="L18" s="20">
        <v>4</v>
      </c>
    </row>
    <row r="19" spans="1:12" x14ac:dyDescent="0.2">
      <c r="A19" s="18"/>
      <c r="B19" s="16"/>
      <c r="C19" s="7" t="s">
        <v>69</v>
      </c>
      <c r="D19" s="17">
        <v>0.1</v>
      </c>
      <c r="E19" s="7" t="s">
        <v>19</v>
      </c>
      <c r="F19" s="13"/>
      <c r="G19" s="13"/>
      <c r="H19" s="13"/>
      <c r="I19" s="13"/>
      <c r="J19" s="13"/>
      <c r="K19" s="13"/>
      <c r="L19" s="13"/>
    </row>
    <row r="20" spans="1:12" x14ac:dyDescent="0.2">
      <c r="B20" s="16"/>
      <c r="C20" s="7" t="s">
        <v>88</v>
      </c>
      <c r="D20" s="17">
        <v>200</v>
      </c>
      <c r="E20" s="7" t="s">
        <v>117</v>
      </c>
      <c r="F20" s="13"/>
      <c r="G20" s="13"/>
      <c r="H20" s="13"/>
      <c r="I20" s="13"/>
      <c r="J20" s="13"/>
      <c r="K20" s="13"/>
      <c r="L20" s="13"/>
    </row>
    <row r="21" spans="1:12" x14ac:dyDescent="0.2">
      <c r="B21" s="16"/>
      <c r="C21" s="7" t="s">
        <v>133</v>
      </c>
      <c r="D21" s="48">
        <v>1500</v>
      </c>
      <c r="E21" s="13">
        <f t="shared" ref="E21:L21" si="4">(E10*$D$19)*($D$21/$D$20)</f>
        <v>8190</v>
      </c>
      <c r="F21" s="13">
        <f t="shared" si="4"/>
        <v>8599.5000000000018</v>
      </c>
      <c r="G21" s="13">
        <f t="shared" si="4"/>
        <v>9029.4750000000004</v>
      </c>
      <c r="H21" s="13">
        <f t="shared" si="4"/>
        <v>9480.9487500000032</v>
      </c>
      <c r="I21" s="13">
        <f t="shared" si="4"/>
        <v>9954.9961875000008</v>
      </c>
      <c r="J21" s="13">
        <f t="shared" si="4"/>
        <v>10452.745996875001</v>
      </c>
      <c r="K21" s="13">
        <f t="shared" si="4"/>
        <v>10975.383296718752</v>
      </c>
      <c r="L21" s="13">
        <f t="shared" si="4"/>
        <v>11524.152461554691</v>
      </c>
    </row>
    <row r="22" spans="1:12" x14ac:dyDescent="0.2">
      <c r="B22" s="16"/>
      <c r="C22" s="7" t="s">
        <v>134</v>
      </c>
      <c r="D22" s="48">
        <v>600</v>
      </c>
      <c r="E22" s="13">
        <f>(E26*$D$19)*($D$22/$D$20)</f>
        <v>2184</v>
      </c>
      <c r="F22" s="13">
        <f t="shared" ref="F22:L22" si="5">(F26*$D$19)*($D$22/$D$20)</f>
        <v>2293.2000000000003</v>
      </c>
      <c r="G22" s="13">
        <f t="shared" si="5"/>
        <v>2407.8600000000006</v>
      </c>
      <c r="H22" s="13">
        <f t="shared" si="5"/>
        <v>2528.2530000000002</v>
      </c>
      <c r="I22" s="13">
        <f t="shared" si="5"/>
        <v>2654.6656500000008</v>
      </c>
      <c r="J22" s="13">
        <f t="shared" si="5"/>
        <v>2787.3989325000007</v>
      </c>
      <c r="K22" s="13">
        <f t="shared" si="5"/>
        <v>2926.7688791250011</v>
      </c>
      <c r="L22" s="13">
        <f t="shared" si="5"/>
        <v>3073.1073230812508</v>
      </c>
    </row>
    <row r="23" spans="1:12" x14ac:dyDescent="0.2">
      <c r="B23" s="16"/>
      <c r="F23" s="13"/>
      <c r="G23" s="13"/>
      <c r="H23" s="13"/>
      <c r="I23" s="13"/>
      <c r="J23" s="13"/>
      <c r="K23" s="13"/>
      <c r="L23" s="13"/>
    </row>
    <row r="24" spans="1:12" x14ac:dyDescent="0.2">
      <c r="A24" s="9" t="s">
        <v>66</v>
      </c>
      <c r="B24" s="16"/>
      <c r="F24" s="13"/>
      <c r="G24" s="13"/>
      <c r="H24" s="13"/>
      <c r="I24" s="13"/>
      <c r="J24" s="13"/>
      <c r="K24" s="13"/>
      <c r="L24" s="13"/>
    </row>
    <row r="25" spans="1:12" x14ac:dyDescent="0.2">
      <c r="B25" s="19">
        <v>0.4</v>
      </c>
      <c r="C25" s="7" t="s">
        <v>52</v>
      </c>
      <c r="F25" s="13"/>
      <c r="G25" s="13"/>
      <c r="H25" s="13"/>
      <c r="I25" s="13"/>
      <c r="J25" s="13"/>
      <c r="K25" s="13"/>
      <c r="L25" s="13"/>
    </row>
    <row r="26" spans="1:12" x14ac:dyDescent="0.2">
      <c r="A26" s="18"/>
      <c r="B26" s="16"/>
      <c r="C26" s="7" t="s">
        <v>46</v>
      </c>
      <c r="E26" s="13">
        <f t="shared" ref="E26:L26" si="6">E4*$B$25</f>
        <v>7280</v>
      </c>
      <c r="F26" s="13">
        <f t="shared" si="6"/>
        <v>7644</v>
      </c>
      <c r="G26" s="13">
        <f t="shared" si="6"/>
        <v>8026.2000000000007</v>
      </c>
      <c r="H26" s="13">
        <f t="shared" si="6"/>
        <v>8427.51</v>
      </c>
      <c r="I26" s="13">
        <f t="shared" si="6"/>
        <v>8848.8855000000021</v>
      </c>
      <c r="J26" s="13">
        <f t="shared" si="6"/>
        <v>9291.329775000002</v>
      </c>
      <c r="K26" s="13">
        <f t="shared" si="6"/>
        <v>9755.8962637500026</v>
      </c>
      <c r="L26" s="13">
        <f t="shared" si="6"/>
        <v>10243.691076937503</v>
      </c>
    </row>
    <row r="27" spans="1:12" x14ac:dyDescent="0.2">
      <c r="A27" s="18"/>
      <c r="B27" s="16"/>
      <c r="C27" s="7" t="s">
        <v>107</v>
      </c>
      <c r="D27" s="20">
        <v>1</v>
      </c>
      <c r="E27" s="5">
        <f t="shared" ref="E27:L27" si="7">($D$27*$D$29)*E26</f>
        <v>43680</v>
      </c>
      <c r="F27" s="5">
        <f t="shared" si="7"/>
        <v>45864</v>
      </c>
      <c r="G27" s="5">
        <f t="shared" si="7"/>
        <v>48157.200000000004</v>
      </c>
      <c r="H27" s="5">
        <f t="shared" si="7"/>
        <v>50565.06</v>
      </c>
      <c r="I27" s="5">
        <f t="shared" si="7"/>
        <v>53093.313000000009</v>
      </c>
      <c r="J27" s="5">
        <f t="shared" si="7"/>
        <v>55747.978650000012</v>
      </c>
      <c r="K27" s="5">
        <f t="shared" si="7"/>
        <v>58535.377582500019</v>
      </c>
      <c r="L27" s="5">
        <f t="shared" si="7"/>
        <v>61462.146461625016</v>
      </c>
    </row>
    <row r="28" spans="1:12" x14ac:dyDescent="0.2">
      <c r="A28" s="18"/>
      <c r="B28" s="16"/>
      <c r="C28" s="7" t="s">
        <v>9</v>
      </c>
      <c r="D28" s="20">
        <v>0.2</v>
      </c>
      <c r="E28" s="5">
        <f t="shared" ref="E28:L28" si="8">($D$28*$D$29)*E26</f>
        <v>8736.0000000000018</v>
      </c>
      <c r="F28" s="5">
        <f t="shared" si="8"/>
        <v>9172.8000000000011</v>
      </c>
      <c r="G28" s="5">
        <f t="shared" si="8"/>
        <v>9631.4400000000023</v>
      </c>
      <c r="H28" s="5">
        <f t="shared" si="8"/>
        <v>10113.012000000002</v>
      </c>
      <c r="I28" s="5">
        <f t="shared" si="8"/>
        <v>10618.662600000003</v>
      </c>
      <c r="J28" s="5">
        <f t="shared" si="8"/>
        <v>11149.595730000005</v>
      </c>
      <c r="K28" s="5">
        <f t="shared" si="8"/>
        <v>11707.075516500005</v>
      </c>
      <c r="L28" s="5">
        <f t="shared" si="8"/>
        <v>12292.429292325005</v>
      </c>
    </row>
    <row r="29" spans="1:12" x14ac:dyDescent="0.2">
      <c r="A29" s="18"/>
      <c r="B29" s="16"/>
      <c r="C29" s="7" t="s">
        <v>44</v>
      </c>
      <c r="D29" s="22">
        <v>6</v>
      </c>
    </row>
    <row r="30" spans="1:12" x14ac:dyDescent="0.2">
      <c r="B30" s="16"/>
      <c r="C30" s="7" t="s">
        <v>113</v>
      </c>
      <c r="D30" s="7">
        <f>D27*D29</f>
        <v>6</v>
      </c>
    </row>
    <row r="31" spans="1:12" x14ac:dyDescent="0.2">
      <c r="A31" s="9" t="s">
        <v>105</v>
      </c>
      <c r="B31" s="16"/>
    </row>
    <row r="32" spans="1:12" x14ac:dyDescent="0.2">
      <c r="A32" s="18" t="s">
        <v>110</v>
      </c>
      <c r="B32" s="19">
        <v>0.03</v>
      </c>
      <c r="C32" s="7" t="s">
        <v>32</v>
      </c>
      <c r="E32" s="8">
        <f>150*12</f>
        <v>1800</v>
      </c>
      <c r="F32" s="8">
        <f t="shared" ref="F32:L32" si="9">E32*(1+$B$32)</f>
        <v>1854</v>
      </c>
      <c r="G32" s="8">
        <f t="shared" si="9"/>
        <v>1909.6200000000001</v>
      </c>
      <c r="H32" s="8">
        <f t="shared" si="9"/>
        <v>1966.9086000000002</v>
      </c>
      <c r="I32" s="8">
        <f t="shared" si="9"/>
        <v>2025.9158580000003</v>
      </c>
      <c r="J32" s="8">
        <f t="shared" si="9"/>
        <v>2086.6933337400005</v>
      </c>
      <c r="K32" s="8">
        <f t="shared" si="9"/>
        <v>2149.2941337522007</v>
      </c>
      <c r="L32" s="8">
        <f t="shared" si="9"/>
        <v>2213.7729577647669</v>
      </c>
    </row>
    <row r="33" spans="1:12" x14ac:dyDescent="0.2">
      <c r="A33" s="18"/>
      <c r="B33" s="16"/>
      <c r="C33" s="7" t="s">
        <v>58</v>
      </c>
      <c r="D33" s="19">
        <v>0.35</v>
      </c>
      <c r="E33" s="13">
        <f t="shared" ref="E33:L33" si="10">$D$33*E4</f>
        <v>6370</v>
      </c>
      <c r="F33" s="13">
        <f t="shared" si="10"/>
        <v>6688.5</v>
      </c>
      <c r="G33" s="13">
        <f t="shared" si="10"/>
        <v>7022.9249999999993</v>
      </c>
      <c r="H33" s="13">
        <f t="shared" si="10"/>
        <v>7374.07125</v>
      </c>
      <c r="I33" s="13">
        <f t="shared" si="10"/>
        <v>7742.7748125000007</v>
      </c>
      <c r="J33" s="13">
        <f t="shared" si="10"/>
        <v>8129.9135531250004</v>
      </c>
      <c r="K33" s="13">
        <f t="shared" si="10"/>
        <v>8536.4092307812516</v>
      </c>
      <c r="L33" s="13">
        <f t="shared" si="10"/>
        <v>8963.2296923203139</v>
      </c>
    </row>
    <row r="34" spans="1:12" x14ac:dyDescent="0.2">
      <c r="A34" s="18"/>
      <c r="B34" s="16"/>
      <c r="C34" s="7" t="s">
        <v>30</v>
      </c>
      <c r="D34" s="20">
        <v>2</v>
      </c>
      <c r="E34" s="7">
        <f t="shared" ref="E34:L34" si="11">D34</f>
        <v>2</v>
      </c>
      <c r="F34" s="7">
        <f t="shared" si="11"/>
        <v>2</v>
      </c>
      <c r="G34" s="7">
        <f t="shared" si="11"/>
        <v>2</v>
      </c>
      <c r="H34" s="7">
        <f t="shared" si="11"/>
        <v>2</v>
      </c>
      <c r="I34" s="7">
        <f t="shared" si="11"/>
        <v>2</v>
      </c>
      <c r="J34" s="7">
        <f t="shared" si="11"/>
        <v>2</v>
      </c>
      <c r="K34" s="7">
        <f t="shared" si="11"/>
        <v>2</v>
      </c>
      <c r="L34" s="7">
        <f t="shared" si="11"/>
        <v>2</v>
      </c>
    </row>
    <row r="35" spans="1:12" x14ac:dyDescent="0.2">
      <c r="A35" s="9" t="s">
        <v>100</v>
      </c>
      <c r="B35" s="16"/>
      <c r="D35" s="1" t="s">
        <v>29</v>
      </c>
    </row>
    <row r="36" spans="1:12" x14ac:dyDescent="0.2">
      <c r="A36" s="18"/>
      <c r="B36" s="19">
        <v>0.25</v>
      </c>
      <c r="C36" s="7" t="s">
        <v>122</v>
      </c>
      <c r="D36" s="20">
        <v>1</v>
      </c>
      <c r="E36" s="5">
        <f t="shared" ref="E36:L38" si="12">(E$26*$B$36)*$D36</f>
        <v>1820</v>
      </c>
      <c r="F36" s="5">
        <f t="shared" si="12"/>
        <v>1911</v>
      </c>
      <c r="G36" s="5">
        <f t="shared" si="12"/>
        <v>2006.5500000000002</v>
      </c>
      <c r="H36" s="5">
        <f t="shared" si="12"/>
        <v>2106.8775000000001</v>
      </c>
      <c r="I36" s="5">
        <f t="shared" si="12"/>
        <v>2212.2213750000005</v>
      </c>
      <c r="J36" s="5">
        <f t="shared" si="12"/>
        <v>2322.8324437500005</v>
      </c>
      <c r="K36" s="5">
        <f t="shared" si="12"/>
        <v>2438.9740659375007</v>
      </c>
      <c r="L36" s="5">
        <f t="shared" si="12"/>
        <v>2560.9227692343757</v>
      </c>
    </row>
    <row r="37" spans="1:12" x14ac:dyDescent="0.2">
      <c r="A37" s="18"/>
      <c r="B37" s="16"/>
      <c r="C37" s="7" t="s">
        <v>114</v>
      </c>
      <c r="D37" s="20">
        <v>1.25</v>
      </c>
      <c r="E37" s="5">
        <f t="shared" si="12"/>
        <v>2275</v>
      </c>
      <c r="F37" s="5">
        <f t="shared" si="12"/>
        <v>2388.75</v>
      </c>
      <c r="G37" s="5">
        <f t="shared" si="12"/>
        <v>2508.1875</v>
      </c>
      <c r="H37" s="5">
        <f t="shared" si="12"/>
        <v>2633.5968750000002</v>
      </c>
      <c r="I37" s="5">
        <f t="shared" si="12"/>
        <v>2765.2767187500008</v>
      </c>
      <c r="J37" s="5">
        <f t="shared" si="12"/>
        <v>2903.5405546875008</v>
      </c>
      <c r="K37" s="5">
        <f t="shared" si="12"/>
        <v>3048.7175824218757</v>
      </c>
      <c r="L37" s="5">
        <f t="shared" si="12"/>
        <v>3201.1534615429696</v>
      </c>
    </row>
    <row r="38" spans="1:12" x14ac:dyDescent="0.2">
      <c r="A38" s="18"/>
      <c r="B38" s="16"/>
      <c r="C38" s="7" t="s">
        <v>102</v>
      </c>
      <c r="D38" s="20">
        <v>2</v>
      </c>
      <c r="E38" s="5">
        <f t="shared" si="12"/>
        <v>3640</v>
      </c>
      <c r="F38" s="5">
        <f t="shared" si="12"/>
        <v>3822</v>
      </c>
      <c r="G38" s="5">
        <f t="shared" si="12"/>
        <v>4013.1000000000004</v>
      </c>
      <c r="H38" s="5">
        <f t="shared" si="12"/>
        <v>4213.7550000000001</v>
      </c>
      <c r="I38" s="5">
        <f t="shared" si="12"/>
        <v>4424.4427500000011</v>
      </c>
      <c r="J38" s="5">
        <f t="shared" si="12"/>
        <v>4645.664887500001</v>
      </c>
      <c r="K38" s="5">
        <f t="shared" si="12"/>
        <v>4877.9481318750013</v>
      </c>
      <c r="L38" s="5">
        <f t="shared" si="12"/>
        <v>5121.8455384687513</v>
      </c>
    </row>
    <row r="39" spans="1:12" x14ac:dyDescent="0.2">
      <c r="A39" s="18"/>
      <c r="B39" s="16"/>
    </row>
    <row r="40" spans="1:12" x14ac:dyDescent="0.2">
      <c r="A40" s="9" t="s">
        <v>25</v>
      </c>
      <c r="B40" s="16"/>
      <c r="D40" s="1" t="s">
        <v>89</v>
      </c>
    </row>
    <row r="41" spans="1:12" x14ac:dyDescent="0.2">
      <c r="A41" s="18"/>
      <c r="B41" s="19">
        <v>0.25</v>
      </c>
      <c r="C41" s="7" t="str">
        <f>C36</f>
        <v>Vending Air Fresheners</v>
      </c>
      <c r="D41" s="20">
        <v>0.1</v>
      </c>
      <c r="E41" s="5">
        <f t="shared" ref="E41:L43" si="13">(E$4*$B$41)*$D41</f>
        <v>455</v>
      </c>
      <c r="F41" s="5">
        <f t="shared" si="13"/>
        <v>477.75</v>
      </c>
      <c r="G41" s="5">
        <f t="shared" si="13"/>
        <v>501.63750000000005</v>
      </c>
      <c r="H41" s="5">
        <f t="shared" si="13"/>
        <v>526.71937500000001</v>
      </c>
      <c r="I41" s="5">
        <f t="shared" si="13"/>
        <v>553.05534375000013</v>
      </c>
      <c r="J41" s="5">
        <f t="shared" si="13"/>
        <v>580.70811093750012</v>
      </c>
      <c r="K41" s="5">
        <f t="shared" si="13"/>
        <v>609.74351648437516</v>
      </c>
      <c r="L41" s="5">
        <f t="shared" si="13"/>
        <v>640.23069230859392</v>
      </c>
    </row>
    <row r="42" spans="1:12" x14ac:dyDescent="0.2">
      <c r="A42" s="18"/>
      <c r="B42" s="16"/>
      <c r="C42" s="7" t="str">
        <f>C37</f>
        <v>Vending Armorall wipes</v>
      </c>
      <c r="D42" s="20">
        <v>0.2</v>
      </c>
      <c r="E42" s="5">
        <f t="shared" si="13"/>
        <v>910</v>
      </c>
      <c r="F42" s="5">
        <f t="shared" si="13"/>
        <v>955.5</v>
      </c>
      <c r="G42" s="5">
        <f t="shared" si="13"/>
        <v>1003.2750000000001</v>
      </c>
      <c r="H42" s="5">
        <f t="shared" si="13"/>
        <v>1053.43875</v>
      </c>
      <c r="I42" s="5">
        <f t="shared" si="13"/>
        <v>1106.1106875000003</v>
      </c>
      <c r="J42" s="5">
        <f t="shared" si="13"/>
        <v>1161.4162218750002</v>
      </c>
      <c r="K42" s="5">
        <f t="shared" si="13"/>
        <v>1219.4870329687503</v>
      </c>
      <c r="L42" s="5">
        <f t="shared" si="13"/>
        <v>1280.4613846171878</v>
      </c>
    </row>
    <row r="43" spans="1:12" x14ac:dyDescent="0.2">
      <c r="A43" s="18"/>
      <c r="B43" s="16"/>
      <c r="C43" s="7" t="str">
        <f>C38</f>
        <v>Vending Shammies</v>
      </c>
      <c r="D43" s="20">
        <v>0.35</v>
      </c>
      <c r="E43" s="5">
        <f t="shared" si="13"/>
        <v>1592.5</v>
      </c>
      <c r="F43" s="5">
        <f t="shared" si="13"/>
        <v>1672.125</v>
      </c>
      <c r="G43" s="5">
        <f t="shared" si="13"/>
        <v>1755.7312499999998</v>
      </c>
      <c r="H43" s="5">
        <f t="shared" si="13"/>
        <v>1843.5178125</v>
      </c>
      <c r="I43" s="5">
        <f t="shared" si="13"/>
        <v>1935.6937031250002</v>
      </c>
      <c r="J43" s="5">
        <f t="shared" si="13"/>
        <v>2032.4783882812501</v>
      </c>
      <c r="K43" s="5">
        <f t="shared" si="13"/>
        <v>2134.1023076953129</v>
      </c>
      <c r="L43" s="5">
        <f t="shared" si="13"/>
        <v>2240.8074230800785</v>
      </c>
    </row>
    <row r="44" spans="1:12" x14ac:dyDescent="0.2">
      <c r="A44" s="9" t="s">
        <v>65</v>
      </c>
      <c r="B44" s="16"/>
    </row>
    <row r="45" spans="1:12" x14ac:dyDescent="0.2">
      <c r="A45" s="18"/>
      <c r="B45" s="16"/>
      <c r="C45" s="5" t="s">
        <v>15</v>
      </c>
    </row>
    <row r="46" spans="1:12" x14ac:dyDescent="0.2">
      <c r="A46" s="18"/>
      <c r="B46" s="16"/>
      <c r="C46" s="5" t="s">
        <v>13</v>
      </c>
    </row>
    <row r="47" spans="1:12" x14ac:dyDescent="0.2">
      <c r="A47" s="18"/>
      <c r="B47" s="16"/>
      <c r="C47" s="5" t="s">
        <v>57</v>
      </c>
    </row>
    <row r="48" spans="1:12" x14ac:dyDescent="0.2">
      <c r="A48" s="18"/>
      <c r="B48" s="16"/>
      <c r="C48" s="5" t="s">
        <v>17</v>
      </c>
    </row>
    <row r="49" spans="1:5" x14ac:dyDescent="0.2">
      <c r="A49" s="18"/>
      <c r="B49" s="16"/>
      <c r="C49" s="7" t="s">
        <v>68</v>
      </c>
    </row>
    <row r="50" spans="1:5" x14ac:dyDescent="0.2">
      <c r="A50" s="18"/>
      <c r="B50" s="16"/>
      <c r="C50" s="7" t="s">
        <v>24</v>
      </c>
      <c r="E50" s="11"/>
    </row>
    <row r="51" spans="1:5" x14ac:dyDescent="0.2">
      <c r="B51" s="16"/>
    </row>
    <row r="52" spans="1:5" x14ac:dyDescent="0.2">
      <c r="B52" s="16"/>
    </row>
    <row r="53" spans="1:5" ht="25.5" x14ac:dyDescent="0.2">
      <c r="B53" s="16"/>
      <c r="C53" s="7" t="s">
        <v>93</v>
      </c>
    </row>
    <row r="54" spans="1:5" x14ac:dyDescent="0.2">
      <c r="B54" s="16"/>
    </row>
    <row r="55" spans="1:5" x14ac:dyDescent="0.2">
      <c r="B55" s="16"/>
    </row>
    <row r="56" spans="1:5" x14ac:dyDescent="0.2">
      <c r="B56" s="16"/>
    </row>
    <row r="57" spans="1:5" x14ac:dyDescent="0.2">
      <c r="B57" s="16"/>
    </row>
    <row r="58" spans="1:5" x14ac:dyDescent="0.2">
      <c r="B58" s="16"/>
    </row>
    <row r="59" spans="1:5" x14ac:dyDescent="0.2">
      <c r="B59" s="16"/>
    </row>
    <row r="60" spans="1:5" x14ac:dyDescent="0.2">
      <c r="B60" s="16"/>
    </row>
    <row r="61" spans="1:5" x14ac:dyDescent="0.2">
      <c r="B61" s="16"/>
    </row>
    <row r="62" spans="1:5" x14ac:dyDescent="0.2">
      <c r="B62" s="16"/>
    </row>
    <row r="63" spans="1:5" x14ac:dyDescent="0.2">
      <c r="B63" s="16"/>
    </row>
    <row r="64" spans="1:5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  <row r="72" spans="2:2" x14ac:dyDescent="0.2">
      <c r="B72" s="16"/>
    </row>
    <row r="73" spans="2:2" x14ac:dyDescent="0.2">
      <c r="B73" s="16"/>
    </row>
    <row r="74" spans="2:2" x14ac:dyDescent="0.2">
      <c r="B74" s="16"/>
    </row>
    <row r="75" spans="2:2" x14ac:dyDescent="0.2">
      <c r="B75" s="16"/>
    </row>
    <row r="76" spans="2:2" x14ac:dyDescent="0.2">
      <c r="B76" s="16"/>
    </row>
    <row r="77" spans="2:2" x14ac:dyDescent="0.2">
      <c r="B77" s="16"/>
    </row>
    <row r="78" spans="2:2" x14ac:dyDescent="0.2">
      <c r="B78" s="16"/>
    </row>
    <row r="79" spans="2:2" x14ac:dyDescent="0.2">
      <c r="B79" s="16"/>
    </row>
    <row r="80" spans="2:2" x14ac:dyDescent="0.2">
      <c r="B80" s="16"/>
    </row>
    <row r="81" spans="2:2" x14ac:dyDescent="0.2">
      <c r="B81" s="16"/>
    </row>
    <row r="82" spans="2:2" x14ac:dyDescent="0.2">
      <c r="B82" s="16"/>
    </row>
    <row r="83" spans="2:2" x14ac:dyDescent="0.2">
      <c r="B83" s="16"/>
    </row>
    <row r="84" spans="2:2" x14ac:dyDescent="0.2">
      <c r="B84" s="16"/>
    </row>
    <row r="85" spans="2:2" x14ac:dyDescent="0.2">
      <c r="B85" s="16"/>
    </row>
    <row r="86" spans="2:2" x14ac:dyDescent="0.2">
      <c r="B86" s="16"/>
    </row>
    <row r="87" spans="2:2" x14ac:dyDescent="0.2">
      <c r="B87" s="16"/>
    </row>
    <row r="88" spans="2:2" x14ac:dyDescent="0.2">
      <c r="B88" s="16"/>
    </row>
    <row r="89" spans="2:2" x14ac:dyDescent="0.2">
      <c r="B89" s="16"/>
    </row>
    <row r="90" spans="2:2" x14ac:dyDescent="0.2">
      <c r="B90" s="16"/>
    </row>
    <row r="91" spans="2:2" x14ac:dyDescent="0.2">
      <c r="B91" s="16"/>
    </row>
    <row r="92" spans="2:2" x14ac:dyDescent="0.2">
      <c r="B92" s="16"/>
    </row>
    <row r="93" spans="2:2" x14ac:dyDescent="0.2">
      <c r="B93" s="16"/>
    </row>
    <row r="94" spans="2:2" x14ac:dyDescent="0.2">
      <c r="B94" s="16"/>
    </row>
    <row r="95" spans="2:2" x14ac:dyDescent="0.2">
      <c r="B95" s="16"/>
    </row>
    <row r="96" spans="2:2" x14ac:dyDescent="0.2">
      <c r="B96" s="16"/>
    </row>
    <row r="97" spans="2:2" x14ac:dyDescent="0.2">
      <c r="B97" s="16"/>
    </row>
    <row r="98" spans="2:2" x14ac:dyDescent="0.2">
      <c r="B98" s="16"/>
    </row>
    <row r="99" spans="2:2" x14ac:dyDescent="0.2">
      <c r="B99" s="16"/>
    </row>
    <row r="100" spans="2:2" x14ac:dyDescent="0.2">
      <c r="B100" s="16"/>
    </row>
    <row r="101" spans="2:2" x14ac:dyDescent="0.2">
      <c r="B101" s="16"/>
    </row>
    <row r="102" spans="2:2" x14ac:dyDescent="0.2">
      <c r="B102" s="16"/>
    </row>
    <row r="103" spans="2:2" x14ac:dyDescent="0.2">
      <c r="B103" s="16"/>
    </row>
    <row r="104" spans="2:2" x14ac:dyDescent="0.2">
      <c r="B104" s="16"/>
    </row>
    <row r="105" spans="2:2" x14ac:dyDescent="0.2">
      <c r="B105" s="16"/>
    </row>
    <row r="106" spans="2:2" x14ac:dyDescent="0.2">
      <c r="B106" s="16"/>
    </row>
    <row r="107" spans="2:2" x14ac:dyDescent="0.2">
      <c r="B107" s="16"/>
    </row>
    <row r="108" spans="2:2" x14ac:dyDescent="0.2">
      <c r="B108" s="16"/>
    </row>
    <row r="109" spans="2:2" x14ac:dyDescent="0.2">
      <c r="B109" s="16"/>
    </row>
    <row r="110" spans="2:2" x14ac:dyDescent="0.2">
      <c r="B110" s="16"/>
    </row>
    <row r="111" spans="2:2" x14ac:dyDescent="0.2">
      <c r="B111" s="16"/>
    </row>
    <row r="112" spans="2:2" x14ac:dyDescent="0.2">
      <c r="B112" s="16"/>
    </row>
    <row r="113" spans="2:2" x14ac:dyDescent="0.2">
      <c r="B113" s="16"/>
    </row>
    <row r="114" spans="2:2" x14ac:dyDescent="0.2">
      <c r="B114" s="16"/>
    </row>
    <row r="115" spans="2:2" x14ac:dyDescent="0.2">
      <c r="B115" s="16"/>
    </row>
    <row r="116" spans="2:2" x14ac:dyDescent="0.2">
      <c r="B116" s="16"/>
    </row>
    <row r="117" spans="2:2" x14ac:dyDescent="0.2">
      <c r="B117" s="16"/>
    </row>
    <row r="118" spans="2:2" x14ac:dyDescent="0.2">
      <c r="B118" s="16"/>
    </row>
    <row r="119" spans="2:2" x14ac:dyDescent="0.2">
      <c r="B119" s="16"/>
    </row>
    <row r="120" spans="2:2" x14ac:dyDescent="0.2">
      <c r="B120" s="16"/>
    </row>
    <row r="121" spans="2:2" x14ac:dyDescent="0.2">
      <c r="B121" s="16"/>
    </row>
    <row r="122" spans="2:2" x14ac:dyDescent="0.2">
      <c r="B122" s="16"/>
    </row>
    <row r="123" spans="2:2" x14ac:dyDescent="0.2">
      <c r="B123" s="16"/>
    </row>
    <row r="124" spans="2:2" x14ac:dyDescent="0.2">
      <c r="B124" s="16"/>
    </row>
    <row r="125" spans="2:2" x14ac:dyDescent="0.2">
      <c r="B125" s="16"/>
    </row>
    <row r="126" spans="2:2" x14ac:dyDescent="0.2">
      <c r="B126" s="16"/>
    </row>
    <row r="127" spans="2:2" x14ac:dyDescent="0.2">
      <c r="B127" s="16"/>
    </row>
    <row r="128" spans="2:2" x14ac:dyDescent="0.2">
      <c r="B128" s="16"/>
    </row>
    <row r="129" spans="2:2" x14ac:dyDescent="0.2">
      <c r="B129" s="16"/>
    </row>
    <row r="130" spans="2:2" x14ac:dyDescent="0.2">
      <c r="B130" s="16"/>
    </row>
    <row r="131" spans="2:2" x14ac:dyDescent="0.2">
      <c r="B131" s="16"/>
    </row>
    <row r="132" spans="2:2" x14ac:dyDescent="0.2">
      <c r="B132" s="16"/>
    </row>
    <row r="133" spans="2:2" x14ac:dyDescent="0.2">
      <c r="B133" s="16"/>
    </row>
    <row r="134" spans="2:2" x14ac:dyDescent="0.2">
      <c r="B134" s="16"/>
    </row>
    <row r="135" spans="2:2" x14ac:dyDescent="0.2">
      <c r="B135" s="16"/>
    </row>
  </sheetData>
  <mergeCells count="1">
    <mergeCell ref="C2:L2"/>
  </mergeCells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8"/>
  <sheetViews>
    <sheetView topLeftCell="A33" workbookViewId="0">
      <selection activeCell="C5" sqref="C5"/>
    </sheetView>
  </sheetViews>
  <sheetFormatPr defaultColWidth="17.140625" defaultRowHeight="12.75" customHeight="1" x14ac:dyDescent="0.2"/>
  <cols>
    <col min="1" max="19" width="17.140625" customWidth="1"/>
  </cols>
  <sheetData>
    <row r="2" spans="1:6" ht="12.75" customHeight="1" x14ac:dyDescent="0.2">
      <c r="B2" s="7" t="s">
        <v>34</v>
      </c>
      <c r="C2" s="7">
        <v>15</v>
      </c>
      <c r="D2" s="7" t="s">
        <v>96</v>
      </c>
      <c r="E2" s="5">
        <v>0</v>
      </c>
    </row>
    <row r="3" spans="1:6" ht="12.75" customHeight="1" x14ac:dyDescent="0.2">
      <c r="B3" s="7" t="s">
        <v>37</v>
      </c>
      <c r="C3" s="7">
        <v>0.06</v>
      </c>
    </row>
    <row r="4" spans="1:6" ht="12.75" customHeight="1" x14ac:dyDescent="0.2">
      <c r="B4" s="7" t="s">
        <v>90</v>
      </c>
      <c r="C4" s="5">
        <v>275000</v>
      </c>
    </row>
    <row r="5" spans="1:6" ht="12.75" customHeight="1" x14ac:dyDescent="0.2">
      <c r="B5" s="7" t="s">
        <v>101</v>
      </c>
      <c r="C5" s="5">
        <f>PMT(C3/12,C2*12,C4,C6)</f>
        <v>-2320.6062771332408</v>
      </c>
    </row>
    <row r="6" spans="1:6" ht="12.75" customHeight="1" x14ac:dyDescent="0.2">
      <c r="B6" s="5" t="s">
        <v>36</v>
      </c>
      <c r="C6" s="5">
        <v>0</v>
      </c>
    </row>
    <row r="8" spans="1:6" ht="12.75" customHeight="1" x14ac:dyDescent="0.2">
      <c r="A8" s="2" t="s">
        <v>10</v>
      </c>
      <c r="B8" s="2" t="s">
        <v>8</v>
      </c>
      <c r="C8" s="2" t="s">
        <v>45</v>
      </c>
      <c r="D8" s="2" t="s">
        <v>94</v>
      </c>
      <c r="E8" s="2" t="s">
        <v>120</v>
      </c>
      <c r="F8" s="2" t="s">
        <v>22</v>
      </c>
    </row>
    <row r="9" spans="1:6" ht="12.75" customHeight="1" x14ac:dyDescent="0.2">
      <c r="A9" s="34">
        <v>41275</v>
      </c>
      <c r="B9" s="23"/>
      <c r="C9" s="23"/>
      <c r="D9" s="23"/>
      <c r="E9" s="23"/>
      <c r="F9" s="23">
        <f>C4</f>
        <v>275000</v>
      </c>
    </row>
    <row r="10" spans="1:6" ht="12.75" customHeight="1" x14ac:dyDescent="0.2">
      <c r="A10" s="35">
        <v>41305</v>
      </c>
      <c r="B10" s="13">
        <f t="shared" ref="B10:B21" si="0">-$C$5</f>
        <v>2320.6062771332408</v>
      </c>
      <c r="C10" s="13">
        <f t="shared" ref="C10:C21" si="1">F9*($C$3/12)</f>
        <v>1375</v>
      </c>
      <c r="D10" s="13">
        <f t="shared" ref="D10:D21" si="2">B10-C10</f>
        <v>945.60627713324084</v>
      </c>
      <c r="E10" s="5">
        <f t="shared" ref="E10:E21" si="3">$E$2</f>
        <v>0</v>
      </c>
      <c r="F10" s="13">
        <f t="shared" ref="F10:F21" si="4">F9-(D10+E10)</f>
        <v>274054.39372286678</v>
      </c>
    </row>
    <row r="11" spans="1:6" ht="12.75" customHeight="1" x14ac:dyDescent="0.2">
      <c r="A11" s="35">
        <v>41333</v>
      </c>
      <c r="B11" s="13">
        <f t="shared" si="0"/>
        <v>2320.6062771332408</v>
      </c>
      <c r="C11" s="13">
        <f t="shared" si="1"/>
        <v>1370.2719686143339</v>
      </c>
      <c r="D11" s="13">
        <f t="shared" si="2"/>
        <v>950.33430851890694</v>
      </c>
      <c r="E11" s="5">
        <f t="shared" si="3"/>
        <v>0</v>
      </c>
      <c r="F11" s="13">
        <f t="shared" si="4"/>
        <v>273104.05941434787</v>
      </c>
    </row>
    <row r="12" spans="1:6" ht="12.75" customHeight="1" x14ac:dyDescent="0.2">
      <c r="A12" s="36">
        <v>41364</v>
      </c>
      <c r="B12" s="13">
        <f t="shared" si="0"/>
        <v>2320.6062771332408</v>
      </c>
      <c r="C12" s="13">
        <f t="shared" si="1"/>
        <v>1365.5202970717394</v>
      </c>
      <c r="D12" s="13">
        <f t="shared" si="2"/>
        <v>955.08598006150146</v>
      </c>
      <c r="E12" s="5">
        <f t="shared" si="3"/>
        <v>0</v>
      </c>
      <c r="F12" s="13">
        <f t="shared" si="4"/>
        <v>272148.97343428637</v>
      </c>
    </row>
    <row r="13" spans="1:6" ht="12.75" customHeight="1" x14ac:dyDescent="0.2">
      <c r="A13" s="35">
        <v>41394</v>
      </c>
      <c r="B13" s="13">
        <f t="shared" si="0"/>
        <v>2320.6062771332408</v>
      </c>
      <c r="C13" s="13">
        <f t="shared" si="1"/>
        <v>1360.7448671714319</v>
      </c>
      <c r="D13" s="13">
        <f t="shared" si="2"/>
        <v>959.86140996180893</v>
      </c>
      <c r="E13" s="5">
        <f t="shared" si="3"/>
        <v>0</v>
      </c>
      <c r="F13" s="13">
        <f t="shared" si="4"/>
        <v>271189.11202432454</v>
      </c>
    </row>
    <row r="14" spans="1:6" ht="12.75" customHeight="1" x14ac:dyDescent="0.2">
      <c r="A14" s="35">
        <v>41425</v>
      </c>
      <c r="B14" s="13">
        <f t="shared" si="0"/>
        <v>2320.6062771332408</v>
      </c>
      <c r="C14" s="13">
        <f t="shared" si="1"/>
        <v>1355.9455601216227</v>
      </c>
      <c r="D14" s="13">
        <f t="shared" si="2"/>
        <v>964.66071701161809</v>
      </c>
      <c r="E14" s="5">
        <f t="shared" si="3"/>
        <v>0</v>
      </c>
      <c r="F14" s="13">
        <f t="shared" si="4"/>
        <v>270224.45130731293</v>
      </c>
    </row>
    <row r="15" spans="1:6" ht="12.75" customHeight="1" x14ac:dyDescent="0.2">
      <c r="A15" s="35">
        <v>41455</v>
      </c>
      <c r="B15" s="13">
        <f t="shared" si="0"/>
        <v>2320.6062771332408</v>
      </c>
      <c r="C15" s="13">
        <f t="shared" si="1"/>
        <v>1351.1222565365647</v>
      </c>
      <c r="D15" s="13">
        <f t="shared" si="2"/>
        <v>969.48402059667615</v>
      </c>
      <c r="E15" s="5">
        <f t="shared" si="3"/>
        <v>0</v>
      </c>
      <c r="F15" s="13">
        <f t="shared" si="4"/>
        <v>269254.96728671627</v>
      </c>
    </row>
    <row r="16" spans="1:6" ht="12.75" customHeight="1" x14ac:dyDescent="0.2">
      <c r="A16" s="35">
        <v>41486</v>
      </c>
      <c r="B16" s="13">
        <f t="shared" si="0"/>
        <v>2320.6062771332408</v>
      </c>
      <c r="C16" s="13">
        <f t="shared" si="1"/>
        <v>1346.2748364335814</v>
      </c>
      <c r="D16" s="13">
        <f t="shared" si="2"/>
        <v>974.33144069965942</v>
      </c>
      <c r="E16" s="5">
        <f t="shared" si="3"/>
        <v>0</v>
      </c>
      <c r="F16" s="13">
        <f t="shared" si="4"/>
        <v>268280.63584601664</v>
      </c>
    </row>
    <row r="17" spans="1:6" ht="12.75" customHeight="1" x14ac:dyDescent="0.2">
      <c r="A17" s="35">
        <v>41517</v>
      </c>
      <c r="B17" s="13">
        <f t="shared" si="0"/>
        <v>2320.6062771332408</v>
      </c>
      <c r="C17" s="13">
        <f t="shared" si="1"/>
        <v>1341.4031792300832</v>
      </c>
      <c r="D17" s="13">
        <f t="shared" si="2"/>
        <v>979.20309790315764</v>
      </c>
      <c r="E17" s="5">
        <f t="shared" si="3"/>
        <v>0</v>
      </c>
      <c r="F17" s="13">
        <f t="shared" si="4"/>
        <v>267301.43274811347</v>
      </c>
    </row>
    <row r="18" spans="1:6" ht="12.75" customHeight="1" x14ac:dyDescent="0.2">
      <c r="A18" s="35">
        <v>41547</v>
      </c>
      <c r="B18" s="13">
        <f t="shared" si="0"/>
        <v>2320.6062771332408</v>
      </c>
      <c r="C18" s="13">
        <f t="shared" si="1"/>
        <v>1336.5071637405674</v>
      </c>
      <c r="D18" s="13">
        <f t="shared" si="2"/>
        <v>984.09911339267342</v>
      </c>
      <c r="E18" s="5">
        <f t="shared" si="3"/>
        <v>0</v>
      </c>
      <c r="F18" s="13">
        <f t="shared" si="4"/>
        <v>266317.33363472077</v>
      </c>
    </row>
    <row r="19" spans="1:6" ht="12.75" customHeight="1" x14ac:dyDescent="0.2">
      <c r="A19" s="35">
        <v>41578</v>
      </c>
      <c r="B19" s="13">
        <f t="shared" si="0"/>
        <v>2320.6062771332408</v>
      </c>
      <c r="C19" s="13">
        <f t="shared" si="1"/>
        <v>1331.5866681736038</v>
      </c>
      <c r="D19" s="13">
        <f t="shared" si="2"/>
        <v>989.01960895963703</v>
      </c>
      <c r="E19" s="5">
        <f t="shared" si="3"/>
        <v>0</v>
      </c>
      <c r="F19" s="13">
        <f t="shared" si="4"/>
        <v>265328.31402576115</v>
      </c>
    </row>
    <row r="20" spans="1:6" ht="12.75" customHeight="1" x14ac:dyDescent="0.2">
      <c r="A20" s="35">
        <v>41608</v>
      </c>
      <c r="B20" s="13">
        <f t="shared" si="0"/>
        <v>2320.6062771332408</v>
      </c>
      <c r="C20" s="13">
        <f t="shared" si="1"/>
        <v>1326.6415701288058</v>
      </c>
      <c r="D20" s="13">
        <f t="shared" si="2"/>
        <v>993.96470700443501</v>
      </c>
      <c r="E20" s="5">
        <f t="shared" si="3"/>
        <v>0</v>
      </c>
      <c r="F20" s="24">
        <f t="shared" si="4"/>
        <v>264334.34931875672</v>
      </c>
    </row>
    <row r="21" spans="1:6" ht="12.75" customHeight="1" x14ac:dyDescent="0.2">
      <c r="A21" s="35">
        <v>41639</v>
      </c>
      <c r="B21" s="13">
        <f t="shared" si="0"/>
        <v>2320.6062771332408</v>
      </c>
      <c r="C21" s="24">
        <f t="shared" si="1"/>
        <v>1321.6717465937836</v>
      </c>
      <c r="D21" s="24">
        <f t="shared" si="2"/>
        <v>998.93453053945723</v>
      </c>
      <c r="E21" s="5">
        <f t="shared" si="3"/>
        <v>0</v>
      </c>
      <c r="F21" s="25">
        <f t="shared" si="4"/>
        <v>263335.41478821728</v>
      </c>
    </row>
    <row r="22" spans="1:6" ht="12.75" customHeight="1" x14ac:dyDescent="0.2">
      <c r="A22" s="37"/>
      <c r="B22" s="13"/>
      <c r="C22" s="26">
        <f>SUM(C10:C21)</f>
        <v>16182.690113816117</v>
      </c>
      <c r="D22" s="26">
        <f>SUM(D10:D21)</f>
        <v>11664.585211782774</v>
      </c>
      <c r="E22" s="13"/>
      <c r="F22" s="23"/>
    </row>
    <row r="23" spans="1:6" ht="12.75" customHeight="1" x14ac:dyDescent="0.2">
      <c r="A23" s="37"/>
      <c r="B23" s="13"/>
      <c r="C23" s="23"/>
      <c r="D23" s="23"/>
      <c r="E23" s="13"/>
      <c r="F23" s="13"/>
    </row>
    <row r="24" spans="1:6" ht="12.75" customHeight="1" x14ac:dyDescent="0.2">
      <c r="A24" s="35">
        <v>41670</v>
      </c>
      <c r="B24" s="13">
        <f>-$C$5</f>
        <v>2320.6062771332408</v>
      </c>
      <c r="C24" s="13">
        <f>F21*($C$3/12)</f>
        <v>1316.6770739410865</v>
      </c>
      <c r="D24" s="13">
        <f t="shared" ref="D24:D35" si="5">B24-C24</f>
        <v>1003.9292031921543</v>
      </c>
      <c r="E24" s="5">
        <f t="shared" ref="E24:E35" si="6">$E$2</f>
        <v>0</v>
      </c>
      <c r="F24" s="13">
        <f>F21-(D24+E24)</f>
        <v>262331.4855850251</v>
      </c>
    </row>
    <row r="25" spans="1:6" ht="12.75" customHeight="1" x14ac:dyDescent="0.2">
      <c r="A25" s="35">
        <v>41698</v>
      </c>
      <c r="B25" s="13">
        <f t="shared" ref="B25:B35" si="7">-$C$5</f>
        <v>2320.6062771332408</v>
      </c>
      <c r="C25" s="13">
        <f t="shared" ref="C25:C35" si="8">F24*($C$3/12)</f>
        <v>1311.6574279251256</v>
      </c>
      <c r="D25" s="13">
        <f t="shared" si="5"/>
        <v>1008.9488492081152</v>
      </c>
      <c r="E25" s="5">
        <f t="shared" si="6"/>
        <v>0</v>
      </c>
      <c r="F25" s="13">
        <f t="shared" ref="F25:F35" si="9">F24-(D25+E25)</f>
        <v>261322.53673581698</v>
      </c>
    </row>
    <row r="26" spans="1:6" ht="12.75" customHeight="1" x14ac:dyDescent="0.2">
      <c r="A26" s="35">
        <v>41729</v>
      </c>
      <c r="B26" s="13">
        <f t="shared" si="7"/>
        <v>2320.6062771332408</v>
      </c>
      <c r="C26" s="13">
        <f t="shared" si="8"/>
        <v>1306.612683679085</v>
      </c>
      <c r="D26" s="13">
        <f t="shared" si="5"/>
        <v>1013.9935934541559</v>
      </c>
      <c r="E26" s="5">
        <f t="shared" si="6"/>
        <v>0</v>
      </c>
      <c r="F26" s="13">
        <f t="shared" si="9"/>
        <v>260308.54314236282</v>
      </c>
    </row>
    <row r="27" spans="1:6" ht="12.75" customHeight="1" x14ac:dyDescent="0.2">
      <c r="A27" s="35">
        <v>41759</v>
      </c>
      <c r="B27" s="13">
        <f t="shared" si="7"/>
        <v>2320.6062771332408</v>
      </c>
      <c r="C27" s="13">
        <f t="shared" si="8"/>
        <v>1301.542715711814</v>
      </c>
      <c r="D27" s="13">
        <f t="shared" si="5"/>
        <v>1019.0635614214268</v>
      </c>
      <c r="E27" s="5">
        <f t="shared" si="6"/>
        <v>0</v>
      </c>
      <c r="F27" s="13">
        <f t="shared" si="9"/>
        <v>259289.47958094138</v>
      </c>
    </row>
    <row r="28" spans="1:6" ht="12.75" customHeight="1" x14ac:dyDescent="0.2">
      <c r="A28" s="35">
        <v>41790</v>
      </c>
      <c r="B28" s="13">
        <f t="shared" si="7"/>
        <v>2320.6062771332408</v>
      </c>
      <c r="C28" s="13">
        <f t="shared" si="8"/>
        <v>1296.4473979047068</v>
      </c>
      <c r="D28" s="13">
        <f t="shared" si="5"/>
        <v>1024.158879228534</v>
      </c>
      <c r="E28" s="5">
        <f t="shared" si="6"/>
        <v>0</v>
      </c>
      <c r="F28" s="13">
        <f t="shared" si="9"/>
        <v>258265.32070171283</v>
      </c>
    </row>
    <row r="29" spans="1:6" ht="12.75" customHeight="1" x14ac:dyDescent="0.2">
      <c r="A29" s="35">
        <v>41820</v>
      </c>
      <c r="B29" s="13">
        <f t="shared" si="7"/>
        <v>2320.6062771332408</v>
      </c>
      <c r="C29" s="13">
        <f t="shared" si="8"/>
        <v>1291.3266035085642</v>
      </c>
      <c r="D29" s="13">
        <f t="shared" si="5"/>
        <v>1029.2796736246767</v>
      </c>
      <c r="E29" s="5">
        <f t="shared" si="6"/>
        <v>0</v>
      </c>
      <c r="F29" s="13">
        <f t="shared" si="9"/>
        <v>257236.04102808816</v>
      </c>
    </row>
    <row r="30" spans="1:6" ht="12.75" customHeight="1" x14ac:dyDescent="0.2">
      <c r="A30" s="35">
        <v>41851</v>
      </c>
      <c r="B30" s="13">
        <f t="shared" si="7"/>
        <v>2320.6062771332408</v>
      </c>
      <c r="C30" s="13">
        <f t="shared" si="8"/>
        <v>1286.1802051404409</v>
      </c>
      <c r="D30" s="13">
        <f t="shared" si="5"/>
        <v>1034.4260719928</v>
      </c>
      <c r="E30" s="5">
        <f t="shared" si="6"/>
        <v>0</v>
      </c>
      <c r="F30" s="13">
        <f t="shared" si="9"/>
        <v>256201.61495609535</v>
      </c>
    </row>
    <row r="31" spans="1:6" ht="12.75" customHeight="1" x14ac:dyDescent="0.2">
      <c r="A31" s="35">
        <v>41882</v>
      </c>
      <c r="B31" s="13">
        <f t="shared" si="7"/>
        <v>2320.6062771332408</v>
      </c>
      <c r="C31" s="13">
        <f t="shared" si="8"/>
        <v>1281.0080747804768</v>
      </c>
      <c r="D31" s="13">
        <f t="shared" si="5"/>
        <v>1039.598202352764</v>
      </c>
      <c r="E31" s="5">
        <f t="shared" si="6"/>
        <v>0</v>
      </c>
      <c r="F31" s="13">
        <f t="shared" si="9"/>
        <v>255162.01675374259</v>
      </c>
    </row>
    <row r="32" spans="1:6" ht="12.75" customHeight="1" x14ac:dyDescent="0.2">
      <c r="A32" s="35">
        <v>41912</v>
      </c>
      <c r="B32" s="13">
        <f t="shared" si="7"/>
        <v>2320.6062771332408</v>
      </c>
      <c r="C32" s="13">
        <f t="shared" si="8"/>
        <v>1275.810083768713</v>
      </c>
      <c r="D32" s="13">
        <f t="shared" si="5"/>
        <v>1044.7961933645279</v>
      </c>
      <c r="E32" s="5">
        <f t="shared" si="6"/>
        <v>0</v>
      </c>
      <c r="F32" s="13">
        <f t="shared" si="9"/>
        <v>254117.22056037805</v>
      </c>
    </row>
    <row r="33" spans="1:6" ht="12.75" customHeight="1" x14ac:dyDescent="0.2">
      <c r="A33" s="35">
        <v>41943</v>
      </c>
      <c r="B33" s="13">
        <f t="shared" si="7"/>
        <v>2320.6062771332408</v>
      </c>
      <c r="C33" s="13">
        <f t="shared" si="8"/>
        <v>1270.5861028018903</v>
      </c>
      <c r="D33" s="13">
        <f t="shared" si="5"/>
        <v>1050.0201743313505</v>
      </c>
      <c r="E33" s="5">
        <f t="shared" si="6"/>
        <v>0</v>
      </c>
      <c r="F33" s="13">
        <f t="shared" si="9"/>
        <v>253067.20038604669</v>
      </c>
    </row>
    <row r="34" spans="1:6" ht="12.75" customHeight="1" x14ac:dyDescent="0.2">
      <c r="A34" s="35">
        <v>41973</v>
      </c>
      <c r="B34" s="13">
        <f t="shared" si="7"/>
        <v>2320.6062771332408</v>
      </c>
      <c r="C34" s="13">
        <f t="shared" si="8"/>
        <v>1265.3360019302336</v>
      </c>
      <c r="D34" s="13">
        <f t="shared" si="5"/>
        <v>1055.2702752030073</v>
      </c>
      <c r="E34" s="5">
        <f t="shared" si="6"/>
        <v>0</v>
      </c>
      <c r="F34" s="24">
        <f t="shared" si="9"/>
        <v>252011.93011084368</v>
      </c>
    </row>
    <row r="35" spans="1:6" ht="12.75" customHeight="1" x14ac:dyDescent="0.2">
      <c r="A35" s="35">
        <v>42004</v>
      </c>
      <c r="B35" s="13">
        <f t="shared" si="7"/>
        <v>2320.6062771332408</v>
      </c>
      <c r="C35" s="24">
        <f t="shared" si="8"/>
        <v>1260.0596505542185</v>
      </c>
      <c r="D35" s="24">
        <f t="shared" si="5"/>
        <v>1060.5466265790224</v>
      </c>
      <c r="E35" s="5">
        <f t="shared" si="6"/>
        <v>0</v>
      </c>
      <c r="F35" s="25">
        <f t="shared" si="9"/>
        <v>250951.38348426466</v>
      </c>
    </row>
    <row r="36" spans="1:6" ht="12.75" customHeight="1" x14ac:dyDescent="0.2">
      <c r="A36" s="37"/>
      <c r="B36" s="13"/>
      <c r="C36" s="26">
        <f>SUM(C24:C35)</f>
        <v>15463.244021646353</v>
      </c>
      <c r="D36" s="26">
        <f>SUM(D24:D35)</f>
        <v>12384.031303952534</v>
      </c>
      <c r="E36" s="13"/>
      <c r="F36" s="23"/>
    </row>
    <row r="37" spans="1:6" ht="12.75" customHeight="1" x14ac:dyDescent="0.2">
      <c r="A37" s="37"/>
      <c r="B37" s="13"/>
      <c r="C37" s="23"/>
      <c r="D37" s="23"/>
      <c r="E37" s="13"/>
      <c r="F37" s="13"/>
    </row>
    <row r="38" spans="1:6" ht="12.75" customHeight="1" x14ac:dyDescent="0.2">
      <c r="A38" s="35">
        <v>42035</v>
      </c>
      <c r="B38" s="13">
        <f t="shared" ref="B38:B49" si="10">-$C$5</f>
        <v>2320.6062771332408</v>
      </c>
      <c r="C38" s="13">
        <f>F35*($C$3/12)</f>
        <v>1254.7569174213234</v>
      </c>
      <c r="D38" s="13">
        <f t="shared" ref="D38:D49" si="11">B38-C38</f>
        <v>1065.8493597119175</v>
      </c>
      <c r="E38" s="5">
        <f t="shared" ref="E38:E49" si="12">$E$2</f>
        <v>0</v>
      </c>
      <c r="F38" s="13">
        <f>F35-(D38+E38)</f>
        <v>249885.53412455274</v>
      </c>
    </row>
    <row r="39" spans="1:6" ht="12.75" customHeight="1" x14ac:dyDescent="0.2">
      <c r="A39" s="35">
        <v>42063</v>
      </c>
      <c r="B39" s="13">
        <f t="shared" si="10"/>
        <v>2320.6062771332408</v>
      </c>
      <c r="C39" s="13">
        <f t="shared" ref="C39:C49" si="13">F38*($C$3/12)</f>
        <v>1249.4276706227638</v>
      </c>
      <c r="D39" s="13">
        <f t="shared" si="11"/>
        <v>1071.178606510477</v>
      </c>
      <c r="E39" s="5">
        <f t="shared" si="12"/>
        <v>0</v>
      </c>
      <c r="F39" s="13">
        <f t="shared" ref="F39:F49" si="14">F38-(D39+E39)</f>
        <v>248814.35551804226</v>
      </c>
    </row>
    <row r="40" spans="1:6" ht="12.75" customHeight="1" x14ac:dyDescent="0.2">
      <c r="A40" s="35">
        <v>42094</v>
      </c>
      <c r="B40" s="13">
        <f t="shared" si="10"/>
        <v>2320.6062771332408</v>
      </c>
      <c r="C40" s="13">
        <f t="shared" si="13"/>
        <v>1244.0717775902112</v>
      </c>
      <c r="D40" s="13">
        <f t="shared" si="11"/>
        <v>1076.5344995430296</v>
      </c>
      <c r="E40" s="5">
        <f t="shared" si="12"/>
        <v>0</v>
      </c>
      <c r="F40" s="13">
        <f t="shared" si="14"/>
        <v>247737.82101849923</v>
      </c>
    </row>
    <row r="41" spans="1:6" ht="12.75" customHeight="1" x14ac:dyDescent="0.2">
      <c r="A41" s="35">
        <v>42124</v>
      </c>
      <c r="B41" s="13">
        <f t="shared" si="10"/>
        <v>2320.6062771332408</v>
      </c>
      <c r="C41" s="13">
        <f t="shared" si="13"/>
        <v>1238.6891050924962</v>
      </c>
      <c r="D41" s="13">
        <f t="shared" si="11"/>
        <v>1081.9171720407446</v>
      </c>
      <c r="E41" s="5">
        <f t="shared" si="12"/>
        <v>0</v>
      </c>
      <c r="F41" s="13">
        <f t="shared" si="14"/>
        <v>246655.9038464585</v>
      </c>
    </row>
    <row r="42" spans="1:6" ht="12.75" customHeight="1" x14ac:dyDescent="0.2">
      <c r="A42" s="35">
        <v>42155</v>
      </c>
      <c r="B42" s="13">
        <f t="shared" si="10"/>
        <v>2320.6062771332408</v>
      </c>
      <c r="C42" s="13">
        <f t="shared" si="13"/>
        <v>1233.2795192322926</v>
      </c>
      <c r="D42" s="13">
        <f t="shared" si="11"/>
        <v>1087.3267579009482</v>
      </c>
      <c r="E42" s="5">
        <f t="shared" si="12"/>
        <v>0</v>
      </c>
      <c r="F42" s="13">
        <f t="shared" si="14"/>
        <v>245568.57708855756</v>
      </c>
    </row>
    <row r="43" spans="1:6" ht="12.75" customHeight="1" x14ac:dyDescent="0.2">
      <c r="A43" s="35">
        <v>42185</v>
      </c>
      <c r="B43" s="13">
        <f t="shared" si="10"/>
        <v>2320.6062771332408</v>
      </c>
      <c r="C43" s="13">
        <f t="shared" si="13"/>
        <v>1227.8428854427877</v>
      </c>
      <c r="D43" s="13">
        <f t="shared" si="11"/>
        <v>1092.7633916904531</v>
      </c>
      <c r="E43" s="5">
        <f t="shared" si="12"/>
        <v>0</v>
      </c>
      <c r="F43" s="13">
        <f t="shared" si="14"/>
        <v>244475.81369686712</v>
      </c>
    </row>
    <row r="44" spans="1:6" ht="12.75" customHeight="1" x14ac:dyDescent="0.2">
      <c r="A44" s="35">
        <v>42216</v>
      </c>
      <c r="B44" s="13">
        <f t="shared" si="10"/>
        <v>2320.6062771332408</v>
      </c>
      <c r="C44" s="13">
        <f t="shared" si="13"/>
        <v>1222.3790684843357</v>
      </c>
      <c r="D44" s="13">
        <f t="shared" si="11"/>
        <v>1098.2272086489052</v>
      </c>
      <c r="E44" s="5">
        <f t="shared" si="12"/>
        <v>0</v>
      </c>
      <c r="F44" s="13">
        <f t="shared" si="14"/>
        <v>243377.58648821822</v>
      </c>
    </row>
    <row r="45" spans="1:6" ht="12.75" customHeight="1" x14ac:dyDescent="0.2">
      <c r="A45" s="35">
        <v>42247</v>
      </c>
      <c r="B45" s="13">
        <f t="shared" si="10"/>
        <v>2320.6062771332408</v>
      </c>
      <c r="C45" s="13">
        <f t="shared" si="13"/>
        <v>1216.8879324410912</v>
      </c>
      <c r="D45" s="13">
        <f t="shared" si="11"/>
        <v>1103.7183446921497</v>
      </c>
      <c r="E45" s="5">
        <f t="shared" si="12"/>
        <v>0</v>
      </c>
      <c r="F45" s="13">
        <f t="shared" si="14"/>
        <v>242273.86814352608</v>
      </c>
    </row>
    <row r="46" spans="1:6" ht="12.75" customHeight="1" x14ac:dyDescent="0.2">
      <c r="A46" s="35">
        <v>42277</v>
      </c>
      <c r="B46" s="13">
        <f t="shared" si="10"/>
        <v>2320.6062771332408</v>
      </c>
      <c r="C46" s="13">
        <f t="shared" si="13"/>
        <v>1211.3693407176304</v>
      </c>
      <c r="D46" s="13">
        <f t="shared" si="11"/>
        <v>1109.2369364156104</v>
      </c>
      <c r="E46" s="5">
        <f t="shared" si="12"/>
        <v>0</v>
      </c>
      <c r="F46" s="13">
        <f t="shared" si="14"/>
        <v>241164.63120711048</v>
      </c>
    </row>
    <row r="47" spans="1:6" ht="12.75" customHeight="1" x14ac:dyDescent="0.2">
      <c r="A47" s="35">
        <v>42308</v>
      </c>
      <c r="B47" s="13">
        <f t="shared" si="10"/>
        <v>2320.6062771332408</v>
      </c>
      <c r="C47" s="13">
        <f t="shared" si="13"/>
        <v>1205.8231560355523</v>
      </c>
      <c r="D47" s="13">
        <f t="shared" si="11"/>
        <v>1114.7831210976885</v>
      </c>
      <c r="E47" s="5">
        <f t="shared" si="12"/>
        <v>0</v>
      </c>
      <c r="F47" s="13">
        <f t="shared" si="14"/>
        <v>240049.84808601279</v>
      </c>
    </row>
    <row r="48" spans="1:6" ht="12.75" customHeight="1" x14ac:dyDescent="0.2">
      <c r="A48" s="35">
        <v>42338</v>
      </c>
      <c r="B48" s="13">
        <f t="shared" si="10"/>
        <v>2320.6062771332408</v>
      </c>
      <c r="C48" s="13">
        <f t="shared" si="13"/>
        <v>1200.249240430064</v>
      </c>
      <c r="D48" s="13">
        <f t="shared" si="11"/>
        <v>1120.3570367031768</v>
      </c>
      <c r="E48" s="5">
        <f t="shared" si="12"/>
        <v>0</v>
      </c>
      <c r="F48" s="24">
        <f t="shared" si="14"/>
        <v>238929.49104930961</v>
      </c>
    </row>
    <row r="49" spans="1:6" ht="12.75" customHeight="1" x14ac:dyDescent="0.2">
      <c r="A49" s="35">
        <v>42369</v>
      </c>
      <c r="B49" s="13">
        <f t="shared" si="10"/>
        <v>2320.6062771332408</v>
      </c>
      <c r="C49" s="24">
        <f t="shared" si="13"/>
        <v>1194.6474552465481</v>
      </c>
      <c r="D49" s="24">
        <f t="shared" si="11"/>
        <v>1125.9588218866927</v>
      </c>
      <c r="E49" s="5">
        <f t="shared" si="12"/>
        <v>0</v>
      </c>
      <c r="F49" s="25">
        <f t="shared" si="14"/>
        <v>237803.53222742293</v>
      </c>
    </row>
    <row r="50" spans="1:6" ht="12.75" customHeight="1" x14ac:dyDescent="0.2">
      <c r="A50" s="37"/>
      <c r="B50" s="13"/>
      <c r="C50" s="26">
        <f>SUM(C38:C49)</f>
        <v>14699.424068757098</v>
      </c>
      <c r="D50" s="26">
        <f>SUM(D38:D49)</f>
        <v>13147.851256841795</v>
      </c>
      <c r="E50" s="13"/>
      <c r="F50" s="23"/>
    </row>
    <row r="51" spans="1:6" ht="12.75" customHeight="1" x14ac:dyDescent="0.2">
      <c r="A51" s="37"/>
      <c r="B51" s="13"/>
      <c r="C51" s="23"/>
      <c r="D51" s="23"/>
      <c r="E51" s="13"/>
      <c r="F51" s="13"/>
    </row>
    <row r="52" spans="1:6" ht="12.75" customHeight="1" x14ac:dyDescent="0.2">
      <c r="A52" s="35">
        <v>42400</v>
      </c>
      <c r="B52" s="13">
        <f t="shared" ref="B52:B63" si="15">-$C$5</f>
        <v>2320.6062771332408</v>
      </c>
      <c r="C52" s="13">
        <f>F49*($C$3/12)</f>
        <v>1189.0176611371146</v>
      </c>
      <c r="D52" s="13">
        <f t="shared" ref="D52:D63" si="16">B52-C52</f>
        <v>1131.5886159961262</v>
      </c>
      <c r="E52" s="5">
        <f t="shared" ref="E52:E63" si="17">$E$2</f>
        <v>0</v>
      </c>
      <c r="F52" s="13">
        <f>F49-(D52+E52)</f>
        <v>236671.9436114268</v>
      </c>
    </row>
    <row r="53" spans="1:6" ht="12.75" customHeight="1" x14ac:dyDescent="0.2">
      <c r="A53" s="35">
        <v>42429</v>
      </c>
      <c r="B53" s="13">
        <f t="shared" si="15"/>
        <v>2320.6062771332408</v>
      </c>
      <c r="C53" s="13">
        <f t="shared" ref="C53:C63" si="18">F52*($C$3/12)</f>
        <v>1183.3597180571339</v>
      </c>
      <c r="D53" s="13">
        <f t="shared" si="16"/>
        <v>1137.2465590761069</v>
      </c>
      <c r="E53" s="5">
        <f t="shared" si="17"/>
        <v>0</v>
      </c>
      <c r="F53" s="13">
        <f t="shared" ref="F53:F63" si="19">F52-(D53+E53)</f>
        <v>235534.6970523507</v>
      </c>
    </row>
    <row r="54" spans="1:6" ht="12.75" customHeight="1" x14ac:dyDescent="0.2">
      <c r="A54" s="35">
        <v>42460</v>
      </c>
      <c r="B54" s="13">
        <f t="shared" si="15"/>
        <v>2320.6062771332408</v>
      </c>
      <c r="C54" s="13">
        <f t="shared" si="18"/>
        <v>1177.6734852617535</v>
      </c>
      <c r="D54" s="13">
        <f t="shared" si="16"/>
        <v>1142.9327918714873</v>
      </c>
      <c r="E54" s="5">
        <f t="shared" si="17"/>
        <v>0</v>
      </c>
      <c r="F54" s="13">
        <f t="shared" si="19"/>
        <v>234391.76426047922</v>
      </c>
    </row>
    <row r="55" spans="1:6" ht="12.75" customHeight="1" x14ac:dyDescent="0.2">
      <c r="A55" s="35">
        <v>42490</v>
      </c>
      <c r="B55" s="13">
        <f t="shared" si="15"/>
        <v>2320.6062771332408</v>
      </c>
      <c r="C55" s="13">
        <f t="shared" si="18"/>
        <v>1171.958821302396</v>
      </c>
      <c r="D55" s="13">
        <f t="shared" si="16"/>
        <v>1148.6474558308448</v>
      </c>
      <c r="E55" s="5">
        <f t="shared" si="17"/>
        <v>0</v>
      </c>
      <c r="F55" s="13">
        <f t="shared" si="19"/>
        <v>233243.11680464837</v>
      </c>
    </row>
    <row r="56" spans="1:6" ht="12.75" customHeight="1" x14ac:dyDescent="0.2">
      <c r="A56" s="35">
        <v>42521</v>
      </c>
      <c r="B56" s="13">
        <f t="shared" si="15"/>
        <v>2320.6062771332408</v>
      </c>
      <c r="C56" s="13">
        <f t="shared" si="18"/>
        <v>1166.2155840232419</v>
      </c>
      <c r="D56" s="13">
        <f t="shared" si="16"/>
        <v>1154.3906931099989</v>
      </c>
      <c r="E56" s="5">
        <f t="shared" si="17"/>
        <v>0</v>
      </c>
      <c r="F56" s="13">
        <f t="shared" si="19"/>
        <v>232088.72611153836</v>
      </c>
    </row>
    <row r="57" spans="1:6" ht="12.75" customHeight="1" x14ac:dyDescent="0.2">
      <c r="A57" s="35">
        <v>42551</v>
      </c>
      <c r="B57" s="13">
        <f t="shared" si="15"/>
        <v>2320.6062771332408</v>
      </c>
      <c r="C57" s="13">
        <f t="shared" si="18"/>
        <v>1160.4436305576919</v>
      </c>
      <c r="D57" s="13">
        <f t="shared" si="16"/>
        <v>1160.1626465755489</v>
      </c>
      <c r="E57" s="5">
        <f t="shared" si="17"/>
        <v>0</v>
      </c>
      <c r="F57" s="13">
        <f t="shared" si="19"/>
        <v>230928.56346496282</v>
      </c>
    </row>
    <row r="58" spans="1:6" ht="12.75" customHeight="1" x14ac:dyDescent="0.2">
      <c r="A58" s="35">
        <v>42582</v>
      </c>
      <c r="B58" s="13">
        <f t="shared" si="15"/>
        <v>2320.6062771332408</v>
      </c>
      <c r="C58" s="13">
        <f t="shared" si="18"/>
        <v>1154.6428173248141</v>
      </c>
      <c r="D58" s="13">
        <f t="shared" si="16"/>
        <v>1165.9634598084267</v>
      </c>
      <c r="E58" s="5">
        <f t="shared" si="17"/>
        <v>0</v>
      </c>
      <c r="F58" s="13">
        <f t="shared" si="19"/>
        <v>229762.60000515438</v>
      </c>
    </row>
    <row r="59" spans="1:6" ht="12.75" customHeight="1" x14ac:dyDescent="0.2">
      <c r="A59" s="35">
        <v>42613</v>
      </c>
      <c r="B59" s="13">
        <f t="shared" si="15"/>
        <v>2320.6062771332408</v>
      </c>
      <c r="C59" s="13">
        <f t="shared" si="18"/>
        <v>1148.813000025772</v>
      </c>
      <c r="D59" s="13">
        <f t="shared" si="16"/>
        <v>1171.7932771074688</v>
      </c>
      <c r="E59" s="5">
        <f t="shared" si="17"/>
        <v>0</v>
      </c>
      <c r="F59" s="13">
        <f t="shared" si="19"/>
        <v>228590.80672804691</v>
      </c>
    </row>
    <row r="60" spans="1:6" ht="12.75" customHeight="1" x14ac:dyDescent="0.2">
      <c r="A60" s="35">
        <v>42643</v>
      </c>
      <c r="B60" s="13">
        <f t="shared" si="15"/>
        <v>2320.6062771332408</v>
      </c>
      <c r="C60" s="13">
        <f t="shared" si="18"/>
        <v>1142.9540336402347</v>
      </c>
      <c r="D60" s="13">
        <f t="shared" si="16"/>
        <v>1177.6522434930062</v>
      </c>
      <c r="E60" s="5">
        <f t="shared" si="17"/>
        <v>0</v>
      </c>
      <c r="F60" s="13">
        <f t="shared" si="19"/>
        <v>227413.1544845539</v>
      </c>
    </row>
    <row r="61" spans="1:6" ht="12.75" customHeight="1" x14ac:dyDescent="0.2">
      <c r="A61" s="35">
        <v>42674</v>
      </c>
      <c r="B61" s="13">
        <f t="shared" si="15"/>
        <v>2320.6062771332408</v>
      </c>
      <c r="C61" s="13">
        <f t="shared" si="18"/>
        <v>1137.0657724227694</v>
      </c>
      <c r="D61" s="13">
        <f t="shared" si="16"/>
        <v>1183.5405047104714</v>
      </c>
      <c r="E61" s="5">
        <f t="shared" si="17"/>
        <v>0</v>
      </c>
      <c r="F61" s="13">
        <f t="shared" si="19"/>
        <v>226229.61397984345</v>
      </c>
    </row>
    <row r="62" spans="1:6" ht="12.75" customHeight="1" x14ac:dyDescent="0.2">
      <c r="A62" s="35">
        <v>42704</v>
      </c>
      <c r="B62" s="13">
        <f t="shared" si="15"/>
        <v>2320.6062771332408</v>
      </c>
      <c r="C62" s="13">
        <f t="shared" si="18"/>
        <v>1131.1480698992173</v>
      </c>
      <c r="D62" s="13">
        <f t="shared" si="16"/>
        <v>1189.4582072340236</v>
      </c>
      <c r="E62" s="5">
        <f t="shared" si="17"/>
        <v>0</v>
      </c>
      <c r="F62" s="24">
        <f t="shared" si="19"/>
        <v>225040.15577260943</v>
      </c>
    </row>
    <row r="63" spans="1:6" ht="12.75" customHeight="1" x14ac:dyDescent="0.2">
      <c r="A63" s="35">
        <v>42735</v>
      </c>
      <c r="B63" s="13">
        <f t="shared" si="15"/>
        <v>2320.6062771332408</v>
      </c>
      <c r="C63" s="24">
        <f t="shared" si="18"/>
        <v>1125.2007788630472</v>
      </c>
      <c r="D63" s="24">
        <f t="shared" si="16"/>
        <v>1195.4054982701937</v>
      </c>
      <c r="E63" s="5">
        <f t="shared" si="17"/>
        <v>0</v>
      </c>
      <c r="F63" s="25">
        <f t="shared" si="19"/>
        <v>223844.75027433923</v>
      </c>
    </row>
    <row r="64" spans="1:6" ht="12.75" customHeight="1" x14ac:dyDescent="0.2">
      <c r="A64" s="37"/>
      <c r="B64" s="13"/>
      <c r="C64" s="26">
        <f>SUM(C52:C63)</f>
        <v>13888.493372515186</v>
      </c>
      <c r="D64" s="26">
        <f>SUM(D52:D63)</f>
        <v>13958.781953083704</v>
      </c>
      <c r="E64" s="13"/>
      <c r="F64" s="23"/>
    </row>
    <row r="65" spans="1:6" ht="12.75" customHeight="1" x14ac:dyDescent="0.2">
      <c r="A65" s="37"/>
      <c r="B65" s="13"/>
      <c r="C65" s="23"/>
      <c r="D65" s="23"/>
      <c r="E65" s="13"/>
      <c r="F65" s="13"/>
    </row>
    <row r="66" spans="1:6" ht="12.75" customHeight="1" x14ac:dyDescent="0.2">
      <c r="A66" s="35">
        <v>42766</v>
      </c>
      <c r="B66" s="13">
        <f t="shared" ref="B66:B77" si="20">-$C$5</f>
        <v>2320.6062771332408</v>
      </c>
      <c r="C66" s="13">
        <f>F63*($C$3/12)</f>
        <v>1119.2237513716962</v>
      </c>
      <c r="D66" s="13">
        <f t="shared" ref="D66:D77" si="21">B66-C66</f>
        <v>1201.3825257615447</v>
      </c>
      <c r="E66" s="5">
        <f t="shared" ref="E66:E77" si="22">$E$2</f>
        <v>0</v>
      </c>
      <c r="F66" s="13">
        <f>F63-(D66+E66)</f>
        <v>222643.36774857767</v>
      </c>
    </row>
    <row r="67" spans="1:6" ht="12.75" customHeight="1" x14ac:dyDescent="0.2">
      <c r="A67" s="35">
        <v>42794</v>
      </c>
      <c r="B67" s="13">
        <f t="shared" si="20"/>
        <v>2320.6062771332408</v>
      </c>
      <c r="C67" s="13">
        <f t="shared" ref="C67:C77" si="23">F66*($C$3/12)</f>
        <v>1113.2168387428883</v>
      </c>
      <c r="D67" s="13">
        <f t="shared" si="21"/>
        <v>1207.3894383903526</v>
      </c>
      <c r="E67" s="5">
        <f t="shared" si="22"/>
        <v>0</v>
      </c>
      <c r="F67" s="13">
        <f t="shared" ref="F67:F77" si="24">F66-(D67+E67)</f>
        <v>221435.97831018732</v>
      </c>
    </row>
    <row r="68" spans="1:6" ht="12.75" customHeight="1" x14ac:dyDescent="0.2">
      <c r="A68" s="35">
        <v>42825</v>
      </c>
      <c r="B68" s="13">
        <f t="shared" si="20"/>
        <v>2320.6062771332408</v>
      </c>
      <c r="C68" s="13">
        <f t="shared" si="23"/>
        <v>1107.1798915509366</v>
      </c>
      <c r="D68" s="13">
        <f t="shared" si="21"/>
        <v>1213.4263855823042</v>
      </c>
      <c r="E68" s="5">
        <f t="shared" si="22"/>
        <v>0</v>
      </c>
      <c r="F68" s="13">
        <f t="shared" si="24"/>
        <v>220222.55192460501</v>
      </c>
    </row>
    <row r="69" spans="1:6" ht="12.75" customHeight="1" x14ac:dyDescent="0.2">
      <c r="A69" s="35">
        <v>42855</v>
      </c>
      <c r="B69" s="13">
        <f t="shared" si="20"/>
        <v>2320.6062771332408</v>
      </c>
      <c r="C69" s="13">
        <f t="shared" si="23"/>
        <v>1101.1127596230251</v>
      </c>
      <c r="D69" s="13">
        <f t="shared" si="21"/>
        <v>1219.4935175102157</v>
      </c>
      <c r="E69" s="5">
        <f t="shared" si="22"/>
        <v>0</v>
      </c>
      <c r="F69" s="13">
        <f t="shared" si="24"/>
        <v>219003.0584070948</v>
      </c>
    </row>
    <row r="70" spans="1:6" ht="12.75" customHeight="1" x14ac:dyDescent="0.2">
      <c r="A70" s="35">
        <v>42886</v>
      </c>
      <c r="B70" s="13">
        <f t="shared" si="20"/>
        <v>2320.6062771332408</v>
      </c>
      <c r="C70" s="13">
        <f t="shared" si="23"/>
        <v>1095.015292035474</v>
      </c>
      <c r="D70" s="13">
        <f t="shared" si="21"/>
        <v>1225.5909850977669</v>
      </c>
      <c r="E70" s="5">
        <f t="shared" si="22"/>
        <v>0</v>
      </c>
      <c r="F70" s="13">
        <f t="shared" si="24"/>
        <v>217777.46742199702</v>
      </c>
    </row>
    <row r="71" spans="1:6" ht="12.75" customHeight="1" x14ac:dyDescent="0.2">
      <c r="A71" s="35">
        <v>42916</v>
      </c>
      <c r="B71" s="13">
        <f t="shared" si="20"/>
        <v>2320.6062771332408</v>
      </c>
      <c r="C71" s="13">
        <f t="shared" si="23"/>
        <v>1088.8873371099851</v>
      </c>
      <c r="D71" s="13">
        <f t="shared" si="21"/>
        <v>1231.7189400232558</v>
      </c>
      <c r="E71" s="5">
        <f t="shared" si="22"/>
        <v>0</v>
      </c>
      <c r="F71" s="13">
        <f t="shared" si="24"/>
        <v>216545.74848197377</v>
      </c>
    </row>
    <row r="72" spans="1:6" ht="12.75" customHeight="1" x14ac:dyDescent="0.2">
      <c r="A72" s="35">
        <v>42947</v>
      </c>
      <c r="B72" s="13">
        <f t="shared" si="20"/>
        <v>2320.6062771332408</v>
      </c>
      <c r="C72" s="13">
        <f t="shared" si="23"/>
        <v>1082.7287424098688</v>
      </c>
      <c r="D72" s="13">
        <f t="shared" si="21"/>
        <v>1237.877534723372</v>
      </c>
      <c r="E72" s="5">
        <f t="shared" si="22"/>
        <v>0</v>
      </c>
      <c r="F72" s="13">
        <f t="shared" si="24"/>
        <v>215307.8709472504</v>
      </c>
    </row>
    <row r="73" spans="1:6" ht="12.75" customHeight="1" x14ac:dyDescent="0.2">
      <c r="A73" s="35">
        <v>42978</v>
      </c>
      <c r="B73" s="13">
        <f t="shared" si="20"/>
        <v>2320.6062771332408</v>
      </c>
      <c r="C73" s="13">
        <f t="shared" si="23"/>
        <v>1076.5393547362521</v>
      </c>
      <c r="D73" s="13">
        <f t="shared" si="21"/>
        <v>1244.0669223969887</v>
      </c>
      <c r="E73" s="5">
        <f t="shared" si="22"/>
        <v>0</v>
      </c>
      <c r="F73" s="13">
        <f t="shared" si="24"/>
        <v>214063.80402485342</v>
      </c>
    </row>
    <row r="74" spans="1:6" ht="12.75" customHeight="1" x14ac:dyDescent="0.2">
      <c r="A74" s="35">
        <v>43008</v>
      </c>
      <c r="B74" s="13">
        <f t="shared" si="20"/>
        <v>2320.6062771332408</v>
      </c>
      <c r="C74" s="13">
        <f t="shared" si="23"/>
        <v>1070.3190201242671</v>
      </c>
      <c r="D74" s="13">
        <f t="shared" si="21"/>
        <v>1250.2872570089737</v>
      </c>
      <c r="E74" s="5">
        <f t="shared" si="22"/>
        <v>0</v>
      </c>
      <c r="F74" s="13">
        <f t="shared" si="24"/>
        <v>212813.51676784444</v>
      </c>
    </row>
    <row r="75" spans="1:6" ht="12.75" customHeight="1" x14ac:dyDescent="0.2">
      <c r="A75" s="35">
        <v>43039</v>
      </c>
      <c r="B75" s="13">
        <f t="shared" si="20"/>
        <v>2320.6062771332408</v>
      </c>
      <c r="C75" s="13">
        <f t="shared" si="23"/>
        <v>1064.0675838392222</v>
      </c>
      <c r="D75" s="13">
        <f t="shared" si="21"/>
        <v>1256.5386932940187</v>
      </c>
      <c r="E75" s="5">
        <f t="shared" si="22"/>
        <v>0</v>
      </c>
      <c r="F75" s="13">
        <f t="shared" si="24"/>
        <v>211556.97807455042</v>
      </c>
    </row>
    <row r="76" spans="1:6" ht="12.75" customHeight="1" x14ac:dyDescent="0.2">
      <c r="A76" s="35">
        <v>43069</v>
      </c>
      <c r="B76" s="13">
        <f t="shared" si="20"/>
        <v>2320.6062771332408</v>
      </c>
      <c r="C76" s="13">
        <f t="shared" si="23"/>
        <v>1057.7848903727522</v>
      </c>
      <c r="D76" s="13">
        <f t="shared" si="21"/>
        <v>1262.8213867604886</v>
      </c>
      <c r="E76" s="5">
        <f t="shared" si="22"/>
        <v>0</v>
      </c>
      <c r="F76" s="24">
        <f t="shared" si="24"/>
        <v>210294.15668778995</v>
      </c>
    </row>
    <row r="77" spans="1:6" ht="12.75" customHeight="1" x14ac:dyDescent="0.2">
      <c r="A77" s="35">
        <v>43100</v>
      </c>
      <c r="B77" s="13">
        <f t="shared" si="20"/>
        <v>2320.6062771332408</v>
      </c>
      <c r="C77" s="24">
        <f t="shared" si="23"/>
        <v>1051.4707834389496</v>
      </c>
      <c r="D77" s="24">
        <f t="shared" si="21"/>
        <v>1269.1354936942912</v>
      </c>
      <c r="E77" s="5">
        <f t="shared" si="22"/>
        <v>0</v>
      </c>
      <c r="F77" s="25">
        <f t="shared" si="24"/>
        <v>209025.02119409567</v>
      </c>
    </row>
    <row r="78" spans="1:6" ht="12.75" customHeight="1" x14ac:dyDescent="0.2">
      <c r="A78" s="37"/>
      <c r="B78" s="13"/>
      <c r="C78" s="26">
        <f>SUM(C66:C77)</f>
        <v>13027.546245355317</v>
      </c>
      <c r="D78" s="26">
        <f>SUM(D66:D77)</f>
        <v>14819.729080243571</v>
      </c>
      <c r="E78" s="13"/>
      <c r="F78" s="23"/>
    </row>
    <row r="79" spans="1:6" ht="12.75" customHeight="1" x14ac:dyDescent="0.2">
      <c r="A79" s="37"/>
      <c r="B79" s="13"/>
      <c r="C79" s="23"/>
      <c r="D79" s="23"/>
      <c r="E79" s="13"/>
      <c r="F79" s="13"/>
    </row>
    <row r="80" spans="1:6" ht="12.75" customHeight="1" x14ac:dyDescent="0.2">
      <c r="A80" s="35">
        <v>43131</v>
      </c>
      <c r="B80" s="13">
        <f t="shared" ref="B80:B91" si="25">-$C$5</f>
        <v>2320.6062771332408</v>
      </c>
      <c r="C80" s="13">
        <f>F77*($C$3/12)</f>
        <v>1045.1251059704784</v>
      </c>
      <c r="D80" s="13">
        <f t="shared" ref="D80:D91" si="26">B80-C80</f>
        <v>1275.4811711627624</v>
      </c>
      <c r="E80" s="5">
        <f t="shared" ref="E80:E91" si="27">$E$2</f>
        <v>0</v>
      </c>
      <c r="F80" s="13">
        <f>F77-(D80+E80)</f>
        <v>207749.5400229329</v>
      </c>
    </row>
    <row r="81" spans="1:6" ht="12.75" customHeight="1" x14ac:dyDescent="0.2">
      <c r="A81" s="35">
        <v>43159</v>
      </c>
      <c r="B81" s="13">
        <f t="shared" si="25"/>
        <v>2320.6062771332408</v>
      </c>
      <c r="C81" s="13">
        <f t="shared" ref="C81:C91" si="28">F80*($C$3/12)</f>
        <v>1038.7477001146644</v>
      </c>
      <c r="D81" s="13">
        <f t="shared" si="26"/>
        <v>1281.8585770185764</v>
      </c>
      <c r="E81" s="5">
        <f t="shared" si="27"/>
        <v>0</v>
      </c>
      <c r="F81" s="13">
        <f t="shared" ref="F81:F91" si="29">F80-(D81+E81)</f>
        <v>206467.68144591432</v>
      </c>
    </row>
    <row r="82" spans="1:6" ht="12.75" customHeight="1" x14ac:dyDescent="0.2">
      <c r="A82" s="35">
        <v>43190</v>
      </c>
      <c r="B82" s="13">
        <f t="shared" si="25"/>
        <v>2320.6062771332408</v>
      </c>
      <c r="C82" s="13">
        <f t="shared" si="28"/>
        <v>1032.3384072295717</v>
      </c>
      <c r="D82" s="13">
        <f t="shared" si="26"/>
        <v>1288.2678699036692</v>
      </c>
      <c r="E82" s="5">
        <f t="shared" si="27"/>
        <v>0</v>
      </c>
      <c r="F82" s="13">
        <f t="shared" si="29"/>
        <v>205179.41357601064</v>
      </c>
    </row>
    <row r="83" spans="1:6" ht="12.75" customHeight="1" x14ac:dyDescent="0.2">
      <c r="A83" s="35">
        <v>43220</v>
      </c>
      <c r="B83" s="13">
        <f t="shared" si="25"/>
        <v>2320.6062771332408</v>
      </c>
      <c r="C83" s="13">
        <f t="shared" si="28"/>
        <v>1025.8970678800533</v>
      </c>
      <c r="D83" s="13">
        <f t="shared" si="26"/>
        <v>1294.7092092531875</v>
      </c>
      <c r="E83" s="5">
        <f t="shared" si="27"/>
        <v>0</v>
      </c>
      <c r="F83" s="13">
        <f t="shared" si="29"/>
        <v>203884.70436675745</v>
      </c>
    </row>
    <row r="84" spans="1:6" ht="12.75" customHeight="1" x14ac:dyDescent="0.2">
      <c r="A84" s="35">
        <v>43251</v>
      </c>
      <c r="B84" s="13">
        <f t="shared" si="25"/>
        <v>2320.6062771332408</v>
      </c>
      <c r="C84" s="13">
        <f t="shared" si="28"/>
        <v>1019.4235218337873</v>
      </c>
      <c r="D84" s="13">
        <f t="shared" si="26"/>
        <v>1301.1827552994537</v>
      </c>
      <c r="E84" s="5">
        <f t="shared" si="27"/>
        <v>0</v>
      </c>
      <c r="F84" s="13">
        <f t="shared" si="29"/>
        <v>202583.52161145798</v>
      </c>
    </row>
    <row r="85" spans="1:6" ht="12.75" customHeight="1" x14ac:dyDescent="0.2">
      <c r="A85" s="35">
        <v>43281</v>
      </c>
      <c r="B85" s="13">
        <f t="shared" si="25"/>
        <v>2320.6062771332408</v>
      </c>
      <c r="C85" s="13">
        <f t="shared" si="28"/>
        <v>1012.91760805729</v>
      </c>
      <c r="D85" s="13">
        <f t="shared" si="26"/>
        <v>1307.6886690759509</v>
      </c>
      <c r="E85" s="5">
        <f t="shared" si="27"/>
        <v>0</v>
      </c>
      <c r="F85" s="13">
        <f t="shared" si="29"/>
        <v>201275.83294238203</v>
      </c>
    </row>
    <row r="86" spans="1:6" ht="12.75" customHeight="1" x14ac:dyDescent="0.2">
      <c r="A86" s="35">
        <v>43312</v>
      </c>
      <c r="B86" s="13">
        <f t="shared" si="25"/>
        <v>2320.6062771332408</v>
      </c>
      <c r="C86" s="13">
        <f t="shared" si="28"/>
        <v>1006.3791647119101</v>
      </c>
      <c r="D86" s="13">
        <f t="shared" si="26"/>
        <v>1314.2271124213307</v>
      </c>
      <c r="E86" s="5">
        <f t="shared" si="27"/>
        <v>0</v>
      </c>
      <c r="F86" s="13">
        <f t="shared" si="29"/>
        <v>199961.6058299607</v>
      </c>
    </row>
    <row r="87" spans="1:6" ht="12.75" customHeight="1" x14ac:dyDescent="0.2">
      <c r="A87" s="35">
        <v>43343</v>
      </c>
      <c r="B87" s="13">
        <f t="shared" si="25"/>
        <v>2320.6062771332408</v>
      </c>
      <c r="C87" s="13">
        <f t="shared" si="28"/>
        <v>999.80802914980347</v>
      </c>
      <c r="D87" s="13">
        <f t="shared" si="26"/>
        <v>1320.7982479834372</v>
      </c>
      <c r="E87" s="5">
        <f t="shared" si="27"/>
        <v>0</v>
      </c>
      <c r="F87" s="13">
        <f t="shared" si="29"/>
        <v>198640.80758197725</v>
      </c>
    </row>
    <row r="88" spans="1:6" ht="12.75" customHeight="1" x14ac:dyDescent="0.2">
      <c r="A88" s="35">
        <v>43373</v>
      </c>
      <c r="B88" s="13">
        <f t="shared" si="25"/>
        <v>2320.6062771332408</v>
      </c>
      <c r="C88" s="13">
        <f t="shared" si="28"/>
        <v>993.20403790988632</v>
      </c>
      <c r="D88" s="13">
        <f t="shared" si="26"/>
        <v>1327.4022392233546</v>
      </c>
      <c r="E88" s="5">
        <f t="shared" si="27"/>
        <v>0</v>
      </c>
      <c r="F88" s="13">
        <f t="shared" si="29"/>
        <v>197313.40534275389</v>
      </c>
    </row>
    <row r="89" spans="1:6" ht="12.75" customHeight="1" x14ac:dyDescent="0.2">
      <c r="A89" s="35">
        <v>43404</v>
      </c>
      <c r="B89" s="13">
        <f t="shared" si="25"/>
        <v>2320.6062771332408</v>
      </c>
      <c r="C89" s="13">
        <f t="shared" si="28"/>
        <v>986.56702671376945</v>
      </c>
      <c r="D89" s="13">
        <f t="shared" si="26"/>
        <v>1334.0392504194715</v>
      </c>
      <c r="E89" s="5">
        <f t="shared" si="27"/>
        <v>0</v>
      </c>
      <c r="F89" s="13">
        <f t="shared" si="29"/>
        <v>195979.36609233441</v>
      </c>
    </row>
    <row r="90" spans="1:6" ht="12.75" customHeight="1" x14ac:dyDescent="0.2">
      <c r="A90" s="35">
        <v>43434</v>
      </c>
      <c r="B90" s="13">
        <f t="shared" si="25"/>
        <v>2320.6062771332408</v>
      </c>
      <c r="C90" s="13">
        <f t="shared" si="28"/>
        <v>979.89683046167204</v>
      </c>
      <c r="D90" s="13">
        <f t="shared" si="26"/>
        <v>1340.7094466715689</v>
      </c>
      <c r="E90" s="5">
        <f t="shared" si="27"/>
        <v>0</v>
      </c>
      <c r="F90" s="24">
        <f t="shared" si="29"/>
        <v>194638.65664566285</v>
      </c>
    </row>
    <row r="91" spans="1:6" ht="12.75" customHeight="1" x14ac:dyDescent="0.2">
      <c r="A91" s="35">
        <v>43465</v>
      </c>
      <c r="B91" s="13">
        <f t="shared" si="25"/>
        <v>2320.6062771332408</v>
      </c>
      <c r="C91" s="24">
        <f t="shared" si="28"/>
        <v>973.19328322831427</v>
      </c>
      <c r="D91" s="24">
        <f t="shared" si="26"/>
        <v>1347.4129939049267</v>
      </c>
      <c r="E91" s="5">
        <f t="shared" si="27"/>
        <v>0</v>
      </c>
      <c r="F91" s="25">
        <f t="shared" si="29"/>
        <v>193291.24365175792</v>
      </c>
    </row>
    <row r="92" spans="1:6" ht="12.75" customHeight="1" x14ac:dyDescent="0.2">
      <c r="A92" s="37"/>
      <c r="B92" s="13"/>
      <c r="C92" s="26">
        <f>SUM(C80:C91)</f>
        <v>12113.4977832612</v>
      </c>
      <c r="D92" s="26">
        <f>SUM(D80:D91)</f>
        <v>15733.777542337692</v>
      </c>
      <c r="E92" s="13"/>
      <c r="F92" s="23"/>
    </row>
    <row r="93" spans="1:6" ht="12.75" customHeight="1" x14ac:dyDescent="0.2">
      <c r="A93" s="37"/>
      <c r="B93" s="13"/>
      <c r="C93" s="23"/>
      <c r="D93" s="23"/>
      <c r="E93" s="13"/>
      <c r="F93" s="13"/>
    </row>
    <row r="94" spans="1:6" ht="12.75" customHeight="1" x14ac:dyDescent="0.2">
      <c r="A94" s="35">
        <v>43496</v>
      </c>
      <c r="B94" s="13">
        <f t="shared" ref="B94:B105" si="30">-$C$5</f>
        <v>2320.6062771332408</v>
      </c>
      <c r="C94" s="13">
        <f>F91*($C$3/12)</f>
        <v>966.45621825878959</v>
      </c>
      <c r="D94" s="13">
        <f t="shared" ref="D94:D105" si="31">B94-C94</f>
        <v>1354.1500588744511</v>
      </c>
      <c r="E94" s="5">
        <f t="shared" ref="E94:E105" si="32">$E$2</f>
        <v>0</v>
      </c>
      <c r="F94" s="13">
        <f>F91-(D94+E94)</f>
        <v>191937.09359288347</v>
      </c>
    </row>
    <row r="95" spans="1:6" ht="12.75" customHeight="1" x14ac:dyDescent="0.2">
      <c r="A95" s="35">
        <v>43524</v>
      </c>
      <c r="B95" s="13">
        <f t="shared" si="30"/>
        <v>2320.6062771332408</v>
      </c>
      <c r="C95" s="13">
        <f t="shared" ref="C95:C105" si="33">F94*($C$3/12)</f>
        <v>959.6854679644174</v>
      </c>
      <c r="D95" s="13">
        <f t="shared" si="31"/>
        <v>1360.9208091688233</v>
      </c>
      <c r="E95" s="5">
        <f t="shared" si="32"/>
        <v>0</v>
      </c>
      <c r="F95" s="13">
        <f t="shared" ref="F95:F105" si="34">F94-(D95+E95)</f>
        <v>190576.17278371463</v>
      </c>
    </row>
    <row r="96" spans="1:6" ht="12.75" customHeight="1" x14ac:dyDescent="0.2">
      <c r="A96" s="35">
        <v>43555</v>
      </c>
      <c r="B96" s="13">
        <f t="shared" si="30"/>
        <v>2320.6062771332408</v>
      </c>
      <c r="C96" s="13">
        <f t="shared" si="33"/>
        <v>952.88086391857314</v>
      </c>
      <c r="D96" s="13">
        <f t="shared" si="31"/>
        <v>1367.7254132146677</v>
      </c>
      <c r="E96" s="5">
        <f t="shared" si="32"/>
        <v>0</v>
      </c>
      <c r="F96" s="13">
        <f t="shared" si="34"/>
        <v>189208.44737049995</v>
      </c>
    </row>
    <row r="97" spans="1:6" ht="12.75" customHeight="1" x14ac:dyDescent="0.2">
      <c r="A97" s="35">
        <v>43585</v>
      </c>
      <c r="B97" s="13">
        <f t="shared" si="30"/>
        <v>2320.6062771332408</v>
      </c>
      <c r="C97" s="13">
        <f t="shared" si="33"/>
        <v>946.04223685249974</v>
      </c>
      <c r="D97" s="13">
        <f t="shared" si="31"/>
        <v>1374.5640402807412</v>
      </c>
      <c r="E97" s="5">
        <f t="shared" si="32"/>
        <v>0</v>
      </c>
      <c r="F97" s="13">
        <f t="shared" si="34"/>
        <v>187833.88333021922</v>
      </c>
    </row>
    <row r="98" spans="1:6" ht="12.75" customHeight="1" x14ac:dyDescent="0.2">
      <c r="A98" s="35">
        <v>43616</v>
      </c>
      <c r="B98" s="13">
        <f t="shared" si="30"/>
        <v>2320.6062771332408</v>
      </c>
      <c r="C98" s="13">
        <f t="shared" si="33"/>
        <v>939.16941665109607</v>
      </c>
      <c r="D98" s="13">
        <f t="shared" si="31"/>
        <v>1381.4368604821448</v>
      </c>
      <c r="E98" s="5">
        <f t="shared" si="32"/>
        <v>0</v>
      </c>
      <c r="F98" s="13">
        <f t="shared" si="34"/>
        <v>186452.44646973707</v>
      </c>
    </row>
    <row r="99" spans="1:6" ht="12.75" customHeight="1" x14ac:dyDescent="0.2">
      <c r="A99" s="35">
        <v>43646</v>
      </c>
      <c r="B99" s="13">
        <f t="shared" si="30"/>
        <v>2320.6062771332408</v>
      </c>
      <c r="C99" s="13">
        <f t="shared" si="33"/>
        <v>932.26223234868542</v>
      </c>
      <c r="D99" s="13">
        <f t="shared" si="31"/>
        <v>1388.3440447845555</v>
      </c>
      <c r="E99" s="5">
        <f t="shared" si="32"/>
        <v>0</v>
      </c>
      <c r="F99" s="13">
        <f t="shared" si="34"/>
        <v>185064.10242495252</v>
      </c>
    </row>
    <row r="100" spans="1:6" ht="12.75" customHeight="1" x14ac:dyDescent="0.2">
      <c r="A100" s="35">
        <v>43677</v>
      </c>
      <c r="B100" s="13">
        <f t="shared" si="30"/>
        <v>2320.6062771332408</v>
      </c>
      <c r="C100" s="13">
        <f t="shared" si="33"/>
        <v>925.32051212476267</v>
      </c>
      <c r="D100" s="13">
        <f t="shared" si="31"/>
        <v>1395.2857650084782</v>
      </c>
      <c r="E100" s="5">
        <f t="shared" si="32"/>
        <v>0</v>
      </c>
      <c r="F100" s="13">
        <f t="shared" si="34"/>
        <v>183668.81665994404</v>
      </c>
    </row>
    <row r="101" spans="1:6" ht="12.75" customHeight="1" x14ac:dyDescent="0.2">
      <c r="A101" s="35">
        <v>43708</v>
      </c>
      <c r="B101" s="13">
        <f t="shared" si="30"/>
        <v>2320.6062771332408</v>
      </c>
      <c r="C101" s="13">
        <f t="shared" si="33"/>
        <v>918.3440832997203</v>
      </c>
      <c r="D101" s="13">
        <f t="shared" si="31"/>
        <v>1402.2621938335205</v>
      </c>
      <c r="E101" s="5">
        <f t="shared" si="32"/>
        <v>0</v>
      </c>
      <c r="F101" s="13">
        <f t="shared" si="34"/>
        <v>182266.55446611054</v>
      </c>
    </row>
    <row r="102" spans="1:6" ht="12.75" customHeight="1" x14ac:dyDescent="0.2">
      <c r="A102" s="35">
        <v>43738</v>
      </c>
      <c r="B102" s="13">
        <f t="shared" si="30"/>
        <v>2320.6062771332408</v>
      </c>
      <c r="C102" s="13">
        <f t="shared" si="33"/>
        <v>911.33277233055276</v>
      </c>
      <c r="D102" s="13">
        <f t="shared" si="31"/>
        <v>1409.273504802688</v>
      </c>
      <c r="E102" s="5">
        <f t="shared" si="32"/>
        <v>0</v>
      </c>
      <c r="F102" s="13">
        <f t="shared" si="34"/>
        <v>180857.28096130784</v>
      </c>
    </row>
    <row r="103" spans="1:6" ht="12.75" customHeight="1" x14ac:dyDescent="0.2">
      <c r="A103" s="35">
        <v>43769</v>
      </c>
      <c r="B103" s="13">
        <f t="shared" si="30"/>
        <v>2320.6062771332408</v>
      </c>
      <c r="C103" s="13">
        <f t="shared" si="33"/>
        <v>904.28640480653928</v>
      </c>
      <c r="D103" s="13">
        <f t="shared" si="31"/>
        <v>1416.3198723267014</v>
      </c>
      <c r="E103" s="5">
        <f t="shared" si="32"/>
        <v>0</v>
      </c>
      <c r="F103" s="13">
        <f t="shared" si="34"/>
        <v>179440.96108898113</v>
      </c>
    </row>
    <row r="104" spans="1:6" ht="12.75" customHeight="1" x14ac:dyDescent="0.2">
      <c r="A104" s="35">
        <v>43799</v>
      </c>
      <c r="B104" s="13">
        <f t="shared" si="30"/>
        <v>2320.6062771332408</v>
      </c>
      <c r="C104" s="13">
        <f t="shared" si="33"/>
        <v>897.20480544490567</v>
      </c>
      <c r="D104" s="13">
        <f t="shared" si="31"/>
        <v>1423.4014716883353</v>
      </c>
      <c r="E104" s="5">
        <f t="shared" si="32"/>
        <v>0</v>
      </c>
      <c r="F104" s="24">
        <f t="shared" si="34"/>
        <v>178017.55961729281</v>
      </c>
    </row>
    <row r="105" spans="1:6" ht="12.75" customHeight="1" x14ac:dyDescent="0.2">
      <c r="A105" s="35">
        <v>43830</v>
      </c>
      <c r="B105" s="13">
        <f t="shared" si="30"/>
        <v>2320.6062771332408</v>
      </c>
      <c r="C105" s="24">
        <f t="shared" si="33"/>
        <v>890.08779808646409</v>
      </c>
      <c r="D105" s="24">
        <f t="shared" si="31"/>
        <v>1430.5184790467767</v>
      </c>
      <c r="E105" s="5">
        <f t="shared" si="32"/>
        <v>0</v>
      </c>
      <c r="F105" s="25">
        <f t="shared" si="34"/>
        <v>176587.04113824602</v>
      </c>
    </row>
    <row r="106" spans="1:6" ht="12.75" customHeight="1" x14ac:dyDescent="0.2">
      <c r="A106" s="37"/>
      <c r="B106" s="13"/>
      <c r="C106" s="26">
        <f>SUM(C94:C105)</f>
        <v>11143.072812087006</v>
      </c>
      <c r="D106" s="26">
        <f>SUM(D94:D105)</f>
        <v>16704.202513511882</v>
      </c>
      <c r="E106" s="13"/>
      <c r="F106" s="23"/>
    </row>
    <row r="107" spans="1:6" ht="12.75" customHeight="1" x14ac:dyDescent="0.2">
      <c r="A107" s="37"/>
      <c r="B107" s="13"/>
      <c r="C107" s="23"/>
      <c r="D107" s="23"/>
      <c r="E107" s="13"/>
      <c r="F107" s="13"/>
    </row>
    <row r="108" spans="1:6" ht="12.75" customHeight="1" x14ac:dyDescent="0.2">
      <c r="A108" s="35">
        <v>43861</v>
      </c>
      <c r="B108" s="13">
        <f t="shared" ref="B108:B119" si="35">-$C$5</f>
        <v>2320.6062771332408</v>
      </c>
      <c r="C108" s="13">
        <f>F105*($C$3/12)</f>
        <v>882.93520569123007</v>
      </c>
      <c r="D108" s="13">
        <f t="shared" ref="D108:D119" si="36">B108-C108</f>
        <v>1437.6710714420108</v>
      </c>
      <c r="E108" s="5">
        <f t="shared" ref="E108:E119" si="37">$E$2</f>
        <v>0</v>
      </c>
      <c r="F108" s="13">
        <f>F105-(D108+E108)</f>
        <v>175149.370066804</v>
      </c>
    </row>
    <row r="109" spans="1:6" ht="12.75" customHeight="1" x14ac:dyDescent="0.2">
      <c r="A109" s="35">
        <v>43890</v>
      </c>
      <c r="B109" s="13">
        <f t="shared" si="35"/>
        <v>2320.6062771332408</v>
      </c>
      <c r="C109" s="13">
        <f t="shared" ref="C109:C119" si="38">F108*($C$3/12)</f>
        <v>875.74685033402</v>
      </c>
      <c r="D109" s="13">
        <f t="shared" si="36"/>
        <v>1444.8594267992207</v>
      </c>
      <c r="E109" s="5">
        <f t="shared" si="37"/>
        <v>0</v>
      </c>
      <c r="F109" s="13">
        <f t="shared" ref="F109:F119" si="39">F108-(D109+E109)</f>
        <v>173704.51064000477</v>
      </c>
    </row>
    <row r="110" spans="1:6" ht="12.75" customHeight="1" x14ac:dyDescent="0.2">
      <c r="A110" s="35">
        <v>43921</v>
      </c>
      <c r="B110" s="13">
        <f t="shared" si="35"/>
        <v>2320.6062771332408</v>
      </c>
      <c r="C110" s="13">
        <f t="shared" si="38"/>
        <v>868.52255320002382</v>
      </c>
      <c r="D110" s="13">
        <f t="shared" si="36"/>
        <v>1452.083723933217</v>
      </c>
      <c r="E110" s="5">
        <f t="shared" si="37"/>
        <v>0</v>
      </c>
      <c r="F110" s="13">
        <f t="shared" si="39"/>
        <v>172252.42691607156</v>
      </c>
    </row>
    <row r="111" spans="1:6" ht="12.75" customHeight="1" x14ac:dyDescent="0.2">
      <c r="A111" s="35">
        <v>43951</v>
      </c>
      <c r="B111" s="13">
        <f t="shared" si="35"/>
        <v>2320.6062771332408</v>
      </c>
      <c r="C111" s="13">
        <f t="shared" si="38"/>
        <v>861.26213458035784</v>
      </c>
      <c r="D111" s="13">
        <f t="shared" si="36"/>
        <v>1459.3441425528831</v>
      </c>
      <c r="E111" s="5">
        <f t="shared" si="37"/>
        <v>0</v>
      </c>
      <c r="F111" s="13">
        <f t="shared" si="39"/>
        <v>170793.08277351869</v>
      </c>
    </row>
    <row r="112" spans="1:6" ht="12.75" customHeight="1" x14ac:dyDescent="0.2">
      <c r="A112" s="35">
        <v>43982</v>
      </c>
      <c r="B112" s="13">
        <f t="shared" si="35"/>
        <v>2320.6062771332408</v>
      </c>
      <c r="C112" s="13">
        <f t="shared" si="38"/>
        <v>853.9654138675935</v>
      </c>
      <c r="D112" s="13">
        <f t="shared" si="36"/>
        <v>1466.6408632656473</v>
      </c>
      <c r="E112" s="5">
        <f t="shared" si="37"/>
        <v>0</v>
      </c>
      <c r="F112" s="13">
        <f t="shared" si="39"/>
        <v>169326.44191025305</v>
      </c>
    </row>
    <row r="113" spans="1:6" ht="12.75" customHeight="1" x14ac:dyDescent="0.2">
      <c r="A113" s="35">
        <v>44012</v>
      </c>
      <c r="B113" s="13">
        <f t="shared" si="35"/>
        <v>2320.6062771332408</v>
      </c>
      <c r="C113" s="13">
        <f t="shared" si="38"/>
        <v>846.6322095512653</v>
      </c>
      <c r="D113" s="13">
        <f t="shared" si="36"/>
        <v>1473.9740675819755</v>
      </c>
      <c r="E113" s="5">
        <f t="shared" si="37"/>
        <v>0</v>
      </c>
      <c r="F113" s="13">
        <f t="shared" si="39"/>
        <v>167852.46784267109</v>
      </c>
    </row>
    <row r="114" spans="1:6" ht="12.75" customHeight="1" x14ac:dyDescent="0.2">
      <c r="A114" s="35">
        <v>44043</v>
      </c>
      <c r="B114" s="13">
        <f t="shared" si="35"/>
        <v>2320.6062771332408</v>
      </c>
      <c r="C114" s="13">
        <f t="shared" si="38"/>
        <v>839.26233921335552</v>
      </c>
      <c r="D114" s="13">
        <f t="shared" si="36"/>
        <v>1481.3439379198853</v>
      </c>
      <c r="E114" s="5">
        <f t="shared" si="37"/>
        <v>0</v>
      </c>
      <c r="F114" s="13">
        <f t="shared" si="39"/>
        <v>166371.12390475121</v>
      </c>
    </row>
    <row r="115" spans="1:6" ht="12.75" customHeight="1" x14ac:dyDescent="0.2">
      <c r="A115" s="35">
        <v>44074</v>
      </c>
      <c r="B115" s="13">
        <f t="shared" si="35"/>
        <v>2320.6062771332408</v>
      </c>
      <c r="C115" s="13">
        <f t="shared" si="38"/>
        <v>831.8556195237561</v>
      </c>
      <c r="D115" s="13">
        <f t="shared" si="36"/>
        <v>1488.7506576094847</v>
      </c>
      <c r="E115" s="5">
        <f t="shared" si="37"/>
        <v>0</v>
      </c>
      <c r="F115" s="13">
        <f t="shared" si="39"/>
        <v>164882.37324714172</v>
      </c>
    </row>
    <row r="116" spans="1:6" ht="12.75" customHeight="1" x14ac:dyDescent="0.2">
      <c r="A116" s="35">
        <v>44104</v>
      </c>
      <c r="B116" s="13">
        <f t="shared" si="35"/>
        <v>2320.6062771332408</v>
      </c>
      <c r="C116" s="13">
        <f t="shared" si="38"/>
        <v>824.41186623570866</v>
      </c>
      <c r="D116" s="13">
        <f t="shared" si="36"/>
        <v>1496.1944108975322</v>
      </c>
      <c r="E116" s="5">
        <f t="shared" si="37"/>
        <v>0</v>
      </c>
      <c r="F116" s="13">
        <f t="shared" si="39"/>
        <v>163386.17883624419</v>
      </c>
    </row>
    <row r="117" spans="1:6" ht="12.75" customHeight="1" x14ac:dyDescent="0.2">
      <c r="A117" s="35">
        <v>44135</v>
      </c>
      <c r="B117" s="13">
        <f t="shared" si="35"/>
        <v>2320.6062771332408</v>
      </c>
      <c r="C117" s="13">
        <f t="shared" si="38"/>
        <v>816.93089418122099</v>
      </c>
      <c r="D117" s="13">
        <f t="shared" si="36"/>
        <v>1503.6753829520198</v>
      </c>
      <c r="E117" s="5">
        <f t="shared" si="37"/>
        <v>0</v>
      </c>
      <c r="F117" s="13">
        <f t="shared" si="39"/>
        <v>161882.50345329216</v>
      </c>
    </row>
    <row r="118" spans="1:6" ht="12.75" customHeight="1" x14ac:dyDescent="0.2">
      <c r="A118" s="35">
        <v>44165</v>
      </c>
      <c r="B118" s="13">
        <f t="shared" si="35"/>
        <v>2320.6062771332408</v>
      </c>
      <c r="C118" s="13">
        <f t="shared" si="38"/>
        <v>809.41251726646078</v>
      </c>
      <c r="D118" s="13">
        <f t="shared" si="36"/>
        <v>1511.1937598667801</v>
      </c>
      <c r="E118" s="5">
        <f t="shared" si="37"/>
        <v>0</v>
      </c>
      <c r="F118" s="24">
        <f t="shared" si="39"/>
        <v>160371.30969342537</v>
      </c>
    </row>
    <row r="119" spans="1:6" ht="12.75" customHeight="1" x14ac:dyDescent="0.2">
      <c r="A119" s="35">
        <v>44196</v>
      </c>
      <c r="B119" s="13">
        <f t="shared" si="35"/>
        <v>2320.6062771332408</v>
      </c>
      <c r="C119" s="24">
        <f t="shared" si="38"/>
        <v>801.85654846712691</v>
      </c>
      <c r="D119" s="24">
        <f t="shared" si="36"/>
        <v>1518.7497286661139</v>
      </c>
      <c r="E119" s="5">
        <f t="shared" si="37"/>
        <v>0</v>
      </c>
      <c r="F119" s="25">
        <f t="shared" si="39"/>
        <v>158852.55996475925</v>
      </c>
    </row>
    <row r="120" spans="1:6" ht="12.75" customHeight="1" x14ac:dyDescent="0.2">
      <c r="A120" s="37"/>
      <c r="B120" s="13"/>
      <c r="C120" s="26">
        <f>SUM(C108:C119)</f>
        <v>10112.794152112119</v>
      </c>
      <c r="D120" s="26">
        <f>SUM(D108:D119)</f>
        <v>17734.481173486773</v>
      </c>
      <c r="E120" s="13"/>
      <c r="F120" s="23"/>
    </row>
    <row r="121" spans="1:6" ht="12.75" customHeight="1" x14ac:dyDescent="0.2">
      <c r="A121" s="37"/>
      <c r="B121" s="13"/>
      <c r="C121" s="23"/>
      <c r="D121" s="23"/>
      <c r="E121" s="13"/>
      <c r="F121" s="13"/>
    </row>
    <row r="122" spans="1:6" ht="12.75" customHeight="1" x14ac:dyDescent="0.2">
      <c r="A122" s="35">
        <v>44227</v>
      </c>
      <c r="B122" s="13">
        <f t="shared" ref="B122:B133" si="40">-$C$5</f>
        <v>2320.6062771332408</v>
      </c>
      <c r="C122" s="13">
        <f>F119*($C$3/12)</f>
        <v>794.26279982379629</v>
      </c>
      <c r="D122" s="13">
        <f t="shared" ref="D122:D133" si="41">B122-C122</f>
        <v>1526.3434773094446</v>
      </c>
      <c r="E122" s="5">
        <f t="shared" ref="E122:E133" si="42">$E$2</f>
        <v>0</v>
      </c>
      <c r="F122" s="13">
        <f>F119-(D122+E122)</f>
        <v>157326.2164874498</v>
      </c>
    </row>
    <row r="123" spans="1:6" ht="12.75" customHeight="1" x14ac:dyDescent="0.2">
      <c r="A123" s="35">
        <v>44255</v>
      </c>
      <c r="B123" s="13">
        <f t="shared" si="40"/>
        <v>2320.6062771332408</v>
      </c>
      <c r="C123" s="13">
        <f t="shared" ref="C123:C133" si="43">F122*($C$3/12)</f>
        <v>786.63108243724901</v>
      </c>
      <c r="D123" s="13">
        <f t="shared" si="41"/>
        <v>1533.9751946959918</v>
      </c>
      <c r="E123" s="5">
        <f t="shared" si="42"/>
        <v>0</v>
      </c>
      <c r="F123" s="13">
        <f t="shared" ref="F123:F133" si="44">F122-(D123+E123)</f>
        <v>155792.24129275381</v>
      </c>
    </row>
    <row r="124" spans="1:6" ht="12.75" customHeight="1" x14ac:dyDescent="0.2">
      <c r="A124" s="35">
        <v>44286</v>
      </c>
      <c r="B124" s="13">
        <f t="shared" si="40"/>
        <v>2320.6062771332408</v>
      </c>
      <c r="C124" s="13">
        <f t="shared" si="43"/>
        <v>778.96120646376903</v>
      </c>
      <c r="D124" s="13">
        <f t="shared" si="41"/>
        <v>1541.6450706694718</v>
      </c>
      <c r="E124" s="5">
        <f t="shared" si="42"/>
        <v>0</v>
      </c>
      <c r="F124" s="13">
        <f t="shared" si="44"/>
        <v>154250.59622208434</v>
      </c>
    </row>
    <row r="125" spans="1:6" ht="12.75" customHeight="1" x14ac:dyDescent="0.2">
      <c r="A125" s="35">
        <v>44316</v>
      </c>
      <c r="B125" s="13">
        <f t="shared" si="40"/>
        <v>2320.6062771332408</v>
      </c>
      <c r="C125" s="13">
        <f t="shared" si="43"/>
        <v>771.25298111042173</v>
      </c>
      <c r="D125" s="13">
        <f t="shared" si="41"/>
        <v>1549.353296022819</v>
      </c>
      <c r="E125" s="5">
        <f t="shared" si="42"/>
        <v>0</v>
      </c>
      <c r="F125" s="13">
        <f t="shared" si="44"/>
        <v>152701.2429260615</v>
      </c>
    </row>
    <row r="126" spans="1:6" ht="12.75" customHeight="1" x14ac:dyDescent="0.2">
      <c r="A126" s="35">
        <v>44347</v>
      </c>
      <c r="B126" s="13">
        <f t="shared" si="40"/>
        <v>2320.6062771332408</v>
      </c>
      <c r="C126" s="13">
        <f t="shared" si="43"/>
        <v>763.50621463030757</v>
      </c>
      <c r="D126" s="13">
        <f t="shared" si="41"/>
        <v>1557.1000625029333</v>
      </c>
      <c r="E126" s="5">
        <f t="shared" si="42"/>
        <v>0</v>
      </c>
      <c r="F126" s="13">
        <f t="shared" si="44"/>
        <v>151144.14286355858</v>
      </c>
    </row>
    <row r="127" spans="1:6" ht="12.75" customHeight="1" x14ac:dyDescent="0.2">
      <c r="A127" s="35">
        <v>44377</v>
      </c>
      <c r="B127" s="13">
        <f t="shared" si="40"/>
        <v>2320.6062771332408</v>
      </c>
      <c r="C127" s="13">
        <f t="shared" si="43"/>
        <v>755.72071431779284</v>
      </c>
      <c r="D127" s="13">
        <f t="shared" si="41"/>
        <v>1564.8855628154479</v>
      </c>
      <c r="E127" s="5">
        <f t="shared" si="42"/>
        <v>0</v>
      </c>
      <c r="F127" s="13">
        <f t="shared" si="44"/>
        <v>149579.25730074313</v>
      </c>
    </row>
    <row r="128" spans="1:6" ht="12.75" customHeight="1" x14ac:dyDescent="0.2">
      <c r="A128" s="35">
        <v>44408</v>
      </c>
      <c r="B128" s="13">
        <f t="shared" si="40"/>
        <v>2320.6062771332408</v>
      </c>
      <c r="C128" s="13">
        <f t="shared" si="43"/>
        <v>747.89628650371571</v>
      </c>
      <c r="D128" s="13">
        <f t="shared" si="41"/>
        <v>1572.7099906295252</v>
      </c>
      <c r="E128" s="5">
        <f t="shared" si="42"/>
        <v>0</v>
      </c>
      <c r="F128" s="13">
        <f t="shared" si="44"/>
        <v>148006.54731011362</v>
      </c>
    </row>
    <row r="129" spans="1:6" ht="12.75" customHeight="1" x14ac:dyDescent="0.2">
      <c r="A129" s="35">
        <v>44439</v>
      </c>
      <c r="B129" s="13">
        <f t="shared" si="40"/>
        <v>2320.6062771332408</v>
      </c>
      <c r="C129" s="13">
        <f t="shared" si="43"/>
        <v>740.03273655056807</v>
      </c>
      <c r="D129" s="13">
        <f t="shared" si="41"/>
        <v>1580.5735405826726</v>
      </c>
      <c r="E129" s="5">
        <f t="shared" si="42"/>
        <v>0</v>
      </c>
      <c r="F129" s="13">
        <f t="shared" si="44"/>
        <v>146425.97376953094</v>
      </c>
    </row>
    <row r="130" spans="1:6" ht="12.75" customHeight="1" x14ac:dyDescent="0.2">
      <c r="A130" s="35">
        <v>44469</v>
      </c>
      <c r="B130" s="13">
        <f t="shared" si="40"/>
        <v>2320.6062771332408</v>
      </c>
      <c r="C130" s="13">
        <f t="shared" si="43"/>
        <v>732.12986884765473</v>
      </c>
      <c r="D130" s="13">
        <f t="shared" si="41"/>
        <v>1588.4764082855861</v>
      </c>
      <c r="E130" s="5">
        <f t="shared" si="42"/>
        <v>0</v>
      </c>
      <c r="F130" s="13">
        <f t="shared" si="44"/>
        <v>144837.49736124536</v>
      </c>
    </row>
    <row r="131" spans="1:6" ht="12.75" customHeight="1" x14ac:dyDescent="0.2">
      <c r="A131" s="35">
        <v>44500</v>
      </c>
      <c r="B131" s="13">
        <f t="shared" si="40"/>
        <v>2320.6062771332408</v>
      </c>
      <c r="C131" s="13">
        <f t="shared" si="43"/>
        <v>724.18748680622684</v>
      </c>
      <c r="D131" s="13">
        <f t="shared" si="41"/>
        <v>1596.418790327014</v>
      </c>
      <c r="E131" s="5">
        <f t="shared" si="42"/>
        <v>0</v>
      </c>
      <c r="F131" s="13">
        <f t="shared" si="44"/>
        <v>143241.07857091835</v>
      </c>
    </row>
    <row r="132" spans="1:6" ht="12.75" customHeight="1" x14ac:dyDescent="0.2">
      <c r="A132" s="35">
        <v>44530</v>
      </c>
      <c r="B132" s="13">
        <f t="shared" si="40"/>
        <v>2320.6062771332408</v>
      </c>
      <c r="C132" s="13">
        <f t="shared" si="43"/>
        <v>716.20539285459176</v>
      </c>
      <c r="D132" s="13">
        <f t="shared" si="41"/>
        <v>1604.4008842786491</v>
      </c>
      <c r="E132" s="5">
        <f t="shared" si="42"/>
        <v>0</v>
      </c>
      <c r="F132" s="24">
        <f t="shared" si="44"/>
        <v>141636.67768663971</v>
      </c>
    </row>
    <row r="133" spans="1:6" ht="12.75" customHeight="1" x14ac:dyDescent="0.2">
      <c r="A133" s="35">
        <v>44561</v>
      </c>
      <c r="B133" s="13">
        <f t="shared" si="40"/>
        <v>2320.6062771332408</v>
      </c>
      <c r="C133" s="24">
        <f t="shared" si="43"/>
        <v>708.18338843319862</v>
      </c>
      <c r="D133" s="24">
        <f t="shared" si="41"/>
        <v>1612.4228887000422</v>
      </c>
      <c r="E133" s="5">
        <f t="shared" si="42"/>
        <v>0</v>
      </c>
      <c r="F133" s="25">
        <f t="shared" si="44"/>
        <v>140024.25479793968</v>
      </c>
    </row>
    <row r="134" spans="1:6" ht="12.75" customHeight="1" x14ac:dyDescent="0.2">
      <c r="A134" s="37"/>
      <c r="B134" s="13"/>
      <c r="C134" s="26">
        <f>SUM(C122:C133)</f>
        <v>9018.9701587792915</v>
      </c>
      <c r="D134" s="26">
        <f>SUM(D122:D133)</f>
        <v>18828.305166819599</v>
      </c>
      <c r="E134" s="13"/>
      <c r="F134" s="23"/>
    </row>
    <row r="135" spans="1:6" ht="12.75" customHeight="1" x14ac:dyDescent="0.2">
      <c r="A135" s="37"/>
      <c r="B135" s="13"/>
      <c r="C135" s="23"/>
      <c r="D135" s="23"/>
      <c r="E135" s="13"/>
      <c r="F135" s="13"/>
    </row>
    <row r="136" spans="1:6" ht="12.75" customHeight="1" x14ac:dyDescent="0.2">
      <c r="A136" s="35">
        <v>44592</v>
      </c>
      <c r="B136" s="13">
        <f t="shared" ref="B136:B147" si="45">-$C$5</f>
        <v>2320.6062771332408</v>
      </c>
      <c r="C136" s="13">
        <f>F133*($C$3/12)</f>
        <v>700.12127398969835</v>
      </c>
      <c r="D136" s="13">
        <f t="shared" ref="D136:D147" si="46">B136-C136</f>
        <v>1620.4850031435426</v>
      </c>
      <c r="E136" s="5">
        <f t="shared" ref="E136:E147" si="47">$E$2</f>
        <v>0</v>
      </c>
      <c r="F136" s="13">
        <f>F133-(D136+E136)</f>
        <v>138403.76979479613</v>
      </c>
    </row>
    <row r="137" spans="1:6" ht="12.75" customHeight="1" x14ac:dyDescent="0.2">
      <c r="A137" s="35">
        <v>44620</v>
      </c>
      <c r="B137" s="13">
        <f t="shared" si="45"/>
        <v>2320.6062771332408</v>
      </c>
      <c r="C137" s="13">
        <f t="shared" ref="C137:C147" si="48">F136*($C$3/12)</f>
        <v>692.01884897398065</v>
      </c>
      <c r="D137" s="13">
        <f t="shared" si="46"/>
        <v>1628.5874281592601</v>
      </c>
      <c r="E137" s="5">
        <f t="shared" si="47"/>
        <v>0</v>
      </c>
      <c r="F137" s="13">
        <f t="shared" ref="F137:F147" si="49">F136-(D137+E137)</f>
        <v>136775.18236663687</v>
      </c>
    </row>
    <row r="138" spans="1:6" ht="12.75" customHeight="1" x14ac:dyDescent="0.2">
      <c r="A138" s="35">
        <v>44651</v>
      </c>
      <c r="B138" s="13">
        <f t="shared" si="45"/>
        <v>2320.6062771332408</v>
      </c>
      <c r="C138" s="13">
        <f t="shared" si="48"/>
        <v>683.87591183318443</v>
      </c>
      <c r="D138" s="13">
        <f t="shared" si="46"/>
        <v>1636.7303653000563</v>
      </c>
      <c r="E138" s="5">
        <f t="shared" si="47"/>
        <v>0</v>
      </c>
      <c r="F138" s="13">
        <f t="shared" si="49"/>
        <v>135138.45200133682</v>
      </c>
    </row>
    <row r="139" spans="1:6" ht="12.75" customHeight="1" x14ac:dyDescent="0.2">
      <c r="A139" s="35">
        <v>44681</v>
      </c>
      <c r="B139" s="13">
        <f t="shared" si="45"/>
        <v>2320.6062771332408</v>
      </c>
      <c r="C139" s="13">
        <f t="shared" si="48"/>
        <v>675.69226000668414</v>
      </c>
      <c r="D139" s="13">
        <f t="shared" si="46"/>
        <v>1644.9140171265567</v>
      </c>
      <c r="E139" s="5">
        <f t="shared" si="47"/>
        <v>0</v>
      </c>
      <c r="F139" s="13">
        <f t="shared" si="49"/>
        <v>133493.53798421027</v>
      </c>
    </row>
    <row r="140" spans="1:6" ht="12.75" customHeight="1" x14ac:dyDescent="0.2">
      <c r="A140" s="35">
        <v>44712</v>
      </c>
      <c r="B140" s="13">
        <f t="shared" si="45"/>
        <v>2320.6062771332408</v>
      </c>
      <c r="C140" s="13">
        <f t="shared" si="48"/>
        <v>667.46768992105137</v>
      </c>
      <c r="D140" s="13">
        <f t="shared" si="46"/>
        <v>1653.1385872121896</v>
      </c>
      <c r="E140" s="5">
        <f t="shared" si="47"/>
        <v>0</v>
      </c>
      <c r="F140" s="13">
        <f t="shared" si="49"/>
        <v>131840.39939699808</v>
      </c>
    </row>
    <row r="141" spans="1:6" ht="12.75" customHeight="1" x14ac:dyDescent="0.2">
      <c r="A141" s="35">
        <v>44742</v>
      </c>
      <c r="B141" s="13">
        <f t="shared" si="45"/>
        <v>2320.6062771332408</v>
      </c>
      <c r="C141" s="13">
        <f t="shared" si="48"/>
        <v>659.20199698499039</v>
      </c>
      <c r="D141" s="13">
        <f t="shared" si="46"/>
        <v>1661.4042801482506</v>
      </c>
      <c r="E141" s="5">
        <f t="shared" si="47"/>
        <v>0</v>
      </c>
      <c r="F141" s="13">
        <f t="shared" si="49"/>
        <v>130178.99511684982</v>
      </c>
    </row>
    <row r="142" spans="1:6" ht="12.75" customHeight="1" x14ac:dyDescent="0.2">
      <c r="A142" s="35">
        <v>44773</v>
      </c>
      <c r="B142" s="13">
        <f t="shared" si="45"/>
        <v>2320.6062771332408</v>
      </c>
      <c r="C142" s="13">
        <f t="shared" si="48"/>
        <v>650.8949755842491</v>
      </c>
      <c r="D142" s="13">
        <f t="shared" si="46"/>
        <v>1669.7113015489917</v>
      </c>
      <c r="E142" s="5">
        <f t="shared" si="47"/>
        <v>0</v>
      </c>
      <c r="F142" s="13">
        <f t="shared" si="49"/>
        <v>128509.28381530083</v>
      </c>
    </row>
    <row r="143" spans="1:6" ht="12.75" customHeight="1" x14ac:dyDescent="0.2">
      <c r="A143" s="35">
        <v>44804</v>
      </c>
      <c r="B143" s="13">
        <f t="shared" si="45"/>
        <v>2320.6062771332408</v>
      </c>
      <c r="C143" s="13">
        <f t="shared" si="48"/>
        <v>642.54641907650421</v>
      </c>
      <c r="D143" s="13">
        <f t="shared" si="46"/>
        <v>1678.0598580567366</v>
      </c>
      <c r="E143" s="5">
        <f t="shared" si="47"/>
        <v>0</v>
      </c>
      <c r="F143" s="13">
        <f t="shared" si="49"/>
        <v>126831.2239572441</v>
      </c>
    </row>
    <row r="144" spans="1:6" ht="12.75" customHeight="1" x14ac:dyDescent="0.2">
      <c r="A144" s="35">
        <v>44834</v>
      </c>
      <c r="B144" s="13">
        <f t="shared" si="45"/>
        <v>2320.6062771332408</v>
      </c>
      <c r="C144" s="13">
        <f t="shared" si="48"/>
        <v>634.15611978622053</v>
      </c>
      <c r="D144" s="13">
        <f t="shared" si="46"/>
        <v>1686.4501573470202</v>
      </c>
      <c r="E144" s="5">
        <f t="shared" si="47"/>
        <v>0</v>
      </c>
      <c r="F144" s="13">
        <f t="shared" si="49"/>
        <v>125144.77379989708</v>
      </c>
    </row>
    <row r="145" spans="1:6" ht="12.75" customHeight="1" x14ac:dyDescent="0.2">
      <c r="A145" s="35">
        <v>44865</v>
      </c>
      <c r="B145" s="13">
        <f t="shared" si="45"/>
        <v>2320.6062771332408</v>
      </c>
      <c r="C145" s="13">
        <f t="shared" si="48"/>
        <v>625.72386899948549</v>
      </c>
      <c r="D145" s="13">
        <f t="shared" si="46"/>
        <v>1694.8824081337552</v>
      </c>
      <c r="E145" s="5">
        <f t="shared" si="47"/>
        <v>0</v>
      </c>
      <c r="F145" s="13">
        <f t="shared" si="49"/>
        <v>123449.89139176333</v>
      </c>
    </row>
    <row r="146" spans="1:6" ht="12.75" customHeight="1" x14ac:dyDescent="0.2">
      <c r="A146" s="35">
        <v>44895</v>
      </c>
      <c r="B146" s="13">
        <f t="shared" si="45"/>
        <v>2320.6062771332408</v>
      </c>
      <c r="C146" s="13">
        <f t="shared" si="48"/>
        <v>617.24945695881672</v>
      </c>
      <c r="D146" s="13">
        <f t="shared" si="46"/>
        <v>1703.3568201744242</v>
      </c>
      <c r="E146" s="5">
        <f t="shared" si="47"/>
        <v>0</v>
      </c>
      <c r="F146" s="24">
        <f t="shared" si="49"/>
        <v>121746.53457158891</v>
      </c>
    </row>
    <row r="147" spans="1:6" ht="12.75" customHeight="1" x14ac:dyDescent="0.2">
      <c r="A147" s="35">
        <v>44926</v>
      </c>
      <c r="B147" s="13">
        <f t="shared" si="45"/>
        <v>2320.6062771332408</v>
      </c>
      <c r="C147" s="24">
        <f t="shared" si="48"/>
        <v>608.73267285794452</v>
      </c>
      <c r="D147" s="24">
        <f t="shared" si="46"/>
        <v>1711.8736042752962</v>
      </c>
      <c r="E147" s="5">
        <f t="shared" si="47"/>
        <v>0</v>
      </c>
      <c r="F147" s="25">
        <f t="shared" si="49"/>
        <v>120034.66096731361</v>
      </c>
    </row>
    <row r="148" spans="1:6" ht="12.75" customHeight="1" x14ac:dyDescent="0.2">
      <c r="A148" s="37"/>
      <c r="B148" s="13"/>
      <c r="C148" s="26">
        <f>SUM(C136:C147)</f>
        <v>7857.6814949728105</v>
      </c>
      <c r="D148" s="26">
        <f>SUM(D136:D147)</f>
        <v>19989.59383062608</v>
      </c>
      <c r="E148" s="13"/>
      <c r="F148" s="23"/>
    </row>
    <row r="149" spans="1:6" ht="12.75" customHeight="1" x14ac:dyDescent="0.2">
      <c r="A149" s="37"/>
      <c r="B149" s="13"/>
      <c r="C149" s="23"/>
      <c r="D149" s="23"/>
      <c r="E149" s="13"/>
      <c r="F149" s="13"/>
    </row>
    <row r="150" spans="1:6" ht="12.75" customHeight="1" x14ac:dyDescent="0.2">
      <c r="A150" s="35">
        <v>44957</v>
      </c>
      <c r="B150" s="13">
        <f t="shared" ref="B150:B161" si="50">-$C$5</f>
        <v>2320.6062771332408</v>
      </c>
      <c r="C150" s="13">
        <f>F147*($C$3/12)</f>
        <v>600.17330483656804</v>
      </c>
      <c r="D150" s="13">
        <f t="shared" ref="D150:D161" si="51">B150-C150</f>
        <v>1720.4329722966727</v>
      </c>
      <c r="E150" s="5">
        <f t="shared" ref="E150:E161" si="52">$E$2</f>
        <v>0</v>
      </c>
      <c r="F150" s="13">
        <f>F147-(D150+E150)</f>
        <v>118314.22799501693</v>
      </c>
    </row>
    <row r="151" spans="1:6" ht="12.75" customHeight="1" x14ac:dyDescent="0.2">
      <c r="A151" s="35">
        <v>44985</v>
      </c>
      <c r="B151" s="13">
        <f t="shared" si="50"/>
        <v>2320.6062771332408</v>
      </c>
      <c r="C151" s="13">
        <f t="shared" ref="C151:C161" si="53">F150*($C$3/12)</f>
        <v>591.57113997508463</v>
      </c>
      <c r="D151" s="13">
        <f t="shared" si="51"/>
        <v>1729.0351371581562</v>
      </c>
      <c r="E151" s="5">
        <f t="shared" si="52"/>
        <v>0</v>
      </c>
      <c r="F151" s="13">
        <f t="shared" ref="F151:F161" si="54">F150-(D151+E151)</f>
        <v>116585.19285785878</v>
      </c>
    </row>
    <row r="152" spans="1:6" ht="12.75" customHeight="1" x14ac:dyDescent="0.2">
      <c r="A152" s="35">
        <v>45016</v>
      </c>
      <c r="B152" s="13">
        <f t="shared" si="50"/>
        <v>2320.6062771332408</v>
      </c>
      <c r="C152" s="13">
        <f t="shared" si="53"/>
        <v>582.92596428929392</v>
      </c>
      <c r="D152" s="13">
        <f t="shared" si="51"/>
        <v>1737.6803128439469</v>
      </c>
      <c r="E152" s="5">
        <f t="shared" si="52"/>
        <v>0</v>
      </c>
      <c r="F152" s="13">
        <f t="shared" si="54"/>
        <v>114847.51254501483</v>
      </c>
    </row>
    <row r="153" spans="1:6" ht="12.75" customHeight="1" x14ac:dyDescent="0.2">
      <c r="A153" s="35">
        <v>45046</v>
      </c>
      <c r="B153" s="13">
        <f t="shared" si="50"/>
        <v>2320.6062771332408</v>
      </c>
      <c r="C153" s="13">
        <f t="shared" si="53"/>
        <v>574.23756272507421</v>
      </c>
      <c r="D153" s="13">
        <f t="shared" si="51"/>
        <v>1746.3687144081666</v>
      </c>
      <c r="E153" s="5">
        <f t="shared" si="52"/>
        <v>0</v>
      </c>
      <c r="F153" s="13">
        <f t="shared" si="54"/>
        <v>113101.14383060667</v>
      </c>
    </row>
    <row r="154" spans="1:6" ht="12.75" customHeight="1" x14ac:dyDescent="0.2">
      <c r="A154" s="35">
        <v>45077</v>
      </c>
      <c r="B154" s="13">
        <f t="shared" si="50"/>
        <v>2320.6062771332408</v>
      </c>
      <c r="C154" s="13">
        <f t="shared" si="53"/>
        <v>565.5057191530334</v>
      </c>
      <c r="D154" s="13">
        <f t="shared" si="51"/>
        <v>1755.1005579802074</v>
      </c>
      <c r="E154" s="5">
        <f t="shared" si="52"/>
        <v>0</v>
      </c>
      <c r="F154" s="13">
        <f t="shared" si="54"/>
        <v>111346.04327262647</v>
      </c>
    </row>
    <row r="155" spans="1:6" ht="12.75" customHeight="1" x14ac:dyDescent="0.2">
      <c r="A155" s="35">
        <v>45107</v>
      </c>
      <c r="B155" s="13">
        <f t="shared" si="50"/>
        <v>2320.6062771332408</v>
      </c>
      <c r="C155" s="13">
        <f t="shared" si="53"/>
        <v>556.7302163631324</v>
      </c>
      <c r="D155" s="13">
        <f t="shared" si="51"/>
        <v>1763.8760607701083</v>
      </c>
      <c r="E155" s="5">
        <f t="shared" si="52"/>
        <v>0</v>
      </c>
      <c r="F155" s="13">
        <f t="shared" si="54"/>
        <v>109582.16721185636</v>
      </c>
    </row>
    <row r="156" spans="1:6" ht="12.75" customHeight="1" x14ac:dyDescent="0.2">
      <c r="A156" s="35">
        <v>45138</v>
      </c>
      <c r="B156" s="13">
        <f t="shared" si="50"/>
        <v>2320.6062771332408</v>
      </c>
      <c r="C156" s="13">
        <f t="shared" si="53"/>
        <v>547.91083605928179</v>
      </c>
      <c r="D156" s="13">
        <f t="shared" si="51"/>
        <v>1772.695441073959</v>
      </c>
      <c r="E156" s="5">
        <f t="shared" si="52"/>
        <v>0</v>
      </c>
      <c r="F156" s="13">
        <f t="shared" si="54"/>
        <v>107809.4717707824</v>
      </c>
    </row>
    <row r="157" spans="1:6" ht="12.75" customHeight="1" x14ac:dyDescent="0.2">
      <c r="A157" s="35">
        <v>45169</v>
      </c>
      <c r="B157" s="13">
        <f t="shared" si="50"/>
        <v>2320.6062771332408</v>
      </c>
      <c r="C157" s="13">
        <f t="shared" si="53"/>
        <v>539.04735885391199</v>
      </c>
      <c r="D157" s="13">
        <f t="shared" si="51"/>
        <v>1781.5589182793287</v>
      </c>
      <c r="E157" s="5">
        <f t="shared" si="52"/>
        <v>0</v>
      </c>
      <c r="F157" s="13">
        <f t="shared" si="54"/>
        <v>106027.91285250307</v>
      </c>
    </row>
    <row r="158" spans="1:6" ht="12.75" customHeight="1" x14ac:dyDescent="0.2">
      <c r="A158" s="35">
        <v>45199</v>
      </c>
      <c r="B158" s="13">
        <f t="shared" si="50"/>
        <v>2320.6062771332408</v>
      </c>
      <c r="C158" s="13">
        <f t="shared" si="53"/>
        <v>530.13956426251536</v>
      </c>
      <c r="D158" s="13">
        <f t="shared" si="51"/>
        <v>1790.4667128707256</v>
      </c>
      <c r="E158" s="5">
        <f t="shared" si="52"/>
        <v>0</v>
      </c>
      <c r="F158" s="13">
        <f t="shared" si="54"/>
        <v>104237.44613963235</v>
      </c>
    </row>
    <row r="159" spans="1:6" ht="12.75" customHeight="1" x14ac:dyDescent="0.2">
      <c r="A159" s="35">
        <v>45230</v>
      </c>
      <c r="B159" s="13">
        <f t="shared" si="50"/>
        <v>2320.6062771332408</v>
      </c>
      <c r="C159" s="13">
        <f t="shared" si="53"/>
        <v>521.18723069816178</v>
      </c>
      <c r="D159" s="13">
        <f t="shared" si="51"/>
        <v>1799.4190464350791</v>
      </c>
      <c r="E159" s="5">
        <f t="shared" si="52"/>
        <v>0</v>
      </c>
      <c r="F159" s="13">
        <f t="shared" si="54"/>
        <v>102438.02709319726</v>
      </c>
    </row>
    <row r="160" spans="1:6" ht="12.75" customHeight="1" x14ac:dyDescent="0.2">
      <c r="A160" s="35">
        <v>45260</v>
      </c>
      <c r="B160" s="13">
        <f t="shared" si="50"/>
        <v>2320.6062771332408</v>
      </c>
      <c r="C160" s="13">
        <f t="shared" si="53"/>
        <v>512.19013546598637</v>
      </c>
      <c r="D160" s="13">
        <f t="shared" si="51"/>
        <v>1808.4161416672546</v>
      </c>
      <c r="E160" s="5">
        <f t="shared" si="52"/>
        <v>0</v>
      </c>
      <c r="F160" s="24">
        <f t="shared" si="54"/>
        <v>100629.61095153</v>
      </c>
    </row>
    <row r="161" spans="1:6" ht="12.75" customHeight="1" x14ac:dyDescent="0.2">
      <c r="A161" s="35">
        <v>45291</v>
      </c>
      <c r="B161" s="13">
        <f t="shared" si="50"/>
        <v>2320.6062771332408</v>
      </c>
      <c r="C161" s="24">
        <f t="shared" si="53"/>
        <v>503.14805475765002</v>
      </c>
      <c r="D161" s="24">
        <f t="shared" si="51"/>
        <v>1817.4582223755908</v>
      </c>
      <c r="E161" s="5">
        <f t="shared" si="52"/>
        <v>0</v>
      </c>
      <c r="F161" s="25">
        <f t="shared" si="54"/>
        <v>98812.152729154419</v>
      </c>
    </row>
    <row r="162" spans="1:6" ht="12.75" customHeight="1" x14ac:dyDescent="0.2">
      <c r="A162" s="37"/>
      <c r="B162" s="13"/>
      <c r="C162" s="26">
        <f>SUM(C150:C161)</f>
        <v>6624.7670874396945</v>
      </c>
      <c r="D162" s="26">
        <f>SUM(D150:D161)</f>
        <v>21222.508238159193</v>
      </c>
      <c r="E162" s="13"/>
      <c r="F162" s="23"/>
    </row>
    <row r="163" spans="1:6" ht="12.75" customHeight="1" x14ac:dyDescent="0.2">
      <c r="A163" s="37"/>
      <c r="B163" s="13"/>
      <c r="C163" s="23"/>
      <c r="D163" s="23"/>
      <c r="E163" s="13"/>
      <c r="F163" s="13"/>
    </row>
    <row r="164" spans="1:6" ht="12.75" customHeight="1" x14ac:dyDescent="0.2">
      <c r="A164" s="35">
        <v>45322</v>
      </c>
      <c r="B164" s="13">
        <f t="shared" ref="B164:B175" si="55">-$C$5</f>
        <v>2320.6062771332408</v>
      </c>
      <c r="C164" s="13">
        <f>F161*($C$3/12)</f>
        <v>494.06076364577211</v>
      </c>
      <c r="D164" s="13">
        <f t="shared" ref="D164:D175" si="56">B164-C164</f>
        <v>1826.5455134874687</v>
      </c>
      <c r="E164" s="5">
        <f t="shared" ref="E164:E175" si="57">$E$2</f>
        <v>0</v>
      </c>
      <c r="F164" s="13">
        <f>F161-(D164+E164)</f>
        <v>96985.607215666954</v>
      </c>
    </row>
    <row r="165" spans="1:6" ht="12.75" customHeight="1" x14ac:dyDescent="0.2">
      <c r="A165" s="35">
        <v>45351</v>
      </c>
      <c r="B165" s="13">
        <f t="shared" si="55"/>
        <v>2320.6062771332408</v>
      </c>
      <c r="C165" s="13">
        <f t="shared" ref="C165:C175" si="58">F164*($C$3/12)</f>
        <v>484.9280360783348</v>
      </c>
      <c r="D165" s="13">
        <f t="shared" si="56"/>
        <v>1835.678241054906</v>
      </c>
      <c r="E165" s="5">
        <f t="shared" si="57"/>
        <v>0</v>
      </c>
      <c r="F165" s="13">
        <f t="shared" ref="F165:F175" si="59">F164-(D165+E165)</f>
        <v>95149.928974612048</v>
      </c>
    </row>
    <row r="166" spans="1:6" ht="12.75" customHeight="1" x14ac:dyDescent="0.2">
      <c r="A166" s="35">
        <v>45382</v>
      </c>
      <c r="B166" s="13">
        <f t="shared" si="55"/>
        <v>2320.6062771332408</v>
      </c>
      <c r="C166" s="13">
        <f t="shared" si="58"/>
        <v>475.74964487306028</v>
      </c>
      <c r="D166" s="13">
        <f t="shared" si="56"/>
        <v>1844.8566322601805</v>
      </c>
      <c r="E166" s="5">
        <f t="shared" si="57"/>
        <v>0</v>
      </c>
      <c r="F166" s="13">
        <f t="shared" si="59"/>
        <v>93305.072342351865</v>
      </c>
    </row>
    <row r="167" spans="1:6" ht="12.75" customHeight="1" x14ac:dyDescent="0.2">
      <c r="A167" s="35">
        <v>45412</v>
      </c>
      <c r="B167" s="13">
        <f t="shared" si="55"/>
        <v>2320.6062771332408</v>
      </c>
      <c r="C167" s="13">
        <f t="shared" si="58"/>
        <v>466.52536171175933</v>
      </c>
      <c r="D167" s="13">
        <f t="shared" si="56"/>
        <v>1854.0809154214814</v>
      </c>
      <c r="E167" s="5">
        <f t="shared" si="57"/>
        <v>0</v>
      </c>
      <c r="F167" s="13">
        <f t="shared" si="59"/>
        <v>91450.991426930384</v>
      </c>
    </row>
    <row r="168" spans="1:6" ht="12.75" customHeight="1" x14ac:dyDescent="0.2">
      <c r="A168" s="35">
        <v>45443</v>
      </c>
      <c r="B168" s="13">
        <f t="shared" si="55"/>
        <v>2320.6062771332408</v>
      </c>
      <c r="C168" s="13">
        <f t="shared" si="58"/>
        <v>457.25495713465193</v>
      </c>
      <c r="D168" s="13">
        <f t="shared" si="56"/>
        <v>1863.3513199985889</v>
      </c>
      <c r="E168" s="5">
        <f t="shared" si="57"/>
        <v>0</v>
      </c>
      <c r="F168" s="13">
        <f t="shared" si="59"/>
        <v>89587.640106931794</v>
      </c>
    </row>
    <row r="169" spans="1:6" ht="12.75" customHeight="1" x14ac:dyDescent="0.2">
      <c r="A169" s="35">
        <v>45473</v>
      </c>
      <c r="B169" s="13">
        <f t="shared" si="55"/>
        <v>2320.6062771332408</v>
      </c>
      <c r="C169" s="13">
        <f t="shared" si="58"/>
        <v>447.93820053465896</v>
      </c>
      <c r="D169" s="13">
        <f t="shared" si="56"/>
        <v>1872.6680765985818</v>
      </c>
      <c r="E169" s="5">
        <f t="shared" si="57"/>
        <v>0</v>
      </c>
      <c r="F169" s="13">
        <f t="shared" si="59"/>
        <v>87714.972030333214</v>
      </c>
    </row>
    <row r="170" spans="1:6" ht="12.75" customHeight="1" x14ac:dyDescent="0.2">
      <c r="A170" s="35">
        <v>45504</v>
      </c>
      <c r="B170" s="13">
        <f t="shared" si="55"/>
        <v>2320.6062771332408</v>
      </c>
      <c r="C170" s="13">
        <f t="shared" si="58"/>
        <v>438.57486015166609</v>
      </c>
      <c r="D170" s="13">
        <f t="shared" si="56"/>
        <v>1882.0314169815747</v>
      </c>
      <c r="E170" s="5">
        <f t="shared" si="57"/>
        <v>0</v>
      </c>
      <c r="F170" s="13">
        <f t="shared" si="59"/>
        <v>85832.940613351646</v>
      </c>
    </row>
    <row r="171" spans="1:6" ht="12.75" customHeight="1" x14ac:dyDescent="0.2">
      <c r="A171" s="35">
        <v>45535</v>
      </c>
      <c r="B171" s="13">
        <f t="shared" si="55"/>
        <v>2320.6062771332408</v>
      </c>
      <c r="C171" s="13">
        <f t="shared" si="58"/>
        <v>429.16470306675825</v>
      </c>
      <c r="D171" s="13">
        <f t="shared" si="56"/>
        <v>1891.4415740664826</v>
      </c>
      <c r="E171" s="5">
        <f t="shared" si="57"/>
        <v>0</v>
      </c>
      <c r="F171" s="13">
        <f t="shared" si="59"/>
        <v>83941.499039285161</v>
      </c>
    </row>
    <row r="172" spans="1:6" ht="12.75" customHeight="1" x14ac:dyDescent="0.2">
      <c r="A172" s="35">
        <v>45565</v>
      </c>
      <c r="B172" s="13">
        <f t="shared" si="55"/>
        <v>2320.6062771332408</v>
      </c>
      <c r="C172" s="13">
        <f t="shared" si="58"/>
        <v>419.70749519642584</v>
      </c>
      <c r="D172" s="13">
        <f t="shared" si="56"/>
        <v>1900.8987819368149</v>
      </c>
      <c r="E172" s="5">
        <f t="shared" si="57"/>
        <v>0</v>
      </c>
      <c r="F172" s="13">
        <f t="shared" si="59"/>
        <v>82040.600257348342</v>
      </c>
    </row>
    <row r="173" spans="1:6" ht="12.75" customHeight="1" x14ac:dyDescent="0.2">
      <c r="A173" s="35">
        <v>45596</v>
      </c>
      <c r="B173" s="13">
        <f t="shared" si="55"/>
        <v>2320.6062771332408</v>
      </c>
      <c r="C173" s="13">
        <f t="shared" si="58"/>
        <v>410.20300128674171</v>
      </c>
      <c r="D173" s="13">
        <f t="shared" si="56"/>
        <v>1910.4032758464991</v>
      </c>
      <c r="E173" s="5">
        <f t="shared" si="57"/>
        <v>0</v>
      </c>
      <c r="F173" s="13">
        <f t="shared" si="59"/>
        <v>80130.196981501838</v>
      </c>
    </row>
    <row r="174" spans="1:6" ht="12.75" customHeight="1" x14ac:dyDescent="0.2">
      <c r="A174" s="35">
        <v>45626</v>
      </c>
      <c r="B174" s="13">
        <f t="shared" si="55"/>
        <v>2320.6062771332408</v>
      </c>
      <c r="C174" s="13">
        <f t="shared" si="58"/>
        <v>400.65098490750921</v>
      </c>
      <c r="D174" s="13">
        <f t="shared" si="56"/>
        <v>1919.9552922257317</v>
      </c>
      <c r="E174" s="5">
        <f t="shared" si="57"/>
        <v>0</v>
      </c>
      <c r="F174" s="24">
        <f t="shared" si="59"/>
        <v>78210.24168927611</v>
      </c>
    </row>
    <row r="175" spans="1:6" ht="12.75" customHeight="1" x14ac:dyDescent="0.2">
      <c r="A175" s="35">
        <v>45657</v>
      </c>
      <c r="B175" s="13">
        <f t="shared" si="55"/>
        <v>2320.6062771332408</v>
      </c>
      <c r="C175" s="24">
        <f t="shared" si="58"/>
        <v>391.05120844638054</v>
      </c>
      <c r="D175" s="24">
        <f t="shared" si="56"/>
        <v>1929.5550686868603</v>
      </c>
      <c r="E175" s="5">
        <f t="shared" si="57"/>
        <v>0</v>
      </c>
      <c r="F175" s="25">
        <f t="shared" si="59"/>
        <v>76280.686620589244</v>
      </c>
    </row>
    <row r="176" spans="1:6" ht="12.75" customHeight="1" x14ac:dyDescent="0.2">
      <c r="A176" s="37"/>
      <c r="B176" s="13"/>
      <c r="C176" s="26">
        <f>SUM(C164:C175)</f>
        <v>5315.8092170337195</v>
      </c>
      <c r="D176" s="26">
        <f>SUM(D164:D175)</f>
        <v>22531.466108565171</v>
      </c>
      <c r="E176" s="13"/>
      <c r="F176" s="23"/>
    </row>
    <row r="177" spans="1:6" ht="12.75" customHeight="1" x14ac:dyDescent="0.2">
      <c r="A177" s="37"/>
      <c r="B177" s="13"/>
      <c r="C177" s="23"/>
      <c r="D177" s="23"/>
      <c r="E177" s="13"/>
      <c r="F177" s="13"/>
    </row>
    <row r="178" spans="1:6" ht="12.75" customHeight="1" x14ac:dyDescent="0.2">
      <c r="A178" s="35">
        <v>45688</v>
      </c>
      <c r="B178" s="13">
        <f t="shared" ref="B178:B189" si="60">-$C$5</f>
        <v>2320.6062771332408</v>
      </c>
      <c r="C178" s="13">
        <f>F175*($C$3/12)</f>
        <v>381.40343310294622</v>
      </c>
      <c r="D178" s="13">
        <f t="shared" ref="D178:D189" si="61">B178-C178</f>
        <v>1939.2028440302947</v>
      </c>
      <c r="E178" s="5">
        <f t="shared" ref="E178:E189" si="62">$E$2</f>
        <v>0</v>
      </c>
      <c r="F178" s="13">
        <f>F175-(D178+E178)</f>
        <v>74341.483776558947</v>
      </c>
    </row>
    <row r="179" spans="1:6" ht="12.75" customHeight="1" x14ac:dyDescent="0.2">
      <c r="A179" s="35">
        <v>45716</v>
      </c>
      <c r="B179" s="13">
        <f t="shared" si="60"/>
        <v>2320.6062771332408</v>
      </c>
      <c r="C179" s="13">
        <f t="shared" ref="C179:C189" si="63">F178*($C$3/12)</f>
        <v>371.70741888279474</v>
      </c>
      <c r="D179" s="13">
        <f t="shared" si="61"/>
        <v>1948.8988582504462</v>
      </c>
      <c r="E179" s="5">
        <f t="shared" si="62"/>
        <v>0</v>
      </c>
      <c r="F179" s="13">
        <f t="shared" ref="F179:F189" si="64">F178-(D179+E179)</f>
        <v>72392.584918308508</v>
      </c>
    </row>
    <row r="180" spans="1:6" ht="12.75" customHeight="1" x14ac:dyDescent="0.2">
      <c r="A180" s="35">
        <v>45747</v>
      </c>
      <c r="B180" s="13">
        <f t="shared" si="60"/>
        <v>2320.6062771332408</v>
      </c>
      <c r="C180" s="13">
        <f t="shared" si="63"/>
        <v>361.96292459154256</v>
      </c>
      <c r="D180" s="13">
        <f t="shared" si="61"/>
        <v>1958.6433525416983</v>
      </c>
      <c r="E180" s="5">
        <f t="shared" si="62"/>
        <v>0</v>
      </c>
      <c r="F180" s="13">
        <f t="shared" si="64"/>
        <v>70433.941565766814</v>
      </c>
    </row>
    <row r="181" spans="1:6" ht="12.75" customHeight="1" x14ac:dyDescent="0.2">
      <c r="A181" s="35">
        <v>45777</v>
      </c>
      <c r="B181" s="13">
        <f t="shared" si="60"/>
        <v>2320.6062771332408</v>
      </c>
      <c r="C181" s="13">
        <f t="shared" si="63"/>
        <v>352.16970782883408</v>
      </c>
      <c r="D181" s="13">
        <f t="shared" si="61"/>
        <v>1968.4365693044067</v>
      </c>
      <c r="E181" s="5">
        <f t="shared" si="62"/>
        <v>0</v>
      </c>
      <c r="F181" s="13">
        <f t="shared" si="64"/>
        <v>68465.504996462405</v>
      </c>
    </row>
    <row r="182" spans="1:6" ht="12.75" customHeight="1" x14ac:dyDescent="0.2">
      <c r="A182" s="35">
        <v>45808</v>
      </c>
      <c r="B182" s="13">
        <f t="shared" si="60"/>
        <v>2320.6062771332408</v>
      </c>
      <c r="C182" s="13">
        <f t="shared" si="63"/>
        <v>342.32752498231201</v>
      </c>
      <c r="D182" s="13">
        <f t="shared" si="61"/>
        <v>1978.2787521509288</v>
      </c>
      <c r="E182" s="5">
        <f t="shared" si="62"/>
        <v>0</v>
      </c>
      <c r="F182" s="13">
        <f t="shared" si="64"/>
        <v>66487.226244311474</v>
      </c>
    </row>
    <row r="183" spans="1:6" ht="12.75" customHeight="1" x14ac:dyDescent="0.2">
      <c r="A183" s="35">
        <v>45838</v>
      </c>
      <c r="B183" s="13">
        <f t="shared" si="60"/>
        <v>2320.6062771332408</v>
      </c>
      <c r="C183" s="13">
        <f t="shared" si="63"/>
        <v>332.43613122155739</v>
      </c>
      <c r="D183" s="13">
        <f t="shared" si="61"/>
        <v>1988.1701459116834</v>
      </c>
      <c r="E183" s="5">
        <f t="shared" si="62"/>
        <v>0</v>
      </c>
      <c r="F183" s="13">
        <f t="shared" si="64"/>
        <v>64499.056098399793</v>
      </c>
    </row>
    <row r="184" spans="1:6" ht="12.75" customHeight="1" x14ac:dyDescent="0.2">
      <c r="A184" s="35">
        <v>45869</v>
      </c>
      <c r="B184" s="13">
        <f t="shared" si="60"/>
        <v>2320.6062771332408</v>
      </c>
      <c r="C184" s="13">
        <f t="shared" si="63"/>
        <v>322.49528049199898</v>
      </c>
      <c r="D184" s="13">
        <f t="shared" si="61"/>
        <v>1998.1109966412419</v>
      </c>
      <c r="E184" s="5">
        <f t="shared" si="62"/>
        <v>0</v>
      </c>
      <c r="F184" s="13">
        <f t="shared" si="64"/>
        <v>62500.945101758552</v>
      </c>
    </row>
    <row r="185" spans="1:6" ht="12.75" customHeight="1" x14ac:dyDescent="0.2">
      <c r="A185" s="35">
        <v>45900</v>
      </c>
      <c r="B185" s="13">
        <f t="shared" si="60"/>
        <v>2320.6062771332408</v>
      </c>
      <c r="C185" s="13">
        <f t="shared" si="63"/>
        <v>312.50472550879277</v>
      </c>
      <c r="D185" s="13">
        <f t="shared" si="61"/>
        <v>2008.1015516244481</v>
      </c>
      <c r="E185" s="5">
        <f t="shared" si="62"/>
        <v>0</v>
      </c>
      <c r="F185" s="13">
        <f t="shared" si="64"/>
        <v>60492.843550134101</v>
      </c>
    </row>
    <row r="186" spans="1:6" ht="12.75" customHeight="1" x14ac:dyDescent="0.2">
      <c r="A186" s="35">
        <v>45930</v>
      </c>
      <c r="B186" s="13">
        <f t="shared" si="60"/>
        <v>2320.6062771332408</v>
      </c>
      <c r="C186" s="13">
        <f t="shared" si="63"/>
        <v>302.46421775067051</v>
      </c>
      <c r="D186" s="13">
        <f t="shared" si="61"/>
        <v>2018.1420593825703</v>
      </c>
      <c r="E186" s="5">
        <f t="shared" si="62"/>
        <v>0</v>
      </c>
      <c r="F186" s="13">
        <f t="shared" si="64"/>
        <v>58474.701490751533</v>
      </c>
    </row>
    <row r="187" spans="1:6" ht="12.75" customHeight="1" x14ac:dyDescent="0.2">
      <c r="A187" s="35">
        <v>45961</v>
      </c>
      <c r="B187" s="13">
        <f t="shared" si="60"/>
        <v>2320.6062771332408</v>
      </c>
      <c r="C187" s="13">
        <f t="shared" si="63"/>
        <v>292.37350745375767</v>
      </c>
      <c r="D187" s="13">
        <f t="shared" si="61"/>
        <v>2028.2327696794832</v>
      </c>
      <c r="E187" s="5">
        <f t="shared" si="62"/>
        <v>0</v>
      </c>
      <c r="F187" s="13">
        <f t="shared" si="64"/>
        <v>56446.468721072051</v>
      </c>
    </row>
    <row r="188" spans="1:6" ht="12.75" customHeight="1" x14ac:dyDescent="0.2">
      <c r="A188" s="35">
        <v>45991</v>
      </c>
      <c r="B188" s="13">
        <f t="shared" si="60"/>
        <v>2320.6062771332408</v>
      </c>
      <c r="C188" s="13">
        <f t="shared" si="63"/>
        <v>282.23234360536026</v>
      </c>
      <c r="D188" s="13">
        <f t="shared" si="61"/>
        <v>2038.3739335278806</v>
      </c>
      <c r="E188" s="5">
        <f t="shared" si="62"/>
        <v>0</v>
      </c>
      <c r="F188" s="24">
        <f t="shared" si="64"/>
        <v>54408.094787544171</v>
      </c>
    </row>
    <row r="189" spans="1:6" ht="12.75" customHeight="1" x14ac:dyDescent="0.2">
      <c r="A189" s="35">
        <v>46022</v>
      </c>
      <c r="B189" s="13">
        <f t="shared" si="60"/>
        <v>2320.6062771332408</v>
      </c>
      <c r="C189" s="24">
        <f t="shared" si="63"/>
        <v>272.04047393772083</v>
      </c>
      <c r="D189" s="24">
        <f t="shared" si="61"/>
        <v>2048.5658031955199</v>
      </c>
      <c r="E189" s="6">
        <f t="shared" si="62"/>
        <v>0</v>
      </c>
      <c r="F189" s="25">
        <f t="shared" si="64"/>
        <v>52359.528984348653</v>
      </c>
    </row>
    <row r="190" spans="1:6" ht="12.75" customHeight="1" x14ac:dyDescent="0.2">
      <c r="A190" s="37"/>
      <c r="B190" s="13"/>
      <c r="C190" s="26">
        <f>SUM(C178:C189)</f>
        <v>3926.1176893582883</v>
      </c>
      <c r="D190" s="26">
        <f>SUM(D178:D189)</f>
        <v>23921.157636240601</v>
      </c>
      <c r="E190" s="25">
        <v>20544</v>
      </c>
      <c r="F190" s="23"/>
    </row>
    <row r="191" spans="1:6" ht="12.75" customHeight="1" x14ac:dyDescent="0.2">
      <c r="A191" s="37"/>
      <c r="B191" s="13"/>
      <c r="C191" s="23"/>
      <c r="D191" s="23"/>
      <c r="E191" s="23"/>
      <c r="F191" s="13"/>
    </row>
    <row r="192" spans="1:6" ht="12.75" customHeight="1" x14ac:dyDescent="0.2">
      <c r="A192" s="35">
        <v>46053</v>
      </c>
      <c r="B192" s="13">
        <f t="shared" ref="B192:B203" si="65">-$C$5</f>
        <v>2320.6062771332408</v>
      </c>
      <c r="C192" s="13">
        <f>F189*($C$3/12)</f>
        <v>261.79764492174326</v>
      </c>
      <c r="D192" s="13">
        <f t="shared" ref="D192:D203" si="66">B192-C192</f>
        <v>2058.8086322114978</v>
      </c>
      <c r="E192" s="5">
        <f t="shared" ref="E192:E203" si="67">$E$2</f>
        <v>0</v>
      </c>
      <c r="F192" s="13">
        <f>F189-(D192+E192)</f>
        <v>50300.720352137156</v>
      </c>
    </row>
    <row r="193" spans="1:6" ht="12.75" customHeight="1" x14ac:dyDescent="0.2">
      <c r="A193" s="35">
        <v>46081</v>
      </c>
      <c r="B193" s="13">
        <f t="shared" si="65"/>
        <v>2320.6062771332408</v>
      </c>
      <c r="C193" s="13">
        <f t="shared" ref="C193:C203" si="68">F192*($C$3/12)</f>
        <v>251.5036017606858</v>
      </c>
      <c r="D193" s="13">
        <f t="shared" si="66"/>
        <v>2069.102675372555</v>
      </c>
      <c r="E193" s="5">
        <f t="shared" si="67"/>
        <v>0</v>
      </c>
      <c r="F193" s="13">
        <f t="shared" ref="F193:F203" si="69">F192-(D193+E193)</f>
        <v>48231.617676764603</v>
      </c>
    </row>
    <row r="194" spans="1:6" ht="12.75" customHeight="1" x14ac:dyDescent="0.2">
      <c r="A194" s="35">
        <v>46112</v>
      </c>
      <c r="B194" s="13">
        <f t="shared" si="65"/>
        <v>2320.6062771332408</v>
      </c>
      <c r="C194" s="13">
        <f t="shared" si="68"/>
        <v>241.15808838382301</v>
      </c>
      <c r="D194" s="13">
        <f t="shared" si="66"/>
        <v>2079.448188749418</v>
      </c>
      <c r="E194" s="5">
        <f t="shared" si="67"/>
        <v>0</v>
      </c>
      <c r="F194" s="13">
        <f t="shared" si="69"/>
        <v>46152.169488015184</v>
      </c>
    </row>
    <row r="195" spans="1:6" ht="12.75" customHeight="1" x14ac:dyDescent="0.2">
      <c r="A195" s="35">
        <v>46142</v>
      </c>
      <c r="B195" s="13">
        <f t="shared" si="65"/>
        <v>2320.6062771332408</v>
      </c>
      <c r="C195" s="13">
        <f t="shared" si="68"/>
        <v>230.76084744007593</v>
      </c>
      <c r="D195" s="13">
        <f t="shared" si="66"/>
        <v>2089.845429693165</v>
      </c>
      <c r="E195" s="5">
        <f t="shared" si="67"/>
        <v>0</v>
      </c>
      <c r="F195" s="13">
        <f t="shared" si="69"/>
        <v>44062.324058322018</v>
      </c>
    </row>
    <row r="196" spans="1:6" ht="12.75" customHeight="1" x14ac:dyDescent="0.2">
      <c r="A196" s="35">
        <v>46173</v>
      </c>
      <c r="B196" s="13">
        <f t="shared" si="65"/>
        <v>2320.6062771332408</v>
      </c>
      <c r="C196" s="13">
        <f t="shared" si="68"/>
        <v>220.3116202916101</v>
      </c>
      <c r="D196" s="13">
        <f t="shared" si="66"/>
        <v>2100.294656841631</v>
      </c>
      <c r="E196" s="5">
        <f t="shared" si="67"/>
        <v>0</v>
      </c>
      <c r="F196" s="13">
        <f t="shared" si="69"/>
        <v>41962.029401480388</v>
      </c>
    </row>
    <row r="197" spans="1:6" ht="12.75" customHeight="1" x14ac:dyDescent="0.2">
      <c r="A197" s="35">
        <v>46203</v>
      </c>
      <c r="B197" s="13">
        <f t="shared" si="65"/>
        <v>2320.6062771332408</v>
      </c>
      <c r="C197" s="13">
        <f t="shared" si="68"/>
        <v>209.81014700740195</v>
      </c>
      <c r="D197" s="13">
        <f t="shared" si="66"/>
        <v>2110.7961301258388</v>
      </c>
      <c r="E197" s="5">
        <f t="shared" si="67"/>
        <v>0</v>
      </c>
      <c r="F197" s="13">
        <f t="shared" si="69"/>
        <v>39851.233271354547</v>
      </c>
    </row>
    <row r="198" spans="1:6" ht="12.75" customHeight="1" x14ac:dyDescent="0.2">
      <c r="A198" s="35">
        <v>46234</v>
      </c>
      <c r="B198" s="13">
        <f t="shared" si="65"/>
        <v>2320.6062771332408</v>
      </c>
      <c r="C198" s="13">
        <f t="shared" si="68"/>
        <v>199.25616635677275</v>
      </c>
      <c r="D198" s="13">
        <f t="shared" si="66"/>
        <v>2121.3501107764682</v>
      </c>
      <c r="E198" s="5">
        <f t="shared" si="67"/>
        <v>0</v>
      </c>
      <c r="F198" s="13">
        <f t="shared" si="69"/>
        <v>37729.88316057808</v>
      </c>
    </row>
    <row r="199" spans="1:6" ht="12.75" customHeight="1" x14ac:dyDescent="0.2">
      <c r="A199" s="35">
        <v>46265</v>
      </c>
      <c r="B199" s="13">
        <f t="shared" si="65"/>
        <v>2320.6062771332408</v>
      </c>
      <c r="C199" s="13">
        <f t="shared" si="68"/>
        <v>188.64941580289039</v>
      </c>
      <c r="D199" s="13">
        <f t="shared" si="66"/>
        <v>2131.9568613303504</v>
      </c>
      <c r="E199" s="5">
        <f t="shared" si="67"/>
        <v>0</v>
      </c>
      <c r="F199" s="13">
        <f t="shared" si="69"/>
        <v>35597.926299247731</v>
      </c>
    </row>
    <row r="200" spans="1:6" ht="12.75" customHeight="1" x14ac:dyDescent="0.2">
      <c r="A200" s="35">
        <v>46295</v>
      </c>
      <c r="B200" s="13">
        <f t="shared" si="65"/>
        <v>2320.6062771332408</v>
      </c>
      <c r="C200" s="13">
        <f t="shared" si="68"/>
        <v>177.98963149623864</v>
      </c>
      <c r="D200" s="13">
        <f t="shared" si="66"/>
        <v>2142.616645637002</v>
      </c>
      <c r="E200" s="5">
        <f t="shared" si="67"/>
        <v>0</v>
      </c>
      <c r="F200" s="13">
        <f t="shared" si="69"/>
        <v>33455.309653610726</v>
      </c>
    </row>
    <row r="201" spans="1:6" ht="12.75" customHeight="1" x14ac:dyDescent="0.2">
      <c r="A201" s="35">
        <v>46326</v>
      </c>
      <c r="B201" s="13">
        <f t="shared" si="65"/>
        <v>2320.6062771332408</v>
      </c>
      <c r="C201" s="13">
        <f t="shared" si="68"/>
        <v>167.27654826805363</v>
      </c>
      <c r="D201" s="13">
        <f t="shared" si="66"/>
        <v>2153.329728865187</v>
      </c>
      <c r="E201" s="5">
        <f t="shared" si="67"/>
        <v>0</v>
      </c>
      <c r="F201" s="13">
        <f t="shared" si="69"/>
        <v>31301.979924745538</v>
      </c>
    </row>
    <row r="202" spans="1:6" ht="12.75" customHeight="1" x14ac:dyDescent="0.2">
      <c r="A202" s="35">
        <v>46356</v>
      </c>
      <c r="B202" s="13">
        <f t="shared" si="65"/>
        <v>2320.6062771332408</v>
      </c>
      <c r="C202" s="13">
        <f t="shared" si="68"/>
        <v>156.5098996237277</v>
      </c>
      <c r="D202" s="13">
        <f t="shared" si="66"/>
        <v>2164.0963775095133</v>
      </c>
      <c r="E202" s="5">
        <f t="shared" si="67"/>
        <v>0</v>
      </c>
      <c r="F202" s="24">
        <f t="shared" si="69"/>
        <v>29137.883547236022</v>
      </c>
    </row>
    <row r="203" spans="1:6" ht="12.75" customHeight="1" x14ac:dyDescent="0.2">
      <c r="A203" s="35">
        <v>46387</v>
      </c>
      <c r="B203" s="13">
        <f t="shared" si="65"/>
        <v>2320.6062771332408</v>
      </c>
      <c r="C203" s="24">
        <f t="shared" si="68"/>
        <v>145.6894177361801</v>
      </c>
      <c r="D203" s="24">
        <f t="shared" si="66"/>
        <v>2174.9168593970608</v>
      </c>
      <c r="E203" s="6">
        <f t="shared" si="67"/>
        <v>0</v>
      </c>
      <c r="F203" s="25">
        <f t="shared" si="69"/>
        <v>26962.966687838962</v>
      </c>
    </row>
    <row r="204" spans="1:6" ht="12.75" customHeight="1" x14ac:dyDescent="0.2">
      <c r="A204" s="37"/>
      <c r="B204" s="13"/>
      <c r="C204" s="26">
        <f>SUM(C192:C203)</f>
        <v>2450.7130290892037</v>
      </c>
      <c r="D204" s="26">
        <f>SUM(D192:D203)</f>
        <v>25396.562296509685</v>
      </c>
      <c r="E204" s="25">
        <v>20544</v>
      </c>
      <c r="F204" s="23"/>
    </row>
    <row r="205" spans="1:6" ht="12.75" customHeight="1" x14ac:dyDescent="0.2">
      <c r="A205" s="37"/>
      <c r="B205" s="13"/>
      <c r="C205" s="23"/>
      <c r="D205" s="23"/>
      <c r="E205" s="23"/>
      <c r="F205" s="13"/>
    </row>
    <row r="206" spans="1:6" ht="12.75" customHeight="1" x14ac:dyDescent="0.2">
      <c r="A206" s="35">
        <v>46418</v>
      </c>
      <c r="B206" s="13">
        <f t="shared" ref="B206:B217" si="70">-$C$5</f>
        <v>2320.6062771332408</v>
      </c>
      <c r="C206" s="13">
        <f>F203*($C$3/12)</f>
        <v>134.81483343919481</v>
      </c>
      <c r="D206" s="13">
        <f t="shared" ref="D206:D217" si="71">B206-C206</f>
        <v>2185.7914436940459</v>
      </c>
      <c r="E206" s="5">
        <f t="shared" ref="E206:E217" si="72">$E$2</f>
        <v>0</v>
      </c>
      <c r="F206" s="13">
        <f>F203-(D206+E206)</f>
        <v>24777.175244144917</v>
      </c>
    </row>
    <row r="207" spans="1:6" ht="12.75" customHeight="1" x14ac:dyDescent="0.2">
      <c r="A207" s="35">
        <v>46446</v>
      </c>
      <c r="B207" s="13">
        <f t="shared" si="70"/>
        <v>2320.6062771332408</v>
      </c>
      <c r="C207" s="13">
        <f t="shared" ref="C207:C217" si="73">F206*($C$3/12)</f>
        <v>123.88587622072458</v>
      </c>
      <c r="D207" s="13">
        <f t="shared" si="71"/>
        <v>2196.7204009125162</v>
      </c>
      <c r="E207" s="5">
        <f t="shared" si="72"/>
        <v>0</v>
      </c>
      <c r="F207" s="13">
        <f t="shared" ref="F207:F217" si="74">F206-(D207+E207)</f>
        <v>22580.454843232401</v>
      </c>
    </row>
    <row r="208" spans="1:6" ht="12.75" customHeight="1" x14ac:dyDescent="0.2">
      <c r="A208" s="35">
        <v>46477</v>
      </c>
      <c r="B208" s="13">
        <f t="shared" si="70"/>
        <v>2320.6062771332408</v>
      </c>
      <c r="C208" s="13">
        <f t="shared" si="73"/>
        <v>112.90227421616201</v>
      </c>
      <c r="D208" s="13">
        <f t="shared" si="71"/>
        <v>2207.7040029170789</v>
      </c>
      <c r="E208" s="5">
        <f t="shared" si="72"/>
        <v>0</v>
      </c>
      <c r="F208" s="13">
        <f t="shared" si="74"/>
        <v>20372.750840315322</v>
      </c>
    </row>
    <row r="209" spans="1:6" ht="12.75" customHeight="1" x14ac:dyDescent="0.2">
      <c r="A209" s="35">
        <v>46507</v>
      </c>
      <c r="B209" s="13">
        <f t="shared" si="70"/>
        <v>2320.6062771332408</v>
      </c>
      <c r="C209" s="13">
        <f t="shared" si="73"/>
        <v>101.86375420157661</v>
      </c>
      <c r="D209" s="13">
        <f t="shared" si="71"/>
        <v>2218.7425229316641</v>
      </c>
      <c r="E209" s="5">
        <f t="shared" si="72"/>
        <v>0</v>
      </c>
      <c r="F209" s="13">
        <f t="shared" si="74"/>
        <v>18154.008317383657</v>
      </c>
    </row>
    <row r="210" spans="1:6" ht="12.75" customHeight="1" x14ac:dyDescent="0.2">
      <c r="A210" s="35">
        <v>46538</v>
      </c>
      <c r="B210" s="13">
        <f t="shared" si="70"/>
        <v>2320.6062771332408</v>
      </c>
      <c r="C210" s="13">
        <f t="shared" si="73"/>
        <v>90.770041586918282</v>
      </c>
      <c r="D210" s="13">
        <f t="shared" si="71"/>
        <v>2229.8362355463228</v>
      </c>
      <c r="E210" s="5">
        <f t="shared" si="72"/>
        <v>0</v>
      </c>
      <c r="F210" s="13">
        <f t="shared" si="74"/>
        <v>15924.172081837334</v>
      </c>
    </row>
    <row r="211" spans="1:6" ht="12.75" customHeight="1" x14ac:dyDescent="0.2">
      <c r="A211" s="35">
        <v>46568</v>
      </c>
      <c r="B211" s="13">
        <f t="shared" si="70"/>
        <v>2320.6062771332408</v>
      </c>
      <c r="C211" s="13">
        <f t="shared" si="73"/>
        <v>79.620860409186676</v>
      </c>
      <c r="D211" s="13">
        <f t="shared" si="71"/>
        <v>2240.9854167240542</v>
      </c>
      <c r="E211" s="5">
        <f t="shared" si="72"/>
        <v>0</v>
      </c>
      <c r="F211" s="13">
        <f t="shared" si="74"/>
        <v>13683.18666511328</v>
      </c>
    </row>
    <row r="212" spans="1:6" ht="12.75" customHeight="1" x14ac:dyDescent="0.2">
      <c r="A212" s="35">
        <v>46599</v>
      </c>
      <c r="B212" s="13">
        <f t="shared" si="70"/>
        <v>2320.6062771332408</v>
      </c>
      <c r="C212" s="13">
        <f t="shared" si="73"/>
        <v>68.4159333255664</v>
      </c>
      <c r="D212" s="13">
        <f t="shared" si="71"/>
        <v>2252.1903438076743</v>
      </c>
      <c r="E212" s="5">
        <f t="shared" si="72"/>
        <v>0</v>
      </c>
      <c r="F212" s="13">
        <f t="shared" si="74"/>
        <v>11430.996321305607</v>
      </c>
    </row>
    <row r="213" spans="1:6" ht="12.75" customHeight="1" x14ac:dyDescent="0.2">
      <c r="A213" s="35">
        <v>46630</v>
      </c>
      <c r="B213" s="13">
        <f t="shared" si="70"/>
        <v>2320.6062771332408</v>
      </c>
      <c r="C213" s="13">
        <f t="shared" si="73"/>
        <v>57.15498160652804</v>
      </c>
      <c r="D213" s="13">
        <f t="shared" si="71"/>
        <v>2263.4512955267128</v>
      </c>
      <c r="E213" s="5">
        <f t="shared" si="72"/>
        <v>0</v>
      </c>
      <c r="F213" s="13">
        <f t="shared" si="74"/>
        <v>9167.5450257788943</v>
      </c>
    </row>
    <row r="214" spans="1:6" ht="12.75" customHeight="1" x14ac:dyDescent="0.2">
      <c r="A214" s="35">
        <v>46660</v>
      </c>
      <c r="B214" s="13">
        <f t="shared" si="70"/>
        <v>2320.6062771332408</v>
      </c>
      <c r="C214" s="13">
        <f t="shared" si="73"/>
        <v>45.837725128894469</v>
      </c>
      <c r="D214" s="13">
        <f t="shared" si="71"/>
        <v>2274.7685520043465</v>
      </c>
      <c r="E214" s="5">
        <f t="shared" si="72"/>
        <v>0</v>
      </c>
      <c r="F214" s="13">
        <f t="shared" si="74"/>
        <v>6892.7764737745474</v>
      </c>
    </row>
    <row r="215" spans="1:6" ht="12.75" customHeight="1" x14ac:dyDescent="0.2">
      <c r="A215" s="35">
        <v>46691</v>
      </c>
      <c r="B215" s="13">
        <f t="shared" si="70"/>
        <v>2320.6062771332408</v>
      </c>
      <c r="C215" s="13">
        <f t="shared" si="73"/>
        <v>34.463882368872738</v>
      </c>
      <c r="D215" s="13">
        <f t="shared" si="71"/>
        <v>2286.142394764368</v>
      </c>
      <c r="E215" s="5">
        <f t="shared" si="72"/>
        <v>0</v>
      </c>
      <c r="F215" s="13">
        <f t="shared" si="74"/>
        <v>4606.6340790101794</v>
      </c>
    </row>
    <row r="216" spans="1:6" ht="12.75" customHeight="1" x14ac:dyDescent="0.2">
      <c r="A216" s="35">
        <v>46721</v>
      </c>
      <c r="B216" s="13">
        <f t="shared" si="70"/>
        <v>2320.6062771332408</v>
      </c>
      <c r="C216" s="13">
        <f t="shared" si="73"/>
        <v>23.033170395050899</v>
      </c>
      <c r="D216" s="13">
        <f t="shared" si="71"/>
        <v>2297.5731067381898</v>
      </c>
      <c r="E216" s="5">
        <f t="shared" si="72"/>
        <v>0</v>
      </c>
      <c r="F216" s="24">
        <f t="shared" si="74"/>
        <v>2309.0609722719896</v>
      </c>
    </row>
    <row r="217" spans="1:6" ht="12.75" customHeight="1" x14ac:dyDescent="0.2">
      <c r="A217" s="35">
        <v>46752</v>
      </c>
      <c r="B217" s="13">
        <f t="shared" si="70"/>
        <v>2320.6062771332408</v>
      </c>
      <c r="C217" s="24">
        <f t="shared" si="73"/>
        <v>11.545304861359948</v>
      </c>
      <c r="D217" s="24">
        <f t="shared" si="71"/>
        <v>2309.0609722718809</v>
      </c>
      <c r="E217" s="6">
        <f t="shared" si="72"/>
        <v>0</v>
      </c>
      <c r="F217" s="25">
        <f t="shared" si="74"/>
        <v>1.0868461686186492E-10</v>
      </c>
    </row>
    <row r="218" spans="1:6" ht="12.75" customHeight="1" x14ac:dyDescent="0.2">
      <c r="B218" s="13"/>
      <c r="C218" s="26">
        <f>SUM(C206:C217)</f>
        <v>884.30863776003548</v>
      </c>
      <c r="D218" s="26">
        <f>SUM(D206:D217)</f>
        <v>26962.966687838849</v>
      </c>
      <c r="E218" s="25">
        <v>20544</v>
      </c>
      <c r="F218" s="23"/>
    </row>
  </sheetData>
  <pageMargins left="0.75" right="0.75" top="1" bottom="1" header="0.5" footer="0.5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G19"/>
  <sheetViews>
    <sheetView workbookViewId="0">
      <selection activeCell="I21" sqref="I21"/>
    </sheetView>
  </sheetViews>
  <sheetFormatPr defaultRowHeight="12.75" x14ac:dyDescent="0.2"/>
  <sheetData>
    <row r="15" spans="7:7" x14ac:dyDescent="0.2">
      <c r="G15">
        <v>1350</v>
      </c>
    </row>
    <row r="16" spans="7:7" x14ac:dyDescent="0.2">
      <c r="G16">
        <v>5</v>
      </c>
    </row>
    <row r="17" spans="7:7" x14ac:dyDescent="0.2">
      <c r="G17">
        <f>G15*G16</f>
        <v>6750</v>
      </c>
    </row>
    <row r="18" spans="7:7" x14ac:dyDescent="0.2">
      <c r="G18">
        <v>12</v>
      </c>
    </row>
    <row r="19" spans="7:7" x14ac:dyDescent="0.2">
      <c r="G19">
        <f>G17*G18</f>
        <v>81000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IS &amp; BS</vt:lpstr>
      <vt:lpstr>Assumptions</vt:lpstr>
      <vt:lpstr>Mortgage Table</vt:lpstr>
      <vt:lpstr>Sheet1</vt:lpstr>
      <vt:lpstr>dp8vwd7v3x3l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2019-06-19T21:45:03Z</dcterms:created>
  <dcterms:modified xsi:type="dcterms:W3CDTF">2019-06-19T21:45:15Z</dcterms:modified>
</cp:coreProperties>
</file>