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7080" yWindow="195" windowWidth="18525" windowHeight="11700"/>
  </bookViews>
  <sheets>
    <sheet name="Pro Forma" sheetId="1" r:id="rId1"/>
    <sheet name="Mortgage" sheetId="5" r:id="rId2"/>
    <sheet name="Supplimental" sheetId="3" r:id="rId3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1" i="1" l="1"/>
  <c r="O109" i="1"/>
  <c r="C131" i="1"/>
  <c r="C139" i="1"/>
  <c r="D81" i="1"/>
  <c r="M53" i="1"/>
  <c r="D87" i="1"/>
  <c r="D5" i="1"/>
  <c r="E5" i="1"/>
  <c r="F5" i="1"/>
  <c r="G5" i="1"/>
  <c r="H5" i="1"/>
  <c r="I5" i="1"/>
  <c r="J5" i="1"/>
  <c r="K5" i="1"/>
  <c r="L5" i="1"/>
  <c r="M5" i="1"/>
  <c r="M14" i="1"/>
  <c r="D19" i="1"/>
  <c r="E19" i="1"/>
  <c r="F19" i="1"/>
  <c r="G19" i="1"/>
  <c r="H19" i="1"/>
  <c r="I19" i="1"/>
  <c r="J19" i="1"/>
  <c r="K19" i="1"/>
  <c r="L19" i="1"/>
  <c r="M19" i="1"/>
  <c r="M20" i="1"/>
  <c r="D22" i="1"/>
  <c r="E22" i="1"/>
  <c r="F22" i="1"/>
  <c r="G22" i="1"/>
  <c r="H22" i="1"/>
  <c r="I22" i="1"/>
  <c r="J22" i="1"/>
  <c r="K22" i="1"/>
  <c r="L22" i="1"/>
  <c r="M22" i="1"/>
  <c r="M23" i="1"/>
  <c r="M25" i="1"/>
  <c r="M31" i="1"/>
  <c r="M33" i="1"/>
  <c r="M35" i="1"/>
  <c r="L14" i="1"/>
  <c r="L20" i="1"/>
  <c r="L23" i="1"/>
  <c r="L25" i="1"/>
  <c r="L31" i="1"/>
  <c r="L33" i="1"/>
  <c r="L35" i="1"/>
  <c r="K14" i="1"/>
  <c r="K20" i="1"/>
  <c r="K23" i="1"/>
  <c r="K25" i="1"/>
  <c r="K31" i="1"/>
  <c r="K33" i="1"/>
  <c r="K35" i="1"/>
  <c r="J14" i="1"/>
  <c r="J20" i="1"/>
  <c r="J23" i="1"/>
  <c r="J25" i="1"/>
  <c r="J31" i="1"/>
  <c r="J33" i="1"/>
  <c r="J35" i="1"/>
  <c r="I14" i="1"/>
  <c r="I20" i="1"/>
  <c r="I23" i="1"/>
  <c r="I25" i="1"/>
  <c r="I31" i="1"/>
  <c r="I33" i="1"/>
  <c r="I35" i="1"/>
  <c r="H14" i="1"/>
  <c r="H20" i="1"/>
  <c r="H23" i="1"/>
  <c r="H25" i="1"/>
  <c r="H31" i="1"/>
  <c r="H33" i="1"/>
  <c r="H35" i="1"/>
  <c r="G14" i="1"/>
  <c r="G20" i="1"/>
  <c r="G23" i="1"/>
  <c r="G25" i="1"/>
  <c r="G31" i="1"/>
  <c r="G33" i="1"/>
  <c r="G35" i="1"/>
  <c r="F14" i="1"/>
  <c r="F20" i="1"/>
  <c r="F23" i="1"/>
  <c r="F25" i="1"/>
  <c r="F31" i="1"/>
  <c r="F33" i="1"/>
  <c r="F35" i="1"/>
  <c r="E14" i="1"/>
  <c r="E20" i="1"/>
  <c r="E23" i="1"/>
  <c r="E25" i="1"/>
  <c r="E31" i="1"/>
  <c r="E33" i="1"/>
  <c r="E35" i="1"/>
  <c r="D14" i="1"/>
  <c r="D20" i="1"/>
  <c r="D23" i="1"/>
  <c r="D25" i="1"/>
  <c r="D31" i="1"/>
  <c r="D33" i="1"/>
  <c r="D35" i="1"/>
  <c r="D57" i="1"/>
  <c r="E57" i="1"/>
  <c r="F57" i="1"/>
  <c r="G57" i="1"/>
  <c r="H57" i="1"/>
  <c r="I57" i="1"/>
  <c r="J57" i="1"/>
  <c r="K57" i="1"/>
  <c r="L57" i="1"/>
  <c r="M57" i="1"/>
  <c r="D89" i="1"/>
  <c r="D93" i="1"/>
  <c r="D94" i="1"/>
  <c r="C133" i="1"/>
  <c r="C134" i="1"/>
  <c r="C136" i="1"/>
  <c r="E87" i="1"/>
  <c r="C141" i="1"/>
  <c r="D85" i="1"/>
  <c r="C125" i="1"/>
  <c r="D101" i="1"/>
  <c r="D103" i="1"/>
  <c r="D104" i="1"/>
  <c r="D105" i="1"/>
  <c r="D106" i="1"/>
  <c r="D118" i="1"/>
  <c r="D125" i="1"/>
  <c r="E101" i="1"/>
  <c r="E103" i="1"/>
  <c r="E104" i="1"/>
  <c r="E105" i="1"/>
  <c r="E106" i="1"/>
  <c r="E118" i="1"/>
  <c r="E125" i="1"/>
  <c r="F101" i="1"/>
  <c r="F103" i="1"/>
  <c r="F104" i="1"/>
  <c r="F105" i="1"/>
  <c r="F106" i="1"/>
  <c r="F118" i="1"/>
  <c r="F125" i="1"/>
  <c r="G101" i="1"/>
  <c r="G103" i="1"/>
  <c r="G104" i="1"/>
  <c r="G105" i="1"/>
  <c r="G106" i="1"/>
  <c r="G118" i="1"/>
  <c r="G125" i="1"/>
  <c r="H101" i="1"/>
  <c r="H103" i="1"/>
  <c r="H104" i="1"/>
  <c r="H105" i="1"/>
  <c r="H106" i="1"/>
  <c r="H118" i="1"/>
  <c r="H125" i="1"/>
  <c r="I101" i="1"/>
  <c r="I103" i="1"/>
  <c r="I104" i="1"/>
  <c r="I105" i="1"/>
  <c r="I106" i="1"/>
  <c r="I118" i="1"/>
  <c r="I125" i="1"/>
  <c r="J101" i="1"/>
  <c r="J103" i="1"/>
  <c r="J104" i="1"/>
  <c r="J105" i="1"/>
  <c r="J106" i="1"/>
  <c r="J118" i="1"/>
  <c r="J125" i="1"/>
  <c r="K101" i="1"/>
  <c r="K103" i="1"/>
  <c r="K104" i="1"/>
  <c r="K105" i="1"/>
  <c r="K106" i="1"/>
  <c r="K118" i="1"/>
  <c r="K125" i="1"/>
  <c r="L101" i="1"/>
  <c r="L103" i="1"/>
  <c r="L104" i="1"/>
  <c r="L105" i="1"/>
  <c r="L106" i="1"/>
  <c r="L118" i="1"/>
  <c r="L125" i="1"/>
  <c r="M101" i="1"/>
  <c r="M103" i="1"/>
  <c r="M104" i="1"/>
  <c r="M105" i="1"/>
  <c r="M106" i="1"/>
  <c r="M109" i="1"/>
  <c r="M111" i="1"/>
  <c r="M113" i="1"/>
  <c r="M118" i="1"/>
  <c r="M121" i="1"/>
  <c r="M123" i="1"/>
  <c r="M125" i="1"/>
  <c r="C129" i="1"/>
  <c r="D96" i="1"/>
  <c r="C126" i="1"/>
  <c r="H112" i="1"/>
  <c r="D28" i="1"/>
  <c r="M7" i="1"/>
  <c r="O5" i="1"/>
  <c r="M15" i="1"/>
  <c r="M18" i="1"/>
  <c r="O19" i="1"/>
  <c r="D21" i="1"/>
  <c r="E21" i="1"/>
  <c r="F21" i="1"/>
  <c r="G21" i="1"/>
  <c r="H21" i="1"/>
  <c r="I21" i="1"/>
  <c r="J21" i="1"/>
  <c r="K21" i="1"/>
  <c r="L21" i="1"/>
  <c r="M21" i="1"/>
  <c r="M26" i="1"/>
  <c r="D44" i="1"/>
  <c r="D43" i="1"/>
  <c r="D27" i="1"/>
  <c r="E27" i="1"/>
  <c r="F27" i="1"/>
  <c r="G27" i="1"/>
  <c r="H27" i="1"/>
  <c r="I27" i="1"/>
  <c r="J27" i="1"/>
  <c r="K27" i="1"/>
  <c r="L27" i="1"/>
  <c r="M27" i="1"/>
  <c r="H44" i="1"/>
  <c r="I44" i="1"/>
  <c r="M44" i="1"/>
  <c r="M28" i="1"/>
  <c r="O29" i="1"/>
  <c r="M29" i="1"/>
  <c r="L7" i="1"/>
  <c r="L15" i="1"/>
  <c r="L18" i="1"/>
  <c r="L26" i="1"/>
  <c r="L44" i="1"/>
  <c r="L28" i="1"/>
  <c r="L29" i="1"/>
  <c r="K7" i="1"/>
  <c r="K15" i="1"/>
  <c r="K18" i="1"/>
  <c r="K26" i="1"/>
  <c r="K44" i="1"/>
  <c r="K28" i="1"/>
  <c r="K29" i="1"/>
  <c r="J7" i="1"/>
  <c r="J15" i="1"/>
  <c r="J18" i="1"/>
  <c r="J26" i="1"/>
  <c r="J44" i="1"/>
  <c r="J28" i="1"/>
  <c r="J29" i="1"/>
  <c r="I7" i="1"/>
  <c r="I15" i="1"/>
  <c r="I18" i="1"/>
  <c r="I26" i="1"/>
  <c r="I28" i="1"/>
  <c r="I29" i="1"/>
  <c r="H7" i="1"/>
  <c r="H15" i="1"/>
  <c r="H18" i="1"/>
  <c r="H26" i="1"/>
  <c r="H28" i="1"/>
  <c r="H29" i="1"/>
  <c r="G7" i="1"/>
  <c r="G15" i="1"/>
  <c r="G18" i="1"/>
  <c r="G26" i="1"/>
  <c r="G44" i="1"/>
  <c r="G28" i="1"/>
  <c r="G29" i="1"/>
  <c r="F7" i="1"/>
  <c r="F15" i="1"/>
  <c r="F18" i="1"/>
  <c r="F26" i="1"/>
  <c r="F44" i="1"/>
  <c r="F28" i="1"/>
  <c r="F29" i="1"/>
  <c r="E7" i="1"/>
  <c r="E15" i="1"/>
  <c r="E18" i="1"/>
  <c r="E26" i="1"/>
  <c r="E44" i="1"/>
  <c r="E28" i="1"/>
  <c r="E29" i="1"/>
  <c r="D7" i="1"/>
  <c r="D15" i="1"/>
  <c r="D18" i="1"/>
  <c r="D26" i="1"/>
  <c r="D29" i="1"/>
  <c r="D91" i="1"/>
  <c r="D102" i="1"/>
  <c r="D116" i="1"/>
  <c r="D117" i="1"/>
  <c r="D126" i="1"/>
  <c r="E102" i="1"/>
  <c r="E116" i="1"/>
  <c r="E117" i="1"/>
  <c r="E126" i="1"/>
  <c r="F102" i="1"/>
  <c r="F116" i="1"/>
  <c r="F117" i="1"/>
  <c r="F126" i="1"/>
  <c r="G102" i="1"/>
  <c r="G116" i="1"/>
  <c r="G117" i="1"/>
  <c r="G126" i="1"/>
  <c r="H102" i="1"/>
  <c r="H116" i="1"/>
  <c r="H117" i="1"/>
  <c r="H126" i="1"/>
  <c r="I102" i="1"/>
  <c r="I116" i="1"/>
  <c r="I117" i="1"/>
  <c r="I126" i="1"/>
  <c r="J102" i="1"/>
  <c r="J116" i="1"/>
  <c r="J117" i="1"/>
  <c r="J126" i="1"/>
  <c r="K102" i="1"/>
  <c r="K116" i="1"/>
  <c r="K117" i="1"/>
  <c r="K126" i="1"/>
  <c r="L102" i="1"/>
  <c r="L116" i="1"/>
  <c r="L117" i="1"/>
  <c r="L126" i="1"/>
  <c r="M102" i="1"/>
  <c r="M112" i="1"/>
  <c r="M43" i="1"/>
  <c r="M116" i="1"/>
  <c r="M117" i="1"/>
  <c r="M122" i="1"/>
  <c r="M126" i="1"/>
  <c r="C109" i="1"/>
  <c r="C110" i="1"/>
  <c r="C111" i="1"/>
  <c r="C128" i="1"/>
  <c r="D19" i="3"/>
  <c r="D20" i="3"/>
  <c r="C3" i="5"/>
  <c r="E4" i="5"/>
  <c r="E5" i="5"/>
  <c r="B24" i="5"/>
  <c r="C24" i="5"/>
  <c r="C23" i="5"/>
  <c r="C22" i="5"/>
  <c r="C21" i="5"/>
  <c r="C20" i="5"/>
  <c r="C19" i="5"/>
  <c r="C18" i="5"/>
  <c r="C17" i="5"/>
  <c r="C16" i="5"/>
  <c r="C15" i="5"/>
  <c r="E40" i="1"/>
  <c r="E43" i="1"/>
  <c r="E46" i="1"/>
  <c r="E47" i="1"/>
  <c r="E66" i="1"/>
  <c r="E70" i="1"/>
  <c r="E72" i="1"/>
  <c r="E77" i="1"/>
  <c r="E73" i="1"/>
  <c r="E78" i="1"/>
  <c r="G40" i="1"/>
  <c r="G43" i="1"/>
  <c r="G46" i="1"/>
  <c r="G47" i="1"/>
  <c r="G66" i="1"/>
  <c r="G70" i="1"/>
  <c r="G72" i="1"/>
  <c r="G77" i="1"/>
  <c r="G73" i="1"/>
  <c r="G78" i="1"/>
  <c r="I40" i="1"/>
  <c r="I43" i="1"/>
  <c r="I46" i="1"/>
  <c r="I47" i="1"/>
  <c r="I66" i="1"/>
  <c r="I70" i="1"/>
  <c r="I72" i="1"/>
  <c r="I77" i="1"/>
  <c r="I73" i="1"/>
  <c r="I78" i="1"/>
  <c r="K40" i="1"/>
  <c r="K43" i="1"/>
  <c r="K46" i="1"/>
  <c r="K47" i="1"/>
  <c r="K66" i="1"/>
  <c r="K70" i="1"/>
  <c r="K72" i="1"/>
  <c r="K77" i="1"/>
  <c r="K73" i="1"/>
  <c r="K78" i="1"/>
  <c r="D2" i="5"/>
  <c r="D80" i="1"/>
  <c r="L43" i="1"/>
  <c r="L46" i="1"/>
  <c r="M46" i="1"/>
  <c r="B23" i="5"/>
  <c r="L53" i="1"/>
  <c r="B22" i="5"/>
  <c r="J43" i="1"/>
  <c r="H43" i="1"/>
  <c r="F43" i="1"/>
  <c r="K53" i="1"/>
  <c r="B15" i="5"/>
  <c r="D53" i="1"/>
  <c r="B21" i="5"/>
  <c r="J53" i="1"/>
  <c r="B16" i="5"/>
  <c r="E53" i="1"/>
  <c r="B18" i="5"/>
  <c r="G53" i="1"/>
  <c r="B20" i="5"/>
  <c r="I53" i="1"/>
  <c r="B17" i="5"/>
  <c r="F53" i="1"/>
  <c r="B19" i="5"/>
  <c r="H53" i="1"/>
  <c r="E7" i="5"/>
  <c r="B15" i="3"/>
  <c r="D70" i="1"/>
  <c r="D72" i="1"/>
  <c r="D77" i="1"/>
  <c r="D40" i="1"/>
  <c r="F70" i="1"/>
  <c r="F72" i="1"/>
  <c r="F77" i="1"/>
  <c r="F40" i="1"/>
  <c r="H70" i="1"/>
  <c r="H72" i="1"/>
  <c r="H77" i="1"/>
  <c r="H40" i="1"/>
  <c r="H46" i="1"/>
  <c r="J46" i="1"/>
  <c r="J70" i="1"/>
  <c r="J72" i="1"/>
  <c r="J77" i="1"/>
  <c r="J40" i="1"/>
  <c r="F46" i="1"/>
  <c r="F47" i="1"/>
  <c r="D46" i="1"/>
  <c r="D47" i="1"/>
  <c r="M40" i="1"/>
  <c r="M47" i="1"/>
  <c r="M70" i="1"/>
  <c r="M72" i="1"/>
  <c r="M73" i="1"/>
  <c r="L70" i="1"/>
  <c r="L72" i="1"/>
  <c r="L73" i="1"/>
  <c r="L40" i="1"/>
  <c r="L47" i="1"/>
  <c r="J47" i="1"/>
  <c r="D73" i="1"/>
  <c r="D74" i="1"/>
  <c r="H47" i="1"/>
  <c r="L52" i="1"/>
  <c r="L77" i="1"/>
  <c r="L78" i="1"/>
  <c r="L74" i="1"/>
  <c r="M52" i="1"/>
  <c r="M77" i="1"/>
  <c r="M78" i="1"/>
  <c r="M74" i="1"/>
  <c r="D52" i="1"/>
  <c r="D78" i="1"/>
  <c r="F73" i="1"/>
  <c r="E74" i="1"/>
  <c r="F52" i="1"/>
  <c r="E52" i="1"/>
  <c r="L67" i="1"/>
  <c r="L59" i="1"/>
  <c r="L62" i="1"/>
  <c r="M67" i="1"/>
  <c r="M59" i="1"/>
  <c r="M62" i="1"/>
  <c r="M66" i="1"/>
  <c r="D67" i="1"/>
  <c r="D66" i="1"/>
  <c r="D65" i="1"/>
  <c r="D59" i="1"/>
  <c r="D62" i="1"/>
  <c r="F78" i="1"/>
  <c r="F74" i="1"/>
  <c r="L66" i="1"/>
  <c r="E65" i="1"/>
  <c r="G52" i="1"/>
  <c r="H73" i="1"/>
  <c r="G74" i="1"/>
  <c r="F65" i="1"/>
  <c r="H52" i="1"/>
  <c r="H78" i="1"/>
  <c r="H74" i="1"/>
  <c r="G65" i="1"/>
  <c r="I52" i="1"/>
  <c r="J73" i="1"/>
  <c r="G67" i="1"/>
  <c r="G59" i="1"/>
  <c r="G62" i="1"/>
  <c r="I74" i="1"/>
  <c r="H65" i="1"/>
  <c r="H66" i="1"/>
  <c r="F59" i="1"/>
  <c r="F67" i="1"/>
  <c r="H67" i="1"/>
  <c r="J52" i="1"/>
  <c r="E59" i="1"/>
  <c r="E67" i="1"/>
  <c r="H59" i="1"/>
  <c r="H62" i="1"/>
  <c r="J78" i="1"/>
  <c r="J74" i="1"/>
  <c r="I59" i="1"/>
  <c r="I62" i="1"/>
  <c r="F66" i="1"/>
  <c r="I65" i="1"/>
  <c r="F62" i="1"/>
  <c r="K74" i="1"/>
  <c r="J66" i="1"/>
  <c r="E62" i="1"/>
  <c r="K52" i="1"/>
  <c r="I67" i="1"/>
  <c r="J65" i="1"/>
  <c r="J67" i="1"/>
  <c r="J59" i="1"/>
  <c r="J62" i="1"/>
  <c r="K59" i="1"/>
  <c r="K62" i="1"/>
  <c r="K67" i="1"/>
  <c r="L65" i="1"/>
  <c r="K65" i="1"/>
  <c r="M65" i="1"/>
</calcChain>
</file>

<file path=xl/sharedStrings.xml><?xml version="1.0" encoding="utf-8"?>
<sst xmlns="http://schemas.openxmlformats.org/spreadsheetml/2006/main" count="156" uniqueCount="136">
  <si>
    <t>Rental Income</t>
  </si>
  <si>
    <t>Maintenance</t>
  </si>
  <si>
    <t>Insurance</t>
  </si>
  <si>
    <t>Utilities</t>
  </si>
  <si>
    <t>Pretax Income</t>
  </si>
  <si>
    <t>Property Taxes</t>
  </si>
  <si>
    <t>Occupancy Rate</t>
  </si>
  <si>
    <t>Rate</t>
  </si>
  <si>
    <t>Assets</t>
  </si>
  <si>
    <t>Total Assets</t>
  </si>
  <si>
    <t>Accumulated Deprecation</t>
  </si>
  <si>
    <t>Liabilities and Shareholder Capital</t>
  </si>
  <si>
    <t>Accounts Payable</t>
  </si>
  <si>
    <t>Principal</t>
  </si>
  <si>
    <t>Total Liabilities and SE</t>
  </si>
  <si>
    <t>Balance Sheet</t>
  </si>
  <si>
    <t>Lot Size</t>
  </si>
  <si>
    <t>No. Rooms</t>
  </si>
  <si>
    <t>Building Size (ft^2)</t>
  </si>
  <si>
    <t>Room Type 1</t>
  </si>
  <si>
    <t>Room Type 2</t>
  </si>
  <si>
    <t>Room Type 3</t>
  </si>
  <si>
    <t>Room Type 4</t>
  </si>
  <si>
    <t>Room Type 5</t>
  </si>
  <si>
    <t>Room Type 6</t>
  </si>
  <si>
    <t>Number of Rooms</t>
  </si>
  <si>
    <t>Building Cost</t>
  </si>
  <si>
    <t>Revenue</t>
  </si>
  <si>
    <t>Wages</t>
  </si>
  <si>
    <t>Salaries</t>
  </si>
  <si>
    <t>Pet Fee</t>
  </si>
  <si>
    <t>Each Year</t>
  </si>
  <si>
    <t>Per room</t>
  </si>
  <si>
    <t>Cleaning</t>
  </si>
  <si>
    <t>Reception</t>
  </si>
  <si>
    <t>Hours/Day</t>
  </si>
  <si>
    <t>$/Hour</t>
  </si>
  <si>
    <t>Yearly Cost</t>
  </si>
  <si>
    <t>Payment</t>
  </si>
  <si>
    <t>Of Property Value</t>
  </si>
  <si>
    <t xml:space="preserve">Cash Above Minimum </t>
  </si>
  <si>
    <t>Taxes Payable</t>
  </si>
  <si>
    <t>Income Taxes</t>
  </si>
  <si>
    <t>Income Tax</t>
  </si>
  <si>
    <t>A night</t>
  </si>
  <si>
    <t>Ketchum Idaho</t>
  </si>
  <si>
    <t>Tamarack Lodge</t>
  </si>
  <si>
    <t>increasing per year</t>
  </si>
  <si>
    <t>Nightly Rate</t>
  </si>
  <si>
    <t>of guests will bring a pet</t>
  </si>
  <si>
    <t>Management Salary</t>
  </si>
  <si>
    <t>Tamarack 2012 Room prices</t>
  </si>
  <si>
    <t>Rooms rented per Month</t>
  </si>
  <si>
    <t>of rental income</t>
  </si>
  <si>
    <t>Purchase Price</t>
  </si>
  <si>
    <t>DFN</t>
  </si>
  <si>
    <t>Operating Expenses</t>
  </si>
  <si>
    <t>Mortgage Interest</t>
  </si>
  <si>
    <t>Loan Interest</t>
  </si>
  <si>
    <t>Net Income after taxes</t>
  </si>
  <si>
    <t>Mortgage</t>
  </si>
  <si>
    <t>Additional Loans</t>
  </si>
  <si>
    <t>Cash Minimum Balance</t>
  </si>
  <si>
    <t>Per square foot</t>
  </si>
  <si>
    <t>raise to employes/year</t>
  </si>
  <si>
    <t>inflation rate</t>
  </si>
  <si>
    <t>Income Statement</t>
  </si>
  <si>
    <t>rentail income</t>
  </si>
  <si>
    <t>Monthly</t>
  </si>
  <si>
    <t>Term</t>
  </si>
  <si>
    <t>Interest for year</t>
  </si>
  <si>
    <t>Year</t>
  </si>
  <si>
    <t>Breakeven</t>
  </si>
  <si>
    <t>Sales</t>
  </si>
  <si>
    <t>Variable Costs</t>
  </si>
  <si>
    <t>CM</t>
  </si>
  <si>
    <t>Fixed</t>
  </si>
  <si>
    <t>Net</t>
  </si>
  <si>
    <t>CM/Room</t>
  </si>
  <si>
    <t>Breakeven Rooms</t>
  </si>
  <si>
    <t>Return on Equity</t>
  </si>
  <si>
    <t>Return on Assets</t>
  </si>
  <si>
    <t>Debt to Equity</t>
  </si>
  <si>
    <t>Ratios</t>
  </si>
  <si>
    <t>Retained Eqrnings</t>
  </si>
  <si>
    <t>Owners Equity</t>
  </si>
  <si>
    <t>Land</t>
  </si>
  <si>
    <t>Building</t>
  </si>
  <si>
    <t>Furnishings</t>
  </si>
  <si>
    <t>Building Depreciation</t>
  </si>
  <si>
    <t>Furnishing Depreciation</t>
  </si>
  <si>
    <t>Salavage Value</t>
  </si>
  <si>
    <t>WACC</t>
  </si>
  <si>
    <t>Beta</t>
  </si>
  <si>
    <t>Return on Risk Free Treasury Bills</t>
  </si>
  <si>
    <t>Return on S&amp;P</t>
  </si>
  <si>
    <t>Return on Equity/ CAPM</t>
  </si>
  <si>
    <t>Equity</t>
  </si>
  <si>
    <t>Tax Rate</t>
  </si>
  <si>
    <t>Percentage of Debt</t>
  </si>
  <si>
    <t>Percentage of Equity</t>
  </si>
  <si>
    <t>Marriott</t>
  </si>
  <si>
    <t>Hyatt</t>
  </si>
  <si>
    <t>Cost</t>
  </si>
  <si>
    <t>Down Payment</t>
  </si>
  <si>
    <t>FCF</t>
  </si>
  <si>
    <t>Cash from Operations</t>
  </si>
  <si>
    <t>Operating Income</t>
  </si>
  <si>
    <t>Less: Depreication</t>
  </si>
  <si>
    <t>Taxable Op Income</t>
  </si>
  <si>
    <t>Taxes on Operations</t>
  </si>
  <si>
    <t>Add back: Depreciation</t>
  </si>
  <si>
    <t>Captial Expenditures</t>
  </si>
  <si>
    <t>Working Capital Changes</t>
  </si>
  <si>
    <t>-</t>
  </si>
  <si>
    <t>Accounts Receivable</t>
  </si>
  <si>
    <t>+</t>
  </si>
  <si>
    <t>Accounts Payable - COGS</t>
  </si>
  <si>
    <t>Taxes Payable ON OPERATIONS ONLY</t>
  </si>
  <si>
    <t>Liquidation of Working Capital</t>
  </si>
  <si>
    <t>TOTAL FREE CASH FLOWS FROM OP</t>
  </si>
  <si>
    <t>PV OF FCF</t>
  </si>
  <si>
    <t>NPV</t>
  </si>
  <si>
    <t>IRR</t>
  </si>
  <si>
    <t>Operating Profit</t>
  </si>
  <si>
    <t>Sell Furnishings</t>
  </si>
  <si>
    <t>Tax on gains</t>
  </si>
  <si>
    <t>Unleaver Beta</t>
  </si>
  <si>
    <t>Releaver Beta</t>
  </si>
  <si>
    <t>New CAPM</t>
  </si>
  <si>
    <t>New Percentage of Debt</t>
  </si>
  <si>
    <t>New Percentage of Equity</t>
  </si>
  <si>
    <t>Choice Hotels International</t>
  </si>
  <si>
    <t>New WACC</t>
  </si>
  <si>
    <t>This means our company is doing good, that perhaps we bought it at at a good deal.</t>
  </si>
  <si>
    <t xml:space="preserve">By only having our mortgage and no other loans, raising our WACC is impossible.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</si>
</sst>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_(&quot;$&quot;* #,##0_);_(&quot;$&quot;* \(#,##0\);_(&quot;$&quot;* &quot;-&quot;??_);_(@_)"/>
    <numFmt numFmtId="167" formatCode="_(\$* #,##0.00_);_(\$* \(#,##0.00\);_(\$* \-??_);_(@_)"/>
    <numFmt numFmtId="168" formatCode="_(* #,##0_);_(* \(#,##0\);_(* &quot;-&quot;??_);_(@_)"/>
    <numFmt numFmtId="169" formatCode="_(\$* #,##0_);_(\$* \(#,##0\);_(\$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7" fontId="7" fillId="0" borderId="0"/>
    <xf numFmtId="0" fontId="7" fillId="0" borderId="0"/>
    <xf numFmtId="9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Border="1"/>
    <xf numFmtId="165" fontId="0" fillId="0" borderId="0" xfId="0" applyNumberFormat="1"/>
    <xf numFmtId="0" fontId="2" fillId="0" borderId="0" xfId="0" quotePrefix="1" applyFont="1" applyBorder="1" applyAlignment="1">
      <alignment horizontal="center"/>
    </xf>
    <xf numFmtId="9" fontId="0" fillId="0" borderId="0" xfId="0" applyNumberFormat="1"/>
    <xf numFmtId="43" fontId="0" fillId="0" borderId="0" xfId="1" applyFont="1"/>
    <xf numFmtId="165" fontId="0" fillId="0" borderId="0" xfId="0" applyNumberFormat="1" applyBorder="1"/>
    <xf numFmtId="1" fontId="0" fillId="0" borderId="0" xfId="0" applyNumberFormat="1" applyBorder="1"/>
    <xf numFmtId="166" fontId="0" fillId="0" borderId="0" xfId="2" applyNumberFormat="1" applyFont="1" applyAlignment="1">
      <alignment horizontal="center"/>
    </xf>
    <xf numFmtId="166" fontId="0" fillId="0" borderId="0" xfId="2" applyNumberFormat="1" applyFont="1"/>
    <xf numFmtId="166" fontId="0" fillId="0" borderId="1" xfId="2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9" fontId="0" fillId="0" borderId="0" xfId="3" applyFont="1"/>
    <xf numFmtId="9" fontId="0" fillId="0" borderId="0" xfId="0" applyNumberFormat="1" applyFill="1" applyBorder="1"/>
    <xf numFmtId="44" fontId="0" fillId="0" borderId="0" xfId="2" applyNumberFormat="1" applyFont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44" fontId="0" fillId="0" borderId="0" xfId="2" applyNumberFormat="1" applyFont="1" applyBorder="1" applyAlignment="1">
      <alignment horizontal="center"/>
    </xf>
    <xf numFmtId="166" fontId="0" fillId="0" borderId="0" xfId="2" applyNumberFormat="1" applyFont="1" applyFill="1" applyAlignment="1">
      <alignment horizontal="center"/>
    </xf>
    <xf numFmtId="0" fontId="0" fillId="0" borderId="0" xfId="0" applyFill="1"/>
    <xf numFmtId="44" fontId="0" fillId="0" borderId="0" xfId="2" applyFont="1" applyFill="1"/>
    <xf numFmtId="9" fontId="0" fillId="0" borderId="0" xfId="3" applyFont="1" applyFill="1"/>
    <xf numFmtId="164" fontId="0" fillId="0" borderId="0" xfId="3" applyNumberFormat="1" applyFont="1" applyFill="1"/>
    <xf numFmtId="10" fontId="0" fillId="0" borderId="0" xfId="0" applyNumberFormat="1" applyFill="1"/>
    <xf numFmtId="166" fontId="0" fillId="0" borderId="0" xfId="2" applyNumberFormat="1" applyFont="1" applyFill="1"/>
    <xf numFmtId="166" fontId="0" fillId="0" borderId="0" xfId="2" applyNumberFormat="1" applyFont="1" applyBorder="1"/>
    <xf numFmtId="0" fontId="6" fillId="0" borderId="0" xfId="4"/>
    <xf numFmtId="8" fontId="6" fillId="0" borderId="0" xfId="4" applyNumberFormat="1"/>
    <xf numFmtId="0" fontId="4" fillId="0" borderId="0" xfId="4" applyFont="1"/>
    <xf numFmtId="166" fontId="0" fillId="0" borderId="0" xfId="0" applyNumberFormat="1"/>
    <xf numFmtId="44" fontId="0" fillId="0" borderId="0" xfId="0" applyNumberFormat="1"/>
    <xf numFmtId="166" fontId="0" fillId="0" borderId="1" xfId="0" applyNumberFormat="1" applyBorder="1"/>
    <xf numFmtId="43" fontId="0" fillId="0" borderId="1" xfId="1" applyFont="1" applyBorder="1"/>
    <xf numFmtId="168" fontId="0" fillId="0" borderId="0" xfId="1" applyNumberFormat="1" applyFont="1"/>
    <xf numFmtId="0" fontId="0" fillId="0" borderId="0" xfId="0"/>
    <xf numFmtId="0" fontId="2" fillId="0" borderId="0" xfId="0" applyFont="1"/>
    <xf numFmtId="166" fontId="0" fillId="0" borderId="0" xfId="2" applyNumberFormat="1" applyFont="1" applyFill="1" applyAlignment="1">
      <alignment horizontal="center"/>
    </xf>
    <xf numFmtId="10" fontId="0" fillId="0" borderId="0" xfId="3" applyNumberFormat="1" applyFont="1"/>
    <xf numFmtId="2" fontId="0" fillId="0" borderId="0" xfId="0" applyNumberFormat="1"/>
    <xf numFmtId="166" fontId="6" fillId="0" borderId="0" xfId="2" applyNumberFormat="1" applyFont="1" applyBorder="1"/>
    <xf numFmtId="164" fontId="0" fillId="0" borderId="0" xfId="3" applyNumberFormat="1" applyFont="1"/>
    <xf numFmtId="44" fontId="0" fillId="0" borderId="0" xfId="2" applyNumberFormat="1" applyFont="1" applyFill="1" applyAlignment="1">
      <alignment horizontal="center"/>
    </xf>
    <xf numFmtId="9" fontId="6" fillId="0" borderId="0" xfId="3" applyFont="1"/>
    <xf numFmtId="0" fontId="7" fillId="0" borderId="0" xfId="6" applyBorder="1"/>
    <xf numFmtId="169" fontId="7" fillId="0" borderId="0" xfId="6" applyNumberFormat="1" applyBorder="1"/>
    <xf numFmtId="0" fontId="0" fillId="0" borderId="0" xfId="0" applyNumberFormat="1"/>
    <xf numFmtId="0" fontId="0" fillId="0" borderId="0" xfId="0" quotePrefix="1" applyFont="1" applyBorder="1" applyAlignment="1">
      <alignment horizontal="center"/>
    </xf>
    <xf numFmtId="0" fontId="3" fillId="0" borderId="0" xfId="0" applyFont="1" applyAlignment="1"/>
    <xf numFmtId="0" fontId="0" fillId="0" borderId="0" xfId="0" applyFont="1"/>
    <xf numFmtId="43" fontId="0" fillId="0" borderId="0" xfId="1" applyNumberFormat="1" applyFont="1"/>
    <xf numFmtId="164" fontId="6" fillId="0" borderId="0" xfId="3" applyNumberFormat="1" applyFont="1"/>
    <xf numFmtId="10" fontId="6" fillId="0" borderId="0" xfId="3" applyNumberFormat="1" applyFont="1"/>
    <xf numFmtId="0" fontId="3" fillId="0" borderId="0" xfId="0" applyFont="1" applyAlignment="1">
      <alignment horizontal="center"/>
    </xf>
  </cellXfs>
  <cellStyles count="12">
    <cellStyle name="Comma" xfId="1" builtinId="3"/>
    <cellStyle name="Currency" xfId="2" builtinId="4"/>
    <cellStyle name="Currency 2" xfId="5"/>
    <cellStyle name="Excel Built-in Normal" xfId="6"/>
    <cellStyle name="Followed Hyperlink" xfId="9" builtinId="9" hidden="1"/>
    <cellStyle name="Followed Hyperlink" xfId="11" builtinId="9" hidden="1"/>
    <cellStyle name="Hyperlink" xfId="8" builtinId="8" hidden="1"/>
    <cellStyle name="Hyperlink" xfId="10" builtinId="8" hidden="1"/>
    <cellStyle name="Normal" xfId="0" builtinId="0"/>
    <cellStyle name="Normal 2" xfId="4"/>
    <cellStyle name="Percent" xfId="3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abSelected="1" zoomScale="70" zoomScaleNormal="70" workbookViewId="0">
      <selection activeCell="C1" sqref="C1"/>
    </sheetView>
  </sheetViews>
  <sheetFormatPr defaultColWidth="8.85546875" defaultRowHeight="15" x14ac:dyDescent="0.25"/>
  <cols>
    <col min="1" max="1" width="4.7109375" customWidth="1"/>
    <col min="2" max="2" width="26" customWidth="1"/>
    <col min="3" max="3" width="15.7109375" customWidth="1"/>
    <col min="4" max="4" width="16.140625" customWidth="1"/>
    <col min="5" max="5" width="16.28515625" customWidth="1"/>
    <col min="6" max="11" width="15.140625" customWidth="1"/>
    <col min="12" max="13" width="15.140625" style="39" customWidth="1"/>
    <col min="15" max="15" width="14.85546875" customWidth="1"/>
    <col min="16" max="16" width="23.5703125" customWidth="1"/>
  </cols>
  <sheetData>
    <row r="1" spans="1:18" ht="21" x14ac:dyDescent="0.35">
      <c r="A1" s="17" t="s">
        <v>46</v>
      </c>
      <c r="F1" s="39"/>
      <c r="G1" s="39"/>
      <c r="H1" s="39"/>
      <c r="I1" s="39"/>
      <c r="J1" s="39"/>
      <c r="K1" s="39"/>
      <c r="O1" s="1">
        <v>0.03</v>
      </c>
      <c r="P1" s="1" t="s">
        <v>65</v>
      </c>
    </row>
    <row r="2" spans="1:18" ht="18.75" x14ac:dyDescent="0.3">
      <c r="A2" s="16" t="s">
        <v>45</v>
      </c>
    </row>
    <row r="3" spans="1:18" x14ac:dyDescent="0.25">
      <c r="A3" s="1"/>
    </row>
    <row r="4" spans="1:18" x14ac:dyDescent="0.25">
      <c r="A4" s="6" t="s">
        <v>6</v>
      </c>
      <c r="D4" s="19">
        <v>0.61799999999999999</v>
      </c>
      <c r="E4" s="19">
        <v>0.61799999999999999</v>
      </c>
      <c r="F4" s="19">
        <v>0.61799999999999999</v>
      </c>
      <c r="G4" s="19">
        <v>0.61799999999999999</v>
      </c>
      <c r="H4" s="19">
        <v>0.61799999999999999</v>
      </c>
      <c r="I4" s="19">
        <v>0.61799999999999999</v>
      </c>
      <c r="J4" s="19">
        <v>0.61799999999999999</v>
      </c>
      <c r="K4" s="19">
        <v>0.61799999999999999</v>
      </c>
      <c r="L4" s="19">
        <v>0.61799999999999999</v>
      </c>
      <c r="M4" s="19">
        <v>0.61799999999999999</v>
      </c>
      <c r="N4" s="6"/>
    </row>
    <row r="5" spans="1:18" x14ac:dyDescent="0.25">
      <c r="A5" s="6" t="s">
        <v>48</v>
      </c>
      <c r="D5" s="11">
        <f>Supplimental!B5</f>
        <v>130</v>
      </c>
      <c r="E5" s="11">
        <f>D5*(1+$O$5)</f>
        <v>133.9</v>
      </c>
      <c r="F5" s="11">
        <f>E5*(1+$O$5)</f>
        <v>137.917</v>
      </c>
      <c r="G5" s="11">
        <f t="shared" ref="G5:J5" si="0">F5*(1+$O$5)</f>
        <v>142.05450999999999</v>
      </c>
      <c r="H5" s="11">
        <f t="shared" si="0"/>
        <v>146.31614529999999</v>
      </c>
      <c r="I5" s="11">
        <f t="shared" si="0"/>
        <v>150.70562965899998</v>
      </c>
      <c r="J5" s="11">
        <f t="shared" si="0"/>
        <v>155.22679854876998</v>
      </c>
      <c r="K5" s="11">
        <f>J5*(1+$O$5)</f>
        <v>159.88360250523309</v>
      </c>
      <c r="L5" s="11">
        <f t="shared" ref="L5" si="1">K5*(1+$O$5)</f>
        <v>164.68011058039008</v>
      </c>
      <c r="M5" s="11">
        <f t="shared" ref="M5" si="2">L5*(1+$O$5)</f>
        <v>169.62051389780177</v>
      </c>
      <c r="O5" s="26">
        <f>O1</f>
        <v>0.03</v>
      </c>
      <c r="P5" t="s">
        <v>47</v>
      </c>
    </row>
    <row r="6" spans="1:18" x14ac:dyDescent="0.25">
      <c r="A6" s="6" t="s">
        <v>25</v>
      </c>
      <c r="D6" s="6">
        <v>26</v>
      </c>
      <c r="E6" s="6">
        <v>26</v>
      </c>
      <c r="F6" s="6">
        <v>26</v>
      </c>
      <c r="G6" s="6">
        <v>26</v>
      </c>
      <c r="H6" s="6">
        <v>26</v>
      </c>
      <c r="I6" s="6">
        <v>26</v>
      </c>
      <c r="J6" s="6">
        <v>26</v>
      </c>
      <c r="K6" s="6">
        <v>26</v>
      </c>
      <c r="L6" s="6">
        <v>26</v>
      </c>
      <c r="M6" s="6">
        <v>26</v>
      </c>
    </row>
    <row r="7" spans="1:18" x14ac:dyDescent="0.25">
      <c r="A7" s="6" t="s">
        <v>52</v>
      </c>
      <c r="D7" s="12">
        <f>D6*D4*30</f>
        <v>482.04</v>
      </c>
      <c r="E7" s="12">
        <f>E6*E4*30</f>
        <v>482.04</v>
      </c>
      <c r="F7" s="12">
        <f>F6*F4*30</f>
        <v>482.04</v>
      </c>
      <c r="G7" s="12">
        <f t="shared" ref="G7:M7" si="3">G6*G4*30</f>
        <v>482.04</v>
      </c>
      <c r="H7" s="12">
        <f t="shared" si="3"/>
        <v>482.04</v>
      </c>
      <c r="I7" s="12">
        <f t="shared" si="3"/>
        <v>482.04</v>
      </c>
      <c r="J7" s="12">
        <f t="shared" si="3"/>
        <v>482.04</v>
      </c>
      <c r="K7" s="12">
        <f t="shared" si="3"/>
        <v>482.04</v>
      </c>
      <c r="L7" s="12">
        <f t="shared" si="3"/>
        <v>482.04</v>
      </c>
      <c r="M7" s="12">
        <f t="shared" si="3"/>
        <v>482.04</v>
      </c>
    </row>
    <row r="10" spans="1:18" ht="18.75" x14ac:dyDescent="0.3">
      <c r="B10" s="52"/>
      <c r="C10" s="52"/>
      <c r="D10" s="57" t="s">
        <v>66</v>
      </c>
      <c r="E10" s="57"/>
      <c r="F10" s="57"/>
      <c r="G10" s="57"/>
      <c r="H10" s="57"/>
      <c r="I10" s="57"/>
      <c r="J10" s="57"/>
      <c r="K10" s="57"/>
      <c r="L10" s="57"/>
      <c r="M10" s="57"/>
    </row>
    <row r="11" spans="1:18" s="39" customFormat="1" ht="18.75" x14ac:dyDescent="0.3">
      <c r="A11" s="5"/>
      <c r="B11" s="4"/>
      <c r="C11" s="51">
        <v>0</v>
      </c>
      <c r="D11" s="51">
        <v>1</v>
      </c>
      <c r="E11" s="51">
        <v>2</v>
      </c>
      <c r="F11" s="51">
        <v>3</v>
      </c>
      <c r="G11" s="51">
        <v>4</v>
      </c>
      <c r="H11" s="51">
        <v>5</v>
      </c>
      <c r="I11" s="51">
        <v>6</v>
      </c>
      <c r="J11" s="51">
        <v>7</v>
      </c>
      <c r="K11" s="51">
        <v>8</v>
      </c>
      <c r="L11" s="51">
        <v>9</v>
      </c>
      <c r="M11" s="51">
        <v>10</v>
      </c>
    </row>
    <row r="12" spans="1:18" x14ac:dyDescent="0.25">
      <c r="D12" s="2">
        <v>2012</v>
      </c>
      <c r="E12" s="2">
        <v>2013</v>
      </c>
      <c r="F12" s="2">
        <v>2014</v>
      </c>
      <c r="G12" s="2">
        <v>2015</v>
      </c>
      <c r="H12" s="2">
        <v>2016</v>
      </c>
      <c r="I12" s="2">
        <v>2017</v>
      </c>
      <c r="J12" s="2">
        <v>2018</v>
      </c>
      <c r="K12" s="2">
        <v>2019</v>
      </c>
      <c r="L12" s="2">
        <v>2020</v>
      </c>
      <c r="M12" s="2">
        <v>2021</v>
      </c>
    </row>
    <row r="13" spans="1:18" x14ac:dyDescent="0.25">
      <c r="A13" t="s">
        <v>27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8" x14ac:dyDescent="0.25">
      <c r="B14" t="s">
        <v>0</v>
      </c>
      <c r="D14" s="13">
        <f>D7*12*D5</f>
        <v>751982.4</v>
      </c>
      <c r="E14" s="13">
        <f t="shared" ref="E14:M14" si="4">E7*12*E5</f>
        <v>774541.87200000009</v>
      </c>
      <c r="F14" s="13">
        <f t="shared" si="4"/>
        <v>797778.12816000008</v>
      </c>
      <c r="G14" s="13">
        <f t="shared" si="4"/>
        <v>821711.47200479999</v>
      </c>
      <c r="H14" s="13">
        <f t="shared" si="4"/>
        <v>846362.81616494397</v>
      </c>
      <c r="I14" s="13">
        <f t="shared" si="4"/>
        <v>871753.70064989233</v>
      </c>
      <c r="J14" s="13">
        <f>J7*12*J5</f>
        <v>897906.31166938902</v>
      </c>
      <c r="K14" s="13">
        <f t="shared" si="4"/>
        <v>924843.50101947074</v>
      </c>
      <c r="L14" s="13">
        <f t="shared" si="4"/>
        <v>952588.80605005485</v>
      </c>
      <c r="M14" s="13">
        <f t="shared" si="4"/>
        <v>981166.47023155645</v>
      </c>
    </row>
    <row r="15" spans="1:18" x14ac:dyDescent="0.25">
      <c r="B15" t="s">
        <v>30</v>
      </c>
      <c r="D15" s="13">
        <f>D7*$Q$15*$O$15</f>
        <v>1205.1000000000001</v>
      </c>
      <c r="E15" s="13">
        <f>E7*$Q$15*$O$15*(1+$O$1)</f>
        <v>1241.2530000000002</v>
      </c>
      <c r="F15" s="13">
        <f t="shared" ref="F15:M15" si="5">F7*$Q$15*$O$15*(1+$O$1)</f>
        <v>1241.2530000000002</v>
      </c>
      <c r="G15" s="13">
        <f t="shared" si="5"/>
        <v>1241.2530000000002</v>
      </c>
      <c r="H15" s="13">
        <f t="shared" si="5"/>
        <v>1241.2530000000002</v>
      </c>
      <c r="I15" s="13">
        <f t="shared" si="5"/>
        <v>1241.2530000000002</v>
      </c>
      <c r="J15" s="13">
        <f t="shared" si="5"/>
        <v>1241.2530000000002</v>
      </c>
      <c r="K15" s="13">
        <f t="shared" si="5"/>
        <v>1241.2530000000002</v>
      </c>
      <c r="L15" s="13">
        <f t="shared" si="5"/>
        <v>1241.2530000000002</v>
      </c>
      <c r="M15" s="13">
        <f t="shared" si="5"/>
        <v>1241.2530000000002</v>
      </c>
      <c r="O15" s="14">
        <v>25</v>
      </c>
      <c r="P15" t="s">
        <v>44</v>
      </c>
      <c r="Q15" s="18">
        <v>0.1</v>
      </c>
      <c r="R15" t="s">
        <v>49</v>
      </c>
    </row>
    <row r="16" spans="1:18" x14ac:dyDescent="0.25"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8" x14ac:dyDescent="0.25">
      <c r="A17" t="s">
        <v>56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8" x14ac:dyDescent="0.25">
      <c r="B18" t="s">
        <v>29</v>
      </c>
      <c r="D18" s="13">
        <f>$O$18</f>
        <v>50000</v>
      </c>
      <c r="E18" s="13">
        <f>$O$18</f>
        <v>50000</v>
      </c>
      <c r="F18" s="13">
        <f>$O$18</f>
        <v>50000</v>
      </c>
      <c r="G18" s="13">
        <f t="shared" ref="G18:M18" si="6">$O$18</f>
        <v>50000</v>
      </c>
      <c r="H18" s="13">
        <f t="shared" si="6"/>
        <v>50000</v>
      </c>
      <c r="I18" s="13">
        <f t="shared" si="6"/>
        <v>50000</v>
      </c>
      <c r="J18" s="13">
        <f t="shared" si="6"/>
        <v>50000</v>
      </c>
      <c r="K18" s="13">
        <f t="shared" si="6"/>
        <v>50000</v>
      </c>
      <c r="L18" s="13">
        <f t="shared" si="6"/>
        <v>50000</v>
      </c>
      <c r="M18" s="13">
        <f t="shared" si="6"/>
        <v>50000</v>
      </c>
      <c r="O18" s="7">
        <v>50000</v>
      </c>
      <c r="P18" t="s">
        <v>50</v>
      </c>
    </row>
    <row r="19" spans="1:18" x14ac:dyDescent="0.25">
      <c r="B19" t="s">
        <v>28</v>
      </c>
      <c r="D19" s="13">
        <f>Supplimental!$D$19+Supplimental!$D$20</f>
        <v>120960</v>
      </c>
      <c r="E19" s="13">
        <f>D19*(1+$O$19)</f>
        <v>124588.8</v>
      </c>
      <c r="F19" s="13">
        <f>E19*(1+$O$19)</f>
        <v>128326.46400000001</v>
      </c>
      <c r="G19" s="13">
        <f t="shared" ref="G19:K19" si="7">F19*(1+$O$19)</f>
        <v>132176.25792</v>
      </c>
      <c r="H19" s="13">
        <f t="shared" si="7"/>
        <v>136141.54565760001</v>
      </c>
      <c r="I19" s="13">
        <f t="shared" si="7"/>
        <v>140225.79202732802</v>
      </c>
      <c r="J19" s="13">
        <f t="shared" si="7"/>
        <v>144432.56578814785</v>
      </c>
      <c r="K19" s="13">
        <f t="shared" si="7"/>
        <v>148765.54276179228</v>
      </c>
      <c r="L19" s="13">
        <f t="shared" ref="L19" si="8">K19*(1+$O$19)</f>
        <v>153228.50904464605</v>
      </c>
      <c r="M19" s="13">
        <f t="shared" ref="M19" si="9">L19*(1+$O$19)</f>
        <v>157825.36431598544</v>
      </c>
      <c r="O19" s="26">
        <f>O1</f>
        <v>0.03</v>
      </c>
      <c r="P19" t="s">
        <v>64</v>
      </c>
    </row>
    <row r="20" spans="1:18" x14ac:dyDescent="0.25">
      <c r="B20" t="s">
        <v>1</v>
      </c>
      <c r="D20" s="13">
        <f>D14*$O$20</f>
        <v>45118.944000000003</v>
      </c>
      <c r="E20" s="13">
        <f t="shared" ref="E20:M20" si="10">E14*$O$20</f>
        <v>46472.512320000002</v>
      </c>
      <c r="F20" s="13">
        <f t="shared" si="10"/>
        <v>47866.687689600003</v>
      </c>
      <c r="G20" s="13">
        <f t="shared" si="10"/>
        <v>49302.688320287998</v>
      </c>
      <c r="H20" s="13">
        <f t="shared" si="10"/>
        <v>50781.768969896635</v>
      </c>
      <c r="I20" s="13">
        <f t="shared" si="10"/>
        <v>52305.222038993539</v>
      </c>
      <c r="J20" s="13">
        <f t="shared" si="10"/>
        <v>53874.378700163339</v>
      </c>
      <c r="K20" s="13">
        <f t="shared" si="10"/>
        <v>55490.610061168241</v>
      </c>
      <c r="L20" s="13">
        <f t="shared" si="10"/>
        <v>57155.328363003289</v>
      </c>
      <c r="M20" s="13">
        <f t="shared" si="10"/>
        <v>58869.988213893383</v>
      </c>
      <c r="O20" s="24">
        <v>0.06</v>
      </c>
      <c r="P20" t="s">
        <v>53</v>
      </c>
    </row>
    <row r="21" spans="1:18" x14ac:dyDescent="0.25">
      <c r="B21" t="s">
        <v>2</v>
      </c>
      <c r="D21" s="13">
        <f>$D$6*$O$21</f>
        <v>15600</v>
      </c>
      <c r="E21" s="13">
        <f>D21*(1+$O$1)</f>
        <v>16068</v>
      </c>
      <c r="F21" s="13">
        <f t="shared" ref="F21:K21" si="11">E21*(1+$O$1)</f>
        <v>16550.04</v>
      </c>
      <c r="G21" s="13">
        <f t="shared" si="11"/>
        <v>17046.5412</v>
      </c>
      <c r="H21" s="13">
        <f t="shared" si="11"/>
        <v>17557.937436</v>
      </c>
      <c r="I21" s="13">
        <f t="shared" si="11"/>
        <v>18084.675559080002</v>
      </c>
      <c r="J21" s="13">
        <f t="shared" si="11"/>
        <v>18627.215825852403</v>
      </c>
      <c r="K21" s="13">
        <f t="shared" si="11"/>
        <v>19186.032300627976</v>
      </c>
      <c r="L21" s="13">
        <f t="shared" ref="L21:L22" si="12">K21*(1+$O$1)</f>
        <v>19761.613269646816</v>
      </c>
      <c r="M21" s="13">
        <f t="shared" ref="M21:M22" si="13">L21*(1+$O$1)</f>
        <v>20354.461667736221</v>
      </c>
      <c r="O21" s="7">
        <v>600</v>
      </c>
      <c r="P21" t="s">
        <v>32</v>
      </c>
      <c r="R21" s="24"/>
    </row>
    <row r="22" spans="1:18" x14ac:dyDescent="0.25">
      <c r="B22" t="s">
        <v>3</v>
      </c>
      <c r="D22" s="13">
        <f>$O$22*Supplimental!$B$13</f>
        <v>22713.69</v>
      </c>
      <c r="E22" s="13">
        <f>D22*(1+$O$1)</f>
        <v>23395.100699999999</v>
      </c>
      <c r="F22" s="13">
        <f t="shared" ref="F22:K22" si="14">E22*(1+$O$1)</f>
        <v>24096.953720999998</v>
      </c>
      <c r="G22" s="13">
        <f t="shared" si="14"/>
        <v>24819.86233263</v>
      </c>
      <c r="H22" s="13">
        <f t="shared" si="14"/>
        <v>25564.458202608901</v>
      </c>
      <c r="I22" s="13">
        <f t="shared" si="14"/>
        <v>26331.391948687167</v>
      </c>
      <c r="J22" s="13">
        <f t="shared" si="14"/>
        <v>27121.333707147784</v>
      </c>
      <c r="K22" s="13">
        <f t="shared" si="14"/>
        <v>27934.973718362216</v>
      </c>
      <c r="L22" s="13">
        <f t="shared" si="12"/>
        <v>28773.022929913084</v>
      </c>
      <c r="M22" s="13">
        <f t="shared" si="13"/>
        <v>29636.213617810477</v>
      </c>
      <c r="O22" s="25">
        <v>1.41</v>
      </c>
      <c r="P22" t="s">
        <v>63</v>
      </c>
      <c r="R22" s="24"/>
    </row>
    <row r="23" spans="1:18" s="39" customFormat="1" x14ac:dyDescent="0.25">
      <c r="A23" s="39" t="s">
        <v>124</v>
      </c>
      <c r="D23" s="13">
        <f>D14+D15-SUM(D18:D22)</f>
        <v>498794.86599999998</v>
      </c>
      <c r="E23" s="13">
        <f t="shared" ref="E23:M23" si="15">E14+E15-SUM(E18:E22)</f>
        <v>515258.71198000014</v>
      </c>
      <c r="F23" s="13">
        <f t="shared" si="15"/>
        <v>532179.2357494001</v>
      </c>
      <c r="G23" s="13">
        <f t="shared" si="15"/>
        <v>549607.37523188198</v>
      </c>
      <c r="H23" s="13">
        <f t="shared" si="15"/>
        <v>567558.35889883852</v>
      </c>
      <c r="I23" s="13">
        <f t="shared" si="15"/>
        <v>586047.87207580358</v>
      </c>
      <c r="J23" s="13">
        <f t="shared" si="15"/>
        <v>605092.07064807764</v>
      </c>
      <c r="K23" s="13">
        <f t="shared" si="15"/>
        <v>624707.59517752007</v>
      </c>
      <c r="L23" s="13">
        <f t="shared" si="15"/>
        <v>644911.58544284571</v>
      </c>
      <c r="M23" s="13">
        <f t="shared" si="15"/>
        <v>665721.69541613094</v>
      </c>
      <c r="O23" s="25"/>
      <c r="R23" s="24"/>
    </row>
    <row r="24" spans="1:18" x14ac:dyDescent="0.25">
      <c r="D24" s="13"/>
      <c r="E24" s="13"/>
      <c r="F24" s="13"/>
      <c r="G24" s="13"/>
      <c r="H24" s="13"/>
      <c r="I24" s="13"/>
      <c r="J24" s="13"/>
      <c r="K24" s="13"/>
      <c r="L24" s="13"/>
      <c r="M24" s="13"/>
      <c r="O24" s="24"/>
    </row>
    <row r="25" spans="1:18" x14ac:dyDescent="0.25">
      <c r="A25" t="s">
        <v>57</v>
      </c>
      <c r="D25" s="13">
        <f>Mortgage!C15</f>
        <v>232491.91472575313</v>
      </c>
      <c r="E25" s="13">
        <f>Mortgage!C16</f>
        <v>229800.83632426764</v>
      </c>
      <c r="F25" s="13">
        <f>Mortgage!C17</f>
        <v>226929.53141835061</v>
      </c>
      <c r="G25" s="13">
        <f>Mortgage!C18</f>
        <v>223865.92990522034</v>
      </c>
      <c r="H25" s="13">
        <f>Mortgage!C19</f>
        <v>220597.15332495794</v>
      </c>
      <c r="I25" s="13">
        <f>Mortgage!C20</f>
        <v>217109.4607233328</v>
      </c>
      <c r="J25" s="13">
        <f>Mortgage!C21</f>
        <v>213388.19088896128</v>
      </c>
      <c r="K25" s="13">
        <f>Mortgage!C22</f>
        <v>209417.70072198065</v>
      </c>
      <c r="L25" s="13">
        <f>Mortgage!C23</f>
        <v>205181.2994751595</v>
      </c>
      <c r="M25" s="13">
        <f>Mortgage!C24</f>
        <v>200661.17859101284</v>
      </c>
    </row>
    <row r="26" spans="1:18" x14ac:dyDescent="0.25">
      <c r="A26" t="s">
        <v>58</v>
      </c>
      <c r="D26" s="13">
        <f t="shared" ref="D26:M26" si="16">D54*$O$26</f>
        <v>0</v>
      </c>
      <c r="E26" s="13">
        <f t="shared" si="16"/>
        <v>0</v>
      </c>
      <c r="F26" s="13">
        <f t="shared" si="16"/>
        <v>0</v>
      </c>
      <c r="G26" s="13">
        <f t="shared" si="16"/>
        <v>0</v>
      </c>
      <c r="H26" s="13">
        <f t="shared" si="16"/>
        <v>0</v>
      </c>
      <c r="I26" s="13">
        <f t="shared" si="16"/>
        <v>0</v>
      </c>
      <c r="J26" s="13">
        <f t="shared" si="16"/>
        <v>0</v>
      </c>
      <c r="K26" s="13">
        <f t="shared" si="16"/>
        <v>0</v>
      </c>
      <c r="L26" s="13">
        <f t="shared" si="16"/>
        <v>0</v>
      </c>
      <c r="M26" s="13">
        <f t="shared" si="16"/>
        <v>0</v>
      </c>
      <c r="O26" s="27">
        <v>5.7000000000000002E-2</v>
      </c>
    </row>
    <row r="27" spans="1:18" s="39" customFormat="1" x14ac:dyDescent="0.25">
      <c r="A27" s="39" t="s">
        <v>5</v>
      </c>
      <c r="D27" s="13">
        <f>$D$43*$O$27</f>
        <v>12663</v>
      </c>
      <c r="E27" s="13">
        <f>D27*(1+$O$1)</f>
        <v>13042.890000000001</v>
      </c>
      <c r="F27" s="13">
        <f t="shared" ref="F27" si="17">E27*(1+$O$1)</f>
        <v>13434.176700000002</v>
      </c>
      <c r="G27" s="13">
        <f t="shared" ref="G27" si="18">F27*(1+$O$1)</f>
        <v>13837.202001000001</v>
      </c>
      <c r="H27" s="13">
        <f t="shared" ref="H27" si="19">G27*(1+$O$1)</f>
        <v>14252.318061030002</v>
      </c>
      <c r="I27" s="13">
        <f t="shared" ref="I27" si="20">H27*(1+$O$1)</f>
        <v>14679.887602860903</v>
      </c>
      <c r="J27" s="13">
        <f t="shared" ref="J27" si="21">I27*(1+$O$1)</f>
        <v>15120.284230946731</v>
      </c>
      <c r="K27" s="13">
        <f t="shared" ref="K27" si="22">J27*(1+$O$1)</f>
        <v>15573.892757875134</v>
      </c>
      <c r="L27" s="13">
        <f t="shared" ref="L27" si="23">K27*(1+$O$1)</f>
        <v>16041.109540611387</v>
      </c>
      <c r="M27" s="13">
        <f t="shared" ref="M27" si="24">L27*(1+$O$1)</f>
        <v>16522.342826829728</v>
      </c>
      <c r="O27" s="28">
        <v>4.1999999999999997E-3</v>
      </c>
      <c r="P27" s="39" t="s">
        <v>39</v>
      </c>
    </row>
    <row r="28" spans="1:18" s="39" customFormat="1" x14ac:dyDescent="0.25">
      <c r="A28" s="39" t="s">
        <v>90</v>
      </c>
      <c r="D28" s="13">
        <f>(D44-(D44*$O$28))/5</f>
        <v>24700</v>
      </c>
      <c r="E28" s="13">
        <f t="shared" ref="E28:M28" si="25">(E44-(E44*$O$28))/5</f>
        <v>24700</v>
      </c>
      <c r="F28" s="13">
        <f t="shared" si="25"/>
        <v>24700</v>
      </c>
      <c r="G28" s="13">
        <f t="shared" si="25"/>
        <v>24700</v>
      </c>
      <c r="H28" s="13">
        <f t="shared" si="25"/>
        <v>24700</v>
      </c>
      <c r="I28" s="13">
        <f t="shared" si="25"/>
        <v>28634.069635209995</v>
      </c>
      <c r="J28" s="13">
        <f t="shared" si="25"/>
        <v>28634.069635209995</v>
      </c>
      <c r="K28" s="13">
        <f t="shared" si="25"/>
        <v>28634.069635209995</v>
      </c>
      <c r="L28" s="13">
        <f t="shared" si="25"/>
        <v>28634.069635209995</v>
      </c>
      <c r="M28" s="13">
        <f t="shared" si="25"/>
        <v>28634.069635209995</v>
      </c>
      <c r="O28" s="26">
        <v>0.05</v>
      </c>
      <c r="P28" s="39" t="s">
        <v>91</v>
      </c>
    </row>
    <row r="29" spans="1:18" x14ac:dyDescent="0.25">
      <c r="A29" t="s">
        <v>89</v>
      </c>
      <c r="D29" s="15">
        <f t="shared" ref="D29:M29" si="26">$O$29</f>
        <v>100500</v>
      </c>
      <c r="E29" s="15">
        <f t="shared" si="26"/>
        <v>100500</v>
      </c>
      <c r="F29" s="15">
        <f t="shared" si="26"/>
        <v>100500</v>
      </c>
      <c r="G29" s="15">
        <f t="shared" si="26"/>
        <v>100500</v>
      </c>
      <c r="H29" s="15">
        <f t="shared" si="26"/>
        <v>100500</v>
      </c>
      <c r="I29" s="15">
        <f t="shared" si="26"/>
        <v>100500</v>
      </c>
      <c r="J29" s="15">
        <f t="shared" si="26"/>
        <v>100500</v>
      </c>
      <c r="K29" s="15">
        <f t="shared" si="26"/>
        <v>100500</v>
      </c>
      <c r="L29" s="15">
        <f t="shared" si="26"/>
        <v>100500</v>
      </c>
      <c r="M29" s="15">
        <f t="shared" si="26"/>
        <v>100500</v>
      </c>
      <c r="O29" s="21">
        <f>$D$43/30</f>
        <v>100500</v>
      </c>
      <c r="P29" t="s">
        <v>31</v>
      </c>
    </row>
    <row r="30" spans="1:18" ht="9.75" customHeight="1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O30" s="22"/>
    </row>
    <row r="31" spans="1:18" x14ac:dyDescent="0.25">
      <c r="A31" t="s">
        <v>4</v>
      </c>
      <c r="D31" s="13">
        <f>D23-SUM(D25:D29)</f>
        <v>128439.95127424685</v>
      </c>
      <c r="E31" s="13">
        <f t="shared" ref="E31:M31" si="27">E23-SUM(E25:E29)</f>
        <v>147214.98565573245</v>
      </c>
      <c r="F31" s="13">
        <f t="shared" si="27"/>
        <v>166615.52763104951</v>
      </c>
      <c r="G31" s="13">
        <f t="shared" si="27"/>
        <v>186704.24332566164</v>
      </c>
      <c r="H31" s="13">
        <f t="shared" si="27"/>
        <v>207508.88751285058</v>
      </c>
      <c r="I31" s="13">
        <f t="shared" si="27"/>
        <v>225124.45411439985</v>
      </c>
      <c r="J31" s="13">
        <f t="shared" si="27"/>
        <v>247449.52589295962</v>
      </c>
      <c r="K31" s="13">
        <f t="shared" si="27"/>
        <v>270581.93206245429</v>
      </c>
      <c r="L31" s="13">
        <f t="shared" si="27"/>
        <v>294555.10679186485</v>
      </c>
      <c r="M31" s="13">
        <f t="shared" si="27"/>
        <v>319404.10436307837</v>
      </c>
    </row>
    <row r="32" spans="1:18" x14ac:dyDescent="0.25"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6" x14ac:dyDescent="0.25">
      <c r="A33" t="s">
        <v>42</v>
      </c>
      <c r="D33" s="15">
        <f t="shared" ref="D33:M33" si="28">IF(D31&gt;0,D31*$O$33,0)</f>
        <v>44953.982945986398</v>
      </c>
      <c r="E33" s="15">
        <f t="shared" si="28"/>
        <v>51525.244979506359</v>
      </c>
      <c r="F33" s="15">
        <f t="shared" si="28"/>
        <v>58315.434670867326</v>
      </c>
      <c r="G33" s="15">
        <f t="shared" si="28"/>
        <v>65346.485163981568</v>
      </c>
      <c r="H33" s="15">
        <f t="shared" si="28"/>
        <v>72628.110629497693</v>
      </c>
      <c r="I33" s="15">
        <f t="shared" si="28"/>
        <v>78793.558940039948</v>
      </c>
      <c r="J33" s="15">
        <f t="shared" si="28"/>
        <v>86607.334062535854</v>
      </c>
      <c r="K33" s="15">
        <f t="shared" si="28"/>
        <v>94703.676221859001</v>
      </c>
      <c r="L33" s="15">
        <f t="shared" si="28"/>
        <v>103094.28737715269</v>
      </c>
      <c r="M33" s="15">
        <f t="shared" si="28"/>
        <v>111791.43652707743</v>
      </c>
      <c r="O33" s="9">
        <v>0.35</v>
      </c>
      <c r="P33" t="s">
        <v>43</v>
      </c>
    </row>
    <row r="34" spans="1:16" x14ac:dyDescent="0.25">
      <c r="D34" s="20"/>
      <c r="E34" s="20"/>
      <c r="F34" s="20"/>
      <c r="G34" s="20"/>
      <c r="H34" s="20"/>
      <c r="I34" s="20"/>
      <c r="J34" s="20"/>
      <c r="K34" s="20"/>
      <c r="L34" s="20"/>
      <c r="M34" s="20"/>
      <c r="O34" s="9"/>
    </row>
    <row r="35" spans="1:16" x14ac:dyDescent="0.25">
      <c r="A35" t="s">
        <v>59</v>
      </c>
      <c r="D35" s="13">
        <f>D31-D33</f>
        <v>83485.968328260453</v>
      </c>
      <c r="E35" s="13">
        <f t="shared" ref="E35:M35" si="29">E31-E33</f>
        <v>95689.740676226094</v>
      </c>
      <c r="F35" s="13">
        <f t="shared" si="29"/>
        <v>108300.09296018218</v>
      </c>
      <c r="G35" s="13">
        <f t="shared" si="29"/>
        <v>121357.75816168007</v>
      </c>
      <c r="H35" s="13">
        <f t="shared" si="29"/>
        <v>134880.7768833529</v>
      </c>
      <c r="I35" s="13">
        <f t="shared" si="29"/>
        <v>146330.8951743599</v>
      </c>
      <c r="J35" s="13">
        <f t="shared" si="29"/>
        <v>160842.19183042378</v>
      </c>
      <c r="K35" s="13">
        <f t="shared" si="29"/>
        <v>175878.25584059529</v>
      </c>
      <c r="L35" s="13">
        <f t="shared" si="29"/>
        <v>191460.81941471214</v>
      </c>
      <c r="M35" s="13">
        <f t="shared" si="29"/>
        <v>207612.66783600094</v>
      </c>
    </row>
    <row r="36" spans="1:16" x14ac:dyDescent="0.25"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6" ht="18.75" x14ac:dyDescent="0.3">
      <c r="B37" s="5"/>
      <c r="C37" s="5"/>
      <c r="D37" s="57" t="s">
        <v>15</v>
      </c>
      <c r="E37" s="57"/>
      <c r="F37" s="57"/>
      <c r="G37" s="57"/>
      <c r="H37" s="57"/>
      <c r="I37" s="57"/>
      <c r="J37" s="57"/>
      <c r="K37" s="57"/>
      <c r="L37" s="57"/>
      <c r="M37" s="57"/>
    </row>
    <row r="38" spans="1:16" x14ac:dyDescent="0.25">
      <c r="A38" s="1" t="s">
        <v>8</v>
      </c>
      <c r="D38" s="13"/>
      <c r="E38" s="13"/>
      <c r="F38" s="13"/>
      <c r="G38" s="13"/>
      <c r="H38" s="13"/>
      <c r="I38" s="13"/>
      <c r="J38" s="13"/>
      <c r="K38" s="13"/>
      <c r="L38" s="41"/>
      <c r="M38" s="41"/>
    </row>
    <row r="39" spans="1:16" x14ac:dyDescent="0.25">
      <c r="A39" s="1"/>
      <c r="B39" t="s">
        <v>40</v>
      </c>
      <c r="D39" s="41">
        <v>605035.63233687449</v>
      </c>
      <c r="E39" s="41">
        <v>567985.5017597992</v>
      </c>
      <c r="F39" s="41">
        <v>528260.55142664444</v>
      </c>
      <c r="G39" s="41">
        <v>485689.74459887482</v>
      </c>
      <c r="H39" s="41">
        <v>440076.92690650746</v>
      </c>
      <c r="I39" s="41">
        <v>373064.15589931048</v>
      </c>
      <c r="J39" s="41">
        <v>320724.74265301414</v>
      </c>
      <c r="K39" s="41">
        <v>264671.38925887831</v>
      </c>
      <c r="L39" s="41">
        <v>204649.10608567297</v>
      </c>
      <c r="M39" s="41">
        <v>140385.63856889028</v>
      </c>
    </row>
    <row r="40" spans="1:16" x14ac:dyDescent="0.25">
      <c r="B40" t="s">
        <v>62</v>
      </c>
      <c r="D40" s="41">
        <f t="shared" ref="D40:M40" si="30">D14*$O$40</f>
        <v>37599.120000000003</v>
      </c>
      <c r="E40" s="41">
        <f t="shared" si="30"/>
        <v>38727.093600000007</v>
      </c>
      <c r="F40" s="41">
        <f t="shared" si="30"/>
        <v>39888.90640800001</v>
      </c>
      <c r="G40" s="41">
        <f t="shared" si="30"/>
        <v>41085.573600240001</v>
      </c>
      <c r="H40" s="41">
        <f t="shared" si="30"/>
        <v>42318.140808247204</v>
      </c>
      <c r="I40" s="41">
        <f t="shared" si="30"/>
        <v>43587.685032494621</v>
      </c>
      <c r="J40" s="41">
        <f t="shared" si="30"/>
        <v>44895.315583469455</v>
      </c>
      <c r="K40" s="46">
        <f>K14*$O$40</f>
        <v>46242.175050973543</v>
      </c>
      <c r="L40" s="41">
        <f t="shared" si="30"/>
        <v>47629.440302502742</v>
      </c>
      <c r="M40" s="41">
        <f t="shared" si="30"/>
        <v>49058.323511577823</v>
      </c>
      <c r="O40">
        <v>0.05</v>
      </c>
      <c r="P40" t="s">
        <v>67</v>
      </c>
    </row>
    <row r="41" spans="1:16" s="39" customFormat="1" x14ac:dyDescent="0.25">
      <c r="D41" s="41"/>
      <c r="E41" s="41"/>
      <c r="F41" s="41"/>
      <c r="G41" s="41"/>
      <c r="H41" s="41"/>
      <c r="I41" s="41"/>
      <c r="J41" s="41"/>
      <c r="K41" s="46"/>
      <c r="L41" s="41"/>
      <c r="M41" s="41"/>
    </row>
    <row r="42" spans="1:16" x14ac:dyDescent="0.25">
      <c r="B42" t="s">
        <v>115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6" x14ac:dyDescent="0.25">
      <c r="B43" t="s">
        <v>87</v>
      </c>
      <c r="D43" s="13">
        <f t="shared" ref="D43:K43" si="31">$O$43-$D$45-$D$44</f>
        <v>3015000</v>
      </c>
      <c r="E43" s="13">
        <f t="shared" si="31"/>
        <v>3015000</v>
      </c>
      <c r="F43" s="13">
        <f t="shared" si="31"/>
        <v>3015000</v>
      </c>
      <c r="G43" s="13">
        <f t="shared" si="31"/>
        <v>3015000</v>
      </c>
      <c r="H43" s="13">
        <f t="shared" si="31"/>
        <v>3015000</v>
      </c>
      <c r="I43" s="13">
        <f t="shared" si="31"/>
        <v>3015000</v>
      </c>
      <c r="J43" s="13">
        <f t="shared" si="31"/>
        <v>3015000</v>
      </c>
      <c r="K43" s="13">
        <f t="shared" si="31"/>
        <v>3015000</v>
      </c>
      <c r="L43" s="13">
        <f t="shared" ref="L43:M43" si="32">$O$43-$D$45-$D$44</f>
        <v>3015000</v>
      </c>
      <c r="M43" s="13">
        <f t="shared" si="32"/>
        <v>3015000</v>
      </c>
      <c r="O43" s="30">
        <v>4495000</v>
      </c>
      <c r="P43" t="s">
        <v>54</v>
      </c>
    </row>
    <row r="44" spans="1:16" s="39" customFormat="1" x14ac:dyDescent="0.25">
      <c r="B44" s="39" t="s">
        <v>88</v>
      </c>
      <c r="D44" s="13">
        <f>$O$44*$D$6</f>
        <v>130000</v>
      </c>
      <c r="E44" s="13">
        <f>$D$44</f>
        <v>130000</v>
      </c>
      <c r="F44" s="13">
        <f t="shared" ref="F44:H44" si="33">$D$44</f>
        <v>130000</v>
      </c>
      <c r="G44" s="13">
        <f t="shared" si="33"/>
        <v>130000</v>
      </c>
      <c r="H44" s="13">
        <f t="shared" si="33"/>
        <v>130000</v>
      </c>
      <c r="I44" s="13">
        <f>$H$44*(1+$O$1)^H11</f>
        <v>150705.62965899997</v>
      </c>
      <c r="J44" s="13">
        <f>$I$44</f>
        <v>150705.62965899997</v>
      </c>
      <c r="K44" s="13">
        <f t="shared" ref="K44:M44" si="34">$I$44</f>
        <v>150705.62965899997</v>
      </c>
      <c r="L44" s="13">
        <f t="shared" si="34"/>
        <v>150705.62965899997</v>
      </c>
      <c r="M44" s="13">
        <f t="shared" si="34"/>
        <v>150705.62965899997</v>
      </c>
      <c r="O44" s="30">
        <v>5000</v>
      </c>
    </row>
    <row r="45" spans="1:16" s="39" customFormat="1" x14ac:dyDescent="0.25">
      <c r="B45" s="39" t="s">
        <v>86</v>
      </c>
      <c r="D45" s="13">
        <v>1350000</v>
      </c>
      <c r="E45" s="13">
        <v>1350000</v>
      </c>
      <c r="F45" s="13">
        <v>1350000</v>
      </c>
      <c r="G45" s="13">
        <v>1350000</v>
      </c>
      <c r="H45" s="13">
        <v>1350000</v>
      </c>
      <c r="I45" s="13">
        <v>1350000</v>
      </c>
      <c r="J45" s="13">
        <v>1350000</v>
      </c>
      <c r="K45" s="13">
        <v>1350000</v>
      </c>
      <c r="L45" s="13">
        <v>1350000</v>
      </c>
      <c r="M45" s="13">
        <v>1350000</v>
      </c>
      <c r="O45"/>
    </row>
    <row r="46" spans="1:16" x14ac:dyDescent="0.25">
      <c r="B46" t="s">
        <v>10</v>
      </c>
      <c r="D46" s="15">
        <f>D29+D28</f>
        <v>125200</v>
      </c>
      <c r="E46" s="15">
        <f t="shared" ref="E46:M46" si="35">E29+E28</f>
        <v>125200</v>
      </c>
      <c r="F46" s="15">
        <f t="shared" si="35"/>
        <v>125200</v>
      </c>
      <c r="G46" s="15">
        <f t="shared" si="35"/>
        <v>125200</v>
      </c>
      <c r="H46" s="15">
        <f t="shared" si="35"/>
        <v>125200</v>
      </c>
      <c r="I46" s="15">
        <f t="shared" si="35"/>
        <v>129134.06963520999</v>
      </c>
      <c r="J46" s="15">
        <f t="shared" si="35"/>
        <v>129134.06963520999</v>
      </c>
      <c r="K46" s="15">
        <f t="shared" si="35"/>
        <v>129134.06963520999</v>
      </c>
      <c r="L46" s="15">
        <f t="shared" si="35"/>
        <v>129134.06963520999</v>
      </c>
      <c r="M46" s="15">
        <f t="shared" si="35"/>
        <v>129134.06963520999</v>
      </c>
    </row>
    <row r="47" spans="1:16" x14ac:dyDescent="0.25">
      <c r="B47" s="1" t="s">
        <v>9</v>
      </c>
      <c r="C47" s="1"/>
      <c r="D47" s="13">
        <f>D39+D40+D43+D44+D45-D46</f>
        <v>5012434.7523368746</v>
      </c>
      <c r="E47" s="13">
        <f t="shared" ref="E47:M47" si="36">E39+E40+E43+E44+E45-E46</f>
        <v>4976512.5953597995</v>
      </c>
      <c r="F47" s="13">
        <f t="shared" si="36"/>
        <v>4937949.4578346442</v>
      </c>
      <c r="G47" s="13">
        <f t="shared" si="36"/>
        <v>4896575.3181991149</v>
      </c>
      <c r="H47" s="13">
        <f t="shared" si="36"/>
        <v>4852195.0677147545</v>
      </c>
      <c r="I47" s="13">
        <f t="shared" si="36"/>
        <v>4803223.4009555951</v>
      </c>
      <c r="J47" s="13">
        <f t="shared" si="36"/>
        <v>4752191.6182602737</v>
      </c>
      <c r="K47" s="13">
        <f t="shared" si="36"/>
        <v>4697485.1243336415</v>
      </c>
      <c r="L47" s="13">
        <f t="shared" si="36"/>
        <v>4638850.1064119665</v>
      </c>
      <c r="M47" s="13">
        <f t="shared" si="36"/>
        <v>4576015.5221042586</v>
      </c>
    </row>
    <row r="48" spans="1:16" x14ac:dyDescent="0.25">
      <c r="B48" s="1"/>
      <c r="C48" s="1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5" x14ac:dyDescent="0.25">
      <c r="B49" s="1"/>
      <c r="C49" s="1"/>
      <c r="D49" s="14"/>
      <c r="E49" s="14"/>
      <c r="F49" s="13"/>
      <c r="G49" s="13"/>
      <c r="H49" s="13"/>
      <c r="I49" s="13"/>
      <c r="J49" s="13"/>
      <c r="K49" s="13"/>
      <c r="L49" s="13"/>
      <c r="M49" s="13"/>
    </row>
    <row r="50" spans="1:15" x14ac:dyDescent="0.25">
      <c r="A50" s="1" t="s">
        <v>11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5" x14ac:dyDescent="0.25">
      <c r="B51" t="s">
        <v>12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spans="1:15" x14ac:dyDescent="0.25">
      <c r="B52" t="s">
        <v>41</v>
      </c>
      <c r="D52" s="13">
        <f>D27+D33</f>
        <v>57616.982945986398</v>
      </c>
      <c r="E52" s="13">
        <f t="shared" ref="E52:M52" si="37">E27+E33</f>
        <v>64568.134979506358</v>
      </c>
      <c r="F52" s="13">
        <f t="shared" si="37"/>
        <v>71749.611370867322</v>
      </c>
      <c r="G52" s="13">
        <f t="shared" si="37"/>
        <v>79183.687164981573</v>
      </c>
      <c r="H52" s="13">
        <f t="shared" si="37"/>
        <v>86880.428690527697</v>
      </c>
      <c r="I52" s="13">
        <f t="shared" si="37"/>
        <v>93473.446542900856</v>
      </c>
      <c r="J52" s="13">
        <f t="shared" si="37"/>
        <v>101727.61829348258</v>
      </c>
      <c r="K52" s="13">
        <f t="shared" si="37"/>
        <v>110277.56897973413</v>
      </c>
      <c r="L52" s="13">
        <f t="shared" si="37"/>
        <v>119135.39691776408</v>
      </c>
      <c r="M52" s="13">
        <f t="shared" si="37"/>
        <v>128313.77935390716</v>
      </c>
    </row>
    <row r="53" spans="1:15" x14ac:dyDescent="0.25">
      <c r="B53" t="s">
        <v>60</v>
      </c>
      <c r="D53" s="13">
        <f>Mortgage!B15</f>
        <v>3554817.7693908885</v>
      </c>
      <c r="E53" s="13">
        <f>Mortgage!B16</f>
        <v>3511944.4603802916</v>
      </c>
      <c r="F53" s="13">
        <f>Mortgage!B17</f>
        <v>3466199.8464637776</v>
      </c>
      <c r="G53" s="13">
        <f>Mortgage!B18</f>
        <v>3417391.6310341335</v>
      </c>
      <c r="H53" s="13">
        <f>Mortgage!B19</f>
        <v>3365314.6390242265</v>
      </c>
      <c r="I53" s="13">
        <f>Mortgage!B20</f>
        <v>3309749.954412695</v>
      </c>
      <c r="J53" s="13">
        <f>Mortgage!B21</f>
        <v>3250463.9999667914</v>
      </c>
      <c r="K53" s="13">
        <f>Mortgage!B22</f>
        <v>3187207.5553539074</v>
      </c>
      <c r="L53" s="13">
        <f>Mortgage!B23</f>
        <v>3119714.7094942024</v>
      </c>
      <c r="M53" s="13">
        <f>Mortgage!B24</f>
        <v>3047701.7427503504</v>
      </c>
    </row>
    <row r="54" spans="1:15" x14ac:dyDescent="0.25">
      <c r="B54" t="s">
        <v>61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</row>
    <row r="55" spans="1:15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5" x14ac:dyDescent="0.25">
      <c r="B56" t="s">
        <v>85</v>
      </c>
      <c r="D56" s="23">
        <v>1400000</v>
      </c>
      <c r="E56" s="41">
        <v>1400000</v>
      </c>
      <c r="F56" s="41">
        <v>1400000</v>
      </c>
      <c r="G56" s="41">
        <v>1400000</v>
      </c>
      <c r="H56" s="41">
        <v>1400000</v>
      </c>
      <c r="I56" s="41">
        <v>1400000</v>
      </c>
      <c r="J56" s="41">
        <v>1400000</v>
      </c>
      <c r="K56" s="41">
        <v>1400000</v>
      </c>
      <c r="L56" s="41">
        <v>1400000</v>
      </c>
      <c r="M56" s="41">
        <v>1400000</v>
      </c>
      <c r="O56" s="14"/>
    </row>
    <row r="57" spans="1:15" s="39" customFormat="1" x14ac:dyDescent="0.25">
      <c r="B57" s="39" t="s">
        <v>84</v>
      </c>
      <c r="D57" s="41">
        <f>D35</f>
        <v>83485.968328260453</v>
      </c>
      <c r="E57" s="13">
        <f>E35+D57</f>
        <v>179175.70900448656</v>
      </c>
      <c r="F57" s="13">
        <f t="shared" ref="F57:K57" si="38">F35+E57</f>
        <v>287475.80196466873</v>
      </c>
      <c r="G57" s="13">
        <f t="shared" si="38"/>
        <v>408833.56012634881</v>
      </c>
      <c r="H57" s="13">
        <f t="shared" si="38"/>
        <v>543714.33700970165</v>
      </c>
      <c r="I57" s="13">
        <f t="shared" si="38"/>
        <v>690045.23218406155</v>
      </c>
      <c r="J57" s="13">
        <f t="shared" si="38"/>
        <v>850887.42401448532</v>
      </c>
      <c r="K57" s="13">
        <f t="shared" si="38"/>
        <v>1026765.6798550806</v>
      </c>
      <c r="L57" s="13">
        <f t="shared" ref="L57" si="39">L35+K57</f>
        <v>1218226.4992697928</v>
      </c>
      <c r="M57" s="13">
        <f>M35+L57</f>
        <v>1425839.1671057937</v>
      </c>
      <c r="O57" s="29"/>
    </row>
    <row r="58" spans="1:15" x14ac:dyDescent="0.25">
      <c r="D58" s="13"/>
      <c r="E58" s="14"/>
      <c r="F58" s="14"/>
      <c r="G58" s="14"/>
      <c r="H58" s="14"/>
      <c r="I58" s="14"/>
      <c r="K58" s="14"/>
      <c r="L58" s="14"/>
      <c r="M58" s="14"/>
    </row>
    <row r="59" spans="1:15" x14ac:dyDescent="0.25">
      <c r="B59" t="s">
        <v>14</v>
      </c>
      <c r="D59" s="13">
        <f>SUM(D51:D56)</f>
        <v>5012434.7523368746</v>
      </c>
      <c r="E59" s="13">
        <f>E51+E52+E53+E56</f>
        <v>4976512.5953597985</v>
      </c>
      <c r="F59" s="13">
        <f>F51+F52+F53+F56</f>
        <v>4937949.4578346442</v>
      </c>
      <c r="G59" s="13">
        <f t="shared" ref="G59:M59" si="40">G51+G52+G53+G56</f>
        <v>4896575.3181991149</v>
      </c>
      <c r="H59" s="13">
        <f t="shared" si="40"/>
        <v>4852195.0677147545</v>
      </c>
      <c r="I59" s="13">
        <f t="shared" si="40"/>
        <v>4803223.400955596</v>
      </c>
      <c r="J59" s="13">
        <f t="shared" si="40"/>
        <v>4752191.6182602737</v>
      </c>
      <c r="K59" s="13">
        <f t="shared" si="40"/>
        <v>4697485.1243336415</v>
      </c>
      <c r="L59" s="13">
        <f t="shared" si="40"/>
        <v>4638850.1064119665</v>
      </c>
      <c r="M59" s="13">
        <f t="shared" si="40"/>
        <v>4576015.5221042577</v>
      </c>
    </row>
    <row r="62" spans="1:15" x14ac:dyDescent="0.25">
      <c r="B62" t="s">
        <v>55</v>
      </c>
      <c r="D62" s="10">
        <f>D59-D47</f>
        <v>0</v>
      </c>
      <c r="E62" s="10">
        <f t="shared" ref="E62:M62" si="41">E59-E47</f>
        <v>0</v>
      </c>
      <c r="F62" s="10">
        <f t="shared" si="41"/>
        <v>0</v>
      </c>
      <c r="G62" s="10">
        <f>G59-G47</f>
        <v>0</v>
      </c>
      <c r="H62" s="10">
        <f t="shared" si="41"/>
        <v>0</v>
      </c>
      <c r="I62" s="10">
        <f t="shared" si="41"/>
        <v>0</v>
      </c>
      <c r="J62" s="10">
        <f t="shared" si="41"/>
        <v>0</v>
      </c>
      <c r="K62" s="10">
        <f t="shared" si="41"/>
        <v>0</v>
      </c>
      <c r="L62" s="10">
        <f t="shared" si="41"/>
        <v>0</v>
      </c>
      <c r="M62" s="10">
        <f t="shared" si="41"/>
        <v>0</v>
      </c>
    </row>
    <row r="64" spans="1:15" x14ac:dyDescent="0.25">
      <c r="A64" s="40" t="s">
        <v>83</v>
      </c>
    </row>
    <row r="65" spans="1:16" x14ac:dyDescent="0.25">
      <c r="A65" s="39"/>
      <c r="B65" s="39" t="s">
        <v>80</v>
      </c>
      <c r="C65" s="39"/>
      <c r="D65" s="42">
        <f>D35/(D56+D57)</f>
        <v>5.6276884386268079E-2</v>
      </c>
      <c r="E65" s="42">
        <f t="shared" ref="E65:M65" si="42">E35/(E56+E57)</f>
        <v>6.0594739477438507E-2</v>
      </c>
      <c r="F65" s="42">
        <f t="shared" si="42"/>
        <v>6.4178753161433302E-2</v>
      </c>
      <c r="G65" s="42">
        <f t="shared" si="42"/>
        <v>6.7091721890212563E-2</v>
      </c>
      <c r="H65" s="42">
        <f t="shared" si="42"/>
        <v>6.9393312749269326E-2</v>
      </c>
      <c r="I65" s="42">
        <f t="shared" si="42"/>
        <v>7.0013267139413346E-2</v>
      </c>
      <c r="J65" s="42">
        <f t="shared" si="42"/>
        <v>7.1457235095107402E-2</v>
      </c>
      <c r="K65" s="42">
        <f t="shared" si="42"/>
        <v>7.2474346122736594E-2</v>
      </c>
      <c r="L65" s="42">
        <f t="shared" si="42"/>
        <v>7.3126148355808551E-2</v>
      </c>
      <c r="M65" s="42">
        <f t="shared" si="42"/>
        <v>7.3469385750158059E-2</v>
      </c>
      <c r="N65" s="39"/>
      <c r="O65" s="39"/>
      <c r="P65" s="39"/>
    </row>
    <row r="66" spans="1:16" x14ac:dyDescent="0.25">
      <c r="A66" s="39"/>
      <c r="B66" s="39" t="s">
        <v>81</v>
      </c>
      <c r="C66" s="39"/>
      <c r="D66" s="42">
        <f>D35/D47</f>
        <v>1.6655771586720006E-2</v>
      </c>
      <c r="E66" s="42">
        <f t="shared" ref="E66:M66" si="43">E35/E47</f>
        <v>1.9228272578964058E-2</v>
      </c>
      <c r="F66" s="42">
        <f t="shared" si="43"/>
        <v>2.1932199566836636E-2</v>
      </c>
      <c r="G66" s="42">
        <f t="shared" si="43"/>
        <v>2.4784211469315986E-2</v>
      </c>
      <c r="H66" s="42">
        <f t="shared" si="43"/>
        <v>2.7797888378563868E-2</v>
      </c>
      <c r="I66" s="42">
        <f t="shared" si="43"/>
        <v>3.0465144541319392E-2</v>
      </c>
      <c r="J66" s="42">
        <f t="shared" si="43"/>
        <v>3.3845897798478582E-2</v>
      </c>
      <c r="K66" s="42">
        <f t="shared" si="43"/>
        <v>3.7440939393191666E-2</v>
      </c>
      <c r="L66" s="42">
        <f t="shared" si="43"/>
        <v>4.1273336068796206E-2</v>
      </c>
      <c r="M66" s="42">
        <f t="shared" si="43"/>
        <v>4.5369747290658499E-2</v>
      </c>
      <c r="N66" s="39"/>
      <c r="O66" s="39"/>
      <c r="P66" s="39"/>
    </row>
    <row r="67" spans="1:16" x14ac:dyDescent="0.25">
      <c r="A67" s="39"/>
      <c r="B67" s="39" t="s">
        <v>82</v>
      </c>
      <c r="C67" s="39"/>
      <c r="D67" s="43">
        <f>SUM(D51:D54)/(D56+D57)</f>
        <v>2.4350986995904829</v>
      </c>
      <c r="E67" s="43">
        <f t="shared" ref="E67:M67" si="44">SUM(E51:E54)/E56</f>
        <v>2.5546518538284273</v>
      </c>
      <c r="F67" s="43">
        <f t="shared" si="44"/>
        <v>2.5271067555961748</v>
      </c>
      <c r="G67" s="43">
        <f t="shared" si="44"/>
        <v>2.4975537987136534</v>
      </c>
      <c r="H67" s="43">
        <f t="shared" si="44"/>
        <v>2.4658536197962531</v>
      </c>
      <c r="I67" s="43">
        <f t="shared" si="44"/>
        <v>2.4308738578254259</v>
      </c>
      <c r="J67" s="43">
        <f t="shared" si="44"/>
        <v>2.394422584471624</v>
      </c>
      <c r="K67" s="43">
        <f t="shared" si="44"/>
        <v>2.3553465173811725</v>
      </c>
      <c r="L67" s="43">
        <f t="shared" si="44"/>
        <v>2.3134643617228332</v>
      </c>
      <c r="M67" s="43">
        <f t="shared" si="44"/>
        <v>2.2685825157887556</v>
      </c>
      <c r="N67" s="39"/>
      <c r="O67" s="39"/>
      <c r="P67" s="39"/>
    </row>
    <row r="69" spans="1:16" x14ac:dyDescent="0.25">
      <c r="A69" s="1" t="s">
        <v>72</v>
      </c>
    </row>
    <row r="70" spans="1:16" x14ac:dyDescent="0.25">
      <c r="B70" t="s">
        <v>73</v>
      </c>
      <c r="D70" s="34">
        <f t="shared" ref="D70:M70" si="45">SUM(D14:D15)</f>
        <v>753187.5</v>
      </c>
      <c r="E70" s="34">
        <f t="shared" si="45"/>
        <v>775783.12500000012</v>
      </c>
      <c r="F70" s="34">
        <f t="shared" si="45"/>
        <v>799019.38116000011</v>
      </c>
      <c r="G70" s="34">
        <f t="shared" si="45"/>
        <v>822952.72500480001</v>
      </c>
      <c r="H70" s="34">
        <f t="shared" si="45"/>
        <v>847604.069164944</v>
      </c>
      <c r="I70" s="34">
        <f t="shared" si="45"/>
        <v>872994.95364989236</v>
      </c>
      <c r="J70" s="34">
        <f t="shared" si="45"/>
        <v>899147.56466938904</v>
      </c>
      <c r="K70" s="34">
        <f t="shared" si="45"/>
        <v>926084.75401947077</v>
      </c>
      <c r="L70" s="34">
        <f t="shared" si="45"/>
        <v>953830.05905005487</v>
      </c>
      <c r="M70" s="34">
        <f t="shared" si="45"/>
        <v>982407.72323155648</v>
      </c>
    </row>
    <row r="71" spans="1:16" x14ac:dyDescent="0.25">
      <c r="B71" t="s">
        <v>74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</row>
    <row r="72" spans="1:16" x14ac:dyDescent="0.25">
      <c r="B72" t="s">
        <v>75</v>
      </c>
      <c r="D72" s="34">
        <f>D70-D71</f>
        <v>753187.5</v>
      </c>
      <c r="E72" s="34">
        <f t="shared" ref="E72:M72" si="46">E70-E71</f>
        <v>775783.12500000012</v>
      </c>
      <c r="F72" s="34">
        <f t="shared" si="46"/>
        <v>799019.38116000011</v>
      </c>
      <c r="G72" s="34">
        <f t="shared" si="46"/>
        <v>822952.72500480001</v>
      </c>
      <c r="H72" s="34">
        <f t="shared" si="46"/>
        <v>847604.069164944</v>
      </c>
      <c r="I72" s="34">
        <f t="shared" si="46"/>
        <v>872994.95364989236</v>
      </c>
      <c r="J72" s="34">
        <f t="shared" si="46"/>
        <v>899147.56466938904</v>
      </c>
      <c r="K72" s="34">
        <f t="shared" si="46"/>
        <v>926084.75401947077</v>
      </c>
      <c r="L72" s="34">
        <f t="shared" si="46"/>
        <v>953830.05905005487</v>
      </c>
      <c r="M72" s="34">
        <f t="shared" si="46"/>
        <v>982407.72323155648</v>
      </c>
    </row>
    <row r="73" spans="1:16" x14ac:dyDescent="0.25">
      <c r="B73" t="s">
        <v>76</v>
      </c>
      <c r="D73" s="36">
        <f>SUM(D18:D22)</f>
        <v>254392.63400000002</v>
      </c>
      <c r="E73" s="36">
        <f t="shared" ref="E73:M73" si="47">SUM(E18:E22)</f>
        <v>260524.41302000001</v>
      </c>
      <c r="F73" s="36">
        <f t="shared" si="47"/>
        <v>266840.1454106</v>
      </c>
      <c r="G73" s="36">
        <f t="shared" si="47"/>
        <v>273345.34977291804</v>
      </c>
      <c r="H73" s="36">
        <f t="shared" si="47"/>
        <v>280045.71026610554</v>
      </c>
      <c r="I73" s="36">
        <f t="shared" si="47"/>
        <v>286947.08157408872</v>
      </c>
      <c r="J73" s="36">
        <f t="shared" si="47"/>
        <v>294055.4940213114</v>
      </c>
      <c r="K73" s="36">
        <f t="shared" si="47"/>
        <v>301377.1588419507</v>
      </c>
      <c r="L73" s="36">
        <f t="shared" si="47"/>
        <v>308918.47360720922</v>
      </c>
      <c r="M73" s="36">
        <f t="shared" si="47"/>
        <v>316686.02781542554</v>
      </c>
    </row>
    <row r="74" spans="1:16" x14ac:dyDescent="0.25">
      <c r="B74" t="s">
        <v>77</v>
      </c>
      <c r="D74" s="34">
        <f>D72-D73</f>
        <v>498794.86599999998</v>
      </c>
      <c r="E74" s="34">
        <f t="shared" ref="E74:M74" si="48">E72-E73</f>
        <v>515258.71198000014</v>
      </c>
      <c r="F74" s="34">
        <f t="shared" si="48"/>
        <v>532179.2357494001</v>
      </c>
      <c r="G74" s="34">
        <f t="shared" si="48"/>
        <v>549607.37523188198</v>
      </c>
      <c r="H74" s="34">
        <f t="shared" si="48"/>
        <v>567558.35889883852</v>
      </c>
      <c r="I74" s="34">
        <f t="shared" si="48"/>
        <v>586047.87207580358</v>
      </c>
      <c r="J74" s="34">
        <f t="shared" si="48"/>
        <v>605092.07064807764</v>
      </c>
      <c r="K74" s="34">
        <f t="shared" si="48"/>
        <v>624707.59517752007</v>
      </c>
      <c r="L74" s="34">
        <f t="shared" si="48"/>
        <v>644911.58544284571</v>
      </c>
      <c r="M74" s="34">
        <f t="shared" si="48"/>
        <v>665721.69541613094</v>
      </c>
    </row>
    <row r="77" spans="1:16" x14ac:dyDescent="0.25">
      <c r="B77" t="s">
        <v>78</v>
      </c>
      <c r="D77" s="35">
        <f>D72/(D7*12)</f>
        <v>130.20833333333331</v>
      </c>
      <c r="E77" s="35">
        <f t="shared" ref="E77:M77" si="49">E72/(E7*12)</f>
        <v>134.11458333333334</v>
      </c>
      <c r="F77" s="35">
        <f t="shared" si="49"/>
        <v>138.13158333333334</v>
      </c>
      <c r="G77" s="35">
        <f t="shared" si="49"/>
        <v>142.26909333333333</v>
      </c>
      <c r="H77" s="35">
        <f t="shared" si="49"/>
        <v>146.53072863333333</v>
      </c>
      <c r="I77" s="35">
        <f t="shared" si="49"/>
        <v>150.92021299233332</v>
      </c>
      <c r="J77" s="35">
        <f t="shared" si="49"/>
        <v>155.44138188210331</v>
      </c>
      <c r="K77" s="35">
        <f t="shared" si="49"/>
        <v>160.09818583856642</v>
      </c>
      <c r="L77" s="35">
        <f t="shared" si="49"/>
        <v>164.89469391372342</v>
      </c>
      <c r="M77" s="35">
        <f t="shared" si="49"/>
        <v>169.83509723113511</v>
      </c>
    </row>
    <row r="78" spans="1:16" x14ac:dyDescent="0.25">
      <c r="B78" t="s">
        <v>79</v>
      </c>
      <c r="D78" s="38">
        <f>D73/D77</f>
        <v>1953.7354291200004</v>
      </c>
      <c r="E78" s="38">
        <f t="shared" ref="E78:J78" si="50">E73/E77</f>
        <v>1942.5509631005825</v>
      </c>
      <c r="F78" s="38">
        <f t="shared" si="50"/>
        <v>1931.7822830327846</v>
      </c>
      <c r="G78" s="38">
        <f t="shared" si="50"/>
        <v>1921.3262934942304</v>
      </c>
      <c r="H78" s="38">
        <f t="shared" si="50"/>
        <v>1911.1739419986734</v>
      </c>
      <c r="I78" s="38">
        <f t="shared" si="50"/>
        <v>1901.3164365774219</v>
      </c>
      <c r="J78" s="38">
        <f t="shared" si="50"/>
        <v>1891.7452383712202</v>
      </c>
      <c r="K78" s="38">
        <f>K73/K77</f>
        <v>1882.4520544276602</v>
      </c>
      <c r="L78" s="38">
        <f t="shared" ref="L78:M78" si="51">L73/L77</f>
        <v>1873.4288306987141</v>
      </c>
      <c r="M78" s="38">
        <f t="shared" si="51"/>
        <v>1864.667745233103</v>
      </c>
    </row>
    <row r="80" spans="1:16" x14ac:dyDescent="0.25">
      <c r="A80" s="40" t="s">
        <v>92</v>
      </c>
      <c r="D80" s="40">
        <f>M12</f>
        <v>2021</v>
      </c>
    </row>
    <row r="81" spans="2:7" s="39" customFormat="1" x14ac:dyDescent="0.25">
      <c r="B81" s="39" t="s">
        <v>93</v>
      </c>
      <c r="D81" s="54">
        <f>AVERAGE(Supplimental!B24:B26)</f>
        <v>1.1900000000000002</v>
      </c>
      <c r="E81" s="38"/>
      <c r="F81" s="38"/>
    </row>
    <row r="82" spans="2:7" s="39" customFormat="1" x14ac:dyDescent="0.25">
      <c r="B82" s="39" t="s">
        <v>94</v>
      </c>
      <c r="D82" s="42">
        <v>1.2E-2</v>
      </c>
      <c r="E82" s="38"/>
      <c r="F82" s="38"/>
    </row>
    <row r="83" spans="2:7" s="39" customFormat="1" x14ac:dyDescent="0.25">
      <c r="B83" s="39" t="s">
        <v>95</v>
      </c>
      <c r="D83" s="42">
        <v>0.1227</v>
      </c>
      <c r="E83" s="38"/>
      <c r="F83" s="38"/>
    </row>
    <row r="84" spans="2:7" s="39" customFormat="1" x14ac:dyDescent="0.25">
      <c r="D84" s="18"/>
      <c r="E84" s="38"/>
      <c r="F84" s="38"/>
    </row>
    <row r="85" spans="2:7" s="39" customFormat="1" x14ac:dyDescent="0.25">
      <c r="B85" s="39" t="s">
        <v>96</v>
      </c>
      <c r="D85" s="45">
        <f>D82+D81*(D83-D82)</f>
        <v>0.14373300000000003</v>
      </c>
      <c r="E85" s="38"/>
      <c r="F85" s="38"/>
    </row>
    <row r="86" spans="2:7" s="39" customFormat="1" x14ac:dyDescent="0.25">
      <c r="D86" s="38"/>
      <c r="E86" s="38"/>
      <c r="F86" s="38"/>
    </row>
    <row r="87" spans="2:7" s="39" customFormat="1" x14ac:dyDescent="0.25">
      <c r="B87" s="39" t="s">
        <v>60</v>
      </c>
      <c r="D87" s="14">
        <f>M53</f>
        <v>3047701.7427503504</v>
      </c>
      <c r="E87" s="45">
        <f>Mortgage!C4</f>
        <v>6.5000000000000002E-2</v>
      </c>
      <c r="F87" s="38"/>
      <c r="G87" s="38"/>
    </row>
    <row r="88" spans="2:7" s="39" customFormat="1" x14ac:dyDescent="0.25">
      <c r="D88" s="38"/>
      <c r="E88" s="38"/>
      <c r="F88" s="38"/>
    </row>
    <row r="89" spans="2:7" s="39" customFormat="1" x14ac:dyDescent="0.25">
      <c r="B89" s="39" t="s">
        <v>97</v>
      </c>
      <c r="D89" s="14">
        <f>M56+M57</f>
        <v>2825839.167105794</v>
      </c>
      <c r="E89" s="38"/>
      <c r="F89" s="38"/>
    </row>
    <row r="90" spans="2:7" x14ac:dyDescent="0.25">
      <c r="B90" s="39"/>
      <c r="D90" s="38"/>
      <c r="E90" s="38"/>
      <c r="F90" s="38"/>
    </row>
    <row r="91" spans="2:7" x14ac:dyDescent="0.25">
      <c r="B91" s="39" t="s">
        <v>98</v>
      </c>
      <c r="D91" s="18">
        <f>O33</f>
        <v>0.35</v>
      </c>
      <c r="E91" s="38"/>
      <c r="F91" s="38"/>
    </row>
    <row r="92" spans="2:7" x14ac:dyDescent="0.25">
      <c r="B92" s="39"/>
      <c r="D92" s="38"/>
      <c r="E92" s="38"/>
      <c r="F92" s="38"/>
    </row>
    <row r="93" spans="2:7" x14ac:dyDescent="0.25">
      <c r="B93" s="39" t="s">
        <v>99</v>
      </c>
      <c r="D93" s="42">
        <f>D87/(D87+D89)</f>
        <v>0.51888661193048458</v>
      </c>
      <c r="E93" s="38"/>
      <c r="F93" s="38"/>
    </row>
    <row r="94" spans="2:7" x14ac:dyDescent="0.25">
      <c r="B94" s="39" t="s">
        <v>100</v>
      </c>
      <c r="D94" s="42">
        <f>1-D93</f>
        <v>0.48111338806951542</v>
      </c>
      <c r="E94" s="38"/>
      <c r="F94" s="38"/>
    </row>
    <row r="95" spans="2:7" x14ac:dyDescent="0.25">
      <c r="B95" s="39"/>
      <c r="D95" s="38"/>
      <c r="E95" s="38"/>
      <c r="F95" s="38"/>
    </row>
    <row r="96" spans="2:7" x14ac:dyDescent="0.25">
      <c r="B96" s="39" t="s">
        <v>92</v>
      </c>
      <c r="D96" s="42">
        <f>D93*E87*(1-D91)+D94*D85</f>
        <v>9.1074829961458659E-2</v>
      </c>
      <c r="E96" s="38"/>
      <c r="F96" s="38"/>
    </row>
    <row r="97" spans="1:16" x14ac:dyDescent="0.25">
      <c r="I97" s="39"/>
      <c r="J97" s="39"/>
      <c r="L97"/>
      <c r="M97"/>
    </row>
    <row r="98" spans="1:16" x14ac:dyDescent="0.25">
      <c r="A98" s="40" t="s">
        <v>105</v>
      </c>
      <c r="B98" s="48"/>
      <c r="C98" s="48"/>
      <c r="D98" s="48"/>
      <c r="E98" s="48"/>
      <c r="F98" s="48"/>
      <c r="G98" s="48"/>
      <c r="H98" s="48"/>
      <c r="I98" s="48"/>
      <c r="J98" s="48"/>
      <c r="L98"/>
      <c r="M98"/>
    </row>
    <row r="99" spans="1:16" x14ac:dyDescent="0.25">
      <c r="A99" s="48"/>
      <c r="B99" s="48"/>
      <c r="C99" s="50">
        <v>0</v>
      </c>
      <c r="D99" s="50">
        <v>1</v>
      </c>
      <c r="E99" s="50">
        <v>2</v>
      </c>
      <c r="F99" s="50">
        <v>3</v>
      </c>
      <c r="G99" s="50">
        <v>4</v>
      </c>
      <c r="H99" s="50">
        <v>5</v>
      </c>
      <c r="I99" s="50">
        <v>6</v>
      </c>
      <c r="J99" s="50">
        <v>7</v>
      </c>
      <c r="K99" s="50">
        <v>8</v>
      </c>
      <c r="L99" s="50">
        <v>9</v>
      </c>
      <c r="M99" s="50">
        <v>10</v>
      </c>
    </row>
    <row r="100" spans="1:16" x14ac:dyDescent="0.25">
      <c r="A100" s="39" t="s">
        <v>106</v>
      </c>
      <c r="B100" s="39"/>
      <c r="C100" s="48"/>
      <c r="D100" s="48"/>
      <c r="E100" s="48"/>
      <c r="F100" s="48"/>
      <c r="G100" s="48"/>
      <c r="H100" s="48"/>
      <c r="I100" s="48"/>
      <c r="J100" s="48"/>
      <c r="L100"/>
      <c r="M100"/>
    </row>
    <row r="101" spans="1:16" x14ac:dyDescent="0.25">
      <c r="A101" s="39"/>
      <c r="B101" s="39" t="s">
        <v>107</v>
      </c>
      <c r="C101" s="48"/>
      <c r="D101" s="34">
        <f t="shared" ref="D101:M101" si="52">D23</f>
        <v>498794.86599999998</v>
      </c>
      <c r="E101" s="34">
        <f t="shared" si="52"/>
        <v>515258.71198000014</v>
      </c>
      <c r="F101" s="34">
        <f t="shared" si="52"/>
        <v>532179.2357494001</v>
      </c>
      <c r="G101" s="34">
        <f t="shared" si="52"/>
        <v>549607.37523188198</v>
      </c>
      <c r="H101" s="34">
        <f t="shared" si="52"/>
        <v>567558.35889883852</v>
      </c>
      <c r="I101" s="34">
        <f t="shared" si="52"/>
        <v>586047.87207580358</v>
      </c>
      <c r="J101" s="34">
        <f t="shared" si="52"/>
        <v>605092.07064807764</v>
      </c>
      <c r="K101" s="34">
        <f t="shared" si="52"/>
        <v>624707.59517752007</v>
      </c>
      <c r="L101" s="34">
        <f t="shared" si="52"/>
        <v>644911.58544284571</v>
      </c>
      <c r="M101" s="34">
        <f t="shared" si="52"/>
        <v>665721.69541613094</v>
      </c>
    </row>
    <row r="102" spans="1:16" x14ac:dyDescent="0.25">
      <c r="A102" s="39"/>
      <c r="B102" s="39" t="s">
        <v>108</v>
      </c>
      <c r="C102" s="48"/>
      <c r="D102" s="36">
        <f t="shared" ref="D102:M102" si="53">-(D28+D29)</f>
        <v>-125200</v>
      </c>
      <c r="E102" s="36">
        <f t="shared" si="53"/>
        <v>-125200</v>
      </c>
      <c r="F102" s="36">
        <f t="shared" si="53"/>
        <v>-125200</v>
      </c>
      <c r="G102" s="36">
        <f t="shared" si="53"/>
        <v>-125200</v>
      </c>
      <c r="H102" s="36">
        <f t="shared" si="53"/>
        <v>-125200</v>
      </c>
      <c r="I102" s="36">
        <f t="shared" si="53"/>
        <v>-129134.06963520999</v>
      </c>
      <c r="J102" s="36">
        <f t="shared" si="53"/>
        <v>-129134.06963520999</v>
      </c>
      <c r="K102" s="36">
        <f t="shared" si="53"/>
        <v>-129134.06963520999</v>
      </c>
      <c r="L102" s="36">
        <f t="shared" si="53"/>
        <v>-129134.06963520999</v>
      </c>
      <c r="M102" s="36">
        <f t="shared" si="53"/>
        <v>-129134.06963520999</v>
      </c>
    </row>
    <row r="103" spans="1:16" x14ac:dyDescent="0.25">
      <c r="A103" s="39"/>
      <c r="B103" s="39" t="s">
        <v>109</v>
      </c>
      <c r="C103" s="48"/>
      <c r="D103" s="34">
        <f>D101+D102</f>
        <v>373594.86599999998</v>
      </c>
      <c r="E103" s="34">
        <f t="shared" ref="E103:M103" si="54">E101+E102</f>
        <v>390058.71198000014</v>
      </c>
      <c r="F103" s="34">
        <f t="shared" si="54"/>
        <v>406979.2357494001</v>
      </c>
      <c r="G103" s="34">
        <f t="shared" si="54"/>
        <v>424407.37523188198</v>
      </c>
      <c r="H103" s="34">
        <f t="shared" si="54"/>
        <v>442358.35889883852</v>
      </c>
      <c r="I103" s="34">
        <f t="shared" si="54"/>
        <v>456913.8024405936</v>
      </c>
      <c r="J103" s="34">
        <f t="shared" si="54"/>
        <v>475958.00101286767</v>
      </c>
      <c r="K103" s="34">
        <f t="shared" si="54"/>
        <v>495573.52554231009</v>
      </c>
      <c r="L103" s="34">
        <f t="shared" si="54"/>
        <v>515777.51580763573</v>
      </c>
      <c r="M103" s="34">
        <f t="shared" si="54"/>
        <v>536587.62578092096</v>
      </c>
    </row>
    <row r="104" spans="1:16" x14ac:dyDescent="0.25">
      <c r="A104" s="39"/>
      <c r="B104" s="39" t="s">
        <v>110</v>
      </c>
      <c r="C104" s="48"/>
      <c r="D104" s="34">
        <f>D103*$O$33</f>
        <v>130758.20309999998</v>
      </c>
      <c r="E104" s="34">
        <f t="shared" ref="E104:M104" si="55">E103*$O$33</f>
        <v>136520.54919300004</v>
      </c>
      <c r="F104" s="34">
        <f t="shared" si="55"/>
        <v>142442.73251229004</v>
      </c>
      <c r="G104" s="34">
        <f t="shared" si="55"/>
        <v>148542.58133115867</v>
      </c>
      <c r="H104" s="34">
        <f t="shared" si="55"/>
        <v>154825.42561459346</v>
      </c>
      <c r="I104" s="34">
        <f t="shared" si="55"/>
        <v>159919.83085420774</v>
      </c>
      <c r="J104" s="34">
        <f t="shared" si="55"/>
        <v>166585.30035450368</v>
      </c>
      <c r="K104" s="34">
        <f t="shared" si="55"/>
        <v>173450.73393980853</v>
      </c>
      <c r="L104" s="34">
        <f t="shared" si="55"/>
        <v>180522.13053267248</v>
      </c>
      <c r="M104" s="34">
        <f t="shared" si="55"/>
        <v>187805.66902332232</v>
      </c>
    </row>
    <row r="105" spans="1:16" x14ac:dyDescent="0.25">
      <c r="A105" s="39"/>
      <c r="B105" s="39" t="s">
        <v>111</v>
      </c>
      <c r="C105" s="48"/>
      <c r="D105" s="36">
        <f>-D102</f>
        <v>125200</v>
      </c>
      <c r="E105" s="36">
        <f>-E102</f>
        <v>125200</v>
      </c>
      <c r="F105" s="36">
        <f>-F102</f>
        <v>125200</v>
      </c>
      <c r="G105" s="36">
        <f>-G102</f>
        <v>125200</v>
      </c>
      <c r="H105" s="36">
        <f t="shared" ref="H105:M105" si="56">-H102</f>
        <v>125200</v>
      </c>
      <c r="I105" s="36">
        <f t="shared" si="56"/>
        <v>129134.06963520999</v>
      </c>
      <c r="J105" s="36">
        <f t="shared" si="56"/>
        <v>129134.06963520999</v>
      </c>
      <c r="K105" s="36">
        <f t="shared" si="56"/>
        <v>129134.06963520999</v>
      </c>
      <c r="L105" s="36">
        <f t="shared" si="56"/>
        <v>129134.06963520999</v>
      </c>
      <c r="M105" s="36">
        <f t="shared" si="56"/>
        <v>129134.06963520999</v>
      </c>
    </row>
    <row r="106" spans="1:16" x14ac:dyDescent="0.25">
      <c r="A106" s="39"/>
      <c r="B106" s="39" t="s">
        <v>106</v>
      </c>
      <c r="C106" s="48"/>
      <c r="D106" s="34">
        <f>D103-D104+D105</f>
        <v>368036.6629</v>
      </c>
      <c r="E106" s="34">
        <f>E103-E104+E105</f>
        <v>378738.16278700007</v>
      </c>
      <c r="F106" s="34">
        <f>F103-F104+F105</f>
        <v>389736.5032371101</v>
      </c>
      <c r="G106" s="34">
        <f>G103-G104+G105</f>
        <v>401064.79390072334</v>
      </c>
      <c r="H106" s="34">
        <f t="shared" ref="H106:M106" si="57">H103-H104+H105</f>
        <v>412732.93328424508</v>
      </c>
      <c r="I106" s="34">
        <f t="shared" si="57"/>
        <v>426128.04122159583</v>
      </c>
      <c r="J106" s="34">
        <f t="shared" si="57"/>
        <v>438506.77029357397</v>
      </c>
      <c r="K106" s="34">
        <f t="shared" si="57"/>
        <v>451256.86123771151</v>
      </c>
      <c r="L106" s="34">
        <f t="shared" si="57"/>
        <v>464389.4549101732</v>
      </c>
      <c r="M106" s="34">
        <f t="shared" si="57"/>
        <v>477916.02639280865</v>
      </c>
    </row>
    <row r="107" spans="1:16" x14ac:dyDescent="0.25">
      <c r="A107" s="39"/>
      <c r="B107" s="39"/>
      <c r="C107" s="48"/>
      <c r="D107" s="48"/>
      <c r="E107" s="48"/>
      <c r="F107" s="48"/>
      <c r="G107" s="48"/>
      <c r="H107" s="48"/>
      <c r="I107" s="48"/>
      <c r="J107" s="48"/>
      <c r="L107"/>
      <c r="M107"/>
    </row>
    <row r="108" spans="1:16" x14ac:dyDescent="0.25">
      <c r="A108" s="39" t="s">
        <v>112</v>
      </c>
      <c r="B108" s="39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1:16" x14ac:dyDescent="0.25">
      <c r="A109" s="39"/>
      <c r="B109" s="39" t="s">
        <v>87</v>
      </c>
      <c r="C109" s="34">
        <f>-(D43)</f>
        <v>-3015000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>
        <f>D43*O109</f>
        <v>3533453.9418612635</v>
      </c>
      <c r="O109" s="18">
        <f>(O111-1)/2+1</f>
        <v>1.1719581896720608</v>
      </c>
      <c r="P109" t="s">
        <v>54</v>
      </c>
    </row>
    <row r="110" spans="1:16" s="39" customFormat="1" x14ac:dyDescent="0.25">
      <c r="B110" s="39" t="s">
        <v>88</v>
      </c>
      <c r="C110" s="34">
        <f>-D44</f>
        <v>-130000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6" s="39" customFormat="1" x14ac:dyDescent="0.25">
      <c r="B111" s="39" t="s">
        <v>86</v>
      </c>
      <c r="C111" s="34">
        <f>-D45</f>
        <v>-1350000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>
        <f>M45*O111</f>
        <v>1814287.1121145645</v>
      </c>
      <c r="O111" s="18">
        <f>(1+O1)^10</f>
        <v>1.3439163793441218</v>
      </c>
      <c r="P111" s="39" t="s">
        <v>54</v>
      </c>
    </row>
    <row r="112" spans="1:16" x14ac:dyDescent="0.25">
      <c r="A112" s="39"/>
      <c r="B112" s="39" t="s">
        <v>125</v>
      </c>
      <c r="C112" s="34"/>
      <c r="D112" s="34"/>
      <c r="E112" s="34"/>
      <c r="F112" s="34"/>
      <c r="G112" s="34"/>
      <c r="H112" s="35">
        <f>(H44*O28)-I44</f>
        <v>-144205.62965899997</v>
      </c>
      <c r="I112" s="34"/>
      <c r="J112" s="34"/>
      <c r="K112" s="34"/>
      <c r="L112" s="34"/>
      <c r="M112" s="34">
        <f>M44*O28</f>
        <v>7535.2814829499985</v>
      </c>
      <c r="N112" s="48"/>
      <c r="O112" s="49"/>
    </row>
    <row r="113" spans="1:13" x14ac:dyDescent="0.25">
      <c r="A113" s="39"/>
      <c r="B113" s="39" t="s">
        <v>126</v>
      </c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>
        <f>((M109+M111)-(M43+M45-O29*M11))*-O33</f>
        <v>-695709.36889153975</v>
      </c>
    </row>
    <row r="114" spans="1:13" x14ac:dyDescent="0.25">
      <c r="A114" s="39"/>
      <c r="B114" s="39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1:13" x14ac:dyDescent="0.25">
      <c r="A115" s="39" t="s">
        <v>113</v>
      </c>
      <c r="B115" s="39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</row>
    <row r="116" spans="1:13" x14ac:dyDescent="0.25">
      <c r="A116" s="39" t="s">
        <v>114</v>
      </c>
      <c r="B116" s="39" t="s">
        <v>115</v>
      </c>
      <c r="C116" s="34"/>
      <c r="D116" s="34">
        <f t="shared" ref="D116:M116" si="58">-(D42-C42)</f>
        <v>0</v>
      </c>
      <c r="E116" s="34">
        <f t="shared" si="58"/>
        <v>0</v>
      </c>
      <c r="F116" s="34">
        <f t="shared" si="58"/>
        <v>0</v>
      </c>
      <c r="G116" s="34">
        <f t="shared" si="58"/>
        <v>0</v>
      </c>
      <c r="H116" s="34">
        <f t="shared" si="58"/>
        <v>0</v>
      </c>
      <c r="I116" s="34">
        <f t="shared" si="58"/>
        <v>0</v>
      </c>
      <c r="J116" s="34">
        <f t="shared" si="58"/>
        <v>0</v>
      </c>
      <c r="K116" s="34">
        <f t="shared" si="58"/>
        <v>0</v>
      </c>
      <c r="L116" s="34">
        <f t="shared" si="58"/>
        <v>0</v>
      </c>
      <c r="M116" s="34">
        <f t="shared" si="58"/>
        <v>0</v>
      </c>
    </row>
    <row r="117" spans="1:13" x14ac:dyDescent="0.25">
      <c r="A117" s="39" t="s">
        <v>116</v>
      </c>
      <c r="B117" s="39" t="s">
        <v>117</v>
      </c>
      <c r="C117" s="34"/>
      <c r="D117" s="34">
        <f t="shared" ref="D117:M117" si="59">+(D51-C51)</f>
        <v>0</v>
      </c>
      <c r="E117" s="34">
        <f t="shared" si="59"/>
        <v>0</v>
      </c>
      <c r="F117" s="34">
        <f t="shared" si="59"/>
        <v>0</v>
      </c>
      <c r="G117" s="34">
        <f t="shared" si="59"/>
        <v>0</v>
      </c>
      <c r="H117" s="34">
        <f t="shared" si="59"/>
        <v>0</v>
      </c>
      <c r="I117" s="34">
        <f t="shared" si="59"/>
        <v>0</v>
      </c>
      <c r="J117" s="34">
        <f t="shared" si="59"/>
        <v>0</v>
      </c>
      <c r="K117" s="34">
        <f t="shared" si="59"/>
        <v>0</v>
      </c>
      <c r="L117" s="34">
        <f t="shared" si="59"/>
        <v>0</v>
      </c>
      <c r="M117" s="34">
        <f t="shared" si="59"/>
        <v>0</v>
      </c>
    </row>
    <row r="118" spans="1:13" x14ac:dyDescent="0.25">
      <c r="A118" s="39" t="s">
        <v>116</v>
      </c>
      <c r="B118" s="39" t="s">
        <v>118</v>
      </c>
      <c r="C118" s="34"/>
      <c r="D118" s="34">
        <f>D104-C104</f>
        <v>130758.20309999998</v>
      </c>
      <c r="E118" s="34">
        <f>E104-D104</f>
        <v>5762.3460930000583</v>
      </c>
      <c r="F118" s="34">
        <f t="shared" ref="F118:M118" si="60">F104-E104</f>
        <v>5922.183319289994</v>
      </c>
      <c r="G118" s="34">
        <f t="shared" si="60"/>
        <v>6099.8488188686315</v>
      </c>
      <c r="H118" s="34">
        <f t="shared" si="60"/>
        <v>6282.8442834347952</v>
      </c>
      <c r="I118" s="34">
        <f t="shared" si="60"/>
        <v>5094.4052396142797</v>
      </c>
      <c r="J118" s="34">
        <f t="shared" si="60"/>
        <v>6665.4695002959343</v>
      </c>
      <c r="K118" s="34">
        <f t="shared" si="60"/>
        <v>6865.4335853048542</v>
      </c>
      <c r="L118" s="34">
        <f t="shared" si="60"/>
        <v>7071.3965928639518</v>
      </c>
      <c r="M118" s="34">
        <f t="shared" si="60"/>
        <v>7283.5384906498366</v>
      </c>
    </row>
    <row r="119" spans="1:13" x14ac:dyDescent="0.25">
      <c r="A119" s="39"/>
      <c r="B119" s="39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3" x14ac:dyDescent="0.25">
      <c r="A120" s="39" t="s">
        <v>119</v>
      </c>
      <c r="B120" s="39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1:13" x14ac:dyDescent="0.25">
      <c r="A121" s="39" t="s">
        <v>116</v>
      </c>
      <c r="B121" s="39" t="s">
        <v>115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>
        <f>-M116</f>
        <v>0</v>
      </c>
    </row>
    <row r="122" spans="1:13" x14ac:dyDescent="0.25">
      <c r="A122" s="39" t="s">
        <v>114</v>
      </c>
      <c r="B122" s="39" t="s">
        <v>117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>
        <f>-Q88</f>
        <v>0</v>
      </c>
    </row>
    <row r="123" spans="1:13" x14ac:dyDescent="0.25">
      <c r="A123" s="39" t="s">
        <v>114</v>
      </c>
      <c r="B123" s="39" t="s">
        <v>118</v>
      </c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>
        <f>-M104</f>
        <v>-187805.66902332232</v>
      </c>
    </row>
    <row r="124" spans="1:13" x14ac:dyDescent="0.25">
      <c r="A124" s="39"/>
      <c r="B124" s="39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3" x14ac:dyDescent="0.25">
      <c r="A125" s="39" t="s">
        <v>120</v>
      </c>
      <c r="B125" s="39"/>
      <c r="C125" s="34">
        <f>SUM(C106:C124)</f>
        <v>-4495000</v>
      </c>
      <c r="D125" s="34">
        <f>SUM(D106:D124)</f>
        <v>498794.86599999998</v>
      </c>
      <c r="E125" s="34">
        <f t="shared" ref="E125:M125" si="61">SUM(E106:E124)</f>
        <v>384500.5088800001</v>
      </c>
      <c r="F125" s="34">
        <f t="shared" si="61"/>
        <v>395658.68655640009</v>
      </c>
      <c r="G125" s="34">
        <f t="shared" si="61"/>
        <v>407164.64271959197</v>
      </c>
      <c r="H125" s="34">
        <f t="shared" si="61"/>
        <v>274810.14790867991</v>
      </c>
      <c r="I125" s="34">
        <f t="shared" si="61"/>
        <v>431222.44646121014</v>
      </c>
      <c r="J125" s="34">
        <f t="shared" si="61"/>
        <v>445172.2397938699</v>
      </c>
      <c r="K125" s="34">
        <f t="shared" si="61"/>
        <v>458122.29482301639</v>
      </c>
      <c r="L125" s="34">
        <f t="shared" si="61"/>
        <v>471460.85150303715</v>
      </c>
      <c r="M125" s="34">
        <f t="shared" si="61"/>
        <v>4956960.8624273743</v>
      </c>
    </row>
    <row r="126" spans="1:13" x14ac:dyDescent="0.25">
      <c r="A126" s="39" t="s">
        <v>121</v>
      </c>
      <c r="B126" s="39"/>
      <c r="C126" s="34">
        <f>-PV($D$96,C99,,C125)</f>
        <v>-4495000</v>
      </c>
      <c r="D126" s="34">
        <f t="shared" ref="D126:M126" si="62">-PV($D$96,D99,,D125)</f>
        <v>457159.17213269375</v>
      </c>
      <c r="E126" s="34">
        <f t="shared" si="62"/>
        <v>322989.08387563302</v>
      </c>
      <c r="F126" s="34">
        <f t="shared" si="62"/>
        <v>304619.07396777213</v>
      </c>
      <c r="G126" s="34">
        <f t="shared" si="62"/>
        <v>287310.77210366336</v>
      </c>
      <c r="H126" s="34">
        <f t="shared" si="62"/>
        <v>177729.72961335152</v>
      </c>
      <c r="I126" s="34">
        <f t="shared" si="62"/>
        <v>255607.81995884792</v>
      </c>
      <c r="J126" s="34">
        <f t="shared" si="62"/>
        <v>241850.12414783475</v>
      </c>
      <c r="K126" s="34">
        <f t="shared" si="62"/>
        <v>228110.42329703315</v>
      </c>
      <c r="L126" s="34">
        <f t="shared" si="62"/>
        <v>215156.6640356555</v>
      </c>
      <c r="M126" s="34">
        <f t="shared" si="62"/>
        <v>2073338.0530006415</v>
      </c>
    </row>
    <row r="127" spans="1:13" s="39" customFormat="1" x14ac:dyDescent="0.25"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</row>
    <row r="128" spans="1:13" x14ac:dyDescent="0.25">
      <c r="A128" s="40" t="s">
        <v>122</v>
      </c>
      <c r="B128" s="39"/>
      <c r="C128" s="34">
        <f>SUM(C126:M126)</f>
        <v>68870.91613312671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</row>
    <row r="129" spans="1:13" x14ac:dyDescent="0.25">
      <c r="A129" s="40" t="s">
        <v>123</v>
      </c>
      <c r="B129" s="39"/>
      <c r="C129" s="42">
        <f>IRR(C125:M125)</f>
        <v>9.3464575303428665E-2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</row>
    <row r="130" spans="1:13" s="39" customFormat="1" x14ac:dyDescent="0.25">
      <c r="A130" s="40"/>
      <c r="C130" s="42"/>
      <c r="D130" s="34"/>
      <c r="F130" s="34"/>
      <c r="G130" s="34"/>
      <c r="H130" s="34"/>
      <c r="I130" s="34"/>
      <c r="J130" s="34"/>
      <c r="K130" s="34"/>
      <c r="L130" s="34"/>
      <c r="M130" s="34"/>
    </row>
    <row r="131" spans="1:13" s="39" customFormat="1" x14ac:dyDescent="0.25">
      <c r="A131" s="40"/>
      <c r="B131" s="39" t="s">
        <v>92</v>
      </c>
      <c r="C131" s="42">
        <f>D96</f>
        <v>9.1074829961458659E-2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</row>
    <row r="132" spans="1:13" x14ac:dyDescent="0.25">
      <c r="A132" s="40"/>
      <c r="B132" s="39"/>
      <c r="C132" s="45"/>
      <c r="D132" s="34"/>
      <c r="E132" s="34"/>
      <c r="F132" s="34"/>
      <c r="G132" s="34"/>
      <c r="H132" s="34"/>
      <c r="I132" s="34"/>
      <c r="J132" s="34"/>
      <c r="K132" s="34"/>
      <c r="L132" s="34"/>
      <c r="M132" s="34"/>
    </row>
    <row r="133" spans="1:13" x14ac:dyDescent="0.25">
      <c r="B133" s="53" t="s">
        <v>127</v>
      </c>
      <c r="C133" s="43">
        <f>D81/(1+(1-D91)*(D93/D94))</f>
        <v>0.69957496009500975</v>
      </c>
      <c r="H133" s="39"/>
      <c r="I133" s="39"/>
      <c r="L133"/>
      <c r="M133"/>
    </row>
    <row r="134" spans="1:13" x14ac:dyDescent="0.25">
      <c r="B134" s="53" t="s">
        <v>128</v>
      </c>
      <c r="C134" s="43">
        <f>(1+(1-D91)*(C138/C139))*C133</f>
        <v>-1.3864467402419538</v>
      </c>
      <c r="H134" s="39"/>
      <c r="I134" s="39"/>
      <c r="L134"/>
      <c r="M134"/>
    </row>
    <row r="135" spans="1:13" x14ac:dyDescent="0.25">
      <c r="H135" s="39"/>
      <c r="I135" s="39"/>
      <c r="L135"/>
      <c r="M135"/>
    </row>
    <row r="136" spans="1:13" x14ac:dyDescent="0.25">
      <c r="B136" t="s">
        <v>129</v>
      </c>
      <c r="C136" s="42">
        <f>D82+C134*(D83-D82)</f>
        <v>-0.14147965414478428</v>
      </c>
      <c r="H136" s="39"/>
      <c r="I136" s="39"/>
      <c r="L136"/>
      <c r="M136"/>
    </row>
    <row r="137" spans="1:13" x14ac:dyDescent="0.25">
      <c r="H137" s="39"/>
      <c r="I137" s="39"/>
      <c r="L137"/>
      <c r="M137"/>
    </row>
    <row r="138" spans="1:13" x14ac:dyDescent="0.25">
      <c r="B138" t="s">
        <v>130</v>
      </c>
      <c r="C138" s="42">
        <v>1.2787496402711422</v>
      </c>
      <c r="I138" s="39"/>
      <c r="J138" s="39"/>
      <c r="L138"/>
      <c r="M138"/>
    </row>
    <row r="139" spans="1:13" x14ac:dyDescent="0.25">
      <c r="B139" t="s">
        <v>131</v>
      </c>
      <c r="C139" s="42">
        <f>1-C138</f>
        <v>-0.27874964027114224</v>
      </c>
      <c r="I139" s="39"/>
      <c r="J139" s="39"/>
      <c r="L139"/>
      <c r="M139"/>
    </row>
    <row r="140" spans="1:13" x14ac:dyDescent="0.25">
      <c r="J140" s="39"/>
      <c r="K140" s="39"/>
      <c r="L140"/>
      <c r="M140"/>
    </row>
    <row r="141" spans="1:13" x14ac:dyDescent="0.25">
      <c r="B141" t="s">
        <v>133</v>
      </c>
      <c r="C141" s="42">
        <f>(C138*E87*(1-D91))+(C139*C136)</f>
        <v>9.3464574999999994E-2</v>
      </c>
      <c r="K141" s="39"/>
      <c r="M141"/>
    </row>
    <row r="142" spans="1:13" x14ac:dyDescent="0.25">
      <c r="K142" s="39"/>
      <c r="M142"/>
    </row>
    <row r="143" spans="1:13" x14ac:dyDescent="0.25">
      <c r="B143" s="34" t="s">
        <v>135</v>
      </c>
      <c r="K143" s="39"/>
      <c r="M143"/>
    </row>
    <row r="144" spans="1:13" x14ac:dyDescent="0.25">
      <c r="B144" t="s">
        <v>134</v>
      </c>
      <c r="K144" s="39"/>
      <c r="M144"/>
    </row>
    <row r="145" spans="11:13" x14ac:dyDescent="0.25">
      <c r="K145" s="39"/>
      <c r="M145"/>
    </row>
    <row r="146" spans="11:13" x14ac:dyDescent="0.25">
      <c r="K146" s="39"/>
      <c r="M146"/>
    </row>
    <row r="147" spans="11:13" x14ac:dyDescent="0.25">
      <c r="K147" s="39"/>
      <c r="M147"/>
    </row>
    <row r="148" spans="11:13" x14ac:dyDescent="0.25">
      <c r="K148" s="39"/>
      <c r="M148"/>
    </row>
    <row r="149" spans="11:13" x14ac:dyDescent="0.25">
      <c r="K149" s="39"/>
      <c r="M149"/>
    </row>
    <row r="150" spans="11:13" x14ac:dyDescent="0.25">
      <c r="K150" s="39"/>
      <c r="M150"/>
    </row>
    <row r="151" spans="11:13" x14ac:dyDescent="0.25">
      <c r="K151" s="39"/>
      <c r="M151"/>
    </row>
    <row r="152" spans="11:13" x14ac:dyDescent="0.25">
      <c r="K152" s="39"/>
      <c r="M152"/>
    </row>
    <row r="153" spans="11:13" x14ac:dyDescent="0.25">
      <c r="K153" s="39"/>
      <c r="M153"/>
    </row>
    <row r="154" spans="11:13" x14ac:dyDescent="0.25">
      <c r="K154" s="39"/>
      <c r="M154"/>
    </row>
    <row r="155" spans="11:13" x14ac:dyDescent="0.25">
      <c r="K155" s="39"/>
      <c r="M155"/>
    </row>
    <row r="156" spans="11:13" x14ac:dyDescent="0.25">
      <c r="K156" s="39"/>
      <c r="M156"/>
    </row>
    <row r="157" spans="11:13" x14ac:dyDescent="0.25">
      <c r="K157" s="39"/>
      <c r="M157"/>
    </row>
    <row r="158" spans="11:13" x14ac:dyDescent="0.25">
      <c r="K158" s="39"/>
      <c r="M158"/>
    </row>
    <row r="159" spans="11:13" x14ac:dyDescent="0.25">
      <c r="K159" s="39"/>
      <c r="M159"/>
    </row>
    <row r="160" spans="11:13" x14ac:dyDescent="0.25">
      <c r="K160" s="39"/>
      <c r="M160"/>
    </row>
    <row r="161" spans="11:13" x14ac:dyDescent="0.25">
      <c r="K161" s="39"/>
      <c r="M161"/>
    </row>
    <row r="162" spans="11:13" x14ac:dyDescent="0.25">
      <c r="K162" s="39"/>
      <c r="M162"/>
    </row>
    <row r="163" spans="11:13" x14ac:dyDescent="0.25">
      <c r="K163" s="39"/>
      <c r="M163"/>
    </row>
    <row r="164" spans="11:13" x14ac:dyDescent="0.25">
      <c r="K164" s="39"/>
      <c r="M164"/>
    </row>
    <row r="165" spans="11:13" x14ac:dyDescent="0.25">
      <c r="K165" s="39"/>
      <c r="M165"/>
    </row>
    <row r="166" spans="11:13" x14ac:dyDescent="0.25">
      <c r="K166" s="39"/>
      <c r="M166"/>
    </row>
    <row r="167" spans="11:13" x14ac:dyDescent="0.25">
      <c r="K167" s="39"/>
      <c r="M167"/>
    </row>
    <row r="168" spans="11:13" x14ac:dyDescent="0.25">
      <c r="K168" s="39"/>
      <c r="M168"/>
    </row>
  </sheetData>
  <mergeCells count="2">
    <mergeCell ref="D10:M10"/>
    <mergeCell ref="D37:M37"/>
  </mergeCells>
  <phoneticPr fontId="8" type="noConversion"/>
  <pageMargins left="0.7" right="0.7" top="0.75" bottom="0.75" header="0.3" footer="0.3"/>
  <pageSetup orientation="portrait" verticalDpi="300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80" zoomScaleNormal="80" zoomScalePageLayoutView="80" workbookViewId="0">
      <selection activeCell="E4" sqref="E4"/>
    </sheetView>
  </sheetViews>
  <sheetFormatPr defaultColWidth="11.42578125" defaultRowHeight="12.75" x14ac:dyDescent="0.2"/>
  <cols>
    <col min="1" max="1" width="11.42578125" style="31"/>
    <col min="2" max="2" width="15" style="31" bestFit="1" customWidth="1"/>
    <col min="3" max="3" width="14.28515625" style="31" customWidth="1"/>
    <col min="4" max="4" width="11.42578125" style="31"/>
    <col min="5" max="5" width="14.140625" style="31" customWidth="1"/>
    <col min="6" max="247" width="11.42578125" style="31"/>
    <col min="248" max="248" width="30.140625" style="31" customWidth="1"/>
    <col min="249" max="250" width="12.7109375" style="31" customWidth="1"/>
    <col min="251" max="251" width="12.85546875" style="31" customWidth="1"/>
    <col min="252" max="252" width="13.42578125" style="31" customWidth="1"/>
    <col min="253" max="253" width="12.42578125" style="31" customWidth="1"/>
    <col min="254" max="503" width="11.42578125" style="31"/>
    <col min="504" max="504" width="30.140625" style="31" customWidth="1"/>
    <col min="505" max="506" width="12.7109375" style="31" customWidth="1"/>
    <col min="507" max="507" width="12.85546875" style="31" customWidth="1"/>
    <col min="508" max="508" width="13.42578125" style="31" customWidth="1"/>
    <col min="509" max="509" width="12.42578125" style="31" customWidth="1"/>
    <col min="510" max="759" width="11.42578125" style="31"/>
    <col min="760" max="760" width="30.140625" style="31" customWidth="1"/>
    <col min="761" max="762" width="12.7109375" style="31" customWidth="1"/>
    <col min="763" max="763" width="12.85546875" style="31" customWidth="1"/>
    <col min="764" max="764" width="13.42578125" style="31" customWidth="1"/>
    <col min="765" max="765" width="12.42578125" style="31" customWidth="1"/>
    <col min="766" max="1015" width="11.42578125" style="31"/>
    <col min="1016" max="1016" width="30.140625" style="31" customWidth="1"/>
    <col min="1017" max="1018" width="12.7109375" style="31" customWidth="1"/>
    <col min="1019" max="1019" width="12.85546875" style="31" customWidth="1"/>
    <col min="1020" max="1020" width="13.42578125" style="31" customWidth="1"/>
    <col min="1021" max="1021" width="12.42578125" style="31" customWidth="1"/>
    <col min="1022" max="1271" width="11.42578125" style="31"/>
    <col min="1272" max="1272" width="30.140625" style="31" customWidth="1"/>
    <col min="1273" max="1274" width="12.7109375" style="31" customWidth="1"/>
    <col min="1275" max="1275" width="12.85546875" style="31" customWidth="1"/>
    <col min="1276" max="1276" width="13.42578125" style="31" customWidth="1"/>
    <col min="1277" max="1277" width="12.42578125" style="31" customWidth="1"/>
    <col min="1278" max="1527" width="11.42578125" style="31"/>
    <col min="1528" max="1528" width="30.140625" style="31" customWidth="1"/>
    <col min="1529" max="1530" width="12.7109375" style="31" customWidth="1"/>
    <col min="1531" max="1531" width="12.85546875" style="31" customWidth="1"/>
    <col min="1532" max="1532" width="13.42578125" style="31" customWidth="1"/>
    <col min="1533" max="1533" width="12.42578125" style="31" customWidth="1"/>
    <col min="1534" max="1783" width="11.42578125" style="31"/>
    <col min="1784" max="1784" width="30.140625" style="31" customWidth="1"/>
    <col min="1785" max="1786" width="12.7109375" style="31" customWidth="1"/>
    <col min="1787" max="1787" width="12.85546875" style="31" customWidth="1"/>
    <col min="1788" max="1788" width="13.42578125" style="31" customWidth="1"/>
    <col min="1789" max="1789" width="12.42578125" style="31" customWidth="1"/>
    <col min="1790" max="2039" width="11.42578125" style="31"/>
    <col min="2040" max="2040" width="30.140625" style="31" customWidth="1"/>
    <col min="2041" max="2042" width="12.7109375" style="31" customWidth="1"/>
    <col min="2043" max="2043" width="12.85546875" style="31" customWidth="1"/>
    <col min="2044" max="2044" width="13.42578125" style="31" customWidth="1"/>
    <col min="2045" max="2045" width="12.42578125" style="31" customWidth="1"/>
    <col min="2046" max="2295" width="11.42578125" style="31"/>
    <col min="2296" max="2296" width="30.140625" style="31" customWidth="1"/>
    <col min="2297" max="2298" width="12.7109375" style="31" customWidth="1"/>
    <col min="2299" max="2299" width="12.85546875" style="31" customWidth="1"/>
    <col min="2300" max="2300" width="13.42578125" style="31" customWidth="1"/>
    <col min="2301" max="2301" width="12.42578125" style="31" customWidth="1"/>
    <col min="2302" max="2551" width="11.42578125" style="31"/>
    <col min="2552" max="2552" width="30.140625" style="31" customWidth="1"/>
    <col min="2553" max="2554" width="12.7109375" style="31" customWidth="1"/>
    <col min="2555" max="2555" width="12.85546875" style="31" customWidth="1"/>
    <col min="2556" max="2556" width="13.42578125" style="31" customWidth="1"/>
    <col min="2557" max="2557" width="12.42578125" style="31" customWidth="1"/>
    <col min="2558" max="2807" width="11.42578125" style="31"/>
    <col min="2808" max="2808" width="30.140625" style="31" customWidth="1"/>
    <col min="2809" max="2810" width="12.7109375" style="31" customWidth="1"/>
    <col min="2811" max="2811" width="12.85546875" style="31" customWidth="1"/>
    <col min="2812" max="2812" width="13.42578125" style="31" customWidth="1"/>
    <col min="2813" max="2813" width="12.42578125" style="31" customWidth="1"/>
    <col min="2814" max="3063" width="11.42578125" style="31"/>
    <col min="3064" max="3064" width="30.140625" style="31" customWidth="1"/>
    <col min="3065" max="3066" width="12.7109375" style="31" customWidth="1"/>
    <col min="3067" max="3067" width="12.85546875" style="31" customWidth="1"/>
    <col min="3068" max="3068" width="13.42578125" style="31" customWidth="1"/>
    <col min="3069" max="3069" width="12.42578125" style="31" customWidth="1"/>
    <col min="3070" max="3319" width="11.42578125" style="31"/>
    <col min="3320" max="3320" width="30.140625" style="31" customWidth="1"/>
    <col min="3321" max="3322" width="12.7109375" style="31" customWidth="1"/>
    <col min="3323" max="3323" width="12.85546875" style="31" customWidth="1"/>
    <col min="3324" max="3324" width="13.42578125" style="31" customWidth="1"/>
    <col min="3325" max="3325" width="12.42578125" style="31" customWidth="1"/>
    <col min="3326" max="3575" width="11.42578125" style="31"/>
    <col min="3576" max="3576" width="30.140625" style="31" customWidth="1"/>
    <col min="3577" max="3578" width="12.7109375" style="31" customWidth="1"/>
    <col min="3579" max="3579" width="12.85546875" style="31" customWidth="1"/>
    <col min="3580" max="3580" width="13.42578125" style="31" customWidth="1"/>
    <col min="3581" max="3581" width="12.42578125" style="31" customWidth="1"/>
    <col min="3582" max="3831" width="11.42578125" style="31"/>
    <col min="3832" max="3832" width="30.140625" style="31" customWidth="1"/>
    <col min="3833" max="3834" width="12.7109375" style="31" customWidth="1"/>
    <col min="3835" max="3835" width="12.85546875" style="31" customWidth="1"/>
    <col min="3836" max="3836" width="13.42578125" style="31" customWidth="1"/>
    <col min="3837" max="3837" width="12.42578125" style="31" customWidth="1"/>
    <col min="3838" max="4087" width="11.42578125" style="31"/>
    <col min="4088" max="4088" width="30.140625" style="31" customWidth="1"/>
    <col min="4089" max="4090" width="12.7109375" style="31" customWidth="1"/>
    <col min="4091" max="4091" width="12.85546875" style="31" customWidth="1"/>
    <col min="4092" max="4092" width="13.42578125" style="31" customWidth="1"/>
    <col min="4093" max="4093" width="12.42578125" style="31" customWidth="1"/>
    <col min="4094" max="4343" width="11.42578125" style="31"/>
    <col min="4344" max="4344" width="30.140625" style="31" customWidth="1"/>
    <col min="4345" max="4346" width="12.7109375" style="31" customWidth="1"/>
    <col min="4347" max="4347" width="12.85546875" style="31" customWidth="1"/>
    <col min="4348" max="4348" width="13.42578125" style="31" customWidth="1"/>
    <col min="4349" max="4349" width="12.42578125" style="31" customWidth="1"/>
    <col min="4350" max="4599" width="11.42578125" style="31"/>
    <col min="4600" max="4600" width="30.140625" style="31" customWidth="1"/>
    <col min="4601" max="4602" width="12.7109375" style="31" customWidth="1"/>
    <col min="4603" max="4603" width="12.85546875" style="31" customWidth="1"/>
    <col min="4604" max="4604" width="13.42578125" style="31" customWidth="1"/>
    <col min="4605" max="4605" width="12.42578125" style="31" customWidth="1"/>
    <col min="4606" max="4855" width="11.42578125" style="31"/>
    <col min="4856" max="4856" width="30.140625" style="31" customWidth="1"/>
    <col min="4857" max="4858" width="12.7109375" style="31" customWidth="1"/>
    <col min="4859" max="4859" width="12.85546875" style="31" customWidth="1"/>
    <col min="4860" max="4860" width="13.42578125" style="31" customWidth="1"/>
    <col min="4861" max="4861" width="12.42578125" style="31" customWidth="1"/>
    <col min="4862" max="5111" width="11.42578125" style="31"/>
    <col min="5112" max="5112" width="30.140625" style="31" customWidth="1"/>
    <col min="5113" max="5114" width="12.7109375" style="31" customWidth="1"/>
    <col min="5115" max="5115" width="12.85546875" style="31" customWidth="1"/>
    <col min="5116" max="5116" width="13.42578125" style="31" customWidth="1"/>
    <col min="5117" max="5117" width="12.42578125" style="31" customWidth="1"/>
    <col min="5118" max="5367" width="11.42578125" style="31"/>
    <col min="5368" max="5368" width="30.140625" style="31" customWidth="1"/>
    <col min="5369" max="5370" width="12.7109375" style="31" customWidth="1"/>
    <col min="5371" max="5371" width="12.85546875" style="31" customWidth="1"/>
    <col min="5372" max="5372" width="13.42578125" style="31" customWidth="1"/>
    <col min="5373" max="5373" width="12.42578125" style="31" customWidth="1"/>
    <col min="5374" max="5623" width="11.42578125" style="31"/>
    <col min="5624" max="5624" width="30.140625" style="31" customWidth="1"/>
    <col min="5625" max="5626" width="12.7109375" style="31" customWidth="1"/>
    <col min="5627" max="5627" width="12.85546875" style="31" customWidth="1"/>
    <col min="5628" max="5628" width="13.42578125" style="31" customWidth="1"/>
    <col min="5629" max="5629" width="12.42578125" style="31" customWidth="1"/>
    <col min="5630" max="5879" width="11.42578125" style="31"/>
    <col min="5880" max="5880" width="30.140625" style="31" customWidth="1"/>
    <col min="5881" max="5882" width="12.7109375" style="31" customWidth="1"/>
    <col min="5883" max="5883" width="12.85546875" style="31" customWidth="1"/>
    <col min="5884" max="5884" width="13.42578125" style="31" customWidth="1"/>
    <col min="5885" max="5885" width="12.42578125" style="31" customWidth="1"/>
    <col min="5886" max="6135" width="11.42578125" style="31"/>
    <col min="6136" max="6136" width="30.140625" style="31" customWidth="1"/>
    <col min="6137" max="6138" width="12.7109375" style="31" customWidth="1"/>
    <col min="6139" max="6139" width="12.85546875" style="31" customWidth="1"/>
    <col min="6140" max="6140" width="13.42578125" style="31" customWidth="1"/>
    <col min="6141" max="6141" width="12.42578125" style="31" customWidth="1"/>
    <col min="6142" max="6391" width="11.42578125" style="31"/>
    <col min="6392" max="6392" width="30.140625" style="31" customWidth="1"/>
    <col min="6393" max="6394" width="12.7109375" style="31" customWidth="1"/>
    <col min="6395" max="6395" width="12.85546875" style="31" customWidth="1"/>
    <col min="6396" max="6396" width="13.42578125" style="31" customWidth="1"/>
    <col min="6397" max="6397" width="12.42578125" style="31" customWidth="1"/>
    <col min="6398" max="6647" width="11.42578125" style="31"/>
    <col min="6648" max="6648" width="30.140625" style="31" customWidth="1"/>
    <col min="6649" max="6650" width="12.7109375" style="31" customWidth="1"/>
    <col min="6651" max="6651" width="12.85546875" style="31" customWidth="1"/>
    <col min="6652" max="6652" width="13.42578125" style="31" customWidth="1"/>
    <col min="6653" max="6653" width="12.42578125" style="31" customWidth="1"/>
    <col min="6654" max="6903" width="11.42578125" style="31"/>
    <col min="6904" max="6904" width="30.140625" style="31" customWidth="1"/>
    <col min="6905" max="6906" width="12.7109375" style="31" customWidth="1"/>
    <col min="6907" max="6907" width="12.85546875" style="31" customWidth="1"/>
    <col min="6908" max="6908" width="13.42578125" style="31" customWidth="1"/>
    <col min="6909" max="6909" width="12.42578125" style="31" customWidth="1"/>
    <col min="6910" max="7159" width="11.42578125" style="31"/>
    <col min="7160" max="7160" width="30.140625" style="31" customWidth="1"/>
    <col min="7161" max="7162" width="12.7109375" style="31" customWidth="1"/>
    <col min="7163" max="7163" width="12.85546875" style="31" customWidth="1"/>
    <col min="7164" max="7164" width="13.42578125" style="31" customWidth="1"/>
    <col min="7165" max="7165" width="12.42578125" style="31" customWidth="1"/>
    <col min="7166" max="7415" width="11.42578125" style="31"/>
    <col min="7416" max="7416" width="30.140625" style="31" customWidth="1"/>
    <col min="7417" max="7418" width="12.7109375" style="31" customWidth="1"/>
    <col min="7419" max="7419" width="12.85546875" style="31" customWidth="1"/>
    <col min="7420" max="7420" width="13.42578125" style="31" customWidth="1"/>
    <col min="7421" max="7421" width="12.42578125" style="31" customWidth="1"/>
    <col min="7422" max="7671" width="11.42578125" style="31"/>
    <col min="7672" max="7672" width="30.140625" style="31" customWidth="1"/>
    <col min="7673" max="7674" width="12.7109375" style="31" customWidth="1"/>
    <col min="7675" max="7675" width="12.85546875" style="31" customWidth="1"/>
    <col min="7676" max="7676" width="13.42578125" style="31" customWidth="1"/>
    <col min="7677" max="7677" width="12.42578125" style="31" customWidth="1"/>
    <col min="7678" max="7927" width="11.42578125" style="31"/>
    <col min="7928" max="7928" width="30.140625" style="31" customWidth="1"/>
    <col min="7929" max="7930" width="12.7109375" style="31" customWidth="1"/>
    <col min="7931" max="7931" width="12.85546875" style="31" customWidth="1"/>
    <col min="7932" max="7932" width="13.42578125" style="31" customWidth="1"/>
    <col min="7933" max="7933" width="12.42578125" style="31" customWidth="1"/>
    <col min="7934" max="8183" width="11.42578125" style="31"/>
    <col min="8184" max="8184" width="30.140625" style="31" customWidth="1"/>
    <col min="8185" max="8186" width="12.7109375" style="31" customWidth="1"/>
    <col min="8187" max="8187" width="12.85546875" style="31" customWidth="1"/>
    <col min="8188" max="8188" width="13.42578125" style="31" customWidth="1"/>
    <col min="8189" max="8189" width="12.42578125" style="31" customWidth="1"/>
    <col min="8190" max="8439" width="11.42578125" style="31"/>
    <col min="8440" max="8440" width="30.140625" style="31" customWidth="1"/>
    <col min="8441" max="8442" width="12.7109375" style="31" customWidth="1"/>
    <col min="8443" max="8443" width="12.85546875" style="31" customWidth="1"/>
    <col min="8444" max="8444" width="13.42578125" style="31" customWidth="1"/>
    <col min="8445" max="8445" width="12.42578125" style="31" customWidth="1"/>
    <col min="8446" max="8695" width="11.42578125" style="31"/>
    <col min="8696" max="8696" width="30.140625" style="31" customWidth="1"/>
    <col min="8697" max="8698" width="12.7109375" style="31" customWidth="1"/>
    <col min="8699" max="8699" width="12.85546875" style="31" customWidth="1"/>
    <col min="8700" max="8700" width="13.42578125" style="31" customWidth="1"/>
    <col min="8701" max="8701" width="12.42578125" style="31" customWidth="1"/>
    <col min="8702" max="8951" width="11.42578125" style="31"/>
    <col min="8952" max="8952" width="30.140625" style="31" customWidth="1"/>
    <col min="8953" max="8954" width="12.7109375" style="31" customWidth="1"/>
    <col min="8955" max="8955" width="12.85546875" style="31" customWidth="1"/>
    <col min="8956" max="8956" width="13.42578125" style="31" customWidth="1"/>
    <col min="8957" max="8957" width="12.42578125" style="31" customWidth="1"/>
    <col min="8958" max="9207" width="11.42578125" style="31"/>
    <col min="9208" max="9208" width="30.140625" style="31" customWidth="1"/>
    <col min="9209" max="9210" width="12.7109375" style="31" customWidth="1"/>
    <col min="9211" max="9211" width="12.85546875" style="31" customWidth="1"/>
    <col min="9212" max="9212" width="13.42578125" style="31" customWidth="1"/>
    <col min="9213" max="9213" width="12.42578125" style="31" customWidth="1"/>
    <col min="9214" max="9463" width="11.42578125" style="31"/>
    <col min="9464" max="9464" width="30.140625" style="31" customWidth="1"/>
    <col min="9465" max="9466" width="12.7109375" style="31" customWidth="1"/>
    <col min="9467" max="9467" width="12.85546875" style="31" customWidth="1"/>
    <col min="9468" max="9468" width="13.42578125" style="31" customWidth="1"/>
    <col min="9469" max="9469" width="12.42578125" style="31" customWidth="1"/>
    <col min="9470" max="9719" width="11.42578125" style="31"/>
    <col min="9720" max="9720" width="30.140625" style="31" customWidth="1"/>
    <col min="9721" max="9722" width="12.7109375" style="31" customWidth="1"/>
    <col min="9723" max="9723" width="12.85546875" style="31" customWidth="1"/>
    <col min="9724" max="9724" width="13.42578125" style="31" customWidth="1"/>
    <col min="9725" max="9725" width="12.42578125" style="31" customWidth="1"/>
    <col min="9726" max="9975" width="11.42578125" style="31"/>
    <col min="9976" max="9976" width="30.140625" style="31" customWidth="1"/>
    <col min="9977" max="9978" width="12.7109375" style="31" customWidth="1"/>
    <col min="9979" max="9979" width="12.85546875" style="31" customWidth="1"/>
    <col min="9980" max="9980" width="13.42578125" style="31" customWidth="1"/>
    <col min="9981" max="9981" width="12.42578125" style="31" customWidth="1"/>
    <col min="9982" max="10231" width="11.42578125" style="31"/>
    <col min="10232" max="10232" width="30.140625" style="31" customWidth="1"/>
    <col min="10233" max="10234" width="12.7109375" style="31" customWidth="1"/>
    <col min="10235" max="10235" width="12.85546875" style="31" customWidth="1"/>
    <col min="10236" max="10236" width="13.42578125" style="31" customWidth="1"/>
    <col min="10237" max="10237" width="12.42578125" style="31" customWidth="1"/>
    <col min="10238" max="10487" width="11.42578125" style="31"/>
    <col min="10488" max="10488" width="30.140625" style="31" customWidth="1"/>
    <col min="10489" max="10490" width="12.7109375" style="31" customWidth="1"/>
    <col min="10491" max="10491" width="12.85546875" style="31" customWidth="1"/>
    <col min="10492" max="10492" width="13.42578125" style="31" customWidth="1"/>
    <col min="10493" max="10493" width="12.42578125" style="31" customWidth="1"/>
    <col min="10494" max="10743" width="11.42578125" style="31"/>
    <col min="10744" max="10744" width="30.140625" style="31" customWidth="1"/>
    <col min="10745" max="10746" width="12.7109375" style="31" customWidth="1"/>
    <col min="10747" max="10747" width="12.85546875" style="31" customWidth="1"/>
    <col min="10748" max="10748" width="13.42578125" style="31" customWidth="1"/>
    <col min="10749" max="10749" width="12.42578125" style="31" customWidth="1"/>
    <col min="10750" max="10999" width="11.42578125" style="31"/>
    <col min="11000" max="11000" width="30.140625" style="31" customWidth="1"/>
    <col min="11001" max="11002" width="12.7109375" style="31" customWidth="1"/>
    <col min="11003" max="11003" width="12.85546875" style="31" customWidth="1"/>
    <col min="11004" max="11004" width="13.42578125" style="31" customWidth="1"/>
    <col min="11005" max="11005" width="12.42578125" style="31" customWidth="1"/>
    <col min="11006" max="11255" width="11.42578125" style="31"/>
    <col min="11256" max="11256" width="30.140625" style="31" customWidth="1"/>
    <col min="11257" max="11258" width="12.7109375" style="31" customWidth="1"/>
    <col min="11259" max="11259" width="12.85546875" style="31" customWidth="1"/>
    <col min="11260" max="11260" width="13.42578125" style="31" customWidth="1"/>
    <col min="11261" max="11261" width="12.42578125" style="31" customWidth="1"/>
    <col min="11262" max="11511" width="11.42578125" style="31"/>
    <col min="11512" max="11512" width="30.140625" style="31" customWidth="1"/>
    <col min="11513" max="11514" width="12.7109375" style="31" customWidth="1"/>
    <col min="11515" max="11515" width="12.85546875" style="31" customWidth="1"/>
    <col min="11516" max="11516" width="13.42578125" style="31" customWidth="1"/>
    <col min="11517" max="11517" width="12.42578125" style="31" customWidth="1"/>
    <col min="11518" max="11767" width="11.42578125" style="31"/>
    <col min="11768" max="11768" width="30.140625" style="31" customWidth="1"/>
    <col min="11769" max="11770" width="12.7109375" style="31" customWidth="1"/>
    <col min="11771" max="11771" width="12.85546875" style="31" customWidth="1"/>
    <col min="11772" max="11772" width="13.42578125" style="31" customWidth="1"/>
    <col min="11773" max="11773" width="12.42578125" style="31" customWidth="1"/>
    <col min="11774" max="12023" width="11.42578125" style="31"/>
    <col min="12024" max="12024" width="30.140625" style="31" customWidth="1"/>
    <col min="12025" max="12026" width="12.7109375" style="31" customWidth="1"/>
    <col min="12027" max="12027" width="12.85546875" style="31" customWidth="1"/>
    <col min="12028" max="12028" width="13.42578125" style="31" customWidth="1"/>
    <col min="12029" max="12029" width="12.42578125" style="31" customWidth="1"/>
    <col min="12030" max="12279" width="11.42578125" style="31"/>
    <col min="12280" max="12280" width="30.140625" style="31" customWidth="1"/>
    <col min="12281" max="12282" width="12.7109375" style="31" customWidth="1"/>
    <col min="12283" max="12283" width="12.85546875" style="31" customWidth="1"/>
    <col min="12284" max="12284" width="13.42578125" style="31" customWidth="1"/>
    <col min="12285" max="12285" width="12.42578125" style="31" customWidth="1"/>
    <col min="12286" max="12535" width="11.42578125" style="31"/>
    <col min="12536" max="12536" width="30.140625" style="31" customWidth="1"/>
    <col min="12537" max="12538" width="12.7109375" style="31" customWidth="1"/>
    <col min="12539" max="12539" width="12.85546875" style="31" customWidth="1"/>
    <col min="12540" max="12540" width="13.42578125" style="31" customWidth="1"/>
    <col min="12541" max="12541" width="12.42578125" style="31" customWidth="1"/>
    <col min="12542" max="12791" width="11.42578125" style="31"/>
    <col min="12792" max="12792" width="30.140625" style="31" customWidth="1"/>
    <col min="12793" max="12794" width="12.7109375" style="31" customWidth="1"/>
    <col min="12795" max="12795" width="12.85546875" style="31" customWidth="1"/>
    <col min="12796" max="12796" width="13.42578125" style="31" customWidth="1"/>
    <col min="12797" max="12797" width="12.42578125" style="31" customWidth="1"/>
    <col min="12798" max="13047" width="11.42578125" style="31"/>
    <col min="13048" max="13048" width="30.140625" style="31" customWidth="1"/>
    <col min="13049" max="13050" width="12.7109375" style="31" customWidth="1"/>
    <col min="13051" max="13051" width="12.85546875" style="31" customWidth="1"/>
    <col min="13052" max="13052" width="13.42578125" style="31" customWidth="1"/>
    <col min="13053" max="13053" width="12.42578125" style="31" customWidth="1"/>
    <col min="13054" max="13303" width="11.42578125" style="31"/>
    <col min="13304" max="13304" width="30.140625" style="31" customWidth="1"/>
    <col min="13305" max="13306" width="12.7109375" style="31" customWidth="1"/>
    <col min="13307" max="13307" width="12.85546875" style="31" customWidth="1"/>
    <col min="13308" max="13308" width="13.42578125" style="31" customWidth="1"/>
    <col min="13309" max="13309" width="12.42578125" style="31" customWidth="1"/>
    <col min="13310" max="13559" width="11.42578125" style="31"/>
    <col min="13560" max="13560" width="30.140625" style="31" customWidth="1"/>
    <col min="13561" max="13562" width="12.7109375" style="31" customWidth="1"/>
    <col min="13563" max="13563" width="12.85546875" style="31" customWidth="1"/>
    <col min="13564" max="13564" width="13.42578125" style="31" customWidth="1"/>
    <col min="13565" max="13565" width="12.42578125" style="31" customWidth="1"/>
    <col min="13566" max="13815" width="11.42578125" style="31"/>
    <col min="13816" max="13816" width="30.140625" style="31" customWidth="1"/>
    <col min="13817" max="13818" width="12.7109375" style="31" customWidth="1"/>
    <col min="13819" max="13819" width="12.85546875" style="31" customWidth="1"/>
    <col min="13820" max="13820" width="13.42578125" style="31" customWidth="1"/>
    <col min="13821" max="13821" width="12.42578125" style="31" customWidth="1"/>
    <col min="13822" max="14071" width="11.42578125" style="31"/>
    <col min="14072" max="14072" width="30.140625" style="31" customWidth="1"/>
    <col min="14073" max="14074" width="12.7109375" style="31" customWidth="1"/>
    <col min="14075" max="14075" width="12.85546875" style="31" customWidth="1"/>
    <col min="14076" max="14076" width="13.42578125" style="31" customWidth="1"/>
    <col min="14077" max="14077" width="12.42578125" style="31" customWidth="1"/>
    <col min="14078" max="14327" width="11.42578125" style="31"/>
    <col min="14328" max="14328" width="30.140625" style="31" customWidth="1"/>
    <col min="14329" max="14330" width="12.7109375" style="31" customWidth="1"/>
    <col min="14331" max="14331" width="12.85546875" style="31" customWidth="1"/>
    <col min="14332" max="14332" width="13.42578125" style="31" customWidth="1"/>
    <col min="14333" max="14333" width="12.42578125" style="31" customWidth="1"/>
    <col min="14334" max="14583" width="11.42578125" style="31"/>
    <col min="14584" max="14584" width="30.140625" style="31" customWidth="1"/>
    <col min="14585" max="14586" width="12.7109375" style="31" customWidth="1"/>
    <col min="14587" max="14587" width="12.85546875" style="31" customWidth="1"/>
    <col min="14588" max="14588" width="13.42578125" style="31" customWidth="1"/>
    <col min="14589" max="14589" width="12.42578125" style="31" customWidth="1"/>
    <col min="14590" max="14839" width="11.42578125" style="31"/>
    <col min="14840" max="14840" width="30.140625" style="31" customWidth="1"/>
    <col min="14841" max="14842" width="12.7109375" style="31" customWidth="1"/>
    <col min="14843" max="14843" width="12.85546875" style="31" customWidth="1"/>
    <col min="14844" max="14844" width="13.42578125" style="31" customWidth="1"/>
    <col min="14845" max="14845" width="12.42578125" style="31" customWidth="1"/>
    <col min="14846" max="15095" width="11.42578125" style="31"/>
    <col min="15096" max="15096" width="30.140625" style="31" customWidth="1"/>
    <col min="15097" max="15098" width="12.7109375" style="31" customWidth="1"/>
    <col min="15099" max="15099" width="12.85546875" style="31" customWidth="1"/>
    <col min="15100" max="15100" width="13.42578125" style="31" customWidth="1"/>
    <col min="15101" max="15101" width="12.42578125" style="31" customWidth="1"/>
    <col min="15102" max="15351" width="11.42578125" style="31"/>
    <col min="15352" max="15352" width="30.140625" style="31" customWidth="1"/>
    <col min="15353" max="15354" width="12.7109375" style="31" customWidth="1"/>
    <col min="15355" max="15355" width="12.85546875" style="31" customWidth="1"/>
    <col min="15356" max="15356" width="13.42578125" style="31" customWidth="1"/>
    <col min="15357" max="15357" width="12.42578125" style="31" customWidth="1"/>
    <col min="15358" max="15607" width="11.42578125" style="31"/>
    <col min="15608" max="15608" width="30.140625" style="31" customWidth="1"/>
    <col min="15609" max="15610" width="12.7109375" style="31" customWidth="1"/>
    <col min="15611" max="15611" width="12.85546875" style="31" customWidth="1"/>
    <col min="15612" max="15612" width="13.42578125" style="31" customWidth="1"/>
    <col min="15613" max="15613" width="12.42578125" style="31" customWidth="1"/>
    <col min="15614" max="15863" width="11.42578125" style="31"/>
    <col min="15864" max="15864" width="30.140625" style="31" customWidth="1"/>
    <col min="15865" max="15866" width="12.7109375" style="31" customWidth="1"/>
    <col min="15867" max="15867" width="12.85546875" style="31" customWidth="1"/>
    <col min="15868" max="15868" width="13.42578125" style="31" customWidth="1"/>
    <col min="15869" max="15869" width="12.42578125" style="31" customWidth="1"/>
    <col min="15870" max="16119" width="11.42578125" style="31"/>
    <col min="16120" max="16120" width="30.140625" style="31" customWidth="1"/>
    <col min="16121" max="16122" width="12.7109375" style="31" customWidth="1"/>
    <col min="16123" max="16123" width="12.85546875" style="31" customWidth="1"/>
    <col min="16124" max="16124" width="13.42578125" style="31" customWidth="1"/>
    <col min="16125" max="16125" width="12.42578125" style="31" customWidth="1"/>
    <col min="16126" max="16384" width="11.42578125" style="31"/>
  </cols>
  <sheetData>
    <row r="1" spans="1:5" x14ac:dyDescent="0.2">
      <c r="B1" s="31" t="s">
        <v>103</v>
      </c>
      <c r="C1" s="31">
        <v>4495000</v>
      </c>
    </row>
    <row r="2" spans="1:5" x14ac:dyDescent="0.2">
      <c r="B2" s="31" t="s">
        <v>104</v>
      </c>
      <c r="C2" s="31">
        <v>900000</v>
      </c>
      <c r="D2" s="47">
        <f>C2/C1</f>
        <v>0.20022246941045607</v>
      </c>
    </row>
    <row r="3" spans="1:5" x14ac:dyDescent="0.2">
      <c r="B3" s="31" t="s">
        <v>13</v>
      </c>
      <c r="C3" s="31">
        <f>C1-C2</f>
        <v>3595000</v>
      </c>
      <c r="E3" s="31" t="s">
        <v>68</v>
      </c>
    </row>
    <row r="4" spans="1:5" x14ac:dyDescent="0.2">
      <c r="B4" s="31" t="s">
        <v>7</v>
      </c>
      <c r="C4" s="55">
        <v>6.5000000000000002E-2</v>
      </c>
      <c r="E4" s="56">
        <f>C4/12</f>
        <v>5.4166666666666669E-3</v>
      </c>
    </row>
    <row r="5" spans="1:5" x14ac:dyDescent="0.2">
      <c r="B5" s="31" t="s">
        <v>69</v>
      </c>
      <c r="C5" s="31">
        <v>30</v>
      </c>
      <c r="E5" s="31">
        <f>C5*12</f>
        <v>360</v>
      </c>
    </row>
    <row r="7" spans="1:5" x14ac:dyDescent="0.2">
      <c r="B7" s="31" t="s">
        <v>38</v>
      </c>
      <c r="E7" s="32">
        <f>PMT(E4,E5,C3,,0)</f>
        <v>-22722.845444572049</v>
      </c>
    </row>
    <row r="12" spans="1:5" x14ac:dyDescent="0.2">
      <c r="B12" s="33"/>
    </row>
    <row r="14" spans="1:5" x14ac:dyDescent="0.2">
      <c r="A14" s="31" t="s">
        <v>71</v>
      </c>
      <c r="B14" s="31" t="s">
        <v>13</v>
      </c>
      <c r="C14" s="31" t="s">
        <v>70</v>
      </c>
    </row>
    <row r="15" spans="1:5" x14ac:dyDescent="0.2">
      <c r="A15" s="31">
        <v>1</v>
      </c>
      <c r="B15" s="44">
        <f>$C$3+CUMPRINC($E$4,$E$5,C3,1,12,0)</f>
        <v>3554817.7693908885</v>
      </c>
      <c r="C15" s="44">
        <f>-CUMIPMT($E$4,$E$5,C3,1,12,0)</f>
        <v>232491.91472575313</v>
      </c>
    </row>
    <row r="16" spans="1:5" x14ac:dyDescent="0.2">
      <c r="A16" s="31">
        <v>2</v>
      </c>
      <c r="B16" s="44">
        <f>$C$3+CUMPRINC($E$4,$E$5,C3,1,24,0)</f>
        <v>3511944.4603802916</v>
      </c>
      <c r="C16" s="44">
        <f>-CUMIPMT($E$4,$E$5,C3,13,24,0)</f>
        <v>229800.83632426764</v>
      </c>
    </row>
    <row r="17" spans="1:3" x14ac:dyDescent="0.2">
      <c r="A17" s="31">
        <v>3</v>
      </c>
      <c r="B17" s="44">
        <f>$C$3+CUMPRINC($E$4,$E$5,C3,1,36,0)</f>
        <v>3466199.8464637776</v>
      </c>
      <c r="C17" s="44">
        <f>-CUMIPMT($E$4,$E$5,C3,25,36,0)</f>
        <v>226929.53141835061</v>
      </c>
    </row>
    <row r="18" spans="1:3" x14ac:dyDescent="0.2">
      <c r="A18" s="31">
        <v>4</v>
      </c>
      <c r="B18" s="44">
        <f>$C$3+CUMPRINC($E$4,$E$5,C3,1,48,0)</f>
        <v>3417391.6310341335</v>
      </c>
      <c r="C18" s="44">
        <f>-CUMIPMT($E$4,$E$5,C3,37,48,0)</f>
        <v>223865.92990522034</v>
      </c>
    </row>
    <row r="19" spans="1:3" x14ac:dyDescent="0.2">
      <c r="A19" s="31">
        <v>5</v>
      </c>
      <c r="B19" s="44">
        <f>$C$3+CUMPRINC($E$4,$E$5,C3,1,60,0)</f>
        <v>3365314.6390242265</v>
      </c>
      <c r="C19" s="44">
        <f>-CUMIPMT($E$4,$E$5,C3,49,60,0)</f>
        <v>220597.15332495794</v>
      </c>
    </row>
    <row r="20" spans="1:3" x14ac:dyDescent="0.2">
      <c r="A20" s="31">
        <v>6</v>
      </c>
      <c r="B20" s="44">
        <f>$C$3+CUMPRINC($E$4,$E$5,C3,1,72,0)</f>
        <v>3309749.954412695</v>
      </c>
      <c r="C20" s="44">
        <f>-CUMIPMT($E$4,$E$5,C3,61,72,0)</f>
        <v>217109.4607233328</v>
      </c>
    </row>
    <row r="21" spans="1:3" x14ac:dyDescent="0.2">
      <c r="A21" s="31">
        <v>7</v>
      </c>
      <c r="B21" s="44">
        <f>$C$3+CUMPRINC($E$4,$E$5,C3,1,84,0)</f>
        <v>3250463.9999667914</v>
      </c>
      <c r="C21" s="44">
        <f>-CUMIPMT($E$4,$E$5,C3,73,84,0)</f>
        <v>213388.19088896128</v>
      </c>
    </row>
    <row r="22" spans="1:3" x14ac:dyDescent="0.2">
      <c r="A22" s="31">
        <v>8</v>
      </c>
      <c r="B22" s="44">
        <f>$C$3+CUMPRINC($E$4,$E$5,C3,1,96,0)</f>
        <v>3187207.5553539074</v>
      </c>
      <c r="C22" s="44">
        <f>-CUMIPMT($E$4,$E$5,C3,85,96,0)</f>
        <v>209417.70072198065</v>
      </c>
    </row>
    <row r="23" spans="1:3" x14ac:dyDescent="0.2">
      <c r="A23" s="31">
        <v>9</v>
      </c>
      <c r="B23" s="44">
        <f>$C$3+CUMPRINC($E$4,$E$5,C3,1,108,0)</f>
        <v>3119714.7094942024</v>
      </c>
      <c r="C23" s="44">
        <f>-CUMIPMT($E$4,$E$5,C3,97,108,0)</f>
        <v>205181.2994751595</v>
      </c>
    </row>
    <row r="24" spans="1:3" x14ac:dyDescent="0.2">
      <c r="A24" s="31">
        <v>10</v>
      </c>
      <c r="B24" s="44">
        <f>$C$3+CUMPRINC($E$4,$E$5,C3,1,120,0)</f>
        <v>3047701.7427503504</v>
      </c>
      <c r="C24" s="44">
        <f>-CUMIPMT($E$4,$E$5,C3,109,120,0)</f>
        <v>200661.17859101284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zoomScale="80" zoomScaleNormal="80" zoomScalePageLayoutView="80" workbookViewId="0">
      <selection activeCell="C12" sqref="C12"/>
    </sheetView>
  </sheetViews>
  <sheetFormatPr defaultColWidth="8.85546875" defaultRowHeight="15" x14ac:dyDescent="0.25"/>
  <cols>
    <col min="1" max="1" width="17.85546875" bestFit="1" customWidth="1"/>
    <col min="2" max="2" width="11.42578125" customWidth="1"/>
    <col min="3" max="3" width="9.85546875" bestFit="1" customWidth="1"/>
  </cols>
  <sheetData>
    <row r="2" spans="1:2" x14ac:dyDescent="0.25">
      <c r="A2" t="s">
        <v>51</v>
      </c>
    </row>
    <row r="3" spans="1:2" x14ac:dyDescent="0.25">
      <c r="A3" t="s">
        <v>19</v>
      </c>
      <c r="B3">
        <v>109</v>
      </c>
    </row>
    <row r="4" spans="1:2" x14ac:dyDescent="0.25">
      <c r="A4" t="s">
        <v>20</v>
      </c>
      <c r="B4">
        <v>120</v>
      </c>
    </row>
    <row r="5" spans="1:2" x14ac:dyDescent="0.25">
      <c r="A5" t="s">
        <v>21</v>
      </c>
      <c r="B5">
        <v>130</v>
      </c>
    </row>
    <row r="6" spans="1:2" x14ac:dyDescent="0.25">
      <c r="A6" t="s">
        <v>22</v>
      </c>
      <c r="B6">
        <v>140</v>
      </c>
    </row>
    <row r="7" spans="1:2" x14ac:dyDescent="0.25">
      <c r="A7" t="s">
        <v>23</v>
      </c>
      <c r="B7">
        <v>150</v>
      </c>
    </row>
    <row r="8" spans="1:2" x14ac:dyDescent="0.25">
      <c r="A8" t="s">
        <v>24</v>
      </c>
      <c r="B8">
        <v>169</v>
      </c>
    </row>
    <row r="11" spans="1:2" x14ac:dyDescent="0.25">
      <c r="A11" t="s">
        <v>16</v>
      </c>
      <c r="B11">
        <v>0.44</v>
      </c>
    </row>
    <row r="12" spans="1:2" x14ac:dyDescent="0.25">
      <c r="A12" t="s">
        <v>17</v>
      </c>
      <c r="B12">
        <v>26</v>
      </c>
    </row>
    <row r="13" spans="1:2" x14ac:dyDescent="0.25">
      <c r="A13" t="s">
        <v>18</v>
      </c>
      <c r="B13">
        <v>16109</v>
      </c>
    </row>
    <row r="15" spans="1:2" x14ac:dyDescent="0.25">
      <c r="A15" t="s">
        <v>26</v>
      </c>
      <c r="B15" s="7">
        <f>'Pro Forma'!O43</f>
        <v>4495000</v>
      </c>
    </row>
    <row r="18" spans="1:4" x14ac:dyDescent="0.25">
      <c r="A18" t="s">
        <v>28</v>
      </c>
      <c r="B18" s="3" t="s">
        <v>35</v>
      </c>
      <c r="C18" s="3" t="s">
        <v>36</v>
      </c>
      <c r="D18" t="s">
        <v>37</v>
      </c>
    </row>
    <row r="19" spans="1:4" x14ac:dyDescent="0.25">
      <c r="A19" t="s">
        <v>33</v>
      </c>
      <c r="B19">
        <v>12</v>
      </c>
      <c r="C19">
        <v>8</v>
      </c>
      <c r="D19">
        <f>B19*C19*360</f>
        <v>34560</v>
      </c>
    </row>
    <row r="20" spans="1:4" x14ac:dyDescent="0.25">
      <c r="A20" t="s">
        <v>34</v>
      </c>
      <c r="B20">
        <v>24</v>
      </c>
      <c r="C20">
        <v>10</v>
      </c>
      <c r="D20">
        <f>B20*C20*360</f>
        <v>86400</v>
      </c>
    </row>
    <row r="23" spans="1:4" x14ac:dyDescent="0.25">
      <c r="A23" t="s">
        <v>93</v>
      </c>
    </row>
    <row r="24" spans="1:4" x14ac:dyDescent="0.25">
      <c r="A24" t="s">
        <v>101</v>
      </c>
      <c r="B24">
        <v>1.49</v>
      </c>
    </row>
    <row r="25" spans="1:4" x14ac:dyDescent="0.25">
      <c r="A25" t="s">
        <v>102</v>
      </c>
      <c r="B25">
        <v>1.32</v>
      </c>
    </row>
    <row r="26" spans="1:4" x14ac:dyDescent="0.25">
      <c r="A26" t="s">
        <v>132</v>
      </c>
      <c r="B26">
        <v>0.76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 Forma</vt:lpstr>
      <vt:lpstr>Mortgage</vt:lpstr>
      <vt:lpstr>Supplimental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2019-06-19T21:38:16Z</dcterms:created>
  <dcterms:modified xsi:type="dcterms:W3CDTF">2019-06-19T21:41:39Z</dcterms:modified>
</cp:coreProperties>
</file>