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300" yWindow="0" windowWidth="19440" windowHeight="11100" firstSheet="3" activeTab="3"/>
  </bookViews>
  <sheets>
    <sheet name="With Building" sheetId="1" state="hidden" r:id="rId1"/>
    <sheet name="With Rent Expense" sheetId="2" state="hidden" r:id="rId2"/>
    <sheet name="Sheet3" sheetId="3" state="hidden" r:id="rId3"/>
    <sheet name="Sheet6" sheetId="4" r:id="rId4"/>
  </sheets>
  <calcPr calcId="145621" iterateDelta="1E-4" concurrentCalc="0"/>
</workbook>
</file>

<file path=xl/calcChain.xml><?xml version="1.0" encoding="utf-8"?>
<calcChain xmlns="http://schemas.openxmlformats.org/spreadsheetml/2006/main">
  <c r="C78" i="4" l="1"/>
  <c r="C85" i="4"/>
  <c r="C77" i="4"/>
  <c r="C84" i="4"/>
  <c r="C87" i="4"/>
  <c r="C88" i="4"/>
  <c r="C91" i="4"/>
  <c r="C92" i="4"/>
  <c r="C90" i="4"/>
  <c r="B46" i="4"/>
  <c r="B114" i="4"/>
  <c r="B126" i="4"/>
  <c r="B127" i="4"/>
  <c r="C30" i="4"/>
  <c r="C22" i="4"/>
  <c r="C23" i="4"/>
  <c r="C21" i="4"/>
  <c r="C27" i="4"/>
  <c r="C28" i="4"/>
  <c r="C33" i="4"/>
  <c r="C25" i="4"/>
  <c r="C35" i="4"/>
  <c r="C105" i="4"/>
  <c r="C106" i="4"/>
  <c r="C107" i="4"/>
  <c r="C108" i="4"/>
  <c r="C109" i="4"/>
  <c r="C110" i="4"/>
  <c r="C111" i="4"/>
  <c r="C119" i="4"/>
  <c r="C41" i="4"/>
  <c r="C118" i="4"/>
  <c r="C126" i="4"/>
  <c r="C127" i="4"/>
  <c r="D30" i="4"/>
  <c r="D22" i="4"/>
  <c r="D23" i="4"/>
  <c r="D21" i="4"/>
  <c r="D27" i="4"/>
  <c r="D28" i="4"/>
  <c r="D33" i="4"/>
  <c r="D25" i="4"/>
  <c r="D35" i="4"/>
  <c r="D105" i="4"/>
  <c r="D106" i="4"/>
  <c r="D107" i="4"/>
  <c r="C80" i="4"/>
  <c r="D108" i="4"/>
  <c r="D109" i="4"/>
  <c r="D110" i="4"/>
  <c r="D111" i="4"/>
  <c r="D119" i="4"/>
  <c r="D41" i="4"/>
  <c r="D118" i="4"/>
  <c r="D126" i="4"/>
  <c r="D127" i="4"/>
  <c r="E30" i="4"/>
  <c r="E22" i="4"/>
  <c r="E23" i="4"/>
  <c r="E21" i="4"/>
  <c r="E27" i="4"/>
  <c r="E28" i="4"/>
  <c r="E33" i="4"/>
  <c r="E25" i="4"/>
  <c r="E35" i="4"/>
  <c r="E105" i="4"/>
  <c r="E106" i="4"/>
  <c r="E107" i="4"/>
  <c r="E108" i="4"/>
  <c r="E109" i="4"/>
  <c r="E110" i="4"/>
  <c r="E111" i="4"/>
  <c r="E119" i="4"/>
  <c r="E41" i="4"/>
  <c r="E118" i="4"/>
  <c r="E126" i="4"/>
  <c r="E127" i="4"/>
  <c r="F30" i="4"/>
  <c r="F22" i="4"/>
  <c r="F23" i="4"/>
  <c r="F21" i="4"/>
  <c r="F27" i="4"/>
  <c r="F28" i="4"/>
  <c r="F33" i="4"/>
  <c r="F25" i="4"/>
  <c r="F35" i="4"/>
  <c r="F105" i="4"/>
  <c r="F106" i="4"/>
  <c r="F107" i="4"/>
  <c r="F108" i="4"/>
  <c r="F109" i="4"/>
  <c r="F110" i="4"/>
  <c r="F111" i="4"/>
  <c r="F119" i="4"/>
  <c r="F41" i="4"/>
  <c r="F118" i="4"/>
  <c r="F126" i="4"/>
  <c r="F127" i="4"/>
  <c r="G30" i="4"/>
  <c r="G22" i="4"/>
  <c r="G23" i="4"/>
  <c r="G21" i="4"/>
  <c r="G27" i="4"/>
  <c r="G28" i="4"/>
  <c r="G33" i="4"/>
  <c r="G25" i="4"/>
  <c r="G35" i="4"/>
  <c r="G105" i="4"/>
  <c r="G106" i="4"/>
  <c r="G107" i="4"/>
  <c r="G108" i="4"/>
  <c r="G109" i="4"/>
  <c r="G110" i="4"/>
  <c r="G111" i="4"/>
  <c r="G119" i="4"/>
  <c r="G124" i="4"/>
  <c r="G47" i="4"/>
  <c r="G48" i="4"/>
  <c r="G115" i="4"/>
  <c r="G41" i="4"/>
  <c r="G118" i="4"/>
  <c r="G123" i="4"/>
  <c r="G126" i="4"/>
  <c r="G127" i="4"/>
  <c r="B129" i="4"/>
  <c r="B130" i="4"/>
  <c r="B120" i="4"/>
  <c r="D53" i="4"/>
  <c r="E53" i="4"/>
  <c r="F53" i="4"/>
  <c r="G53" i="4"/>
  <c r="C53" i="4"/>
  <c r="D42" i="4"/>
  <c r="D44" i="4"/>
  <c r="E42" i="4"/>
  <c r="E44" i="4"/>
  <c r="F42" i="4"/>
  <c r="F44" i="4"/>
  <c r="G42" i="4"/>
  <c r="G44" i="4"/>
  <c r="C42" i="4"/>
  <c r="C44" i="4"/>
  <c r="B48" i="4"/>
  <c r="B50" i="4"/>
  <c r="C21" i="1"/>
  <c r="D21" i="1"/>
  <c r="E21" i="1"/>
  <c r="B22" i="1"/>
  <c r="C22" i="1"/>
  <c r="D22" i="1"/>
  <c r="E22" i="1"/>
  <c r="F22" i="1"/>
  <c r="B23" i="1"/>
  <c r="C23" i="1"/>
  <c r="D23" i="1"/>
  <c r="E23" i="1"/>
  <c r="F23" i="1"/>
  <c r="B25" i="1"/>
  <c r="C25" i="1"/>
  <c r="D25" i="1"/>
  <c r="E25" i="1"/>
  <c r="B26" i="1"/>
  <c r="C26" i="1"/>
  <c r="D26" i="1"/>
  <c r="E26" i="1"/>
  <c r="B27" i="1"/>
  <c r="C27" i="1"/>
  <c r="D27" i="1"/>
  <c r="E27" i="1"/>
  <c r="B28" i="1"/>
  <c r="C28" i="1"/>
  <c r="D28" i="1"/>
  <c r="E28" i="1"/>
  <c r="B29" i="1"/>
  <c r="C29" i="1"/>
  <c r="D29" i="1"/>
  <c r="E29" i="1"/>
  <c r="B30" i="1"/>
  <c r="B32" i="1"/>
  <c r="C32" i="1"/>
  <c r="D32" i="1"/>
  <c r="E32" i="1"/>
  <c r="B34" i="1"/>
  <c r="C34" i="1"/>
  <c r="D34" i="1"/>
  <c r="E34" i="1"/>
  <c r="B35" i="1"/>
  <c r="C35" i="1"/>
  <c r="D35" i="1"/>
  <c r="E35" i="1"/>
  <c r="B36" i="1"/>
  <c r="C36" i="1"/>
  <c r="D36" i="1"/>
  <c r="E36" i="1"/>
  <c r="B40" i="1"/>
  <c r="C40" i="1"/>
  <c r="D40" i="1"/>
  <c r="E40" i="1"/>
  <c r="B41" i="1"/>
  <c r="C41" i="1"/>
  <c r="D41" i="1"/>
  <c r="E41" i="1"/>
  <c r="B42" i="1"/>
  <c r="C42" i="1"/>
  <c r="D42" i="1"/>
  <c r="E42" i="1"/>
  <c r="B44" i="1"/>
  <c r="C44" i="1"/>
  <c r="D44" i="1"/>
  <c r="E44" i="1"/>
  <c r="B45" i="1"/>
  <c r="C45" i="1"/>
  <c r="D45" i="1"/>
  <c r="E45" i="1"/>
  <c r="B46" i="1"/>
  <c r="C46" i="1"/>
  <c r="D46" i="1"/>
  <c r="E46" i="1"/>
  <c r="B47" i="1"/>
  <c r="C47" i="1"/>
  <c r="D47" i="1"/>
  <c r="E47" i="1"/>
  <c r="B49" i="1"/>
  <c r="C49" i="1"/>
  <c r="D49" i="1"/>
  <c r="E49" i="1"/>
  <c r="B57" i="1"/>
  <c r="C57" i="1"/>
  <c r="D57" i="1"/>
  <c r="E57" i="1"/>
  <c r="B60" i="1"/>
  <c r="C60" i="1"/>
  <c r="D60" i="1"/>
  <c r="E60" i="1"/>
  <c r="B62" i="1"/>
  <c r="C62" i="1"/>
  <c r="D62" i="1"/>
  <c r="E62" i="1"/>
  <c r="B64" i="1"/>
  <c r="C64" i="1"/>
  <c r="D64" i="1"/>
  <c r="E64" i="1"/>
  <c r="B35" i="2"/>
  <c r="C35" i="2"/>
  <c r="D35" i="2"/>
  <c r="E35" i="2"/>
  <c r="B23" i="3"/>
  <c r="C23" i="3"/>
  <c r="D23" i="3"/>
  <c r="E23" i="3"/>
  <c r="C29" i="3"/>
  <c r="D29" i="3"/>
  <c r="E29" i="3"/>
  <c r="B30" i="3"/>
  <c r="C30" i="3"/>
  <c r="D30" i="3"/>
  <c r="E30" i="3"/>
  <c r="B32" i="3"/>
  <c r="C32" i="3"/>
  <c r="D32" i="3"/>
  <c r="E32" i="3"/>
  <c r="B34" i="3"/>
  <c r="C34" i="3"/>
  <c r="D34" i="3"/>
  <c r="E34" i="3"/>
  <c r="B35" i="3"/>
  <c r="C35" i="3"/>
  <c r="D35" i="3"/>
  <c r="E35" i="3"/>
  <c r="B36" i="3"/>
  <c r="C36" i="3"/>
  <c r="D36" i="3"/>
  <c r="E36" i="3"/>
  <c r="B40" i="3"/>
  <c r="C40" i="3"/>
  <c r="D40" i="3"/>
  <c r="E40" i="3"/>
  <c r="B42" i="3"/>
  <c r="C42" i="3"/>
  <c r="D42" i="3"/>
  <c r="E42" i="3"/>
  <c r="B47" i="3"/>
  <c r="C47" i="3"/>
  <c r="D47" i="3"/>
  <c r="E47" i="3"/>
  <c r="B60" i="3"/>
  <c r="C60" i="3"/>
  <c r="D60" i="3"/>
  <c r="E60" i="3"/>
  <c r="B62" i="3"/>
  <c r="C62" i="3"/>
  <c r="D62" i="3"/>
  <c r="E62" i="3"/>
  <c r="B65" i="3"/>
  <c r="C65" i="3"/>
  <c r="D65" i="3"/>
  <c r="E65" i="3"/>
  <c r="C36" i="4"/>
  <c r="D36" i="4"/>
  <c r="E36" i="4"/>
  <c r="F36" i="4"/>
  <c r="G36" i="4"/>
  <c r="C37" i="4"/>
  <c r="D37" i="4"/>
  <c r="E37" i="4"/>
  <c r="F37" i="4"/>
  <c r="G37" i="4"/>
  <c r="D47" i="4"/>
  <c r="E47" i="4"/>
  <c r="F47" i="4"/>
  <c r="D48" i="4"/>
  <c r="E48" i="4"/>
  <c r="F48" i="4"/>
  <c r="C50" i="4"/>
  <c r="D50" i="4"/>
  <c r="E50" i="4"/>
  <c r="F50" i="4"/>
  <c r="G50" i="4"/>
  <c r="C57" i="4"/>
  <c r="D57" i="4"/>
  <c r="E57" i="4"/>
  <c r="F57" i="4"/>
  <c r="G57" i="4"/>
  <c r="C60" i="4"/>
  <c r="D60" i="4"/>
  <c r="E60" i="4"/>
  <c r="F60" i="4"/>
  <c r="G60" i="4"/>
  <c r="C63" i="4"/>
  <c r="D63" i="4"/>
  <c r="E63" i="4"/>
  <c r="F63" i="4"/>
  <c r="G63" i="4"/>
  <c r="C66" i="4"/>
  <c r="D66" i="4"/>
  <c r="E66" i="4"/>
  <c r="F66" i="4"/>
  <c r="G66" i="4"/>
  <c r="B71" i="4"/>
  <c r="B72" i="4"/>
  <c r="B73" i="4"/>
  <c r="D98" i="4"/>
  <c r="E98" i="4"/>
  <c r="D97" i="4"/>
  <c r="E97" i="4"/>
  <c r="E100" i="4"/>
  <c r="C76" i="4"/>
  <c r="D99" i="4"/>
  <c r="E99" i="4"/>
</calcChain>
</file>

<file path=xl/sharedStrings.xml><?xml version="1.0" encoding="utf-8"?>
<sst xmlns="http://schemas.openxmlformats.org/spreadsheetml/2006/main" count="256" uniqueCount="118">
  <si>
    <t>Expected ROE Holders</t>
  </si>
  <si>
    <t>Income Tax Rate</t>
  </si>
  <si>
    <t>Prop.of Equity</t>
  </si>
  <si>
    <t>Building</t>
  </si>
  <si>
    <t>Rocky Mountain Chocolate Factory Inc. (RMCF)</t>
  </si>
  <si>
    <t>Income Before Taxes</t>
  </si>
  <si>
    <t xml:space="preserve">Risk Prem. of Company </t>
  </si>
  <si>
    <t xml:space="preserve">Calculated using a 3.405% interest rate based on the </t>
  </si>
  <si>
    <t>Sales Growth</t>
  </si>
  <si>
    <t xml:space="preserve">Depreciation on Equipment </t>
  </si>
  <si>
    <t>Rent Price</t>
  </si>
  <si>
    <t>Equipment</t>
  </si>
  <si>
    <t>Mortgage Payable</t>
  </si>
  <si>
    <t>to find the balance for mortgage</t>
  </si>
  <si>
    <t>Total Current Assets</t>
  </si>
  <si>
    <t>Income Tax</t>
  </si>
  <si>
    <t>Net Income</t>
  </si>
  <si>
    <t>Balance Sheet</t>
  </si>
  <si>
    <t>Total Debt</t>
  </si>
  <si>
    <t>Total Liabilities &amp; Equity</t>
  </si>
  <si>
    <t>Liabilities &amp; Equity</t>
  </si>
  <si>
    <t>Selling G&amp;A Expenses</t>
  </si>
  <si>
    <t>Additional Interest</t>
  </si>
  <si>
    <t>Beta used--&gt;</t>
  </si>
  <si>
    <t>Beta</t>
  </si>
  <si>
    <t>General Info:</t>
  </si>
  <si>
    <t>Each Cake Price</t>
  </si>
  <si>
    <t>Assets</t>
  </si>
  <si>
    <t>Interest Expense(mortgage)</t>
  </si>
  <si>
    <t>Total Bank Loan</t>
  </si>
  <si>
    <t>Blended Average Interest Rate</t>
  </si>
  <si>
    <t>Cost of Sales</t>
  </si>
  <si>
    <t>Depreciation Expense</t>
  </si>
  <si>
    <t>Total Space</t>
  </si>
  <si>
    <t>Income Statement</t>
  </si>
  <si>
    <t>S &amp; P Rate</t>
  </si>
  <si>
    <t>Unlevered Beta</t>
  </si>
  <si>
    <t>Total PPE</t>
  </si>
  <si>
    <t>http://www.cityfeet.com/cont/wa/seattle-commercial-property</t>
  </si>
  <si>
    <t>Advertising</t>
  </si>
  <si>
    <t>using a 3.5% interest rate</t>
  </si>
  <si>
    <t>Utilities Payable</t>
  </si>
  <si>
    <t>(asset beta)</t>
  </si>
  <si>
    <t>D/E</t>
  </si>
  <si>
    <t>T-Bill Rate</t>
  </si>
  <si>
    <t>dfn</t>
  </si>
  <si>
    <t>United Natural Foods</t>
  </si>
  <si>
    <t>Other Current Assets</t>
  </si>
  <si>
    <t>Discretionary Financing</t>
  </si>
  <si>
    <t>Price Per SQ FT</t>
  </si>
  <si>
    <t>Gross Profit</t>
  </si>
  <si>
    <t>Advertising Expense</t>
  </si>
  <si>
    <t>Interest Rate</t>
  </si>
  <si>
    <t>DFN</t>
  </si>
  <si>
    <t>Total Assets</t>
  </si>
  <si>
    <t>Bank Loan</t>
  </si>
  <si>
    <t>Total Expenses</t>
  </si>
  <si>
    <t>Bakery Equipment/Supply</t>
  </si>
  <si>
    <t>CAPM for the return equity holders want</t>
  </si>
  <si>
    <t>WACC</t>
  </si>
  <si>
    <t>Cash</t>
  </si>
  <si>
    <t>T Bill</t>
  </si>
  <si>
    <t>Blended Rate</t>
  </si>
  <si>
    <t>Size</t>
  </si>
  <si>
    <t>http://www.standardandpoors.com/indices/sp-500/en/us/?indexId=spusa-500-usduf--p-us-l--</t>
  </si>
  <si>
    <t>Interest Expense</t>
  </si>
  <si>
    <t>Additional Interest(Bank Loan)</t>
  </si>
  <si>
    <t>Selling G&amp;A</t>
  </si>
  <si>
    <t>Retained Earnings</t>
  </si>
  <si>
    <t>S &amp; P 500</t>
  </si>
  <si>
    <t>http://bakeryequipment.com/Bakery-Equipment/Customer-Service/start-up-quote.htm</t>
  </si>
  <si>
    <t>Depreciable Life for Building</t>
  </si>
  <si>
    <t># of Cakes Sold</t>
  </si>
  <si>
    <t>Prop.of Debt</t>
  </si>
  <si>
    <t>Hershey</t>
  </si>
  <si>
    <t>http://www.bankrate.com/rates/interest-rates/5-year-treasury-bill.aspx</t>
  </si>
  <si>
    <t>Depreciable Life for Equipment</t>
  </si>
  <si>
    <t>Average Item Sales Price</t>
  </si>
  <si>
    <t>Equity Investment</t>
  </si>
  <si>
    <t>http://ycharts.com/companies/HSY/debt_equity_ratio</t>
  </si>
  <si>
    <t>Rent Expense</t>
  </si>
  <si>
    <t xml:space="preserve">WACC </t>
  </si>
  <si>
    <t>Depreciation Building</t>
  </si>
  <si>
    <t>http://www.bankrate.com/calculators/mortgages/mortgage-calculator.aspx?MSA=</t>
  </si>
  <si>
    <t>Total Liabilities</t>
  </si>
  <si>
    <t>Taxes Payable</t>
  </si>
  <si>
    <t>Yahoofinance</t>
  </si>
  <si>
    <t>S &amp; P 500 Rate</t>
  </si>
  <si>
    <t># of Cakes sold each year</t>
  </si>
  <si>
    <t>Building cost</t>
  </si>
  <si>
    <t>Utilities Expense</t>
  </si>
  <si>
    <t>Less: Accumulated Depr.</t>
  </si>
  <si>
    <t>Sales Revenue</t>
  </si>
  <si>
    <t>Year 0</t>
  </si>
  <si>
    <t>CAPM</t>
  </si>
  <si>
    <t>Depreciation Equipment</t>
  </si>
  <si>
    <t>Tax Rate</t>
  </si>
  <si>
    <t>Free Cash Flows</t>
  </si>
  <si>
    <t>Operating Profit</t>
  </si>
  <si>
    <t>Less Depreciation</t>
  </si>
  <si>
    <t>Taxable Income</t>
  </si>
  <si>
    <t>Net income After Taxes</t>
  </si>
  <si>
    <t>Add Depreciation</t>
  </si>
  <si>
    <t>Cash From Operations</t>
  </si>
  <si>
    <t>Capital Expenditures</t>
  </si>
  <si>
    <t>Purchase Equipment</t>
  </si>
  <si>
    <t>Sale of Equipment</t>
  </si>
  <si>
    <t>Working Capital</t>
  </si>
  <si>
    <t>Inventory</t>
  </si>
  <si>
    <t>Income Taxes Payable</t>
  </si>
  <si>
    <t>Liquidation of Working Capital</t>
  </si>
  <si>
    <t>Total Free Cash Flows</t>
  </si>
  <si>
    <t>Present Value of FCF's</t>
  </si>
  <si>
    <t>NPV</t>
  </si>
  <si>
    <t>IRR</t>
  </si>
  <si>
    <t>Kickstarter Donations</t>
  </si>
  <si>
    <t>Donations</t>
  </si>
  <si>
    <t>Relevered beta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</si>
</sst>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1" fillId="0" borderId="0" xfId="0" applyNumberFormat="1" applyFont="1" applyFill="1" applyAlignment="1">
      <alignment wrapText="1"/>
    </xf>
    <xf numFmtId="0" fontId="1" fillId="0" borderId="0" xfId="0" applyNumberFormat="1" applyFont="1" applyFill="1" applyAlignment="1">
      <alignment vertical="center"/>
    </xf>
    <xf numFmtId="3" fontId="1" fillId="0" borderId="0" xfId="0" applyNumberFormat="1" applyFont="1" applyFill="1" applyAlignment="1">
      <alignment vertical="center"/>
    </xf>
    <xf numFmtId="0" fontId="1" fillId="0" borderId="1" xfId="0" applyNumberFormat="1" applyFont="1" applyFill="1" applyBorder="1" applyAlignment="1">
      <alignment wrapText="1"/>
    </xf>
    <xf numFmtId="0" fontId="0" fillId="0" borderId="1" xfId="0" applyNumberFormat="1" applyFont="1" applyFill="1" applyBorder="1" applyAlignment="1">
      <alignment wrapText="1"/>
    </xf>
    <xf numFmtId="0" fontId="2" fillId="0" borderId="2" xfId="0" applyNumberFormat="1" applyFont="1" applyFill="1" applyBorder="1" applyAlignment="1">
      <alignment wrapText="1"/>
    </xf>
    <xf numFmtId="0" fontId="1" fillId="0" borderId="3" xfId="0" applyNumberFormat="1" applyFont="1" applyFill="1" applyBorder="1" applyAlignment="1">
      <alignment wrapText="1"/>
    </xf>
    <xf numFmtId="3" fontId="1" fillId="0" borderId="3" xfId="0" applyNumberFormat="1" applyFont="1" applyFill="1" applyBorder="1" applyAlignment="1">
      <alignment wrapText="1"/>
    </xf>
    <xf numFmtId="3" fontId="1" fillId="0" borderId="1" xfId="0" applyNumberFormat="1" applyFont="1" applyFill="1" applyBorder="1" applyAlignment="1">
      <alignment wrapText="1"/>
    </xf>
    <xf numFmtId="3" fontId="1" fillId="0" borderId="0" xfId="0" applyNumberFormat="1" applyFont="1" applyFill="1" applyAlignment="1">
      <alignment wrapText="1"/>
    </xf>
    <xf numFmtId="0" fontId="0" fillId="0" borderId="0" xfId="0" applyNumberFormat="1" applyFont="1" applyFill="1" applyAlignment="1">
      <alignment wrapText="1"/>
    </xf>
    <xf numFmtId="3" fontId="0" fillId="0" borderId="0" xfId="0" applyNumberFormat="1" applyFont="1" applyFill="1" applyAlignment="1">
      <alignment wrapText="1"/>
    </xf>
    <xf numFmtId="0" fontId="0" fillId="0" borderId="2" xfId="0" applyNumberFormat="1" applyFont="1" applyFill="1" applyBorder="1" applyAlignment="1">
      <alignment wrapText="1"/>
    </xf>
    <xf numFmtId="3" fontId="1" fillId="0" borderId="2" xfId="0" applyNumberFormat="1" applyFont="1" applyFill="1" applyBorder="1" applyAlignment="1">
      <alignment wrapText="1"/>
    </xf>
    <xf numFmtId="0" fontId="2" fillId="0" borderId="3" xfId="0" applyNumberFormat="1" applyFont="1" applyFill="1" applyBorder="1" applyAlignment="1">
      <alignment wrapText="1"/>
    </xf>
    <xf numFmtId="0" fontId="2" fillId="0" borderId="0" xfId="0" applyNumberFormat="1" applyFont="1" applyFill="1" applyAlignment="1">
      <alignment wrapText="1"/>
    </xf>
    <xf numFmtId="0" fontId="3" fillId="0" borderId="2" xfId="0" applyNumberFormat="1" applyFont="1" applyFill="1" applyBorder="1" applyAlignment="1">
      <alignment wrapText="1"/>
    </xf>
    <xf numFmtId="0" fontId="0" fillId="0" borderId="3" xfId="0" applyNumberFormat="1" applyFont="1" applyFill="1" applyBorder="1" applyAlignment="1">
      <alignment wrapText="1"/>
    </xf>
    <xf numFmtId="3" fontId="0" fillId="0" borderId="3" xfId="0" applyNumberFormat="1" applyFont="1" applyFill="1" applyBorder="1" applyAlignment="1">
      <alignment wrapText="1"/>
    </xf>
    <xf numFmtId="0" fontId="3" fillId="0" borderId="3" xfId="0" applyNumberFormat="1" applyFont="1" applyFill="1" applyBorder="1" applyAlignment="1">
      <alignment wrapText="1"/>
    </xf>
    <xf numFmtId="3" fontId="0" fillId="0" borderId="1" xfId="0" applyNumberFormat="1" applyFont="1" applyFill="1" applyBorder="1" applyAlignment="1">
      <alignment wrapText="1"/>
    </xf>
    <xf numFmtId="10" fontId="0" fillId="0" borderId="0" xfId="0" applyNumberFormat="1" applyFont="1" applyFill="1" applyAlignment="1">
      <alignment wrapText="1"/>
    </xf>
    <xf numFmtId="0" fontId="3" fillId="0" borderId="0" xfId="0" applyNumberFormat="1" applyFont="1" applyFill="1" applyAlignment="1">
      <alignment wrapText="1"/>
    </xf>
    <xf numFmtId="0" fontId="4" fillId="0" borderId="0" xfId="0" applyNumberFormat="1" applyFont="1" applyFill="1" applyAlignment="1">
      <alignment wrapText="1"/>
    </xf>
    <xf numFmtId="4" fontId="0" fillId="0" borderId="0" xfId="0" applyNumberFormat="1" applyFont="1" applyFill="1" applyAlignment="1">
      <alignment wrapText="1"/>
    </xf>
    <xf numFmtId="10" fontId="3" fillId="0" borderId="0" xfId="0" applyNumberFormat="1" applyFont="1" applyFill="1" applyAlignment="1">
      <alignment wrapText="1"/>
    </xf>
    <xf numFmtId="4" fontId="1" fillId="0" borderId="0" xfId="0" applyNumberFormat="1" applyFont="1" applyFill="1" applyAlignment="1">
      <alignment wrapText="1"/>
    </xf>
    <xf numFmtId="0" fontId="0" fillId="0" borderId="0" xfId="0" applyAlignment="1">
      <alignment horizontal="center" vertical="center"/>
    </xf>
    <xf numFmtId="43" fontId="0" fillId="0" borderId="0" xfId="1" applyNumberFormat="1" applyFont="1" applyFill="1" applyAlignment="1">
      <alignment wrapText="1"/>
    </xf>
    <xf numFmtId="164" fontId="0" fillId="0" borderId="0" xfId="1" applyNumberFormat="1" applyFont="1" applyFill="1" applyAlignment="1">
      <alignment wrapText="1"/>
    </xf>
    <xf numFmtId="164" fontId="0" fillId="0" borderId="0" xfId="1" applyNumberFormat="1" applyFont="1">
      <alignment vertical="center"/>
    </xf>
    <xf numFmtId="0" fontId="3" fillId="0" borderId="0" xfId="0" applyNumberFormat="1" applyFont="1" applyFill="1" applyAlignment="1">
      <alignment horizontal="center" wrapText="1"/>
    </xf>
    <xf numFmtId="164" fontId="3" fillId="0" borderId="3" xfId="1" applyNumberFormat="1" applyFont="1" applyFill="1" applyBorder="1" applyAlignment="1">
      <alignment wrapText="1"/>
    </xf>
    <xf numFmtId="164" fontId="0" fillId="0" borderId="4" xfId="1" applyNumberFormat="1" applyFont="1" applyFill="1" applyBorder="1" applyAlignment="1">
      <alignment wrapText="1"/>
    </xf>
    <xf numFmtId="164" fontId="3" fillId="0" borderId="2" xfId="1" applyNumberFormat="1" applyFont="1" applyFill="1" applyBorder="1" applyAlignment="1">
      <alignment wrapText="1"/>
    </xf>
    <xf numFmtId="164" fontId="0" fillId="0" borderId="0" xfId="0" applyNumberFormat="1" applyFont="1" applyFill="1" applyAlignment="1">
      <alignment horizontal="center" wrapText="1"/>
    </xf>
    <xf numFmtId="164" fontId="0" fillId="0" borderId="3" xfId="1" applyNumberFormat="1" applyFont="1" applyFill="1" applyBorder="1" applyAlignment="1">
      <alignment wrapText="1"/>
    </xf>
    <xf numFmtId="164" fontId="0" fillId="0" borderId="2" xfId="1" applyNumberFormat="1" applyFont="1" applyBorder="1">
      <alignment vertical="center"/>
    </xf>
    <xf numFmtId="10" fontId="0" fillId="0" borderId="0" xfId="2" applyNumberFormat="1" applyFo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NumberFormat="1" applyFont="1" applyFill="1" applyAlignment="1">
      <alignment wrapText="1"/>
    </xf>
    <xf numFmtId="0" fontId="7" fillId="0" borderId="0" xfId="0" applyNumberFormat="1" applyFont="1" applyFill="1" applyAlignment="1">
      <alignment wrapText="1"/>
    </xf>
    <xf numFmtId="0" fontId="3" fillId="0" borderId="2" xfId="0" applyFont="1" applyBorder="1">
      <alignment vertical="center"/>
    </xf>
    <xf numFmtId="164" fontId="0" fillId="0" borderId="3" xfId="1" applyNumberFormat="1" applyFont="1" applyBorder="1">
      <alignment vertical="center"/>
    </xf>
    <xf numFmtId="43" fontId="0" fillId="0" borderId="0" xfId="1" applyFont="1" applyFill="1" applyAlignment="1">
      <alignment wrapText="1"/>
    </xf>
    <xf numFmtId="0" fontId="0" fillId="0" borderId="0" xfId="0" applyNumberFormat="1" applyFont="1" applyFill="1" applyAlignment="1">
      <alignment wrapText="1"/>
    </xf>
    <xf numFmtId="0" fontId="0" fillId="0" borderId="0" xfId="0">
      <alignment vertical="center"/>
    </xf>
    <xf numFmtId="0" fontId="1" fillId="0" borderId="0" xfId="0" applyNumberFormat="1" applyFont="1" applyFill="1" applyAlignment="1">
      <alignment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3"/>
  <sheetViews>
    <sheetView topLeftCell="A48" zoomScaleNormal="100" workbookViewId="0"/>
  </sheetViews>
  <sheetFormatPr defaultColWidth="17.140625" defaultRowHeight="12.75" customHeight="1" x14ac:dyDescent="0.2"/>
  <cols>
    <col min="1" max="1" width="23" customWidth="1"/>
    <col min="2" max="7" width="17.140625" customWidth="1"/>
  </cols>
  <sheetData>
    <row r="1" spans="1:7" x14ac:dyDescent="0.2">
      <c r="A1" s="1" t="s">
        <v>96</v>
      </c>
      <c r="B1" s="1">
        <v>0.25</v>
      </c>
      <c r="G1" s="1" t="s">
        <v>25</v>
      </c>
    </row>
    <row r="2" spans="1:7" x14ac:dyDescent="0.2">
      <c r="A2" s="1" t="s">
        <v>8</v>
      </c>
      <c r="B2" s="1">
        <v>4.5600000000000002E-2</v>
      </c>
      <c r="G2" s="2" t="s">
        <v>70</v>
      </c>
    </row>
    <row r="3" spans="1:7" x14ac:dyDescent="0.2">
      <c r="A3" s="1" t="s">
        <v>67</v>
      </c>
      <c r="B3" s="1">
        <v>0.1212</v>
      </c>
      <c r="G3" s="2" t="s">
        <v>38</v>
      </c>
    </row>
    <row r="4" spans="1:7" x14ac:dyDescent="0.2">
      <c r="A4" s="1" t="s">
        <v>39</v>
      </c>
      <c r="B4" s="1">
        <v>9.7999999999999997E-3</v>
      </c>
    </row>
    <row r="5" spans="1:7" x14ac:dyDescent="0.2">
      <c r="A5" s="1" t="s">
        <v>57</v>
      </c>
      <c r="B5" s="1">
        <v>34000</v>
      </c>
    </row>
    <row r="6" spans="1:7" x14ac:dyDescent="0.2">
      <c r="A6" s="1" t="s">
        <v>89</v>
      </c>
      <c r="B6" s="1">
        <v>1680000</v>
      </c>
    </row>
    <row r="7" spans="1:7" ht="25.5" x14ac:dyDescent="0.2">
      <c r="A7" s="1" t="s">
        <v>71</v>
      </c>
      <c r="B7" s="1">
        <v>39</v>
      </c>
    </row>
    <row r="8" spans="1:7" ht="25.5" x14ac:dyDescent="0.2">
      <c r="A8" s="1" t="s">
        <v>76</v>
      </c>
      <c r="B8" s="1">
        <v>5</v>
      </c>
    </row>
    <row r="9" spans="1:7" x14ac:dyDescent="0.2">
      <c r="A9" s="1" t="s">
        <v>47</v>
      </c>
      <c r="B9" s="3">
        <v>12000</v>
      </c>
    </row>
    <row r="19" spans="1:6" x14ac:dyDescent="0.2">
      <c r="A19" s="4"/>
      <c r="B19" s="4"/>
      <c r="C19" s="4"/>
      <c r="D19" s="4"/>
      <c r="E19" s="4"/>
      <c r="F19" s="5"/>
    </row>
    <row r="20" spans="1:6" x14ac:dyDescent="0.2">
      <c r="A20" s="6" t="s">
        <v>34</v>
      </c>
      <c r="B20" s="6">
        <v>2012</v>
      </c>
      <c r="C20" s="6">
        <v>2013</v>
      </c>
      <c r="D20" s="6">
        <v>2014</v>
      </c>
      <c r="E20" s="6">
        <v>2015</v>
      </c>
      <c r="F20" s="6">
        <v>2016</v>
      </c>
    </row>
    <row r="21" spans="1:6" x14ac:dyDescent="0.2">
      <c r="A21" s="7" t="s">
        <v>92</v>
      </c>
      <c r="B21" s="8">
        <v>75000</v>
      </c>
      <c r="C21" s="8">
        <f>B21*(1+$B$2)</f>
        <v>78420</v>
      </c>
      <c r="D21" s="8">
        <f>C21*(1+$B$2)</f>
        <v>81995.952000000005</v>
      </c>
      <c r="E21" s="8">
        <f>D21*(1+$B$2)</f>
        <v>85734.967411200007</v>
      </c>
      <c r="F21" s="8">
        <v>89313.29</v>
      </c>
    </row>
    <row r="22" spans="1:6" x14ac:dyDescent="0.2">
      <c r="A22" s="1" t="s">
        <v>31</v>
      </c>
      <c r="B22" s="9">
        <f>B21*0.7674</f>
        <v>57555</v>
      </c>
      <c r="C22" s="9">
        <f>C21*0.7674</f>
        <v>60179.507999999994</v>
      </c>
      <c r="D22" s="9">
        <f>D21*0.7674</f>
        <v>62923.6935648</v>
      </c>
      <c r="E22" s="9">
        <f>E21*0.7674</f>
        <v>65793.013991354877</v>
      </c>
      <c r="F22" s="9">
        <f>F21*0.7674</f>
        <v>68539.018745999987</v>
      </c>
    </row>
    <row r="23" spans="1:6" x14ac:dyDescent="0.2">
      <c r="A23" s="1" t="s">
        <v>50</v>
      </c>
      <c r="B23" s="8">
        <f>B21-B22</f>
        <v>17445</v>
      </c>
      <c r="C23" s="8">
        <f>C21-C22</f>
        <v>18240.492000000006</v>
      </c>
      <c r="D23" s="8">
        <f>D21-D22</f>
        <v>19072.258435200005</v>
      </c>
      <c r="E23" s="8">
        <f>E21-E22</f>
        <v>19941.953419845129</v>
      </c>
      <c r="F23" s="8">
        <f>F21-F22</f>
        <v>20774.271254000007</v>
      </c>
    </row>
    <row r="25" spans="1:6" x14ac:dyDescent="0.2">
      <c r="A25" s="1" t="s">
        <v>21</v>
      </c>
      <c r="B25" s="10">
        <f>B21*$B$3</f>
        <v>9090</v>
      </c>
      <c r="C25" s="10">
        <f>C21*$B$3</f>
        <v>9504.5040000000008</v>
      </c>
      <c r="D25" s="10">
        <f>D21*$B$3</f>
        <v>9937.909382400001</v>
      </c>
      <c r="E25" s="10">
        <f>E21*$B$3</f>
        <v>10391.078050237442</v>
      </c>
    </row>
    <row r="26" spans="1:6" x14ac:dyDescent="0.2">
      <c r="A26" s="1" t="s">
        <v>51</v>
      </c>
      <c r="B26" s="10">
        <f>B21*$B$4</f>
        <v>735</v>
      </c>
      <c r="C26" s="10">
        <f>C21*$B$4</f>
        <v>768.51599999999996</v>
      </c>
      <c r="D26" s="10">
        <f>D21*$B$4</f>
        <v>803.56032960000005</v>
      </c>
      <c r="E26" s="10">
        <f>E21*$B$4</f>
        <v>840.20268062976004</v>
      </c>
    </row>
    <row r="27" spans="1:6" x14ac:dyDescent="0.2">
      <c r="A27" s="1" t="s">
        <v>82</v>
      </c>
      <c r="B27" s="10">
        <f>$B$6/$B$7</f>
        <v>43076.923076923078</v>
      </c>
      <c r="C27" s="10">
        <f>$B$6/$B$7</f>
        <v>43076.923076923078</v>
      </c>
      <c r="D27" s="10">
        <f>$B$6/$B$7</f>
        <v>43076.923076923078</v>
      </c>
      <c r="E27" s="10">
        <f>$B$6/$B$7</f>
        <v>43076.923076923078</v>
      </c>
    </row>
    <row r="28" spans="1:6" x14ac:dyDescent="0.2">
      <c r="A28" s="1" t="s">
        <v>95</v>
      </c>
      <c r="B28" s="10">
        <f>$B$5/$B$8</f>
        <v>6800</v>
      </c>
      <c r="C28" s="10">
        <f>$B$5/$B$8</f>
        <v>6800</v>
      </c>
      <c r="D28" s="10">
        <f>$B$5/$B$8</f>
        <v>6800</v>
      </c>
      <c r="E28" s="10">
        <f>$B$5/$B$8</f>
        <v>6800</v>
      </c>
    </row>
    <row r="29" spans="1:6" x14ac:dyDescent="0.2">
      <c r="A29" s="1" t="s">
        <v>65</v>
      </c>
      <c r="B29" s="11">
        <f>1680000*0.03</f>
        <v>50400</v>
      </c>
      <c r="C29" s="12">
        <f>B54*0.03</f>
        <v>47926.652999999998</v>
      </c>
      <c r="D29" s="12">
        <f>C54*0.03</f>
        <v>45149.840099999994</v>
      </c>
      <c r="E29" s="12">
        <f>D54*0.03</f>
        <v>42288.567899999995</v>
      </c>
    </row>
    <row r="30" spans="1:6" x14ac:dyDescent="0.2">
      <c r="A30" s="1" t="s">
        <v>22</v>
      </c>
      <c r="B30" s="9">
        <f>0.035*B55</f>
        <v>3251.3250000000003</v>
      </c>
      <c r="C30" s="9"/>
      <c r="D30" s="9"/>
      <c r="E30" s="9"/>
    </row>
    <row r="31" spans="1:6" x14ac:dyDescent="0.2">
      <c r="A31" s="1" t="s">
        <v>90</v>
      </c>
      <c r="B31" s="13"/>
      <c r="C31" s="14"/>
      <c r="D31" s="14"/>
      <c r="E31" s="14"/>
    </row>
    <row r="32" spans="1:6" x14ac:dyDescent="0.2">
      <c r="A32" s="1" t="s">
        <v>56</v>
      </c>
      <c r="B32" s="8">
        <f>SUM(B25:B31)</f>
        <v>113353.24807692308</v>
      </c>
      <c r="C32" s="8">
        <f>SUM(C25:C31)</f>
        <v>108076.59607692307</v>
      </c>
      <c r="D32" s="8">
        <f>SUM(D25:D31)</f>
        <v>105768.23288892308</v>
      </c>
      <c r="E32" s="8">
        <f>SUM(E25:E31)</f>
        <v>103396.77170779028</v>
      </c>
    </row>
    <row r="34" spans="1:5" x14ac:dyDescent="0.2">
      <c r="A34" s="1" t="s">
        <v>5</v>
      </c>
      <c r="B34" s="10">
        <f>B23-B32</f>
        <v>-95908.248076923075</v>
      </c>
      <c r="C34" s="10">
        <f>C23-C32</f>
        <v>-89836.104076923075</v>
      </c>
      <c r="D34" s="10">
        <f>D23-D32</f>
        <v>-86695.974453723087</v>
      </c>
      <c r="E34" s="10">
        <f>E23-E32</f>
        <v>-83454.818287945149</v>
      </c>
    </row>
    <row r="35" spans="1:5" x14ac:dyDescent="0.2">
      <c r="A35" s="1" t="s">
        <v>15</v>
      </c>
      <c r="B35" s="9">
        <f>IF((B34&lt;0),0,(B34*$B$1))</f>
        <v>0</v>
      </c>
      <c r="C35" s="9">
        <f>IF((C34&lt;0),0,(C34*$B$1))</f>
        <v>0</v>
      </c>
      <c r="D35" s="9">
        <f>IF((D34&lt;0),0,(D34*$B$1))</f>
        <v>0</v>
      </c>
      <c r="E35" s="9">
        <f>IF((E34&lt;0),0,(E34*$B$1))</f>
        <v>0</v>
      </c>
    </row>
    <row r="36" spans="1:5" x14ac:dyDescent="0.2">
      <c r="A36" s="1" t="s">
        <v>16</v>
      </c>
      <c r="B36" s="8">
        <f>B34-B35</f>
        <v>-95908.248076923075</v>
      </c>
      <c r="C36" s="8">
        <f>C34-C35</f>
        <v>-89836.104076923075</v>
      </c>
      <c r="D36" s="8">
        <f>D34-D35</f>
        <v>-86695.974453723087</v>
      </c>
      <c r="E36" s="8">
        <f>E34-E35</f>
        <v>-83454.818287945149</v>
      </c>
    </row>
    <row r="37" spans="1:5" x14ac:dyDescent="0.2">
      <c r="A37" s="4"/>
      <c r="B37" s="4"/>
      <c r="C37" s="4"/>
      <c r="D37" s="4"/>
      <c r="E37" s="4"/>
    </row>
    <row r="38" spans="1:5" x14ac:dyDescent="0.2">
      <c r="A38" s="6" t="s">
        <v>17</v>
      </c>
      <c r="B38" s="6">
        <v>2012</v>
      </c>
      <c r="C38" s="6">
        <v>2013</v>
      </c>
      <c r="D38" s="6">
        <v>2014</v>
      </c>
      <c r="E38" s="6">
        <v>2015</v>
      </c>
    </row>
    <row r="39" spans="1:5" x14ac:dyDescent="0.2">
      <c r="A39" s="15" t="s">
        <v>27</v>
      </c>
      <c r="B39" s="8"/>
      <c r="C39" s="8"/>
      <c r="D39" s="8"/>
      <c r="E39" s="8"/>
    </row>
    <row r="40" spans="1:5" x14ac:dyDescent="0.2">
      <c r="A40" s="1" t="s">
        <v>60</v>
      </c>
      <c r="B40" s="10">
        <f>(B23-B32)+B27</f>
        <v>-52831.324999999997</v>
      </c>
      <c r="C40" s="10">
        <f>(C23-C32)+C27</f>
        <v>-46759.180999999997</v>
      </c>
      <c r="D40" s="10">
        <f>(D23-D32)+D27</f>
        <v>-43619.051376800009</v>
      </c>
      <c r="E40" s="10">
        <f>(E23-E32)+E27</f>
        <v>-40377.895211022071</v>
      </c>
    </row>
    <row r="41" spans="1:5" x14ac:dyDescent="0.2">
      <c r="A41" s="1" t="s">
        <v>47</v>
      </c>
      <c r="B41" s="9">
        <f>$B$9</f>
        <v>12000</v>
      </c>
      <c r="C41" s="9">
        <f>$B$9</f>
        <v>12000</v>
      </c>
      <c r="D41" s="9">
        <f>$B$9</f>
        <v>12000</v>
      </c>
      <c r="E41" s="9">
        <f>$B$9</f>
        <v>12000</v>
      </c>
    </row>
    <row r="42" spans="1:5" x14ac:dyDescent="0.2">
      <c r="A42" s="1" t="s">
        <v>14</v>
      </c>
      <c r="B42" s="8">
        <f>SUM(B39:B41)</f>
        <v>-40831.324999999997</v>
      </c>
      <c r="C42" s="8">
        <f>SUM(C39:C41)</f>
        <v>-34759.180999999997</v>
      </c>
      <c r="D42" s="8">
        <f>SUM(D39:D41)</f>
        <v>-31619.051376800009</v>
      </c>
      <c r="E42" s="8">
        <f>SUM(E39:E41)</f>
        <v>-28377.895211022071</v>
      </c>
    </row>
    <row r="44" spans="1:5" x14ac:dyDescent="0.2">
      <c r="A44" s="1" t="s">
        <v>3</v>
      </c>
      <c r="B44" s="10">
        <f>$B$6</f>
        <v>1680000</v>
      </c>
      <c r="C44" s="10">
        <f>$B$6</f>
        <v>1680000</v>
      </c>
      <c r="D44" s="10">
        <f>$B$6</f>
        <v>1680000</v>
      </c>
      <c r="E44" s="10">
        <f>$B$6</f>
        <v>1680000</v>
      </c>
    </row>
    <row r="45" spans="1:5" x14ac:dyDescent="0.2">
      <c r="A45" s="1" t="s">
        <v>11</v>
      </c>
      <c r="B45" s="10">
        <f>$B$5</f>
        <v>34000</v>
      </c>
      <c r="C45" s="10">
        <f>$B$5</f>
        <v>34000</v>
      </c>
      <c r="D45" s="10">
        <f>$B$5</f>
        <v>34000</v>
      </c>
      <c r="E45" s="10">
        <f>$B$5</f>
        <v>34000</v>
      </c>
    </row>
    <row r="46" spans="1:5" x14ac:dyDescent="0.2">
      <c r="A46" s="1" t="s">
        <v>91</v>
      </c>
      <c r="B46" s="9">
        <f>B28+B27</f>
        <v>49876.923076923078</v>
      </c>
      <c r="C46" s="9">
        <f>(B46+C27)+C28</f>
        <v>99753.846153846156</v>
      </c>
      <c r="D46" s="9">
        <f>(C46+D27)+D28</f>
        <v>149630.76923076925</v>
      </c>
      <c r="E46" s="9">
        <f>(D46+E27)+E28</f>
        <v>199507.69230769231</v>
      </c>
    </row>
    <row r="47" spans="1:5" x14ac:dyDescent="0.2">
      <c r="A47" s="1" t="s">
        <v>37</v>
      </c>
      <c r="B47" s="8">
        <f>(B44+B45)-B46</f>
        <v>1664123.076923077</v>
      </c>
      <c r="C47" s="8">
        <f>(C44+C45)-C46</f>
        <v>1614246.1538461538</v>
      </c>
      <c r="D47" s="8">
        <f>(D44+D45)-D46</f>
        <v>1564369.2307692308</v>
      </c>
      <c r="E47" s="8">
        <f>(E44+E45)-E46</f>
        <v>1514492.3076923077</v>
      </c>
    </row>
    <row r="49" spans="1:7" x14ac:dyDescent="0.2">
      <c r="A49" s="1" t="s">
        <v>54</v>
      </c>
      <c r="B49" s="10">
        <f>B42+B47</f>
        <v>1623291.751923077</v>
      </c>
      <c r="C49" s="10">
        <f>C42+C47</f>
        <v>1579486.9728461537</v>
      </c>
      <c r="D49" s="10">
        <f>D42+D47</f>
        <v>1532750.1793924307</v>
      </c>
      <c r="E49" s="10">
        <f>E42+E47</f>
        <v>1486114.4124812856</v>
      </c>
    </row>
    <row r="51" spans="1:7" x14ac:dyDescent="0.2">
      <c r="A51" s="16" t="s">
        <v>20</v>
      </c>
      <c r="B51" s="12"/>
      <c r="C51" s="12"/>
      <c r="D51" s="12"/>
      <c r="E51" s="12"/>
    </row>
    <row r="52" spans="1:7" x14ac:dyDescent="0.2">
      <c r="A52" s="1" t="s">
        <v>41</v>
      </c>
      <c r="B52" s="12">
        <v>3750</v>
      </c>
      <c r="C52" s="12">
        <v>3750</v>
      </c>
      <c r="D52" s="12">
        <v>3750</v>
      </c>
      <c r="E52" s="12">
        <v>3750</v>
      </c>
    </row>
    <row r="53" spans="1:7" ht="25.5" x14ac:dyDescent="0.2">
      <c r="A53" s="1" t="s">
        <v>85</v>
      </c>
      <c r="B53" s="12">
        <v>0</v>
      </c>
      <c r="C53" s="12">
        <v>0</v>
      </c>
      <c r="D53" s="12">
        <v>0</v>
      </c>
      <c r="E53" s="12">
        <v>0</v>
      </c>
      <c r="G53" s="11" t="s">
        <v>13</v>
      </c>
    </row>
    <row r="54" spans="1:7" ht="76.5" x14ac:dyDescent="0.2">
      <c r="A54" s="1" t="s">
        <v>12</v>
      </c>
      <c r="B54" s="12">
        <v>1597555.1</v>
      </c>
      <c r="C54" s="12">
        <v>1504994.67</v>
      </c>
      <c r="D54" s="12">
        <v>1409618.93</v>
      </c>
      <c r="E54" s="12">
        <v>1311342.25</v>
      </c>
      <c r="G54" s="11" t="s">
        <v>83</v>
      </c>
    </row>
    <row r="55" spans="1:7" x14ac:dyDescent="0.2">
      <c r="A55" s="1" t="s">
        <v>48</v>
      </c>
      <c r="B55" s="11">
        <v>92895</v>
      </c>
      <c r="C55" s="11">
        <v>92895</v>
      </c>
      <c r="D55" s="11">
        <v>92895</v>
      </c>
      <c r="E55" s="11">
        <v>92895</v>
      </c>
    </row>
    <row r="56" spans="1:7" x14ac:dyDescent="0.2">
      <c r="B56" s="12"/>
      <c r="C56" s="12"/>
      <c r="D56" s="12"/>
      <c r="E56" s="12"/>
    </row>
    <row r="57" spans="1:7" x14ac:dyDescent="0.2">
      <c r="A57" s="1" t="s">
        <v>84</v>
      </c>
      <c r="B57" s="10">
        <f>SUM(B52:B55)</f>
        <v>1694200.1</v>
      </c>
      <c r="C57" s="10">
        <f>SUM(C52:C55)</f>
        <v>1601639.67</v>
      </c>
      <c r="D57" s="10">
        <f>SUM(D52:D55)</f>
        <v>1506263.93</v>
      </c>
      <c r="E57" s="10">
        <f>SUM(E52:E55)</f>
        <v>1407987.25</v>
      </c>
    </row>
    <row r="58" spans="1:7" x14ac:dyDescent="0.2">
      <c r="B58" s="12"/>
      <c r="C58" s="12"/>
      <c r="D58" s="12"/>
      <c r="E58" s="12"/>
    </row>
    <row r="59" spans="1:7" x14ac:dyDescent="0.2">
      <c r="A59" s="1" t="s">
        <v>78</v>
      </c>
      <c r="B59" s="12">
        <v>25000</v>
      </c>
      <c r="C59" s="12">
        <v>25000</v>
      </c>
      <c r="D59" s="12">
        <v>25000</v>
      </c>
      <c r="E59" s="12">
        <v>25000</v>
      </c>
    </row>
    <row r="60" spans="1:7" x14ac:dyDescent="0.2">
      <c r="A60" s="1" t="s">
        <v>68</v>
      </c>
      <c r="B60" s="12">
        <f>B36</f>
        <v>-95908.248076923075</v>
      </c>
      <c r="C60" s="12">
        <f>B60+C36</f>
        <v>-185744.35215384615</v>
      </c>
      <c r="D60" s="12">
        <f>C60+D36</f>
        <v>-272440.32660756924</v>
      </c>
      <c r="E60" s="12">
        <f>D60+E36</f>
        <v>-355895.14489551436</v>
      </c>
    </row>
    <row r="61" spans="1:7" x14ac:dyDescent="0.2">
      <c r="B61" s="12"/>
      <c r="C61" s="12"/>
      <c r="D61" s="12"/>
      <c r="E61" s="12"/>
    </row>
    <row r="62" spans="1:7" x14ac:dyDescent="0.2">
      <c r="A62" s="4" t="s">
        <v>19</v>
      </c>
      <c r="B62" s="9">
        <f>(B57+B59)+B60</f>
        <v>1623291.8519230769</v>
      </c>
      <c r="C62" s="9">
        <f>(C57+C59)+C60</f>
        <v>1440895.3178461539</v>
      </c>
      <c r="D62" s="9">
        <f>(D57+D59)+D60</f>
        <v>1258823.6033924306</v>
      </c>
      <c r="E62" s="9">
        <f>(E57+E59)+E60</f>
        <v>1077092.1051044855</v>
      </c>
    </row>
    <row r="63" spans="1:7" x14ac:dyDescent="0.2">
      <c r="A63" s="7"/>
      <c r="B63" s="7"/>
      <c r="C63" s="7"/>
      <c r="D63" s="7"/>
      <c r="E63" s="7"/>
    </row>
    <row r="64" spans="1:7" x14ac:dyDescent="0.2">
      <c r="A64" s="11" t="s">
        <v>45</v>
      </c>
      <c r="B64" s="12">
        <f>B49-B62</f>
        <v>-9.9999999860301614E-2</v>
      </c>
      <c r="C64" s="12">
        <f>C49-C62</f>
        <v>138591.6549999998</v>
      </c>
      <c r="D64" s="12">
        <f>D49-D62</f>
        <v>273926.57600000012</v>
      </c>
      <c r="E64" s="12">
        <f>E49-E62</f>
        <v>409022.3073768001</v>
      </c>
    </row>
    <row r="75" spans="1:5" x14ac:dyDescent="0.2">
      <c r="A75" s="1"/>
      <c r="B75" s="1"/>
      <c r="C75" s="1"/>
      <c r="D75" s="1"/>
      <c r="E75" s="1"/>
    </row>
    <row r="76" spans="1:5" x14ac:dyDescent="0.2">
      <c r="A76" s="1"/>
      <c r="B76" s="1"/>
      <c r="C76" s="1"/>
      <c r="D76" s="1"/>
      <c r="E76" s="1"/>
    </row>
    <row r="77" spans="1:5" x14ac:dyDescent="0.2">
      <c r="A77" s="1"/>
      <c r="B77" s="1"/>
      <c r="C77" s="1"/>
      <c r="D77" s="1"/>
      <c r="E77" s="1"/>
    </row>
    <row r="78" spans="1:5" x14ac:dyDescent="0.2">
      <c r="A78" s="1"/>
      <c r="B78" s="1"/>
      <c r="C78" s="1"/>
      <c r="D78" s="1"/>
      <c r="E78" s="1"/>
    </row>
    <row r="79" spans="1:5" x14ac:dyDescent="0.2">
      <c r="A79" s="1"/>
      <c r="B79" s="1"/>
      <c r="C79" s="1"/>
      <c r="D79" s="1"/>
      <c r="E79" s="1"/>
    </row>
    <row r="80" spans="1:5" x14ac:dyDescent="0.2">
      <c r="A80" s="1"/>
      <c r="B80" s="1"/>
      <c r="C80" s="1"/>
      <c r="D80" s="1"/>
      <c r="E80" s="1"/>
    </row>
    <row r="81" spans="1:5" x14ac:dyDescent="0.2">
      <c r="A81" s="1"/>
      <c r="B81" s="1"/>
      <c r="C81" s="1"/>
      <c r="D81" s="1"/>
      <c r="E81" s="1"/>
    </row>
    <row r="82" spans="1:5" x14ac:dyDescent="0.2">
      <c r="A82" s="1"/>
      <c r="B82" s="1"/>
      <c r="C82" s="1"/>
      <c r="D82" s="1"/>
      <c r="E82" s="1"/>
    </row>
    <row r="83" spans="1:5" x14ac:dyDescent="0.2">
      <c r="A83" s="1"/>
      <c r="B83" s="1"/>
      <c r="C83" s="1"/>
      <c r="D83" s="1"/>
      <c r="E83" s="1"/>
    </row>
  </sheetData>
  <pageMargins left="0.75" right="0.75" top="1" bottom="1" header="0.5" footer="0.5"/>
  <pageSetup paperSize="9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zoomScaleNormal="100" workbookViewId="0"/>
  </sheetViews>
  <sheetFormatPr defaultColWidth="17.140625" defaultRowHeight="12.75" customHeight="1" x14ac:dyDescent="0.2"/>
  <cols>
    <col min="1" max="7" width="17.140625" customWidth="1"/>
  </cols>
  <sheetData>
    <row r="1" spans="1:7" x14ac:dyDescent="0.2">
      <c r="A1" s="11" t="s">
        <v>96</v>
      </c>
      <c r="B1" s="11">
        <v>0.25</v>
      </c>
      <c r="G1" s="11" t="s">
        <v>25</v>
      </c>
    </row>
    <row r="2" spans="1:7" ht="63.75" x14ac:dyDescent="0.2">
      <c r="A2" s="11" t="s">
        <v>8</v>
      </c>
      <c r="B2" s="11">
        <v>4.5600000000000002E-2</v>
      </c>
      <c r="G2" s="11" t="s">
        <v>70</v>
      </c>
    </row>
    <row r="3" spans="1:7" ht="51" x14ac:dyDescent="0.2">
      <c r="A3" s="11" t="s">
        <v>67</v>
      </c>
      <c r="B3" s="11">
        <v>0.1212</v>
      </c>
      <c r="G3" s="11" t="s">
        <v>38</v>
      </c>
    </row>
    <row r="4" spans="1:7" x14ac:dyDescent="0.2">
      <c r="A4" s="11" t="s">
        <v>39</v>
      </c>
      <c r="B4" s="11">
        <v>9.7999999999999997E-3</v>
      </c>
    </row>
    <row r="5" spans="1:7" ht="25.5" x14ac:dyDescent="0.2">
      <c r="A5" s="11" t="s">
        <v>57</v>
      </c>
      <c r="B5" s="11">
        <v>34000</v>
      </c>
    </row>
    <row r="6" spans="1:7" x14ac:dyDescent="0.2">
      <c r="A6" s="11" t="s">
        <v>89</v>
      </c>
      <c r="B6" s="11">
        <v>1680000</v>
      </c>
    </row>
    <row r="7" spans="1:7" ht="25.5" x14ac:dyDescent="0.2">
      <c r="A7" s="11" t="s">
        <v>71</v>
      </c>
      <c r="B7" s="11">
        <v>39</v>
      </c>
    </row>
    <row r="8" spans="1:7" ht="25.5" x14ac:dyDescent="0.2">
      <c r="A8" s="11" t="s">
        <v>76</v>
      </c>
      <c r="B8" s="11">
        <v>5</v>
      </c>
    </row>
    <row r="9" spans="1:7" ht="25.5" x14ac:dyDescent="0.2">
      <c r="A9" s="11" t="s">
        <v>47</v>
      </c>
      <c r="B9" s="11">
        <v>12000</v>
      </c>
    </row>
    <row r="10" spans="1:7" x14ac:dyDescent="0.2">
      <c r="A10" s="11" t="s">
        <v>33</v>
      </c>
      <c r="B10" s="11">
        <v>1175</v>
      </c>
    </row>
    <row r="11" spans="1:7" x14ac:dyDescent="0.2">
      <c r="A11" s="11" t="s">
        <v>10</v>
      </c>
      <c r="B11" s="11">
        <v>28.6</v>
      </c>
    </row>
    <row r="20" spans="1:6" x14ac:dyDescent="0.2">
      <c r="A20" s="11" t="s">
        <v>34</v>
      </c>
      <c r="B20" s="11">
        <v>2012</v>
      </c>
      <c r="C20" s="11">
        <v>2013</v>
      </c>
      <c r="D20" s="11">
        <v>2014</v>
      </c>
      <c r="E20" s="11">
        <v>2015</v>
      </c>
      <c r="F20" s="11">
        <v>2016</v>
      </c>
    </row>
    <row r="21" spans="1:6" x14ac:dyDescent="0.2">
      <c r="A21" s="11" t="s">
        <v>92</v>
      </c>
      <c r="B21" s="11">
        <v>100000</v>
      </c>
      <c r="C21" s="11">
        <v>104560</v>
      </c>
      <c r="D21" s="11">
        <v>109328</v>
      </c>
      <c r="E21" s="11">
        <v>114313</v>
      </c>
      <c r="F21" s="11">
        <v>119084</v>
      </c>
    </row>
    <row r="22" spans="1:6" x14ac:dyDescent="0.2">
      <c r="A22" s="11" t="s">
        <v>31</v>
      </c>
      <c r="B22" s="11">
        <v>76740</v>
      </c>
      <c r="C22" s="11">
        <v>80239</v>
      </c>
      <c r="D22" s="11">
        <v>83898</v>
      </c>
      <c r="E22" s="11">
        <v>87724</v>
      </c>
      <c r="F22" s="11">
        <v>91385.332999999999</v>
      </c>
    </row>
    <row r="23" spans="1:6" x14ac:dyDescent="0.2">
      <c r="A23" s="11" t="s">
        <v>50</v>
      </c>
      <c r="B23" s="11">
        <v>23260</v>
      </c>
      <c r="C23" s="11">
        <v>24321</v>
      </c>
      <c r="D23" s="11">
        <v>25430</v>
      </c>
      <c r="E23" s="11">
        <v>26589</v>
      </c>
      <c r="F23" s="11">
        <v>27698.667000000001</v>
      </c>
    </row>
    <row r="25" spans="1:6" ht="25.5" x14ac:dyDescent="0.2">
      <c r="A25" s="11" t="s">
        <v>21</v>
      </c>
      <c r="B25" s="11">
        <v>12120</v>
      </c>
      <c r="C25" s="11">
        <v>12673</v>
      </c>
      <c r="D25" s="11">
        <v>13251</v>
      </c>
      <c r="E25" s="11">
        <v>13855</v>
      </c>
    </row>
    <row r="26" spans="1:6" ht="25.5" x14ac:dyDescent="0.2">
      <c r="A26" s="11" t="s">
        <v>51</v>
      </c>
      <c r="B26" s="11">
        <v>980</v>
      </c>
      <c r="C26" s="11">
        <v>1025</v>
      </c>
      <c r="D26" s="11">
        <v>1071</v>
      </c>
      <c r="E26" s="11">
        <v>1120</v>
      </c>
    </row>
    <row r="27" spans="1:6" x14ac:dyDescent="0.2">
      <c r="A27" s="11" t="s">
        <v>80</v>
      </c>
      <c r="B27" s="11">
        <v>33605</v>
      </c>
      <c r="C27" s="11">
        <v>33605</v>
      </c>
      <c r="D27" s="11">
        <v>33605</v>
      </c>
      <c r="E27" s="11">
        <v>33605</v>
      </c>
    </row>
    <row r="28" spans="1:6" ht="25.5" x14ac:dyDescent="0.2">
      <c r="A28" s="11" t="s">
        <v>9</v>
      </c>
      <c r="B28" s="11">
        <v>6800</v>
      </c>
      <c r="C28" s="11">
        <v>6800</v>
      </c>
      <c r="D28" s="11">
        <v>6800</v>
      </c>
      <c r="E28" s="11">
        <v>6800</v>
      </c>
    </row>
    <row r="29" spans="1:6" x14ac:dyDescent="0.2">
      <c r="A29" s="11" t="s">
        <v>65</v>
      </c>
    </row>
    <row r="30" spans="1:6" x14ac:dyDescent="0.2">
      <c r="A30" s="11" t="s">
        <v>22</v>
      </c>
    </row>
    <row r="31" spans="1:6" x14ac:dyDescent="0.2">
      <c r="A31" s="11" t="s">
        <v>90</v>
      </c>
    </row>
    <row r="32" spans="1:6" x14ac:dyDescent="0.2">
      <c r="A32" s="11" t="s">
        <v>56</v>
      </c>
      <c r="B32" s="11">
        <v>53505</v>
      </c>
      <c r="C32" s="11">
        <v>54102</v>
      </c>
      <c r="D32" s="11">
        <v>54727</v>
      </c>
      <c r="E32" s="11">
        <v>55380</v>
      </c>
    </row>
    <row r="34" spans="1:5" ht="25.5" x14ac:dyDescent="0.2">
      <c r="A34" s="11" t="s">
        <v>5</v>
      </c>
      <c r="B34" s="11">
        <v>-30245</v>
      </c>
      <c r="C34" s="11">
        <v>-29782</v>
      </c>
      <c r="D34" s="11">
        <v>-29297</v>
      </c>
      <c r="E34" s="11">
        <v>-28791</v>
      </c>
    </row>
    <row r="35" spans="1:5" x14ac:dyDescent="0.2">
      <c r="A35" s="11" t="s">
        <v>15</v>
      </c>
      <c r="B35" s="11">
        <f>IF((B34&lt;0),0,(B34*$B$1))</f>
        <v>0</v>
      </c>
      <c r="C35" s="11">
        <f>IF((C34&lt;0),0,(C34*$B$1))</f>
        <v>0</v>
      </c>
      <c r="D35" s="11">
        <f>IF((D34&lt;0),0,(D34*$B$1))</f>
        <v>0</v>
      </c>
      <c r="E35" s="11">
        <f>IF((E34&lt;0),0,(E34*$B$1))</f>
        <v>0</v>
      </c>
    </row>
    <row r="36" spans="1:5" x14ac:dyDescent="0.2">
      <c r="A36" s="11" t="s">
        <v>16</v>
      </c>
      <c r="B36" s="11">
        <v>-22684</v>
      </c>
      <c r="C36" s="11">
        <v>-22336</v>
      </c>
      <c r="D36" s="11">
        <v>-21973</v>
      </c>
      <c r="E36" s="11">
        <v>-21593</v>
      </c>
    </row>
    <row r="38" spans="1:5" x14ac:dyDescent="0.2">
      <c r="A38" s="11" t="s">
        <v>17</v>
      </c>
      <c r="B38" s="11">
        <v>2012</v>
      </c>
      <c r="C38" s="11">
        <v>2013</v>
      </c>
      <c r="D38" s="11">
        <v>2014</v>
      </c>
      <c r="E38" s="11">
        <v>2015</v>
      </c>
    </row>
    <row r="39" spans="1:5" x14ac:dyDescent="0.2">
      <c r="A39" s="11" t="s">
        <v>27</v>
      </c>
    </row>
    <row r="40" spans="1:5" x14ac:dyDescent="0.2">
      <c r="A40" s="11" t="s">
        <v>60</v>
      </c>
      <c r="B40" s="11">
        <v>-30245</v>
      </c>
      <c r="C40" s="11">
        <v>-29782</v>
      </c>
      <c r="D40" s="11">
        <v>-29297</v>
      </c>
      <c r="E40" s="11">
        <v>-28791</v>
      </c>
    </row>
    <row r="41" spans="1:5" ht="25.5" x14ac:dyDescent="0.2">
      <c r="A41" s="11" t="s">
        <v>47</v>
      </c>
      <c r="B41" s="11">
        <v>12000</v>
      </c>
      <c r="C41" s="11">
        <v>12000</v>
      </c>
      <c r="D41" s="11">
        <v>12000</v>
      </c>
      <c r="E41" s="11">
        <v>12000</v>
      </c>
    </row>
    <row r="42" spans="1:5" ht="25.5" x14ac:dyDescent="0.2">
      <c r="A42" s="11" t="s">
        <v>14</v>
      </c>
      <c r="B42" s="11">
        <v>-18245</v>
      </c>
      <c r="C42" s="11">
        <v>-17782</v>
      </c>
      <c r="D42" s="11">
        <v>-17297</v>
      </c>
      <c r="E42" s="11">
        <v>-16791</v>
      </c>
    </row>
    <row r="44" spans="1:5" x14ac:dyDescent="0.2">
      <c r="A44" s="11" t="s">
        <v>11</v>
      </c>
      <c r="B44" s="11">
        <v>34000</v>
      </c>
      <c r="C44" s="11">
        <v>34000</v>
      </c>
      <c r="D44" s="11">
        <v>34000</v>
      </c>
      <c r="E44" s="11">
        <v>34000</v>
      </c>
    </row>
    <row r="45" spans="1:5" ht="25.5" x14ac:dyDescent="0.2">
      <c r="A45" s="11" t="s">
        <v>91</v>
      </c>
      <c r="B45" s="11">
        <v>6800</v>
      </c>
      <c r="C45" s="11">
        <v>13600</v>
      </c>
      <c r="D45" s="11">
        <v>20400</v>
      </c>
      <c r="E45" s="11">
        <v>27200</v>
      </c>
    </row>
    <row r="46" spans="1:5" x14ac:dyDescent="0.2">
      <c r="A46" s="11" t="s">
        <v>37</v>
      </c>
      <c r="B46" s="11">
        <v>27200</v>
      </c>
      <c r="C46" s="11">
        <v>20400</v>
      </c>
      <c r="D46" s="11">
        <v>13600</v>
      </c>
      <c r="E46" s="11">
        <v>6800</v>
      </c>
    </row>
    <row r="48" spans="1:5" x14ac:dyDescent="0.2">
      <c r="A48" s="11" t="s">
        <v>54</v>
      </c>
      <c r="B48" s="11">
        <v>8955</v>
      </c>
      <c r="C48" s="11">
        <v>2618</v>
      </c>
      <c r="D48" s="11">
        <v>-3697</v>
      </c>
      <c r="E48" s="11">
        <v>-9991</v>
      </c>
    </row>
    <row r="50" spans="1:5" x14ac:dyDescent="0.2">
      <c r="A50" s="11" t="s">
        <v>20</v>
      </c>
    </row>
    <row r="51" spans="1:5" x14ac:dyDescent="0.2">
      <c r="A51" s="11" t="s">
        <v>41</v>
      </c>
    </row>
    <row r="52" spans="1:5" x14ac:dyDescent="0.2">
      <c r="A52" s="11" t="s">
        <v>85</v>
      </c>
    </row>
    <row r="53" spans="1:5" x14ac:dyDescent="0.2">
      <c r="A53" s="11" t="s">
        <v>12</v>
      </c>
    </row>
    <row r="54" spans="1:5" x14ac:dyDescent="0.2">
      <c r="A54" s="11" t="s">
        <v>29</v>
      </c>
    </row>
    <row r="56" spans="1:5" x14ac:dyDescent="0.2">
      <c r="A56" s="11" t="s">
        <v>84</v>
      </c>
      <c r="B56" s="11">
        <v>0</v>
      </c>
      <c r="C56" s="11">
        <v>0</v>
      </c>
      <c r="D56" s="11">
        <v>0</v>
      </c>
      <c r="E56" s="11">
        <v>0</v>
      </c>
    </row>
    <row r="58" spans="1:5" x14ac:dyDescent="0.2">
      <c r="A58" s="11" t="s">
        <v>78</v>
      </c>
    </row>
    <row r="59" spans="1:5" x14ac:dyDescent="0.2">
      <c r="A59" s="11" t="s">
        <v>68</v>
      </c>
    </row>
    <row r="61" spans="1:5" ht="25.5" x14ac:dyDescent="0.2">
      <c r="A61" s="11" t="s">
        <v>19</v>
      </c>
      <c r="B61" s="11">
        <v>0</v>
      </c>
      <c r="C61" s="11">
        <v>0</v>
      </c>
      <c r="D61" s="11">
        <v>0</v>
      </c>
      <c r="E61" s="11">
        <v>0</v>
      </c>
    </row>
  </sheetData>
  <pageMargins left="0.75" right="0.75" top="1" bottom="1" header="0.5" footer="0.5"/>
  <pageSetup paperSize="9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zoomScaleNormal="100" workbookViewId="0">
      <selection activeCell="C16" sqref="C16"/>
    </sheetView>
  </sheetViews>
  <sheetFormatPr defaultColWidth="17.140625" defaultRowHeight="12.75" customHeight="1" x14ac:dyDescent="0.2"/>
  <cols>
    <col min="1" max="8" width="17.140625" customWidth="1"/>
  </cols>
  <sheetData>
    <row r="1" spans="1:7" x14ac:dyDescent="0.2">
      <c r="A1" s="11" t="s">
        <v>96</v>
      </c>
      <c r="B1" s="11">
        <v>0.25</v>
      </c>
      <c r="G1" s="11" t="s">
        <v>25</v>
      </c>
    </row>
    <row r="2" spans="1:7" ht="63.75" x14ac:dyDescent="0.2">
      <c r="A2" s="11" t="s">
        <v>8</v>
      </c>
      <c r="B2" s="11">
        <v>4.5600000000000002E-2</v>
      </c>
      <c r="G2" s="11" t="s">
        <v>70</v>
      </c>
    </row>
    <row r="3" spans="1:7" ht="51" x14ac:dyDescent="0.2">
      <c r="A3" s="11" t="s">
        <v>67</v>
      </c>
      <c r="B3" s="11">
        <v>0.1212</v>
      </c>
      <c r="G3" s="11" t="s">
        <v>38</v>
      </c>
    </row>
    <row r="4" spans="1:7" x14ac:dyDescent="0.2">
      <c r="A4" s="11" t="s">
        <v>39</v>
      </c>
      <c r="B4" s="11">
        <v>9.7999999999999997E-3</v>
      </c>
    </row>
    <row r="5" spans="1:7" ht="25.5" x14ac:dyDescent="0.2">
      <c r="A5" s="11" t="s">
        <v>57</v>
      </c>
      <c r="B5" s="11">
        <v>34000</v>
      </c>
    </row>
    <row r="6" spans="1:7" x14ac:dyDescent="0.2">
      <c r="A6" s="11" t="s">
        <v>89</v>
      </c>
      <c r="B6" s="11">
        <v>1680000</v>
      </c>
    </row>
    <row r="7" spans="1:7" ht="25.5" x14ac:dyDescent="0.2">
      <c r="A7" s="11" t="s">
        <v>71</v>
      </c>
      <c r="B7" s="11">
        <v>39</v>
      </c>
    </row>
    <row r="8" spans="1:7" ht="25.5" x14ac:dyDescent="0.2">
      <c r="A8" s="11" t="s">
        <v>76</v>
      </c>
      <c r="B8" s="11">
        <v>5</v>
      </c>
    </row>
    <row r="9" spans="1:7" ht="25.5" x14ac:dyDescent="0.2">
      <c r="A9" s="11" t="s">
        <v>47</v>
      </c>
      <c r="B9" s="11">
        <v>12000</v>
      </c>
    </row>
    <row r="19" spans="1:8" x14ac:dyDescent="0.2">
      <c r="A19" s="5"/>
      <c r="B19" s="5"/>
      <c r="C19" s="5"/>
      <c r="D19" s="5"/>
      <c r="E19" s="5"/>
    </row>
    <row r="20" spans="1:8" ht="25.5" x14ac:dyDescent="0.2">
      <c r="A20" s="17" t="s">
        <v>34</v>
      </c>
      <c r="B20" s="17">
        <v>2012</v>
      </c>
      <c r="C20" s="17">
        <v>2013</v>
      </c>
      <c r="D20" s="17">
        <v>2014</v>
      </c>
      <c r="E20" s="17">
        <v>2015</v>
      </c>
    </row>
    <row r="21" spans="1:8" x14ac:dyDescent="0.2">
      <c r="A21" s="18" t="s">
        <v>92</v>
      </c>
      <c r="B21" s="19">
        <v>100000</v>
      </c>
      <c r="C21" s="19">
        <v>104560</v>
      </c>
      <c r="D21" s="19">
        <v>109328</v>
      </c>
      <c r="E21" s="19">
        <v>114313</v>
      </c>
    </row>
    <row r="22" spans="1:8" x14ac:dyDescent="0.2">
      <c r="A22" s="11" t="s">
        <v>31</v>
      </c>
      <c r="B22" s="12">
        <v>76740</v>
      </c>
      <c r="C22" s="12">
        <v>80239</v>
      </c>
      <c r="D22" s="12">
        <v>83898</v>
      </c>
      <c r="E22" s="12">
        <v>87724</v>
      </c>
    </row>
    <row r="23" spans="1:8" x14ac:dyDescent="0.2">
      <c r="A23" s="11" t="s">
        <v>50</v>
      </c>
      <c r="B23" s="12">
        <f>B21-B22</f>
        <v>23260</v>
      </c>
      <c r="C23" s="12">
        <f>C21-C22</f>
        <v>24321</v>
      </c>
      <c r="D23" s="12">
        <f>D21-D22</f>
        <v>25430</v>
      </c>
      <c r="E23" s="12">
        <f>E21-E22</f>
        <v>26589</v>
      </c>
    </row>
    <row r="24" spans="1:8" x14ac:dyDescent="0.2">
      <c r="B24" s="12"/>
      <c r="C24" s="12"/>
      <c r="D24" s="12"/>
      <c r="E24" s="12"/>
    </row>
    <row r="25" spans="1:8" ht="25.5" x14ac:dyDescent="0.2">
      <c r="A25" s="11" t="s">
        <v>21</v>
      </c>
      <c r="B25" s="12">
        <v>12120</v>
      </c>
      <c r="C25" s="12">
        <v>12673</v>
      </c>
      <c r="D25" s="12">
        <v>13251</v>
      </c>
      <c r="E25" s="12">
        <v>13855</v>
      </c>
    </row>
    <row r="26" spans="1:8" ht="25.5" x14ac:dyDescent="0.2">
      <c r="A26" s="11" t="s">
        <v>51</v>
      </c>
      <c r="B26" s="12">
        <v>980</v>
      </c>
      <c r="C26" s="12">
        <v>1025</v>
      </c>
      <c r="D26" s="12">
        <v>1071</v>
      </c>
      <c r="E26" s="12">
        <v>1120</v>
      </c>
    </row>
    <row r="27" spans="1:8" ht="25.5" x14ac:dyDescent="0.2">
      <c r="A27" s="11" t="s">
        <v>82</v>
      </c>
      <c r="B27" s="12">
        <v>43077</v>
      </c>
      <c r="C27" s="12">
        <v>43077</v>
      </c>
      <c r="D27" s="12">
        <v>43077</v>
      </c>
      <c r="E27" s="12">
        <v>43077</v>
      </c>
    </row>
    <row r="28" spans="1:8" ht="25.5" x14ac:dyDescent="0.2">
      <c r="A28" s="11" t="s">
        <v>95</v>
      </c>
      <c r="B28" s="12">
        <v>6800</v>
      </c>
      <c r="C28" s="12">
        <v>6800</v>
      </c>
      <c r="D28" s="12">
        <v>6800</v>
      </c>
      <c r="E28" s="12">
        <v>6800</v>
      </c>
      <c r="G28" s="11">
        <v>45000</v>
      </c>
    </row>
    <row r="29" spans="1:8" ht="38.25" x14ac:dyDescent="0.2">
      <c r="A29" s="11" t="s">
        <v>28</v>
      </c>
      <c r="B29" s="12">
        <v>54852</v>
      </c>
      <c r="C29" s="12">
        <f>106738-B29</f>
        <v>51886</v>
      </c>
      <c r="D29" s="12">
        <f>(155554-C29)-B29</f>
        <v>48816</v>
      </c>
      <c r="E29" s="12">
        <f>((201195-D29)-C29)-B29</f>
        <v>45641</v>
      </c>
      <c r="G29" s="11">
        <v>3750</v>
      </c>
    </row>
    <row r="30" spans="1:8" x14ac:dyDescent="0.2">
      <c r="A30" s="11" t="s">
        <v>22</v>
      </c>
      <c r="B30" s="12">
        <f>B55*0.035</f>
        <v>6893.6</v>
      </c>
      <c r="C30" s="12">
        <f>C55*0.035</f>
        <v>7553.2450000000008</v>
      </c>
      <c r="D30" s="12">
        <f>D55*0.035</f>
        <v>8375.85</v>
      </c>
      <c r="E30" s="12">
        <f>E55*0.035</f>
        <v>8927.3450000000012</v>
      </c>
    </row>
    <row r="31" spans="1:8" x14ac:dyDescent="0.2">
      <c r="A31" s="11" t="s">
        <v>90</v>
      </c>
      <c r="B31" s="12">
        <v>41250</v>
      </c>
      <c r="C31" s="12">
        <v>41250</v>
      </c>
      <c r="D31" s="12">
        <v>41250</v>
      </c>
      <c r="E31" s="12">
        <v>41250</v>
      </c>
    </row>
    <row r="32" spans="1:8" x14ac:dyDescent="0.2">
      <c r="A32" s="11" t="s">
        <v>56</v>
      </c>
      <c r="B32" s="12">
        <f>SUM(B25:B31)</f>
        <v>165972.6</v>
      </c>
      <c r="C32" s="12">
        <f>SUM(C25:C31)</f>
        <v>164264.245</v>
      </c>
      <c r="D32" s="12">
        <f>SUM(D25:D31)</f>
        <v>162640.85</v>
      </c>
      <c r="E32" s="12">
        <f>SUM(E25:E31)</f>
        <v>160670.345</v>
      </c>
      <c r="H32" s="11">
        <v>105271.19</v>
      </c>
    </row>
    <row r="33" spans="1:8" x14ac:dyDescent="0.2">
      <c r="B33" s="12"/>
      <c r="C33" s="12"/>
      <c r="D33" s="12"/>
      <c r="E33" s="12"/>
      <c r="H33" s="11">
        <v>206041.34</v>
      </c>
    </row>
    <row r="34" spans="1:8" ht="25.5" x14ac:dyDescent="0.2">
      <c r="A34" s="11" t="s">
        <v>5</v>
      </c>
      <c r="B34" s="12">
        <f>B23-B32</f>
        <v>-142712.6</v>
      </c>
      <c r="C34" s="12">
        <f>C23-C32</f>
        <v>-139943.245</v>
      </c>
      <c r="D34" s="12">
        <f>D23-D32</f>
        <v>-137210.85</v>
      </c>
      <c r="E34" s="12">
        <f>E23-E32</f>
        <v>-134081.345</v>
      </c>
      <c r="H34" s="11">
        <v>302008.99</v>
      </c>
    </row>
    <row r="35" spans="1:8" x14ac:dyDescent="0.2">
      <c r="A35" s="11" t="s">
        <v>15</v>
      </c>
      <c r="B35" s="12">
        <f>IF((B34&lt;0),0,(B34*$B$1))</f>
        <v>0</v>
      </c>
      <c r="C35" s="12">
        <f>IF((C34&lt;0),0,(C34*$B$1))</f>
        <v>0</v>
      </c>
      <c r="D35" s="12">
        <f>IF((D34&lt;0),0,(D34*$B$1))</f>
        <v>0</v>
      </c>
      <c r="E35" s="12">
        <f>IF((E34&lt;0),0,(E34*$B$1))</f>
        <v>0</v>
      </c>
      <c r="H35" s="11">
        <v>392852.52</v>
      </c>
    </row>
    <row r="36" spans="1:8" x14ac:dyDescent="0.2">
      <c r="A36" s="11" t="s">
        <v>16</v>
      </c>
      <c r="B36" s="12">
        <f>B34-B35</f>
        <v>-142712.6</v>
      </c>
      <c r="C36" s="12">
        <f>C34-C35</f>
        <v>-139943.245</v>
      </c>
      <c r="D36" s="12">
        <f>D34-D35</f>
        <v>-137210.85</v>
      </c>
      <c r="E36" s="12">
        <f>E34-E35</f>
        <v>-134081.345</v>
      </c>
      <c r="H36" s="11">
        <v>1006174.04</v>
      </c>
    </row>
    <row r="37" spans="1:8" x14ac:dyDescent="0.2">
      <c r="A37" s="5"/>
      <c r="B37" s="5"/>
      <c r="C37" s="5"/>
      <c r="D37" s="5"/>
      <c r="E37" s="5"/>
    </row>
    <row r="38" spans="1:8" x14ac:dyDescent="0.2">
      <c r="A38" s="17" t="s">
        <v>17</v>
      </c>
      <c r="B38" s="17">
        <v>2012</v>
      </c>
      <c r="C38" s="17">
        <v>2013</v>
      </c>
      <c r="D38" s="17">
        <v>2014</v>
      </c>
      <c r="E38" s="17">
        <v>2015</v>
      </c>
    </row>
    <row r="39" spans="1:8" x14ac:dyDescent="0.2">
      <c r="A39" s="20" t="s">
        <v>27</v>
      </c>
      <c r="B39" s="18"/>
      <c r="C39" s="18"/>
      <c r="D39" s="18"/>
      <c r="E39" s="18"/>
    </row>
    <row r="40" spans="1:8" x14ac:dyDescent="0.2">
      <c r="A40" s="11" t="s">
        <v>60</v>
      </c>
      <c r="B40" s="12">
        <f>((-B32+B23)+B28)+B55</f>
        <v>61047.399999999994</v>
      </c>
      <c r="C40" s="12">
        <f>((-C32+C23)+C28)+C55</f>
        <v>82663.755000000005</v>
      </c>
      <c r="D40" s="12">
        <f>((-D32+D23)+D28)+D55</f>
        <v>108899.15</v>
      </c>
      <c r="E40" s="12">
        <f>((-E32+E23)+E28)+E55</f>
        <v>127785.655</v>
      </c>
    </row>
    <row r="41" spans="1:8" ht="25.5" x14ac:dyDescent="0.2">
      <c r="A41" s="11" t="s">
        <v>47</v>
      </c>
      <c r="B41" s="12">
        <v>12000</v>
      </c>
      <c r="C41" s="12">
        <v>12000</v>
      </c>
      <c r="D41" s="12">
        <v>12000</v>
      </c>
      <c r="E41" s="12">
        <v>12000</v>
      </c>
    </row>
    <row r="42" spans="1:8" ht="25.5" x14ac:dyDescent="0.2">
      <c r="A42" s="11" t="s">
        <v>14</v>
      </c>
      <c r="B42" s="12">
        <f>B40+B41</f>
        <v>73047.399999999994</v>
      </c>
      <c r="C42" s="12">
        <f>C40+C41</f>
        <v>94663.755000000005</v>
      </c>
      <c r="D42" s="12">
        <f>D40+D41</f>
        <v>120899.15</v>
      </c>
      <c r="E42" s="12">
        <f>E40+E41</f>
        <v>139785.655</v>
      </c>
    </row>
    <row r="43" spans="1:8" x14ac:dyDescent="0.2">
      <c r="B43" s="12"/>
      <c r="C43" s="12"/>
      <c r="D43" s="12"/>
      <c r="E43" s="12"/>
    </row>
    <row r="44" spans="1:8" x14ac:dyDescent="0.2">
      <c r="A44" s="11" t="s">
        <v>3</v>
      </c>
      <c r="B44" s="12">
        <v>1680000</v>
      </c>
      <c r="C44" s="12">
        <v>1680000</v>
      </c>
      <c r="D44" s="12">
        <v>1680000</v>
      </c>
      <c r="E44" s="12">
        <v>1680000</v>
      </c>
    </row>
    <row r="45" spans="1:8" x14ac:dyDescent="0.2">
      <c r="A45" s="11" t="s">
        <v>11</v>
      </c>
      <c r="B45" s="12">
        <v>34000</v>
      </c>
      <c r="C45" s="12">
        <v>34000</v>
      </c>
      <c r="D45" s="12">
        <v>34000</v>
      </c>
      <c r="E45" s="12">
        <v>34000</v>
      </c>
    </row>
    <row r="46" spans="1:8" ht="25.5" x14ac:dyDescent="0.2">
      <c r="A46" s="11" t="s">
        <v>91</v>
      </c>
      <c r="B46" s="12">
        <v>49877</v>
      </c>
      <c r="C46" s="12">
        <v>99754</v>
      </c>
      <c r="D46" s="12">
        <v>149631</v>
      </c>
      <c r="E46" s="12">
        <v>199508</v>
      </c>
    </row>
    <row r="47" spans="1:8" x14ac:dyDescent="0.2">
      <c r="A47" s="11" t="s">
        <v>37</v>
      </c>
      <c r="B47" s="12">
        <f>(B44+B45)-B46</f>
        <v>1664123</v>
      </c>
      <c r="C47" s="12">
        <f>(C44+C45)-C46</f>
        <v>1614246</v>
      </c>
      <c r="D47" s="12">
        <f>(D44+D45)-D46</f>
        <v>1564369</v>
      </c>
      <c r="E47" s="12">
        <f>(E44+E45)-E46</f>
        <v>1514492</v>
      </c>
    </row>
    <row r="48" spans="1:8" x14ac:dyDescent="0.2">
      <c r="B48" s="12"/>
      <c r="C48" s="12"/>
      <c r="D48" s="12"/>
      <c r="E48" s="12"/>
    </row>
    <row r="49" spans="1:6" x14ac:dyDescent="0.2">
      <c r="A49" s="11" t="s">
        <v>54</v>
      </c>
      <c r="B49" s="12">
        <v>1685699</v>
      </c>
      <c r="C49" s="12">
        <v>1635782</v>
      </c>
      <c r="D49" s="12">
        <v>1585769</v>
      </c>
      <c r="E49" s="12">
        <v>1536630</v>
      </c>
    </row>
    <row r="50" spans="1:6" x14ac:dyDescent="0.2">
      <c r="B50" s="12"/>
      <c r="C50" s="12"/>
      <c r="D50" s="12"/>
      <c r="E50" s="12"/>
    </row>
    <row r="51" spans="1:6" x14ac:dyDescent="0.2">
      <c r="A51" s="11" t="s">
        <v>20</v>
      </c>
      <c r="B51" s="12"/>
      <c r="C51" s="12"/>
      <c r="D51" s="12"/>
      <c r="E51" s="12"/>
    </row>
    <row r="52" spans="1:6" x14ac:dyDescent="0.2">
      <c r="A52" s="11" t="s">
        <v>41</v>
      </c>
      <c r="B52" s="12">
        <v>3750</v>
      </c>
      <c r="C52" s="12">
        <v>3750</v>
      </c>
      <c r="D52" s="12">
        <v>3750</v>
      </c>
      <c r="E52" s="12">
        <v>3750</v>
      </c>
    </row>
    <row r="53" spans="1:6" x14ac:dyDescent="0.2">
      <c r="A53" s="11" t="s">
        <v>85</v>
      </c>
      <c r="B53" s="12">
        <v>0</v>
      </c>
      <c r="C53" s="12">
        <v>0</v>
      </c>
      <c r="D53" s="12">
        <v>0</v>
      </c>
      <c r="E53" s="12">
        <v>0</v>
      </c>
    </row>
    <row r="54" spans="1:6" ht="38.25" x14ac:dyDescent="0.2">
      <c r="A54" s="11" t="s">
        <v>12</v>
      </c>
      <c r="B54" s="12">
        <v>1564227</v>
      </c>
      <c r="C54" s="12">
        <v>1475488</v>
      </c>
      <c r="D54" s="12">
        <v>1383679</v>
      </c>
      <c r="E54" s="12">
        <v>1288695</v>
      </c>
      <c r="F54" s="11" t="s">
        <v>7</v>
      </c>
    </row>
    <row r="55" spans="1:6" ht="25.5" x14ac:dyDescent="0.2">
      <c r="A55" s="11" t="s">
        <v>29</v>
      </c>
      <c r="B55" s="12">
        <v>196960</v>
      </c>
      <c r="C55" s="12">
        <v>215807</v>
      </c>
      <c r="D55" s="12">
        <v>239310</v>
      </c>
      <c r="E55" s="12">
        <v>255067</v>
      </c>
      <c r="F55" s="11" t="s">
        <v>40</v>
      </c>
    </row>
    <row r="56" spans="1:6" x14ac:dyDescent="0.2">
      <c r="B56" s="12"/>
      <c r="C56" s="12"/>
      <c r="D56" s="12"/>
      <c r="E56" s="12"/>
    </row>
    <row r="57" spans="1:6" x14ac:dyDescent="0.2">
      <c r="A57" s="11" t="s">
        <v>84</v>
      </c>
      <c r="B57" s="12">
        <v>1783502</v>
      </c>
      <c r="C57" s="12">
        <v>1730640</v>
      </c>
      <c r="D57" s="12">
        <v>1677631</v>
      </c>
      <c r="E57" s="12">
        <v>1624919</v>
      </c>
    </row>
    <row r="58" spans="1:6" x14ac:dyDescent="0.2">
      <c r="B58" s="12"/>
      <c r="C58" s="12"/>
      <c r="D58" s="12"/>
      <c r="E58" s="12"/>
    </row>
    <row r="59" spans="1:6" x14ac:dyDescent="0.2">
      <c r="A59" s="11" t="s">
        <v>78</v>
      </c>
      <c r="B59" s="12">
        <v>50000</v>
      </c>
      <c r="C59" s="12">
        <v>50000</v>
      </c>
      <c r="D59" s="12">
        <v>50000</v>
      </c>
      <c r="E59" s="12">
        <v>50000</v>
      </c>
    </row>
    <row r="60" spans="1:6" x14ac:dyDescent="0.2">
      <c r="A60" s="11" t="s">
        <v>68</v>
      </c>
      <c r="B60" s="12">
        <f>B36</f>
        <v>-142712.6</v>
      </c>
      <c r="C60" s="12">
        <f>C36</f>
        <v>-139943.245</v>
      </c>
      <c r="D60" s="12">
        <f>D36</f>
        <v>-137210.85</v>
      </c>
      <c r="E60" s="12">
        <f>E36</f>
        <v>-134081.345</v>
      </c>
    </row>
    <row r="61" spans="1:6" x14ac:dyDescent="0.2">
      <c r="B61" s="12"/>
      <c r="C61" s="12"/>
      <c r="D61" s="12"/>
      <c r="E61" s="12"/>
    </row>
    <row r="62" spans="1:6" ht="25.5" x14ac:dyDescent="0.2">
      <c r="A62" s="5" t="s">
        <v>19</v>
      </c>
      <c r="B62" s="21">
        <f>(B57+B59)+B60</f>
        <v>1690789.4</v>
      </c>
      <c r="C62" s="21">
        <f>(C57+C59)+C60</f>
        <v>1640696.7549999999</v>
      </c>
      <c r="D62" s="21">
        <f>(D57+D59)+D60</f>
        <v>1590420.15</v>
      </c>
      <c r="E62" s="21">
        <f>(E57+E59)+E60</f>
        <v>1540837.655</v>
      </c>
    </row>
    <row r="63" spans="1:6" x14ac:dyDescent="0.2">
      <c r="A63" s="18"/>
      <c r="B63" s="19"/>
      <c r="C63" s="19"/>
      <c r="D63" s="19"/>
      <c r="E63" s="19"/>
    </row>
    <row r="64" spans="1:6" x14ac:dyDescent="0.2">
      <c r="B64" s="12"/>
      <c r="C64" s="12"/>
      <c r="D64" s="12"/>
      <c r="E64" s="12"/>
    </row>
    <row r="65" spans="1:5" x14ac:dyDescent="0.2">
      <c r="A65" s="11" t="s">
        <v>53</v>
      </c>
      <c r="B65" s="12">
        <f>B49-B62</f>
        <v>-5090.3999999999069</v>
      </c>
      <c r="C65" s="12">
        <f>C49-C62</f>
        <v>-4914.7549999998882</v>
      </c>
      <c r="D65" s="12">
        <f>D49-D62</f>
        <v>-4651.1499999999069</v>
      </c>
      <c r="E65" s="12">
        <f>E49-E62</f>
        <v>-4207.6550000000279</v>
      </c>
    </row>
  </sheetData>
  <pageMargins left="0.75" right="0.75" top="1" bottom="1" header="0.5" footer="0.5"/>
  <pageSetup paperSize="9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57"/>
  <sheetViews>
    <sheetView tabSelected="1" topLeftCell="A20" zoomScaleNormal="100" workbookViewId="0">
      <selection activeCell="A63" sqref="A63"/>
    </sheetView>
  </sheetViews>
  <sheetFormatPr defaultColWidth="17.140625" defaultRowHeight="12.75" customHeight="1" x14ac:dyDescent="0.2"/>
  <cols>
    <col min="1" max="1" width="38.28515625" customWidth="1"/>
    <col min="2" max="21" width="17.140625" customWidth="1"/>
  </cols>
  <sheetData>
    <row r="1" spans="1:8" hidden="1" x14ac:dyDescent="0.2">
      <c r="A1" s="11" t="s">
        <v>96</v>
      </c>
      <c r="C1" s="11">
        <v>0.25</v>
      </c>
      <c r="H1" s="11" t="s">
        <v>25</v>
      </c>
    </row>
    <row r="2" spans="1:8" hidden="1" x14ac:dyDescent="0.2">
      <c r="A2" s="11" t="s">
        <v>8</v>
      </c>
      <c r="C2" s="11">
        <v>4.5600000000000002E-2</v>
      </c>
    </row>
    <row r="3" spans="1:8" ht="63.75" hidden="1" x14ac:dyDescent="0.2">
      <c r="A3" s="11" t="s">
        <v>67</v>
      </c>
      <c r="C3" s="11">
        <v>0.1212</v>
      </c>
      <c r="H3" s="11" t="s">
        <v>70</v>
      </c>
    </row>
    <row r="4" spans="1:8" hidden="1" x14ac:dyDescent="0.2">
      <c r="A4" s="11" t="s">
        <v>39</v>
      </c>
      <c r="C4" s="11">
        <v>9.7999999999999997E-3</v>
      </c>
    </row>
    <row r="5" spans="1:8" hidden="1" x14ac:dyDescent="0.2">
      <c r="A5" s="11" t="s">
        <v>57</v>
      </c>
      <c r="C5" s="11">
        <v>34000</v>
      </c>
    </row>
    <row r="6" spans="1:8" hidden="1" x14ac:dyDescent="0.2">
      <c r="A6" s="11" t="s">
        <v>89</v>
      </c>
      <c r="C6" s="11">
        <v>1680000</v>
      </c>
    </row>
    <row r="7" spans="1:8" hidden="1" x14ac:dyDescent="0.2">
      <c r="A7" s="11" t="s">
        <v>71</v>
      </c>
      <c r="C7" s="11">
        <v>39</v>
      </c>
    </row>
    <row r="8" spans="1:8" hidden="1" x14ac:dyDescent="0.2">
      <c r="A8" s="11" t="s">
        <v>76</v>
      </c>
      <c r="C8" s="11">
        <v>5</v>
      </c>
    </row>
    <row r="9" spans="1:8" hidden="1" x14ac:dyDescent="0.2">
      <c r="A9" s="11" t="s">
        <v>47</v>
      </c>
      <c r="C9" s="11">
        <v>12000</v>
      </c>
    </row>
    <row r="10" spans="1:8" hidden="1" x14ac:dyDescent="0.2">
      <c r="A10" s="11" t="s">
        <v>49</v>
      </c>
      <c r="C10" s="11">
        <v>28.9</v>
      </c>
    </row>
    <row r="11" spans="1:8" hidden="1" x14ac:dyDescent="0.2">
      <c r="A11" s="11" t="s">
        <v>63</v>
      </c>
      <c r="C11" s="11">
        <v>1175</v>
      </c>
    </row>
    <row r="12" spans="1:8" hidden="1" x14ac:dyDescent="0.2">
      <c r="A12" s="11" t="s">
        <v>77</v>
      </c>
      <c r="C12" s="11">
        <v>9.14</v>
      </c>
    </row>
    <row r="13" spans="1:8" hidden="1" x14ac:dyDescent="0.2">
      <c r="A13" s="11" t="s">
        <v>88</v>
      </c>
      <c r="C13" s="12">
        <v>16000</v>
      </c>
    </row>
    <row r="14" spans="1:8" ht="32.25" hidden="1" customHeight="1" x14ac:dyDescent="0.2">
      <c r="A14" s="11" t="s">
        <v>52</v>
      </c>
      <c r="C14" s="22">
        <v>3.4049999999999997E-2</v>
      </c>
    </row>
    <row r="15" spans="1:8" ht="26.25" hidden="1" customHeight="1" x14ac:dyDescent="0.2">
      <c r="A15" s="11" t="s">
        <v>69</v>
      </c>
      <c r="C15" s="22">
        <v>7.8600000000000003E-2</v>
      </c>
      <c r="D15" s="47" t="s">
        <v>64</v>
      </c>
      <c r="E15" s="48"/>
      <c r="F15" s="48"/>
      <c r="G15" s="48"/>
      <c r="H15" s="48"/>
    </row>
    <row r="16" spans="1:8" ht="23.25" hidden="1" customHeight="1" x14ac:dyDescent="0.2">
      <c r="A16" s="11" t="s">
        <v>61</v>
      </c>
      <c r="C16" s="22">
        <v>7.0000000000000001E-3</v>
      </c>
      <c r="D16" s="47" t="s">
        <v>75</v>
      </c>
      <c r="E16" s="48"/>
      <c r="F16" s="48"/>
      <c r="G16" s="48"/>
    </row>
    <row r="17" spans="1:21" ht="32.25" hidden="1" customHeight="1" x14ac:dyDescent="0.2"/>
    <row r="18" spans="1:21" ht="33" hidden="1" customHeight="1" x14ac:dyDescent="0.2"/>
    <row r="19" spans="1:21" ht="26.25" hidden="1" customHeight="1" x14ac:dyDescent="0.2"/>
    <row r="20" spans="1:21" x14ac:dyDescent="0.2">
      <c r="A20" s="23" t="s">
        <v>34</v>
      </c>
      <c r="B20" s="32" t="s">
        <v>93</v>
      </c>
      <c r="C20" s="32">
        <v>2012</v>
      </c>
      <c r="D20" s="32">
        <v>2013</v>
      </c>
      <c r="E20" s="32">
        <v>2014</v>
      </c>
      <c r="F20" s="32">
        <v>2015</v>
      </c>
      <c r="G20" s="32">
        <v>2016</v>
      </c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</row>
    <row r="21" spans="1:21" x14ac:dyDescent="0.2">
      <c r="A21" s="11" t="s">
        <v>92</v>
      </c>
      <c r="C21" s="30">
        <f>C22*C23</f>
        <v>146240</v>
      </c>
      <c r="D21" s="30">
        <f>D22*D23</f>
        <v>168199.39840000001</v>
      </c>
      <c r="E21" s="30">
        <f>E22*E23</f>
        <v>193456.22006374405</v>
      </c>
      <c r="F21" s="30">
        <f>F22*F23</f>
        <v>222505.60606851592</v>
      </c>
      <c r="G21" s="30">
        <f>G22*G23</f>
        <v>255917.04787576431</v>
      </c>
    </row>
    <row r="22" spans="1:21" x14ac:dyDescent="0.2">
      <c r="A22" s="11" t="s">
        <v>72</v>
      </c>
      <c r="C22" s="30">
        <f>C13</f>
        <v>16000</v>
      </c>
      <c r="D22" s="30">
        <f>C22+(C22*C2)</f>
        <v>16729.599999999999</v>
      </c>
      <c r="E22" s="30">
        <f>D22+(D22*$C$2)</f>
        <v>17492.46976</v>
      </c>
      <c r="F22" s="30">
        <f>E22+(E22*$C$2)</f>
        <v>18290.126381056001</v>
      </c>
      <c r="G22" s="30">
        <f>F22+(F22*$C$2)</f>
        <v>19124.156144032157</v>
      </c>
    </row>
    <row r="23" spans="1:21" x14ac:dyDescent="0.2">
      <c r="A23" s="11" t="s">
        <v>26</v>
      </c>
      <c r="C23" s="29">
        <f>C12</f>
        <v>9.14</v>
      </c>
      <c r="D23" s="29">
        <f>C23*1.1</f>
        <v>10.054000000000002</v>
      </c>
      <c r="E23" s="29">
        <f>D23*1.1</f>
        <v>11.059400000000004</v>
      </c>
      <c r="F23" s="29">
        <f>E23*1.1</f>
        <v>12.165340000000006</v>
      </c>
      <c r="G23" s="29">
        <f>F23*1.1</f>
        <v>13.381874000000007</v>
      </c>
    </row>
    <row r="24" spans="1:21" x14ac:dyDescent="0.2">
      <c r="A24" s="11" t="s">
        <v>31</v>
      </c>
      <c r="C24" s="30">
        <v>76740</v>
      </c>
      <c r="D24" s="30">
        <v>80239</v>
      </c>
      <c r="E24" s="30">
        <v>83898</v>
      </c>
      <c r="F24" s="30">
        <v>87724</v>
      </c>
      <c r="G24" s="30">
        <v>91385.332999999999</v>
      </c>
    </row>
    <row r="25" spans="1:21" x14ac:dyDescent="0.2">
      <c r="A25" s="23" t="s">
        <v>50</v>
      </c>
      <c r="B25" s="23"/>
      <c r="C25" s="33">
        <f>C21-C24</f>
        <v>69500</v>
      </c>
      <c r="D25" s="33">
        <f>D21-D24</f>
        <v>87960.398400000005</v>
      </c>
      <c r="E25" s="33">
        <f>E21-E24</f>
        <v>109558.22006374405</v>
      </c>
      <c r="F25" s="33">
        <f>F21-F24</f>
        <v>134781.60606851592</v>
      </c>
      <c r="G25" s="33">
        <f>G21-G24</f>
        <v>164531.71487576433</v>
      </c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</row>
    <row r="26" spans="1:21" ht="12.75" customHeight="1" x14ac:dyDescent="0.2">
      <c r="C26" s="31"/>
      <c r="D26" s="31"/>
      <c r="E26" s="31"/>
      <c r="F26" s="31"/>
      <c r="G26" s="31"/>
    </row>
    <row r="27" spans="1:21" x14ac:dyDescent="0.2">
      <c r="A27" s="11" t="s">
        <v>21</v>
      </c>
      <c r="C27" s="30">
        <f>C21*$C$3</f>
        <v>17724.288</v>
      </c>
      <c r="D27" s="30">
        <f>D21*$C$3</f>
        <v>20385.767086080003</v>
      </c>
      <c r="E27" s="30">
        <f>E21*$C$3</f>
        <v>23446.893871725781</v>
      </c>
      <c r="F27" s="30">
        <f>F21*$C$3</f>
        <v>26967.679455504131</v>
      </c>
      <c r="G27" s="30">
        <f>G21*$C$3</f>
        <v>31017.146202542637</v>
      </c>
    </row>
    <row r="28" spans="1:21" x14ac:dyDescent="0.2">
      <c r="A28" s="11" t="s">
        <v>51</v>
      </c>
      <c r="C28" s="30">
        <f>C21*$C$4</f>
        <v>1433.152</v>
      </c>
      <c r="D28" s="30">
        <f>D21*$C$4</f>
        <v>1648.35410432</v>
      </c>
      <c r="E28" s="30">
        <f>E21*$C$4</f>
        <v>1895.8709566246916</v>
      </c>
      <c r="F28" s="30">
        <f>F21*$C$4</f>
        <v>2180.5549394714558</v>
      </c>
      <c r="G28" s="30">
        <f>G21*$C$4</f>
        <v>2507.9870691824904</v>
      </c>
    </row>
    <row r="29" spans="1:21" x14ac:dyDescent="0.2">
      <c r="A29" s="11" t="s">
        <v>80</v>
      </c>
      <c r="C29" s="30">
        <v>33958</v>
      </c>
      <c r="D29" s="30">
        <v>33958</v>
      </c>
      <c r="E29" s="30">
        <v>33958</v>
      </c>
      <c r="F29" s="30">
        <v>33958</v>
      </c>
      <c r="G29" s="30">
        <v>33958</v>
      </c>
    </row>
    <row r="30" spans="1:21" x14ac:dyDescent="0.2">
      <c r="A30" s="11" t="s">
        <v>66</v>
      </c>
      <c r="C30" s="30">
        <f>C55*$C$14</f>
        <v>2599.9187461732004</v>
      </c>
      <c r="D30" s="30">
        <f>D55*$C$14</f>
        <v>2627.2837567672395</v>
      </c>
      <c r="E30" s="30">
        <f>E55*$C$14</f>
        <v>2611.5912794251817</v>
      </c>
      <c r="F30" s="30">
        <f>F55*$C$14</f>
        <v>2622.0682330372833</v>
      </c>
      <c r="G30" s="30">
        <f>G55*$C$14</f>
        <v>2653.2113095195978</v>
      </c>
    </row>
    <row r="31" spans="1:21" x14ac:dyDescent="0.2">
      <c r="A31" s="11" t="s">
        <v>90</v>
      </c>
      <c r="C31" s="30">
        <v>4125</v>
      </c>
      <c r="D31" s="30">
        <v>4125</v>
      </c>
      <c r="E31" s="30">
        <v>4125</v>
      </c>
      <c r="F31" s="30">
        <v>4125</v>
      </c>
      <c r="G31" s="30">
        <v>4125</v>
      </c>
    </row>
    <row r="32" spans="1:21" x14ac:dyDescent="0.2">
      <c r="A32" s="11" t="s">
        <v>32</v>
      </c>
      <c r="C32" s="30">
        <v>4857</v>
      </c>
      <c r="D32" s="30">
        <v>4857</v>
      </c>
      <c r="E32" s="30">
        <v>4857</v>
      </c>
      <c r="F32" s="30">
        <v>4857</v>
      </c>
      <c r="G32" s="30">
        <v>4857</v>
      </c>
      <c r="I32" s="41"/>
      <c r="J32" s="41"/>
    </row>
    <row r="33" spans="1:21" x14ac:dyDescent="0.2">
      <c r="A33" s="23" t="s">
        <v>56</v>
      </c>
      <c r="B33" s="23"/>
      <c r="C33" s="33">
        <f>SUM(C27:C32)</f>
        <v>64697.358746173202</v>
      </c>
      <c r="D33" s="33">
        <f>SUM(D27:D32)</f>
        <v>67601.404947167233</v>
      </c>
      <c r="E33" s="33">
        <f>SUM(E27:E32)</f>
        <v>70894.356107775646</v>
      </c>
      <c r="F33" s="33">
        <f>SUM(F27:F32)</f>
        <v>74710.302628012869</v>
      </c>
      <c r="G33" s="33">
        <f>SUM(G27:G32)</f>
        <v>79118.344581244717</v>
      </c>
      <c r="H33" s="23"/>
      <c r="I33" s="42">
        <v>105271.19</v>
      </c>
      <c r="J33" s="42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</row>
    <row r="34" spans="1:21" x14ac:dyDescent="0.2">
      <c r="C34" s="31"/>
      <c r="D34" s="31"/>
      <c r="E34" s="31"/>
      <c r="F34" s="31"/>
      <c r="G34" s="31"/>
      <c r="I34" s="43">
        <v>206041.34</v>
      </c>
      <c r="J34" s="41"/>
    </row>
    <row r="35" spans="1:21" x14ac:dyDescent="0.2">
      <c r="A35" s="11" t="s">
        <v>5</v>
      </c>
      <c r="C35" s="30">
        <f>C25-C33</f>
        <v>4802.6412538267978</v>
      </c>
      <c r="D35" s="30">
        <f>D25-D33</f>
        <v>20358.993452832772</v>
      </c>
      <c r="E35" s="30">
        <f>E25-E33</f>
        <v>38663.863955968409</v>
      </c>
      <c r="F35" s="30">
        <f>F25-F33</f>
        <v>60071.303440503048</v>
      </c>
      <c r="G35" s="30">
        <f>G25-G33</f>
        <v>85413.370294519613</v>
      </c>
      <c r="I35" s="43">
        <v>302008.99</v>
      </c>
      <c r="J35" s="41"/>
    </row>
    <row r="36" spans="1:21" x14ac:dyDescent="0.2">
      <c r="A36" s="11" t="s">
        <v>15</v>
      </c>
      <c r="C36" s="30">
        <f>IF((C35&lt;0),0,(C35*$C$1))</f>
        <v>1200.6603134566994</v>
      </c>
      <c r="D36" s="30">
        <f>IF((D35&lt;0),0,(D35*$C$1))</f>
        <v>5089.748363208193</v>
      </c>
      <c r="E36" s="30">
        <f>IF((E35&lt;0),0,(E35*$C$1))</f>
        <v>9665.9659889921022</v>
      </c>
      <c r="F36" s="30">
        <f>IF((F35&lt;0),0,(F35*$C$1))</f>
        <v>15017.825860125762</v>
      </c>
      <c r="G36" s="30">
        <f>IF((G35&lt;0),0,(G35*$C$1))</f>
        <v>21353.342573629903</v>
      </c>
      <c r="I36" s="43">
        <v>392852.52</v>
      </c>
      <c r="J36" s="41"/>
    </row>
    <row r="37" spans="1:21" ht="13.5" thickBot="1" x14ac:dyDescent="0.25">
      <c r="A37" s="11" t="s">
        <v>16</v>
      </c>
      <c r="C37" s="34">
        <f>C35-C36</f>
        <v>3601.9809403700983</v>
      </c>
      <c r="D37" s="34">
        <f>D35-D36</f>
        <v>15269.245089624579</v>
      </c>
      <c r="E37" s="34">
        <f>E35-E36</f>
        <v>28997.897966976307</v>
      </c>
      <c r="F37" s="34">
        <f>F35-F36</f>
        <v>45053.477580377286</v>
      </c>
      <c r="G37" s="34">
        <f>G35-G36</f>
        <v>64060.02772088971</v>
      </c>
      <c r="I37" s="43">
        <v>1006174.04</v>
      </c>
      <c r="J37" s="41"/>
    </row>
    <row r="38" spans="1:21" ht="12.75" customHeight="1" thickTop="1" x14ac:dyDescent="0.2">
      <c r="I38" s="41"/>
      <c r="J38" s="41"/>
    </row>
    <row r="39" spans="1:21" x14ac:dyDescent="0.2">
      <c r="A39" s="23" t="s">
        <v>17</v>
      </c>
      <c r="B39" s="40" t="s">
        <v>93</v>
      </c>
      <c r="C39" s="32">
        <v>2012</v>
      </c>
      <c r="D39" s="32">
        <v>2013</v>
      </c>
      <c r="E39" s="32">
        <v>2014</v>
      </c>
      <c r="F39" s="32">
        <v>2015</v>
      </c>
      <c r="G39" s="32">
        <v>2016</v>
      </c>
      <c r="I39" s="41"/>
      <c r="J39" s="41"/>
    </row>
    <row r="40" spans="1:21" x14ac:dyDescent="0.2">
      <c r="A40" s="24" t="s">
        <v>27</v>
      </c>
      <c r="B40" s="28"/>
      <c r="C40" s="32"/>
      <c r="D40" s="32"/>
      <c r="E40" s="32"/>
      <c r="F40" s="32"/>
      <c r="G40" s="32"/>
    </row>
    <row r="41" spans="1:21" x14ac:dyDescent="0.2">
      <c r="A41" s="11" t="s">
        <v>108</v>
      </c>
      <c r="B41" s="28"/>
      <c r="C41" s="36">
        <f>C24/360*30</f>
        <v>6395</v>
      </c>
      <c r="D41" s="36">
        <f>D24/360*30</f>
        <v>6686.5833333333339</v>
      </c>
      <c r="E41" s="36">
        <f>E24/360*30</f>
        <v>6991.5</v>
      </c>
      <c r="F41" s="36">
        <f>F24/360*30</f>
        <v>7310.333333333333</v>
      </c>
      <c r="G41" s="36">
        <f>G24/360*30</f>
        <v>7615.4444166666672</v>
      </c>
    </row>
    <row r="42" spans="1:21" x14ac:dyDescent="0.2">
      <c r="A42" s="11" t="s">
        <v>60</v>
      </c>
      <c r="B42" s="31"/>
      <c r="C42" s="30">
        <f>((C25-SUM(C27:C31))+50000)+25047</f>
        <v>84706.64125382679</v>
      </c>
      <c r="D42" s="30">
        <f>(D25-SUM(D27:D31))+74584</f>
        <v>99799.993452832772</v>
      </c>
      <c r="E42" s="30">
        <f>(E25-SUM(E27:E31))+74099</f>
        <v>117619.86395596841</v>
      </c>
      <c r="F42" s="30">
        <f>(F25-SUM(F27:F31))+73593</f>
        <v>138521.30344050305</v>
      </c>
      <c r="G42" s="30">
        <f>(G25-SUM(G27:G31))+72724</f>
        <v>162994.37029451961</v>
      </c>
    </row>
    <row r="43" spans="1:21" x14ac:dyDescent="0.2">
      <c r="A43" s="11" t="s">
        <v>47</v>
      </c>
      <c r="B43" s="31"/>
      <c r="C43" s="30">
        <v>12000</v>
      </c>
      <c r="D43" s="30">
        <v>12000</v>
      </c>
      <c r="E43" s="30">
        <v>12000</v>
      </c>
      <c r="F43" s="30">
        <v>12000</v>
      </c>
      <c r="G43" s="30">
        <v>12000</v>
      </c>
    </row>
    <row r="44" spans="1:21" x14ac:dyDescent="0.2">
      <c r="A44" s="11" t="s">
        <v>14</v>
      </c>
      <c r="B44" s="31"/>
      <c r="C44" s="37">
        <f>C41+C42+C43</f>
        <v>103101.64125382679</v>
      </c>
      <c r="D44" s="37">
        <f>D41+D42+D43</f>
        <v>118486.5767861661</v>
      </c>
      <c r="E44" s="37">
        <f>E41+E42+E43</f>
        <v>136611.36395596841</v>
      </c>
      <c r="F44" s="37">
        <f>F41+F42+F43</f>
        <v>157831.63677383639</v>
      </c>
      <c r="G44" s="37">
        <f>G41+G42+G43</f>
        <v>182609.81471118628</v>
      </c>
    </row>
    <row r="45" spans="1:21" ht="12.75" customHeight="1" x14ac:dyDescent="0.2">
      <c r="B45" s="31"/>
      <c r="C45" s="31"/>
      <c r="D45" s="31"/>
      <c r="E45" s="31"/>
      <c r="F45" s="31"/>
      <c r="G45" s="31"/>
    </row>
    <row r="46" spans="1:21" x14ac:dyDescent="0.2">
      <c r="A46" s="11" t="s">
        <v>11</v>
      </c>
      <c r="B46" s="30">
        <f>C5</f>
        <v>34000</v>
      </c>
      <c r="C46" s="30">
        <v>34000</v>
      </c>
      <c r="D46" s="30">
        <v>34000</v>
      </c>
      <c r="E46" s="30">
        <v>34000</v>
      </c>
      <c r="F46" s="30">
        <v>34000</v>
      </c>
      <c r="G46" s="30">
        <v>34000</v>
      </c>
    </row>
    <row r="47" spans="1:21" x14ac:dyDescent="0.2">
      <c r="A47" s="11" t="s">
        <v>91</v>
      </c>
      <c r="B47" s="31"/>
      <c r="C47" s="30">
        <v>4857</v>
      </c>
      <c r="D47" s="30">
        <f>C47*2</f>
        <v>9714</v>
      </c>
      <c r="E47" s="30">
        <f>C47*3</f>
        <v>14571</v>
      </c>
      <c r="F47" s="30">
        <f>C47*4</f>
        <v>19428</v>
      </c>
      <c r="G47" s="30">
        <f>C47*5</f>
        <v>24285</v>
      </c>
    </row>
    <row r="48" spans="1:21" x14ac:dyDescent="0.2">
      <c r="A48" s="11" t="s">
        <v>37</v>
      </c>
      <c r="B48" s="30">
        <f>B46-B45</f>
        <v>34000</v>
      </c>
      <c r="C48" s="30">
        <v>27200</v>
      </c>
      <c r="D48" s="30">
        <f>D46-D47</f>
        <v>24286</v>
      </c>
      <c r="E48" s="30">
        <f>E46-E47</f>
        <v>19429</v>
      </c>
      <c r="F48" s="30">
        <f>F46-F47</f>
        <v>14572</v>
      </c>
      <c r="G48" s="30">
        <f>G46-G47</f>
        <v>9715</v>
      </c>
    </row>
    <row r="49" spans="1:21" ht="12.75" customHeight="1" x14ac:dyDescent="0.2">
      <c r="B49" s="31"/>
      <c r="C49" s="31"/>
      <c r="D49" s="31"/>
      <c r="E49" s="31"/>
      <c r="F49" s="31"/>
      <c r="G49" s="31"/>
    </row>
    <row r="50" spans="1:21" x14ac:dyDescent="0.2">
      <c r="A50" s="23" t="s">
        <v>54</v>
      </c>
      <c r="B50" s="35">
        <f t="shared" ref="B50:G50" si="0">B48+B44</f>
        <v>34000</v>
      </c>
      <c r="C50" s="35">
        <f t="shared" si="0"/>
        <v>130301.64125382679</v>
      </c>
      <c r="D50" s="35">
        <f t="shared" si="0"/>
        <v>142772.57678616612</v>
      </c>
      <c r="E50" s="35">
        <f t="shared" si="0"/>
        <v>156040.36395596841</v>
      </c>
      <c r="F50" s="35">
        <f t="shared" si="0"/>
        <v>172403.63677383639</v>
      </c>
      <c r="G50" s="35">
        <f t="shared" si="0"/>
        <v>192324.81471118628</v>
      </c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</row>
    <row r="52" spans="1:21" x14ac:dyDescent="0.2">
      <c r="A52" s="24" t="s">
        <v>20</v>
      </c>
    </row>
    <row r="53" spans="1:21" x14ac:dyDescent="0.2">
      <c r="A53" s="11" t="s">
        <v>41</v>
      </c>
      <c r="C53" s="30">
        <f>C31/12</f>
        <v>343.75</v>
      </c>
      <c r="D53" s="30">
        <f>D31/12</f>
        <v>343.75</v>
      </c>
      <c r="E53" s="30">
        <f>E31/12</f>
        <v>343.75</v>
      </c>
      <c r="F53" s="30">
        <f>F31/12</f>
        <v>343.75</v>
      </c>
      <c r="G53" s="30">
        <f>G31/12</f>
        <v>343.75</v>
      </c>
    </row>
    <row r="54" spans="1:21" x14ac:dyDescent="0.2">
      <c r="A54" s="11" t="s">
        <v>85</v>
      </c>
      <c r="C54" s="30">
        <v>0</v>
      </c>
      <c r="D54" s="30">
        <v>0</v>
      </c>
      <c r="E54" s="30">
        <v>0</v>
      </c>
      <c r="F54" s="30">
        <v>0</v>
      </c>
      <c r="G54" s="30">
        <v>0</v>
      </c>
    </row>
    <row r="55" spans="1:21" x14ac:dyDescent="0.2">
      <c r="A55" s="11" t="s">
        <v>29</v>
      </c>
      <c r="C55" s="30">
        <v>76355.910313456698</v>
      </c>
      <c r="D55" s="30">
        <v>77159.581696541543</v>
      </c>
      <c r="E55" s="30">
        <v>76698.715988992131</v>
      </c>
      <c r="F55" s="30">
        <v>77006.409193459142</v>
      </c>
      <c r="G55" s="30">
        <v>77921.036990296561</v>
      </c>
    </row>
    <row r="56" spans="1:21" ht="12.75" customHeight="1" x14ac:dyDescent="0.2">
      <c r="C56" s="31"/>
      <c r="D56" s="31"/>
      <c r="E56" s="31"/>
      <c r="F56" s="31"/>
      <c r="G56" s="31"/>
    </row>
    <row r="57" spans="1:21" x14ac:dyDescent="0.2">
      <c r="A57" s="23" t="s">
        <v>84</v>
      </c>
      <c r="B57" s="20"/>
      <c r="C57" s="33">
        <f>(C53+C54)+C55</f>
        <v>76699.660313456698</v>
      </c>
      <c r="D57" s="33">
        <f>(D53+D54)+D55</f>
        <v>77503.331696541543</v>
      </c>
      <c r="E57" s="33">
        <f>(E53+E54)+E55</f>
        <v>77042.465988992131</v>
      </c>
      <c r="F57" s="33">
        <f>(F53+F54)+F55</f>
        <v>77350.159193459142</v>
      </c>
      <c r="G57" s="33">
        <f>(G53+G54)+G55</f>
        <v>78264.786990296561</v>
      </c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</row>
    <row r="58" spans="1:21" ht="12.75" customHeight="1" x14ac:dyDescent="0.2">
      <c r="C58" s="31"/>
      <c r="D58" s="31"/>
      <c r="E58" s="31"/>
      <c r="F58" s="31"/>
      <c r="G58" s="31"/>
    </row>
    <row r="59" spans="1:21" x14ac:dyDescent="0.2">
      <c r="A59" s="11" t="s">
        <v>78</v>
      </c>
      <c r="C59" s="30">
        <v>50000</v>
      </c>
      <c r="D59" s="30">
        <v>50000</v>
      </c>
      <c r="E59" s="30">
        <v>50000</v>
      </c>
      <c r="F59" s="30">
        <v>50000</v>
      </c>
      <c r="G59" s="30">
        <v>50000</v>
      </c>
    </row>
    <row r="60" spans="1:21" x14ac:dyDescent="0.2">
      <c r="A60" s="11" t="s">
        <v>68</v>
      </c>
      <c r="C60" s="30">
        <f>C37</f>
        <v>3601.9809403700983</v>
      </c>
      <c r="D60" s="30">
        <f>D37</f>
        <v>15269.245089624579</v>
      </c>
      <c r="E60" s="30">
        <f>E37</f>
        <v>28997.897966976307</v>
      </c>
      <c r="F60" s="30">
        <f>F37</f>
        <v>45053.477580377286</v>
      </c>
      <c r="G60" s="30">
        <f>G37</f>
        <v>64060.02772088971</v>
      </c>
    </row>
    <row r="61" spans="1:21" x14ac:dyDescent="0.2">
      <c r="A61" s="11" t="s">
        <v>115</v>
      </c>
      <c r="B61" s="31">
        <v>50000</v>
      </c>
      <c r="C61" s="30">
        <v>0</v>
      </c>
      <c r="D61" s="30">
        <v>0</v>
      </c>
      <c r="E61" s="30">
        <v>0</v>
      </c>
      <c r="F61" s="30">
        <v>0</v>
      </c>
      <c r="G61" s="30">
        <v>0</v>
      </c>
    </row>
    <row r="62" spans="1:21" ht="12.75" customHeight="1" x14ac:dyDescent="0.2">
      <c r="C62" s="31"/>
      <c r="D62" s="31"/>
      <c r="E62" s="31"/>
      <c r="F62" s="31"/>
      <c r="G62" s="31"/>
    </row>
    <row r="63" spans="1:21" x14ac:dyDescent="0.2">
      <c r="A63" s="11" t="s">
        <v>19</v>
      </c>
      <c r="B63" s="44"/>
      <c r="C63" s="35">
        <f>(C57+C59)+C60</f>
        <v>130301.64125382679</v>
      </c>
      <c r="D63" s="35">
        <f>(D57+D59)+D60</f>
        <v>142772.57678616612</v>
      </c>
      <c r="E63" s="35">
        <f>(E57+E59)+E60</f>
        <v>156040.36395596844</v>
      </c>
      <c r="F63" s="35">
        <f>(F57+F59)+F60</f>
        <v>172403.63677383642</v>
      </c>
      <c r="G63" s="35">
        <f>(G57+G59)+G60</f>
        <v>192324.81471118628</v>
      </c>
    </row>
    <row r="64" spans="1:21" ht="12.75" customHeight="1" x14ac:dyDescent="0.2">
      <c r="C64" s="31"/>
      <c r="D64" s="31"/>
      <c r="E64" s="31"/>
      <c r="F64" s="31"/>
      <c r="G64" s="31"/>
    </row>
    <row r="65" spans="1:7" ht="12.75" customHeight="1" x14ac:dyDescent="0.2">
      <c r="C65" s="31"/>
      <c r="D65" s="31"/>
      <c r="E65" s="31"/>
      <c r="F65" s="31"/>
      <c r="G65" s="31"/>
    </row>
    <row r="66" spans="1:7" x14ac:dyDescent="0.2">
      <c r="A66" s="11" t="s">
        <v>53</v>
      </c>
      <c r="C66" s="46">
        <f>C50-C63</f>
        <v>0</v>
      </c>
      <c r="D66" s="46">
        <f>D50-D63</f>
        <v>0</v>
      </c>
      <c r="E66" s="46">
        <f>E50-E63</f>
        <v>0</v>
      </c>
      <c r="F66" s="46">
        <f>F50-F63</f>
        <v>0</v>
      </c>
      <c r="G66" s="46">
        <f>G50-G63</f>
        <v>0</v>
      </c>
    </row>
    <row r="68" spans="1:7" x14ac:dyDescent="0.2">
      <c r="A68" s="12" t="s">
        <v>59</v>
      </c>
    </row>
    <row r="70" spans="1:7" x14ac:dyDescent="0.2">
      <c r="A70" s="11" t="s">
        <v>30</v>
      </c>
    </row>
    <row r="71" spans="1:7" x14ac:dyDescent="0.2">
      <c r="A71" s="11" t="s">
        <v>55</v>
      </c>
      <c r="B71" s="30">
        <f>G55</f>
        <v>77921.036990296561</v>
      </c>
    </row>
    <row r="72" spans="1:7" x14ac:dyDescent="0.2">
      <c r="A72" s="11" t="s">
        <v>18</v>
      </c>
      <c r="B72" s="30">
        <f>G55</f>
        <v>77921.036990296561</v>
      </c>
    </row>
    <row r="73" spans="1:7" x14ac:dyDescent="0.2">
      <c r="A73" s="11" t="s">
        <v>62</v>
      </c>
      <c r="B73" s="22">
        <f>B71/B72</f>
        <v>1</v>
      </c>
    </row>
    <row r="75" spans="1:7" x14ac:dyDescent="0.2">
      <c r="A75" s="11" t="s">
        <v>58</v>
      </c>
    </row>
    <row r="76" spans="1:7" x14ac:dyDescent="0.2">
      <c r="B76" s="11" t="s">
        <v>24</v>
      </c>
      <c r="C76" s="25">
        <f>E100</f>
        <v>0.90637936060129998</v>
      </c>
      <c r="D76" s="47"/>
      <c r="E76" s="48"/>
      <c r="F76" s="48"/>
      <c r="G76" s="48"/>
    </row>
    <row r="77" spans="1:7" x14ac:dyDescent="0.2">
      <c r="B77" s="11" t="s">
        <v>44</v>
      </c>
      <c r="C77" s="11">
        <f>C16</f>
        <v>7.0000000000000001E-3</v>
      </c>
    </row>
    <row r="78" spans="1:7" x14ac:dyDescent="0.2">
      <c r="B78" s="11" t="s">
        <v>87</v>
      </c>
      <c r="C78" s="22">
        <f>C15</f>
        <v>7.8600000000000003E-2</v>
      </c>
    </row>
    <row r="80" spans="1:7" x14ac:dyDescent="0.2">
      <c r="A80" s="11" t="s">
        <v>1</v>
      </c>
      <c r="C80" s="22">
        <f>C1</f>
        <v>0.25</v>
      </c>
    </row>
    <row r="82" spans="1:5" x14ac:dyDescent="0.2">
      <c r="A82" s="11" t="s">
        <v>94</v>
      </c>
    </row>
    <row r="83" spans="1:5" x14ac:dyDescent="0.2">
      <c r="A83" s="11" t="s">
        <v>24</v>
      </c>
      <c r="C83" s="11">
        <v>0.84</v>
      </c>
    </row>
    <row r="84" spans="1:5" x14ac:dyDescent="0.2">
      <c r="A84" s="11" t="s">
        <v>44</v>
      </c>
      <c r="C84" s="11">
        <f>C77</f>
        <v>7.0000000000000001E-3</v>
      </c>
    </row>
    <row r="85" spans="1:5" x14ac:dyDescent="0.2">
      <c r="A85" s="11" t="s">
        <v>35</v>
      </c>
      <c r="C85" s="11">
        <f>C78</f>
        <v>7.8600000000000003E-2</v>
      </c>
    </row>
    <row r="87" spans="1:5" x14ac:dyDescent="0.2">
      <c r="A87" s="11" t="s">
        <v>6</v>
      </c>
      <c r="C87" s="22">
        <f>C83*(C85-C84)</f>
        <v>6.0143999999999996E-2</v>
      </c>
    </row>
    <row r="88" spans="1:5" x14ac:dyDescent="0.2">
      <c r="A88" s="11" t="s">
        <v>0</v>
      </c>
      <c r="C88" s="11">
        <f>C87+C84</f>
        <v>6.7143999999999995E-2</v>
      </c>
    </row>
    <row r="90" spans="1:5" x14ac:dyDescent="0.2">
      <c r="A90" s="23" t="s">
        <v>81</v>
      </c>
      <c r="B90" s="23"/>
      <c r="C90" s="26">
        <f>((C91*C14)*(1-0.25))+(C92*C88)</f>
        <v>4.1800071418630722E-2</v>
      </c>
    </row>
    <row r="91" spans="1:5" x14ac:dyDescent="0.2">
      <c r="A91" s="11" t="s">
        <v>73</v>
      </c>
      <c r="C91" s="22">
        <f>G55/(G59+G55)</f>
        <v>0.60913387526875074</v>
      </c>
    </row>
    <row r="92" spans="1:5" x14ac:dyDescent="0.2">
      <c r="A92" s="11" t="s">
        <v>2</v>
      </c>
      <c r="C92" s="22">
        <f>G59/(G55+G59)</f>
        <v>0.39086612473124921</v>
      </c>
    </row>
    <row r="95" spans="1:5" ht="12.75" customHeight="1" x14ac:dyDescent="0.2">
      <c r="B95" s="41" t="s">
        <v>86</v>
      </c>
      <c r="C95" s="41" t="s">
        <v>79</v>
      </c>
      <c r="D95" s="41" t="s">
        <v>42</v>
      </c>
    </row>
    <row r="96" spans="1:5" x14ac:dyDescent="0.2">
      <c r="A96" s="1" t="s">
        <v>24</v>
      </c>
      <c r="B96" s="1" t="s">
        <v>24</v>
      </c>
      <c r="C96" s="1" t="s">
        <v>43</v>
      </c>
      <c r="D96" s="1" t="s">
        <v>36</v>
      </c>
      <c r="E96" s="1" t="s">
        <v>117</v>
      </c>
    </row>
    <row r="97" spans="1:8" x14ac:dyDescent="0.2">
      <c r="A97" s="1" t="s">
        <v>46</v>
      </c>
      <c r="B97" s="1">
        <v>0.71699999999999997</v>
      </c>
      <c r="C97" s="1">
        <v>0.22120000000000001</v>
      </c>
      <c r="D97" s="27">
        <f>B97/(1+((1-0.25)*(C97)))</f>
        <v>0.61497555536495407</v>
      </c>
      <c r="E97" s="27">
        <f>(1+((1-0.25)*($C$55/$C$59)))*D97</f>
        <v>1.3193308306211742</v>
      </c>
    </row>
    <row r="98" spans="1:8" ht="25.5" x14ac:dyDescent="0.2">
      <c r="A98" s="1" t="s">
        <v>4</v>
      </c>
      <c r="B98" s="1">
        <v>0.23</v>
      </c>
      <c r="C98" s="1">
        <v>0</v>
      </c>
      <c r="D98" s="27">
        <f>B98/(1+((1-0.25)*(C98)))</f>
        <v>0.23</v>
      </c>
      <c r="E98" s="27">
        <f>(1+((1-0.25)*($C$55/$C$59)))*D98</f>
        <v>0.49342789058142567</v>
      </c>
    </row>
    <row r="99" spans="1:8" x14ac:dyDescent="0.2">
      <c r="A99" s="1" t="s">
        <v>74</v>
      </c>
      <c r="B99" s="1">
        <v>0.08</v>
      </c>
      <c r="C99" s="1">
        <v>2.2509999999999999</v>
      </c>
      <c r="D99" s="27">
        <f>B99/(1+((1-0.25)*(C99)))</f>
        <v>2.9759136985027433E-2</v>
      </c>
      <c r="E99" s="27">
        <f>(1+((1-0.25)*($C$55/$C$59)))*D99</f>
        <v>6.3843426904546849E-2</v>
      </c>
    </row>
    <row r="100" spans="1:8" x14ac:dyDescent="0.2">
      <c r="A100" s="1"/>
      <c r="B100" s="27"/>
      <c r="C100" s="27"/>
      <c r="D100" s="1" t="s">
        <v>23</v>
      </c>
      <c r="E100" s="27">
        <f>(E98+E97)/2</f>
        <v>0.90637936060129998</v>
      </c>
    </row>
    <row r="101" spans="1:8" x14ac:dyDescent="0.2">
      <c r="A101" s="1"/>
      <c r="B101" s="1"/>
      <c r="C101" s="1"/>
      <c r="D101" s="1"/>
      <c r="E101" s="1"/>
    </row>
    <row r="102" spans="1:8" x14ac:dyDescent="0.2">
      <c r="A102" s="49"/>
      <c r="B102" s="49"/>
      <c r="C102" s="49"/>
      <c r="D102" s="49"/>
      <c r="E102" s="49"/>
      <c r="F102" s="48"/>
    </row>
    <row r="104" spans="1:8" ht="12.75" customHeight="1" x14ac:dyDescent="0.2">
      <c r="A104" t="s">
        <v>97</v>
      </c>
      <c r="B104" s="28">
        <v>0</v>
      </c>
      <c r="C104" s="28">
        <v>1</v>
      </c>
      <c r="D104" s="28">
        <v>2</v>
      </c>
      <c r="E104" s="28">
        <v>3</v>
      </c>
      <c r="F104" s="28">
        <v>4</v>
      </c>
      <c r="G104" s="28">
        <v>5</v>
      </c>
    </row>
    <row r="105" spans="1:8" ht="12.75" customHeight="1" x14ac:dyDescent="0.2">
      <c r="A105" t="s">
        <v>98</v>
      </c>
      <c r="B105" s="31"/>
      <c r="C105" s="31">
        <f>C35</f>
        <v>4802.6412538267978</v>
      </c>
      <c r="D105" s="31">
        <f>D35</f>
        <v>20358.993452832772</v>
      </c>
      <c r="E105" s="31">
        <f>E35</f>
        <v>38663.863955968409</v>
      </c>
      <c r="F105" s="31">
        <f>F35</f>
        <v>60071.303440503048</v>
      </c>
      <c r="G105" s="31">
        <f>G35</f>
        <v>85413.370294519613</v>
      </c>
      <c r="H105" s="31"/>
    </row>
    <row r="106" spans="1:8" ht="12.75" customHeight="1" x14ac:dyDescent="0.2">
      <c r="A106" t="s">
        <v>99</v>
      </c>
      <c r="B106" s="31"/>
      <c r="C106" s="31">
        <f>C32</f>
        <v>4857</v>
      </c>
      <c r="D106" s="31">
        <f>D32</f>
        <v>4857</v>
      </c>
      <c r="E106" s="31">
        <f>E32</f>
        <v>4857</v>
      </c>
      <c r="F106" s="31">
        <f>F32</f>
        <v>4857</v>
      </c>
      <c r="G106" s="31">
        <f>G32</f>
        <v>4857</v>
      </c>
      <c r="H106" s="31"/>
    </row>
    <row r="107" spans="1:8" ht="12.75" customHeight="1" x14ac:dyDescent="0.2">
      <c r="A107" t="s">
        <v>100</v>
      </c>
      <c r="B107" s="31"/>
      <c r="C107" s="45">
        <f>C105-C106</f>
        <v>-54.358746173202235</v>
      </c>
      <c r="D107" s="45">
        <f>D105-D106</f>
        <v>15501.993452832772</v>
      </c>
      <c r="E107" s="45">
        <f>E105-E106</f>
        <v>33806.863955968409</v>
      </c>
      <c r="F107" s="45">
        <f>F105-F106</f>
        <v>55214.303440503048</v>
      </c>
      <c r="G107" s="45">
        <f>G105-G106</f>
        <v>80556.370294519613</v>
      </c>
      <c r="H107" s="31"/>
    </row>
    <row r="108" spans="1:8" ht="12.75" customHeight="1" x14ac:dyDescent="0.2">
      <c r="A108" t="s">
        <v>15</v>
      </c>
      <c r="B108" s="31"/>
      <c r="C108" s="31">
        <f>IF(C107&lt;0,0,C107*$C$80)</f>
        <v>0</v>
      </c>
      <c r="D108" s="31">
        <f>IF(D107&lt;0,0,D107*$C$80)</f>
        <v>3875.498363208193</v>
      </c>
      <c r="E108" s="31">
        <f>IF(E107&lt;0,0,E107*$C$80)</f>
        <v>8451.7159889921022</v>
      </c>
      <c r="F108" s="31">
        <f>IF(F107&lt;0,0,F107*$C$80)</f>
        <v>13803.575860125762</v>
      </c>
      <c r="G108" s="31">
        <f>IF(G107&lt;0,0,G107*$C$80)</f>
        <v>20139.092573629903</v>
      </c>
      <c r="H108" s="31"/>
    </row>
    <row r="109" spans="1:8" ht="12.75" customHeight="1" x14ac:dyDescent="0.2">
      <c r="A109" t="s">
        <v>101</v>
      </c>
      <c r="B109" s="31"/>
      <c r="C109" s="45">
        <f>C107-C108</f>
        <v>-54.358746173202235</v>
      </c>
      <c r="D109" s="45">
        <f>D107-D108</f>
        <v>11626.495089624579</v>
      </c>
      <c r="E109" s="45">
        <f>E107-E108</f>
        <v>25355.147966976307</v>
      </c>
      <c r="F109" s="45">
        <f>F107-F108</f>
        <v>41410.727580377286</v>
      </c>
      <c r="G109" s="45">
        <f>G107-G108</f>
        <v>60417.27772088971</v>
      </c>
      <c r="H109" s="31"/>
    </row>
    <row r="110" spans="1:8" ht="12.75" customHeight="1" x14ac:dyDescent="0.2">
      <c r="A110" t="s">
        <v>102</v>
      </c>
      <c r="B110" s="31"/>
      <c r="C110" s="31">
        <f>C106</f>
        <v>4857</v>
      </c>
      <c r="D110" s="31">
        <f>D106</f>
        <v>4857</v>
      </c>
      <c r="E110" s="31">
        <f>E106</f>
        <v>4857</v>
      </c>
      <c r="F110" s="31">
        <f>F106</f>
        <v>4857</v>
      </c>
      <c r="G110" s="31">
        <f>G106</f>
        <v>4857</v>
      </c>
      <c r="H110" s="31"/>
    </row>
    <row r="111" spans="1:8" ht="12.75" customHeight="1" x14ac:dyDescent="0.2">
      <c r="A111" t="s">
        <v>103</v>
      </c>
      <c r="B111" s="31"/>
      <c r="C111" s="45">
        <f>C109+C110</f>
        <v>4802.6412538267978</v>
      </c>
      <c r="D111" s="45">
        <f>D109+D110</f>
        <v>16483.495089624579</v>
      </c>
      <c r="E111" s="45">
        <f>E109+E110</f>
        <v>30212.147966976307</v>
      </c>
      <c r="F111" s="45">
        <f>F109+F110</f>
        <v>46267.727580377286</v>
      </c>
      <c r="G111" s="45">
        <f>G109+G110</f>
        <v>65274.27772088971</v>
      </c>
      <c r="H111" s="31"/>
    </row>
    <row r="112" spans="1:8" ht="12.75" customHeight="1" x14ac:dyDescent="0.2">
      <c r="B112" s="31"/>
      <c r="C112" s="31"/>
      <c r="D112" s="31"/>
      <c r="E112" s="31"/>
      <c r="F112" s="31"/>
      <c r="G112" s="31"/>
      <c r="H112" s="31"/>
    </row>
    <row r="113" spans="1:8" ht="12.75" customHeight="1" x14ac:dyDescent="0.2">
      <c r="A113" t="s">
        <v>104</v>
      </c>
      <c r="B113" s="31"/>
      <c r="C113" s="31"/>
      <c r="D113" s="31"/>
      <c r="E113" s="31"/>
      <c r="F113" s="31"/>
      <c r="G113" s="31"/>
      <c r="H113" s="31"/>
    </row>
    <row r="114" spans="1:8" ht="12.75" customHeight="1" x14ac:dyDescent="0.2">
      <c r="A114" t="s">
        <v>105</v>
      </c>
      <c r="B114" s="31">
        <f>-B46</f>
        <v>-34000</v>
      </c>
      <c r="C114" s="31"/>
      <c r="D114" s="31"/>
      <c r="E114" s="31"/>
      <c r="F114" s="31"/>
      <c r="G114" s="31"/>
      <c r="H114" s="31"/>
    </row>
    <row r="115" spans="1:8" ht="12.75" customHeight="1" x14ac:dyDescent="0.2">
      <c r="A115" t="s">
        <v>106</v>
      </c>
      <c r="B115" s="31"/>
      <c r="C115" s="31"/>
      <c r="D115" s="31"/>
      <c r="E115" s="31"/>
      <c r="F115" s="31"/>
      <c r="G115" s="31">
        <f>G48</f>
        <v>9715</v>
      </c>
      <c r="H115" s="31"/>
    </row>
    <row r="116" spans="1:8" ht="12.75" customHeight="1" x14ac:dyDescent="0.2">
      <c r="B116" s="31"/>
      <c r="C116" s="31"/>
      <c r="D116" s="31"/>
      <c r="E116" s="31"/>
      <c r="F116" s="31"/>
      <c r="G116" s="31"/>
      <c r="H116" s="31"/>
    </row>
    <row r="117" spans="1:8" ht="12.75" customHeight="1" x14ac:dyDescent="0.2">
      <c r="A117" t="s">
        <v>107</v>
      </c>
      <c r="B117" s="31"/>
      <c r="C117" s="31"/>
      <c r="D117" s="31"/>
      <c r="E117" s="31"/>
      <c r="F117" s="31"/>
      <c r="G117" s="31"/>
      <c r="H117" s="31"/>
    </row>
    <row r="118" spans="1:8" ht="12.75" customHeight="1" x14ac:dyDescent="0.2">
      <c r="A118" t="s">
        <v>108</v>
      </c>
      <c r="B118" s="31"/>
      <c r="C118" s="31">
        <f>B41-C41</f>
        <v>-6395</v>
      </c>
      <c r="D118" s="31">
        <f>C41-D41</f>
        <v>-291.58333333333394</v>
      </c>
      <c r="E118" s="31">
        <f>D41-E41</f>
        <v>-304.91666666666606</v>
      </c>
      <c r="F118" s="31">
        <f>E41-F41</f>
        <v>-318.83333333333303</v>
      </c>
      <c r="G118" s="31">
        <f>F41-G41</f>
        <v>-305.11108333333414</v>
      </c>
      <c r="H118" s="31"/>
    </row>
    <row r="119" spans="1:8" ht="12.75" customHeight="1" x14ac:dyDescent="0.2">
      <c r="A119" t="s">
        <v>109</v>
      </c>
      <c r="B119" s="31"/>
      <c r="C119" s="31">
        <f>C108</f>
        <v>0</v>
      </c>
      <c r="D119" s="31">
        <f>C108-D108</f>
        <v>-3875.498363208193</v>
      </c>
      <c r="E119" s="31">
        <f>D108-E108</f>
        <v>-4576.2176257839092</v>
      </c>
      <c r="F119" s="31">
        <f>E108-F108</f>
        <v>-5351.8598711336599</v>
      </c>
      <c r="G119" s="31">
        <f>F108-G108</f>
        <v>-6335.5167135041411</v>
      </c>
      <c r="H119" s="31"/>
    </row>
    <row r="120" spans="1:8" ht="12.75" customHeight="1" x14ac:dyDescent="0.2">
      <c r="A120" t="s">
        <v>116</v>
      </c>
      <c r="B120" s="31">
        <f>B61</f>
        <v>50000</v>
      </c>
      <c r="C120" s="31"/>
      <c r="D120" s="31"/>
      <c r="E120" s="31"/>
      <c r="F120" s="31"/>
      <c r="G120" s="31"/>
      <c r="H120" s="31"/>
    </row>
    <row r="121" spans="1:8" ht="12.75" customHeight="1" x14ac:dyDescent="0.2">
      <c r="B121" s="31"/>
      <c r="C121" s="31"/>
      <c r="D121" s="31"/>
      <c r="E121" s="31"/>
      <c r="F121" s="31"/>
      <c r="G121" s="31"/>
      <c r="H121" s="31"/>
    </row>
    <row r="122" spans="1:8" ht="12.75" customHeight="1" x14ac:dyDescent="0.2">
      <c r="A122" t="s">
        <v>110</v>
      </c>
      <c r="B122" s="31"/>
      <c r="C122" s="31"/>
      <c r="D122" s="31"/>
      <c r="E122" s="31"/>
      <c r="F122" s="31"/>
      <c r="G122" s="31"/>
      <c r="H122" s="31"/>
    </row>
    <row r="123" spans="1:8" ht="12.75" customHeight="1" x14ac:dyDescent="0.2">
      <c r="A123" t="s">
        <v>108</v>
      </c>
      <c r="B123" s="31"/>
      <c r="C123" s="31"/>
      <c r="D123" s="31"/>
      <c r="E123" s="31"/>
      <c r="F123" s="31"/>
      <c r="G123" s="31">
        <f>G41</f>
        <v>7615.4444166666672</v>
      </c>
      <c r="H123" s="31"/>
    </row>
    <row r="124" spans="1:8" ht="12.75" customHeight="1" x14ac:dyDescent="0.2">
      <c r="A124" t="s">
        <v>109</v>
      </c>
      <c r="B124" s="31"/>
      <c r="C124" s="31"/>
      <c r="D124" s="31"/>
      <c r="E124" s="31"/>
      <c r="F124" s="31"/>
      <c r="G124" s="31">
        <f>-G108</f>
        <v>-20139.092573629903</v>
      </c>
      <c r="H124" s="31"/>
    </row>
    <row r="125" spans="1:8" ht="12.75" customHeight="1" x14ac:dyDescent="0.2">
      <c r="B125" s="31"/>
      <c r="C125" s="31"/>
      <c r="D125" s="31"/>
      <c r="E125" s="31"/>
      <c r="F125" s="31"/>
      <c r="G125" s="31"/>
      <c r="H125" s="31"/>
    </row>
    <row r="126" spans="1:8" ht="12.75" customHeight="1" x14ac:dyDescent="0.2">
      <c r="A126" t="s">
        <v>111</v>
      </c>
      <c r="B126" s="38">
        <f>B114</f>
        <v>-34000</v>
      </c>
      <c r="C126" s="38">
        <f>SUM(C111:C125)</f>
        <v>-1592.3587461732022</v>
      </c>
      <c r="D126" s="38">
        <f>SUM(D111:D125)</f>
        <v>12316.413393083052</v>
      </c>
      <c r="E126" s="38">
        <f>SUM(E111:E125)</f>
        <v>25331.013674525733</v>
      </c>
      <c r="F126" s="38">
        <f>SUM(F111:F125)</f>
        <v>40597.034375910291</v>
      </c>
      <c r="G126" s="38">
        <f>SUM(G111:G125)</f>
        <v>55825.001767089001</v>
      </c>
      <c r="H126" s="31"/>
    </row>
    <row r="127" spans="1:8" ht="12.75" customHeight="1" x14ac:dyDescent="0.2">
      <c r="A127" t="s">
        <v>112</v>
      </c>
      <c r="B127" s="38">
        <f t="shared" ref="B127:G127" si="1">-PV($C$90,B104,,B126)</f>
        <v>-34000</v>
      </c>
      <c r="C127" s="38">
        <f t="shared" si="1"/>
        <v>-1528.4686475446961</v>
      </c>
      <c r="D127" s="38">
        <f t="shared" si="1"/>
        <v>11347.899778532008</v>
      </c>
      <c r="E127" s="38">
        <f t="shared" si="1"/>
        <v>22402.651385946825</v>
      </c>
      <c r="F127" s="38">
        <f t="shared" si="1"/>
        <v>34463.293443864874</v>
      </c>
      <c r="G127" s="38">
        <f t="shared" si="1"/>
        <v>45489.046238822186</v>
      </c>
      <c r="H127" s="31"/>
    </row>
    <row r="128" spans="1:8" ht="12.75" customHeight="1" x14ac:dyDescent="0.2">
      <c r="B128" s="31"/>
      <c r="C128" s="31"/>
      <c r="D128" s="31"/>
      <c r="E128" s="31"/>
      <c r="F128" s="31"/>
      <c r="G128" s="31"/>
      <c r="H128" s="31"/>
    </row>
    <row r="129" spans="1:8" ht="12.75" customHeight="1" x14ac:dyDescent="0.2">
      <c r="A129" t="s">
        <v>113</v>
      </c>
      <c r="B129" s="31">
        <f>SUM(B127:G127)</f>
        <v>78174.4221996212</v>
      </c>
      <c r="C129" s="31"/>
      <c r="D129" s="31"/>
      <c r="E129" s="31"/>
      <c r="F129" s="31"/>
      <c r="G129" s="31"/>
      <c r="H129" s="31"/>
    </row>
    <row r="130" spans="1:8" ht="12.75" customHeight="1" x14ac:dyDescent="0.2">
      <c r="A130" t="s">
        <v>114</v>
      </c>
      <c r="B130" s="39">
        <f>IRR(B126:G126)</f>
        <v>0.41427900849815602</v>
      </c>
      <c r="C130" s="31"/>
      <c r="D130" s="31"/>
      <c r="E130" s="31"/>
      <c r="F130" s="31"/>
      <c r="G130" s="31"/>
      <c r="H130" s="31"/>
    </row>
    <row r="131" spans="1:8" ht="12.75" customHeight="1" x14ac:dyDescent="0.2">
      <c r="B131" s="31"/>
      <c r="C131" s="31"/>
      <c r="D131" s="31"/>
      <c r="E131" s="31"/>
      <c r="F131" s="31"/>
      <c r="G131" s="31"/>
      <c r="H131" s="31"/>
    </row>
    <row r="132" spans="1:8" ht="12.75" customHeight="1" x14ac:dyDescent="0.2">
      <c r="B132" s="31"/>
      <c r="C132" s="31"/>
      <c r="D132" s="31"/>
      <c r="E132" s="31"/>
      <c r="F132" s="31"/>
      <c r="G132" s="31"/>
      <c r="H132" s="31"/>
    </row>
    <row r="133" spans="1:8" ht="12.75" customHeight="1" x14ac:dyDescent="0.2">
      <c r="B133" s="31"/>
      <c r="C133" s="31"/>
      <c r="D133" s="31"/>
      <c r="E133" s="31"/>
      <c r="F133" s="31"/>
      <c r="G133" s="31"/>
      <c r="H133" s="31"/>
    </row>
    <row r="134" spans="1:8" ht="12.75" customHeight="1" x14ac:dyDescent="0.2">
      <c r="B134" s="31"/>
      <c r="C134" s="31"/>
      <c r="D134" s="31"/>
      <c r="E134" s="31"/>
      <c r="F134" s="31"/>
      <c r="G134" s="31"/>
      <c r="H134" s="31"/>
    </row>
    <row r="135" spans="1:8" ht="12.75" customHeight="1" x14ac:dyDescent="0.2">
      <c r="B135" s="31"/>
      <c r="C135" s="31"/>
      <c r="D135" s="31"/>
      <c r="E135" s="31"/>
      <c r="F135" s="31"/>
      <c r="G135" s="31"/>
      <c r="H135" s="31"/>
    </row>
    <row r="136" spans="1:8" ht="12.75" customHeight="1" x14ac:dyDescent="0.2">
      <c r="B136" s="31"/>
      <c r="C136" s="31"/>
      <c r="D136" s="31"/>
      <c r="E136" s="31"/>
      <c r="F136" s="31"/>
      <c r="G136" s="31"/>
      <c r="H136" s="31"/>
    </row>
    <row r="137" spans="1:8" ht="12.75" customHeight="1" x14ac:dyDescent="0.2">
      <c r="B137" s="31"/>
      <c r="C137" s="31"/>
      <c r="D137" s="31"/>
      <c r="E137" s="31"/>
      <c r="F137" s="31"/>
      <c r="G137" s="31"/>
      <c r="H137" s="31"/>
    </row>
    <row r="138" spans="1:8" ht="12.75" customHeight="1" x14ac:dyDescent="0.2">
      <c r="B138" s="31"/>
      <c r="C138" s="31"/>
      <c r="D138" s="31"/>
      <c r="E138" s="31"/>
      <c r="F138" s="31"/>
      <c r="G138" s="31"/>
      <c r="H138" s="31"/>
    </row>
    <row r="139" spans="1:8" ht="12.75" customHeight="1" x14ac:dyDescent="0.2">
      <c r="B139" s="31"/>
      <c r="C139" s="31"/>
      <c r="D139" s="31"/>
      <c r="E139" s="31"/>
      <c r="F139" s="31"/>
      <c r="G139" s="31"/>
      <c r="H139" s="31"/>
    </row>
    <row r="140" spans="1:8" ht="12.75" customHeight="1" x14ac:dyDescent="0.2">
      <c r="B140" s="31"/>
      <c r="C140" s="31"/>
      <c r="D140" s="31"/>
      <c r="E140" s="31"/>
      <c r="F140" s="31"/>
      <c r="G140" s="31"/>
      <c r="H140" s="31"/>
    </row>
    <row r="141" spans="1:8" ht="12.75" customHeight="1" x14ac:dyDescent="0.2">
      <c r="B141" s="31"/>
      <c r="C141" s="31"/>
      <c r="D141" s="31"/>
      <c r="E141" s="31"/>
      <c r="F141" s="31"/>
      <c r="G141" s="31"/>
      <c r="H141" s="31"/>
    </row>
    <row r="142" spans="1:8" ht="12.75" customHeight="1" x14ac:dyDescent="0.2">
      <c r="B142" s="31"/>
      <c r="C142" s="31"/>
      <c r="D142" s="31"/>
      <c r="E142" s="31"/>
      <c r="F142" s="31"/>
      <c r="G142" s="31"/>
      <c r="H142" s="31"/>
    </row>
    <row r="143" spans="1:8" ht="12.75" customHeight="1" x14ac:dyDescent="0.2">
      <c r="B143" s="31"/>
      <c r="C143" s="31"/>
      <c r="D143" s="31"/>
      <c r="E143" s="31"/>
      <c r="F143" s="31"/>
      <c r="G143" s="31"/>
      <c r="H143" s="31"/>
    </row>
    <row r="144" spans="1:8" ht="12.75" customHeight="1" x14ac:dyDescent="0.2">
      <c r="B144" s="31"/>
      <c r="C144" s="31"/>
      <c r="D144" s="31"/>
      <c r="E144" s="31"/>
      <c r="F144" s="31"/>
      <c r="G144" s="31"/>
      <c r="H144" s="31"/>
    </row>
    <row r="145" spans="2:8" ht="12.75" customHeight="1" x14ac:dyDescent="0.2">
      <c r="B145" s="31"/>
      <c r="C145" s="31"/>
      <c r="D145" s="31"/>
      <c r="E145" s="31"/>
      <c r="F145" s="31"/>
      <c r="G145" s="31"/>
      <c r="H145" s="31"/>
    </row>
    <row r="146" spans="2:8" ht="12.75" customHeight="1" x14ac:dyDescent="0.2">
      <c r="B146" s="31"/>
      <c r="C146" s="31"/>
      <c r="D146" s="31"/>
      <c r="E146" s="31"/>
      <c r="F146" s="31"/>
      <c r="G146" s="31"/>
      <c r="H146" s="31"/>
    </row>
    <row r="147" spans="2:8" ht="12.75" customHeight="1" x14ac:dyDescent="0.2">
      <c r="B147" s="31"/>
      <c r="C147" s="31"/>
      <c r="D147" s="31"/>
      <c r="E147" s="31"/>
      <c r="F147" s="31"/>
      <c r="G147" s="31"/>
      <c r="H147" s="31"/>
    </row>
    <row r="148" spans="2:8" ht="12.75" customHeight="1" x14ac:dyDescent="0.2">
      <c r="B148" s="31"/>
      <c r="C148" s="31"/>
      <c r="D148" s="31"/>
      <c r="E148" s="31"/>
      <c r="F148" s="31"/>
      <c r="G148" s="31"/>
      <c r="H148" s="31"/>
    </row>
    <row r="149" spans="2:8" ht="12.75" customHeight="1" x14ac:dyDescent="0.2">
      <c r="B149" s="31"/>
      <c r="C149" s="31"/>
      <c r="D149" s="31"/>
      <c r="E149" s="31"/>
      <c r="F149" s="31"/>
      <c r="G149" s="31"/>
      <c r="H149" s="31"/>
    </row>
    <row r="150" spans="2:8" ht="12.75" customHeight="1" x14ac:dyDescent="0.2">
      <c r="B150" s="31"/>
      <c r="C150" s="31"/>
      <c r="D150" s="31"/>
      <c r="E150" s="31"/>
      <c r="F150" s="31"/>
      <c r="G150" s="31"/>
      <c r="H150" s="31"/>
    </row>
    <row r="151" spans="2:8" ht="12.75" customHeight="1" x14ac:dyDescent="0.2">
      <c r="B151" s="31"/>
      <c r="C151" s="31"/>
      <c r="D151" s="31"/>
      <c r="E151" s="31"/>
      <c r="F151" s="31"/>
      <c r="G151" s="31"/>
      <c r="H151" s="31"/>
    </row>
    <row r="152" spans="2:8" ht="12.75" customHeight="1" x14ac:dyDescent="0.2">
      <c r="B152" s="31"/>
      <c r="C152" s="31"/>
      <c r="D152" s="31"/>
      <c r="E152" s="31"/>
      <c r="F152" s="31"/>
      <c r="G152" s="31"/>
      <c r="H152" s="31"/>
    </row>
    <row r="153" spans="2:8" ht="12.75" customHeight="1" x14ac:dyDescent="0.2">
      <c r="B153" s="31"/>
      <c r="C153" s="31"/>
      <c r="D153" s="31"/>
      <c r="E153" s="31"/>
      <c r="F153" s="31"/>
      <c r="G153" s="31"/>
      <c r="H153" s="31"/>
    </row>
    <row r="154" spans="2:8" ht="12.75" customHeight="1" x14ac:dyDescent="0.2">
      <c r="B154" s="31"/>
      <c r="C154" s="31"/>
      <c r="D154" s="31"/>
      <c r="E154" s="31"/>
      <c r="F154" s="31"/>
      <c r="G154" s="31"/>
      <c r="H154" s="31"/>
    </row>
    <row r="155" spans="2:8" ht="12.75" customHeight="1" x14ac:dyDescent="0.2">
      <c r="B155" s="31"/>
      <c r="C155" s="31"/>
      <c r="D155" s="31"/>
      <c r="E155" s="31"/>
      <c r="F155" s="31"/>
      <c r="G155" s="31"/>
      <c r="H155" s="31"/>
    </row>
    <row r="156" spans="2:8" ht="12.75" customHeight="1" x14ac:dyDescent="0.2">
      <c r="B156" s="31"/>
      <c r="C156" s="31"/>
      <c r="D156" s="31"/>
      <c r="E156" s="31"/>
      <c r="F156" s="31"/>
      <c r="G156" s="31"/>
      <c r="H156" s="31"/>
    </row>
    <row r="157" spans="2:8" ht="12.75" customHeight="1" x14ac:dyDescent="0.2">
      <c r="B157" s="31"/>
      <c r="C157" s="31"/>
      <c r="D157" s="31"/>
      <c r="E157" s="31"/>
      <c r="F157" s="31"/>
      <c r="G157" s="31"/>
      <c r="H157" s="31"/>
    </row>
  </sheetData>
  <mergeCells count="4">
    <mergeCell ref="D15:H15"/>
    <mergeCell ref="D16:G16"/>
    <mergeCell ref="D76:G76"/>
    <mergeCell ref="A102:F102"/>
  </mergeCells>
  <phoneticPr fontId="6" type="noConversion"/>
  <pageMargins left="0.75" right="0.75" top="1" bottom="1" header="0.5" footer="0.5"/>
  <pageSetup paperSize="9" scale="46" fitToHeight="2" orientation="portrait" horizontalDpi="300" verticalDpi="300" r:id="rId1"/>
  <headerFooter alignWithMargins="0"/>
  <ignoredErrors>
    <ignoredError sqref="B48 B50 C118 C126:G126" emptyCellReference="1"/>
    <ignoredError sqref="C108:G10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With Building</vt:lpstr>
      <vt:lpstr>With Rent Expense</vt:lpstr>
      <vt:lpstr>Sheet3</vt:lpstr>
      <vt:lpstr>Sheet6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2013-12-19T19:53:32Z</dcterms:created>
  <dcterms:modified xsi:type="dcterms:W3CDTF">2013-12-19T19:53:37Z</dcterms:modified>
</cp:coreProperties>
</file>