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90" windowWidth="11475" windowHeight="6675"/>
  </bookViews>
  <sheets>
    <sheet name="Pro Forma Forecast" sheetId="3" r:id="rId1"/>
    <sheet name="Layout #1" sheetId="5" r:id="rId2"/>
    <sheet name="Sheet2" sheetId="2" state="hidden" r:id="rId3"/>
    <sheet name="Loan Amort" sheetId="4" r:id="rId4"/>
    <sheet name="Layout" sheetId="1" state="hidden" r:id="rId5"/>
  </sheets>
  <calcPr calcId="145621" iterateDelta="1E-4"/>
</workbook>
</file>

<file path=xl/calcChain.xml><?xml version="1.0" encoding="utf-8"?>
<calcChain xmlns="http://schemas.openxmlformats.org/spreadsheetml/2006/main">
  <c r="S118" i="3" l="1"/>
  <c r="S38" i="3"/>
  <c r="G61" i="3"/>
  <c r="E62" i="3"/>
  <c r="F60" i="3" s="1"/>
  <c r="F62" i="3" s="1"/>
  <c r="E60" i="3"/>
  <c r="F53" i="3" l="1"/>
  <c r="G60" i="3"/>
  <c r="E53" i="3"/>
  <c r="E54" i="3" s="1"/>
  <c r="G62" i="3"/>
  <c r="H60" i="3"/>
  <c r="H62" i="3" s="1"/>
  <c r="G53" i="3"/>
  <c r="G36" i="3"/>
  <c r="F36" i="3"/>
  <c r="H36" i="3"/>
  <c r="I36" i="3"/>
  <c r="J36" i="3"/>
  <c r="K36" i="3"/>
  <c r="L36" i="3"/>
  <c r="M36" i="3"/>
  <c r="N36" i="3"/>
  <c r="O36" i="3"/>
  <c r="P36" i="3"/>
  <c r="Q36" i="3"/>
  <c r="R36" i="3"/>
  <c r="S36" i="3"/>
  <c r="I60" i="3" l="1"/>
  <c r="I62" i="3" s="1"/>
  <c r="H53" i="3"/>
  <c r="E36" i="3"/>
  <c r="B1" i="4"/>
  <c r="Q10" i="4"/>
  <c r="R10" i="4"/>
  <c r="S10" i="4"/>
  <c r="T10" i="4"/>
  <c r="U10" i="4"/>
  <c r="V10" i="4"/>
  <c r="W10" i="4"/>
  <c r="X10" i="4"/>
  <c r="Y10" i="4"/>
  <c r="P10" i="4"/>
  <c r="O10" i="4"/>
  <c r="J60" i="3" l="1"/>
  <c r="J62" i="3" s="1"/>
  <c r="I53" i="3"/>
  <c r="C17" i="5"/>
  <c r="Q21" i="5"/>
  <c r="O40" i="5" s="1"/>
  <c r="C16" i="5"/>
  <c r="O41" i="5"/>
  <c r="O39" i="5"/>
  <c r="O38" i="5"/>
  <c r="A31" i="5"/>
  <c r="F36" i="5"/>
  <c r="F37" i="5" s="1"/>
  <c r="K60" i="3" l="1"/>
  <c r="K62" i="3" s="1"/>
  <c r="J53" i="3"/>
  <c r="E38" i="3"/>
  <c r="C21" i="5"/>
  <c r="O45" i="5"/>
  <c r="R30" i="5"/>
  <c r="R31" i="5" s="1"/>
  <c r="R34" i="5" s="1"/>
  <c r="O42" i="5" s="1"/>
  <c r="O43" i="5" s="1"/>
  <c r="P20" i="3"/>
  <c r="Q20" i="3"/>
  <c r="R20" i="3"/>
  <c r="S20" i="3"/>
  <c r="P24" i="3"/>
  <c r="Q24" i="3"/>
  <c r="R24" i="3"/>
  <c r="S24" i="3"/>
  <c r="L60" i="3" l="1"/>
  <c r="L62" i="3" s="1"/>
  <c r="K53" i="3"/>
  <c r="I28" i="5"/>
  <c r="F32" i="5"/>
  <c r="M60" i="3" l="1"/>
  <c r="M62" i="3" s="1"/>
  <c r="L53" i="3"/>
  <c r="W105" i="3"/>
  <c r="N60" i="3" l="1"/>
  <c r="N62" i="3" s="1"/>
  <c r="M53" i="3"/>
  <c r="S103" i="3"/>
  <c r="D103" i="3"/>
  <c r="O60" i="3" l="1"/>
  <c r="O62" i="3" s="1"/>
  <c r="N53" i="3"/>
  <c r="V32" i="1"/>
  <c r="V30" i="1"/>
  <c r="V29" i="1"/>
  <c r="A29" i="1"/>
  <c r="M28" i="1"/>
  <c r="M27" i="1"/>
  <c r="W19" i="1"/>
  <c r="V31" i="1" s="1"/>
  <c r="C13" i="1"/>
  <c r="C14" i="1" s="1"/>
  <c r="C12" i="1"/>
  <c r="A9" i="4"/>
  <c r="G2" i="4"/>
  <c r="G1" i="4"/>
  <c r="D8" i="4" s="1"/>
  <c r="H8" i="4" s="1"/>
  <c r="A7" i="2"/>
  <c r="A6" i="2"/>
  <c r="B23" i="5"/>
  <c r="B24" i="5" s="1"/>
  <c r="B80" i="3"/>
  <c r="B79" i="3"/>
  <c r="A70" i="3"/>
  <c r="A69" i="3"/>
  <c r="C26" i="3"/>
  <c r="F21" i="3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O20" i="3"/>
  <c r="N20" i="3"/>
  <c r="M20" i="3"/>
  <c r="L20" i="3"/>
  <c r="K20" i="3"/>
  <c r="J20" i="3"/>
  <c r="I20" i="3"/>
  <c r="H20" i="3"/>
  <c r="G20" i="3"/>
  <c r="F20" i="3"/>
  <c r="E20" i="3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E18" i="3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E13" i="3"/>
  <c r="E15" i="3" s="1"/>
  <c r="E95" i="3" s="1"/>
  <c r="F4" i="3"/>
  <c r="P60" i="3" l="1"/>
  <c r="P62" i="3" s="1"/>
  <c r="O53" i="3"/>
  <c r="Q38" i="3"/>
  <c r="P38" i="3"/>
  <c r="R38" i="3"/>
  <c r="X28" i="1"/>
  <c r="X29" i="1" s="1"/>
  <c r="X32" i="1" s="1"/>
  <c r="V33" i="1" s="1"/>
  <c r="O38" i="3"/>
  <c r="M38" i="3"/>
  <c r="K38" i="3"/>
  <c r="I38" i="3"/>
  <c r="G38" i="3"/>
  <c r="V36" i="1"/>
  <c r="N38" i="3"/>
  <c r="L38" i="3"/>
  <c r="J38" i="3"/>
  <c r="H38" i="3"/>
  <c r="F38" i="3"/>
  <c r="V34" i="1"/>
  <c r="D105" i="3" s="1"/>
  <c r="D121" i="3" s="1"/>
  <c r="C16" i="1"/>
  <c r="C18" i="1" s="1"/>
  <c r="F26" i="1" s="1"/>
  <c r="F13" i="3"/>
  <c r="F15" i="3" s="1"/>
  <c r="F95" i="3" s="1"/>
  <c r="G4" i="3"/>
  <c r="G3" i="4"/>
  <c r="B9" i="4" s="1"/>
  <c r="Q60" i="3" l="1"/>
  <c r="Q62" i="3" s="1"/>
  <c r="P53" i="3"/>
  <c r="F30" i="1"/>
  <c r="I26" i="1"/>
  <c r="P22" i="3"/>
  <c r="R22" i="3"/>
  <c r="Q22" i="3"/>
  <c r="S22" i="3"/>
  <c r="O22" i="3"/>
  <c r="M22" i="3"/>
  <c r="K22" i="3"/>
  <c r="I22" i="3"/>
  <c r="G22" i="3"/>
  <c r="E22" i="3"/>
  <c r="N22" i="3"/>
  <c r="L22" i="3"/>
  <c r="J22" i="3"/>
  <c r="H22" i="3"/>
  <c r="F22" i="3"/>
  <c r="B8" i="4"/>
  <c r="C8" i="4" s="1"/>
  <c r="F8" i="4" s="1"/>
  <c r="G13" i="3"/>
  <c r="G15" i="3" s="1"/>
  <c r="G95" i="3" s="1"/>
  <c r="H4" i="3"/>
  <c r="R60" i="3" l="1"/>
  <c r="R62" i="3" s="1"/>
  <c r="Q53" i="3"/>
  <c r="H96" i="3"/>
  <c r="H99" i="3" s="1"/>
  <c r="H27" i="3"/>
  <c r="L96" i="3"/>
  <c r="L99" i="3" s="1"/>
  <c r="L27" i="3"/>
  <c r="E96" i="3"/>
  <c r="E39" i="3"/>
  <c r="E27" i="3"/>
  <c r="I96" i="3"/>
  <c r="I99" i="3" s="1"/>
  <c r="I27" i="3"/>
  <c r="M27" i="3"/>
  <c r="M96" i="3"/>
  <c r="M99" i="3" s="1"/>
  <c r="S27" i="3"/>
  <c r="S96" i="3"/>
  <c r="S99" i="3" s="1"/>
  <c r="R27" i="3"/>
  <c r="R96" i="3"/>
  <c r="R99" i="3" s="1"/>
  <c r="F27" i="3"/>
  <c r="F96" i="3"/>
  <c r="J96" i="3"/>
  <c r="J99" i="3" s="1"/>
  <c r="J27" i="3"/>
  <c r="N96" i="3"/>
  <c r="N99" i="3" s="1"/>
  <c r="N27" i="3"/>
  <c r="G27" i="3"/>
  <c r="G96" i="3"/>
  <c r="G99" i="3" s="1"/>
  <c r="K27" i="3"/>
  <c r="K96" i="3"/>
  <c r="K99" i="3" s="1"/>
  <c r="O96" i="3"/>
  <c r="O99" i="3" s="1"/>
  <c r="O27" i="3"/>
  <c r="Q27" i="3"/>
  <c r="Q96" i="3"/>
  <c r="Q99" i="3" s="1"/>
  <c r="P96" i="3"/>
  <c r="P99" i="3" s="1"/>
  <c r="P27" i="3"/>
  <c r="G8" i="4"/>
  <c r="H13" i="3"/>
  <c r="H15" i="3" s="1"/>
  <c r="H95" i="3" s="1"/>
  <c r="H97" i="3" s="1"/>
  <c r="I4" i="3"/>
  <c r="D9" i="4"/>
  <c r="S60" i="3" l="1"/>
  <c r="S62" i="3" s="1"/>
  <c r="S53" i="3" s="1"/>
  <c r="R53" i="3"/>
  <c r="F97" i="3"/>
  <c r="F98" i="3" s="1"/>
  <c r="F99" i="3"/>
  <c r="G97" i="3"/>
  <c r="G98" i="3" s="1"/>
  <c r="F39" i="3"/>
  <c r="E40" i="3"/>
  <c r="E42" i="3" s="1"/>
  <c r="E97" i="3"/>
  <c r="E99" i="3"/>
  <c r="F100" i="3"/>
  <c r="G100" i="3"/>
  <c r="H98" i="3"/>
  <c r="J4" i="3"/>
  <c r="I13" i="3"/>
  <c r="I15" i="3" s="1"/>
  <c r="I95" i="3" s="1"/>
  <c r="I97" i="3" s="1"/>
  <c r="H9" i="4"/>
  <c r="C9" i="4"/>
  <c r="E98" i="3" l="1"/>
  <c r="E100" i="3" s="1"/>
  <c r="G39" i="3"/>
  <c r="F40" i="3"/>
  <c r="F42" i="3" s="1"/>
  <c r="T106" i="3"/>
  <c r="T108" i="3" s="1"/>
  <c r="H100" i="3"/>
  <c r="H121" i="3" s="1"/>
  <c r="G121" i="3"/>
  <c r="I98" i="3"/>
  <c r="J13" i="3"/>
  <c r="J15" i="3" s="1"/>
  <c r="J95" i="3" s="1"/>
  <c r="J97" i="3" s="1"/>
  <c r="K4" i="3"/>
  <c r="F9" i="4"/>
  <c r="G9" i="4"/>
  <c r="H39" i="3" l="1"/>
  <c r="G40" i="3"/>
  <c r="G42" i="3" s="1"/>
  <c r="E121" i="3"/>
  <c r="F121" i="3"/>
  <c r="I100" i="3"/>
  <c r="J98" i="3"/>
  <c r="K13" i="3"/>
  <c r="K15" i="3" s="1"/>
  <c r="K95" i="3" s="1"/>
  <c r="K97" i="3" s="1"/>
  <c r="L4" i="3"/>
  <c r="A10" i="4"/>
  <c r="B10" i="4" s="1"/>
  <c r="I39" i="3" l="1"/>
  <c r="H40" i="3"/>
  <c r="H42" i="3" s="1"/>
  <c r="J100" i="3"/>
  <c r="J121" i="3" s="1"/>
  <c r="I121" i="3"/>
  <c r="K98" i="3"/>
  <c r="L13" i="3"/>
  <c r="L15" i="3" s="1"/>
  <c r="L95" i="3" s="1"/>
  <c r="L97" i="3" s="1"/>
  <c r="M4" i="3"/>
  <c r="D10" i="4"/>
  <c r="H10" i="4" s="1"/>
  <c r="J39" i="3" l="1"/>
  <c r="I40" i="3"/>
  <c r="I42" i="3" s="1"/>
  <c r="K100" i="3"/>
  <c r="K121" i="3" s="1"/>
  <c r="L98" i="3"/>
  <c r="M13" i="3"/>
  <c r="M15" i="3" s="1"/>
  <c r="M95" i="3" s="1"/>
  <c r="M97" i="3" s="1"/>
  <c r="N4" i="3"/>
  <c r="C10" i="4"/>
  <c r="K39" i="3" l="1"/>
  <c r="J40" i="3"/>
  <c r="J42" i="3" s="1"/>
  <c r="L100" i="3"/>
  <c r="L121" i="3" s="1"/>
  <c r="M98" i="3"/>
  <c r="N13" i="3"/>
  <c r="N15" i="3" s="1"/>
  <c r="N95" i="3" s="1"/>
  <c r="N97" i="3" s="1"/>
  <c r="O4" i="3"/>
  <c r="G10" i="4"/>
  <c r="F10" i="4"/>
  <c r="L39" i="3" l="1"/>
  <c r="K40" i="3"/>
  <c r="K42" i="3" s="1"/>
  <c r="O13" i="3"/>
  <c r="O15" i="3" s="1"/>
  <c r="P4" i="3"/>
  <c r="M100" i="3"/>
  <c r="N98" i="3"/>
  <c r="O95" i="3"/>
  <c r="O97" i="3" s="1"/>
  <c r="A11" i="4"/>
  <c r="M39" i="3" l="1"/>
  <c r="L40" i="3"/>
  <c r="L42" i="3" s="1"/>
  <c r="M121" i="3"/>
  <c r="Q4" i="3"/>
  <c r="P13" i="3"/>
  <c r="P15" i="3" s="1"/>
  <c r="N100" i="3"/>
  <c r="N121" i="3" s="1"/>
  <c r="O98" i="3"/>
  <c r="D11" i="4"/>
  <c r="H11" i="4" s="1"/>
  <c r="B11" i="4"/>
  <c r="N39" i="3" l="1"/>
  <c r="M40" i="3"/>
  <c r="M42" i="3" s="1"/>
  <c r="O100" i="3"/>
  <c r="S105" i="3" s="1"/>
  <c r="P95" i="3"/>
  <c r="P97" i="3" s="1"/>
  <c r="P25" i="3"/>
  <c r="R4" i="3"/>
  <c r="Q13" i="3"/>
  <c r="Q15" i="3" s="1"/>
  <c r="C11" i="4"/>
  <c r="G11" i="4" s="1"/>
  <c r="O39" i="3" l="1"/>
  <c r="N40" i="3"/>
  <c r="N42" i="3" s="1"/>
  <c r="Q95" i="3"/>
  <c r="Q97" i="3" s="1"/>
  <c r="Q25" i="3"/>
  <c r="P26" i="3"/>
  <c r="P45" i="3" s="1"/>
  <c r="P46" i="3" s="1"/>
  <c r="R13" i="3"/>
  <c r="R15" i="3" s="1"/>
  <c r="S4" i="3"/>
  <c r="S13" i="3" s="1"/>
  <c r="S15" i="3" s="1"/>
  <c r="P98" i="3"/>
  <c r="T109" i="3"/>
  <c r="S108" i="3"/>
  <c r="O121" i="3" s="1"/>
  <c r="B126" i="3" s="1"/>
  <c r="F11" i="4"/>
  <c r="A12" i="4" s="1"/>
  <c r="P39" i="3" l="1"/>
  <c r="O40" i="3"/>
  <c r="O42" i="3" s="1"/>
  <c r="P100" i="3"/>
  <c r="P121" i="3" s="1"/>
  <c r="S95" i="3"/>
  <c r="S97" i="3" s="1"/>
  <c r="S25" i="3"/>
  <c r="Q26" i="3"/>
  <c r="Q45" i="3" s="1"/>
  <c r="Q46" i="3" s="1"/>
  <c r="R95" i="3"/>
  <c r="R97" i="3" s="1"/>
  <c r="R25" i="3"/>
  <c r="P28" i="3"/>
  <c r="Q98" i="3"/>
  <c r="D12" i="4"/>
  <c r="H12" i="4" s="1"/>
  <c r="B12" i="4"/>
  <c r="Q39" i="3" l="1"/>
  <c r="P40" i="3"/>
  <c r="P42" i="3" s="1"/>
  <c r="R26" i="3"/>
  <c r="R45" i="3" s="1"/>
  <c r="R46" i="3" s="1"/>
  <c r="S26" i="3"/>
  <c r="S45" i="3" s="1"/>
  <c r="S46" i="3" s="1"/>
  <c r="Q100" i="3"/>
  <c r="Q121" i="3" s="1"/>
  <c r="R98" i="3"/>
  <c r="Q28" i="3"/>
  <c r="S98" i="3"/>
  <c r="S100" i="3" s="1"/>
  <c r="C12" i="4"/>
  <c r="F12" i="4" s="1"/>
  <c r="Q40" i="3" l="1"/>
  <c r="Q42" i="3" s="1"/>
  <c r="R39" i="3"/>
  <c r="S28" i="3"/>
  <c r="S113" i="3"/>
  <c r="R100" i="3"/>
  <c r="R121" i="3" s="1"/>
  <c r="R28" i="3"/>
  <c r="G12" i="4"/>
  <c r="A13" i="4"/>
  <c r="S39" i="3" l="1"/>
  <c r="S40" i="3" s="1"/>
  <c r="S42" i="3" s="1"/>
  <c r="R40" i="3"/>
  <c r="R42" i="3" s="1"/>
  <c r="D13" i="4"/>
  <c r="H13" i="4" s="1"/>
  <c r="B13" i="4"/>
  <c r="C13" i="4" l="1"/>
  <c r="F13" i="4" s="1"/>
  <c r="G13" i="4" l="1"/>
  <c r="A14" i="4"/>
  <c r="B14" i="4" s="1"/>
  <c r="D14" i="4" l="1"/>
  <c r="H14" i="4" s="1"/>
  <c r="C14" i="4" l="1"/>
  <c r="G14" i="4" l="1"/>
  <c r="F14" i="4"/>
  <c r="A15" i="4" l="1"/>
  <c r="D15" i="4" l="1"/>
  <c r="H15" i="4" s="1"/>
  <c r="B15" i="4"/>
  <c r="C15" i="4" l="1"/>
  <c r="G15" i="4" s="1"/>
  <c r="F15" i="4" l="1"/>
  <c r="A16" i="4" s="1"/>
  <c r="D16" i="4" l="1"/>
  <c r="H16" i="4" s="1"/>
  <c r="B16" i="4"/>
  <c r="C16" i="4" l="1"/>
  <c r="F16" i="4" s="1"/>
  <c r="G16" i="4" l="1"/>
  <c r="A17" i="4"/>
  <c r="D17" i="4" l="1"/>
  <c r="H17" i="4" s="1"/>
  <c r="B17" i="4"/>
  <c r="C17" i="4" l="1"/>
  <c r="F17" i="4" s="1"/>
  <c r="G17" i="4" l="1"/>
  <c r="A18" i="4"/>
  <c r="B18" i="4" s="1"/>
  <c r="D18" i="4" l="1"/>
  <c r="C18" i="4" s="1"/>
  <c r="G18" i="4" l="1"/>
  <c r="F18" i="4"/>
  <c r="H18" i="4"/>
  <c r="A19" i="4" l="1"/>
  <c r="D19" i="4" l="1"/>
  <c r="H19" i="4" s="1"/>
  <c r="I19" i="4" s="1"/>
  <c r="B19" i="4"/>
  <c r="E25" i="3" l="1"/>
  <c r="E26" i="3" s="1"/>
  <c r="E45" i="3" s="1"/>
  <c r="E46" i="3" s="1"/>
  <c r="F24" i="3"/>
  <c r="F25" i="3" s="1"/>
  <c r="C19" i="4"/>
  <c r="F19" i="4" s="1"/>
  <c r="F49" i="3" s="1"/>
  <c r="B70" i="3" s="1"/>
  <c r="F26" i="3" l="1"/>
  <c r="F28" i="3" s="1"/>
  <c r="G19" i="4"/>
  <c r="J19" i="4" s="1"/>
  <c r="B69" i="3" s="1"/>
  <c r="A20" i="4"/>
  <c r="E28" i="3"/>
  <c r="F54" i="3" l="1"/>
  <c r="E56" i="3"/>
  <c r="E57" i="3" s="1"/>
  <c r="B84" i="3"/>
  <c r="D20" i="4"/>
  <c r="H20" i="4" s="1"/>
  <c r="B71" i="3"/>
  <c r="E69" i="3" s="1"/>
  <c r="F69" i="3" s="1"/>
  <c r="B20" i="4"/>
  <c r="C20" i="4" s="1"/>
  <c r="F20" i="4" l="1"/>
  <c r="G20" i="4"/>
  <c r="B83" i="3"/>
  <c r="E70" i="3"/>
  <c r="F70" i="3" s="1"/>
  <c r="F71" i="3" s="1"/>
  <c r="B85" i="3" l="1"/>
  <c r="C84" i="3" s="1"/>
  <c r="B87" i="3"/>
  <c r="A21" i="4"/>
  <c r="B21" i="4" s="1"/>
  <c r="C83" i="3" l="1"/>
  <c r="E65" i="3" s="1"/>
  <c r="F65" i="3" s="1"/>
  <c r="B73" i="3" s="1"/>
  <c r="B81" i="3" s="1"/>
  <c r="D21" i="4"/>
  <c r="H21" i="4" s="1"/>
  <c r="B89" i="3" l="1"/>
  <c r="B124" i="3" s="1"/>
  <c r="C21" i="4"/>
  <c r="P122" i="3" l="1"/>
  <c r="Q122" i="3"/>
  <c r="R122" i="3"/>
  <c r="H122" i="3"/>
  <c r="F122" i="3"/>
  <c r="I122" i="3"/>
  <c r="N122" i="3"/>
  <c r="M122" i="3"/>
  <c r="E122" i="3"/>
  <c r="J122" i="3"/>
  <c r="O122" i="3"/>
  <c r="K122" i="3"/>
  <c r="G122" i="3"/>
  <c r="D122" i="3"/>
  <c r="L122" i="3"/>
  <c r="F21" i="4"/>
  <c r="G21" i="4"/>
  <c r="B125" i="3" l="1"/>
  <c r="A22" i="4"/>
  <c r="B22" i="4" s="1"/>
  <c r="D22" i="4" l="1"/>
  <c r="H22" i="4" s="1"/>
  <c r="C22" i="4" l="1"/>
  <c r="G22" i="4" s="1"/>
  <c r="F22" i="4" l="1"/>
  <c r="A23" i="4" s="1"/>
  <c r="D23" i="4" l="1"/>
  <c r="H23" i="4" s="1"/>
  <c r="B23" i="4"/>
  <c r="C23" i="4" l="1"/>
  <c r="F23" i="4" s="1"/>
  <c r="A24" i="4" s="1"/>
  <c r="B24" i="4" l="1"/>
  <c r="G23" i="4"/>
  <c r="D24" i="4"/>
  <c r="H24" i="4" s="1"/>
  <c r="C24" i="4" l="1"/>
  <c r="F24" i="4" s="1"/>
  <c r="A25" i="4" s="1"/>
  <c r="G24" i="4" l="1"/>
  <c r="D25" i="4"/>
  <c r="H25" i="4" s="1"/>
  <c r="B25" i="4"/>
  <c r="C25" i="4" l="1"/>
  <c r="F25" i="4" s="1"/>
  <c r="A26" i="4" s="1"/>
  <c r="B26" i="4" s="1"/>
  <c r="G25" i="4" l="1"/>
  <c r="D26" i="4"/>
  <c r="H26" i="4" s="1"/>
  <c r="C26" i="4" l="1"/>
  <c r="G26" i="4" s="1"/>
  <c r="F26" i="4" l="1"/>
  <c r="A27" i="4" s="1"/>
  <c r="D27" i="4" l="1"/>
  <c r="H27" i="4" s="1"/>
  <c r="B27" i="4"/>
  <c r="C27" i="4" l="1"/>
  <c r="F27" i="4" l="1"/>
  <c r="G27" i="4"/>
  <c r="A28" i="4" l="1"/>
  <c r="B28" i="4" s="1"/>
  <c r="D28" i="4" l="1"/>
  <c r="H28" i="4" s="1"/>
  <c r="C28" i="4" l="1"/>
  <c r="G28" i="4" s="1"/>
  <c r="F28" i="4" l="1"/>
  <c r="A29" i="4" s="1"/>
  <c r="D29" i="4" s="1"/>
  <c r="H29" i="4" s="1"/>
  <c r="B29" i="4" l="1"/>
  <c r="C29" i="4" s="1"/>
  <c r="F29" i="4" s="1"/>
  <c r="A30" i="4" s="1"/>
  <c r="G29" i="4" l="1"/>
  <c r="D30" i="4"/>
  <c r="H30" i="4" s="1"/>
  <c r="B30" i="4"/>
  <c r="C30" i="4" l="1"/>
  <c r="G30" i="4" s="1"/>
  <c r="F30" i="4" l="1"/>
  <c r="A31" i="4" s="1"/>
  <c r="D31" i="4" l="1"/>
  <c r="H31" i="4" s="1"/>
  <c r="I31" i="4" s="1"/>
  <c r="G24" i="3" s="1"/>
  <c r="B31" i="4"/>
  <c r="F45" i="3" l="1"/>
  <c r="C31" i="4"/>
  <c r="F46" i="3" l="1"/>
  <c r="F31" i="4"/>
  <c r="G49" i="3" s="1"/>
  <c r="G31" i="4"/>
  <c r="J31" i="4" s="1"/>
  <c r="F56" i="3" l="1"/>
  <c r="F57" i="3" s="1"/>
  <c r="A32" i="4"/>
  <c r="B32" i="4" s="1"/>
  <c r="D32" i="4" l="1"/>
  <c r="H32" i="4" s="1"/>
  <c r="C32" i="4" l="1"/>
  <c r="G32" i="4" s="1"/>
  <c r="F32" i="4" l="1"/>
  <c r="A33" i="4" s="1"/>
  <c r="B33" i="4" s="1"/>
  <c r="D33" i="4" l="1"/>
  <c r="H33" i="4" s="1"/>
  <c r="C33" i="4" l="1"/>
  <c r="F33" i="4" l="1"/>
  <c r="G33" i="4"/>
  <c r="A34" i="4" l="1"/>
  <c r="B34" i="4" s="1"/>
  <c r="D34" i="4" l="1"/>
  <c r="H34" i="4" s="1"/>
  <c r="C34" i="4" l="1"/>
  <c r="G34" i="4" s="1"/>
  <c r="F34" i="4" l="1"/>
  <c r="A35" i="4" s="1"/>
  <c r="D35" i="4" s="1"/>
  <c r="H35" i="4" s="1"/>
  <c r="B35" i="4" l="1"/>
  <c r="C35" i="4" s="1"/>
  <c r="F35" i="4" s="1"/>
  <c r="A36" i="4" s="1"/>
  <c r="B36" i="4" s="1"/>
  <c r="G35" i="4" l="1"/>
  <c r="D36" i="4"/>
  <c r="H36" i="4" s="1"/>
  <c r="C36" i="4" l="1"/>
  <c r="G36" i="4" s="1"/>
  <c r="F36" i="4" l="1"/>
  <c r="A37" i="4" s="1"/>
  <c r="D37" i="4" l="1"/>
  <c r="H37" i="4" s="1"/>
  <c r="B37" i="4"/>
  <c r="C37" i="4" l="1"/>
  <c r="F37" i="4" l="1"/>
  <c r="G37" i="4"/>
  <c r="A38" i="4" l="1"/>
  <c r="B38" i="4" s="1"/>
  <c r="D38" i="4" l="1"/>
  <c r="H38" i="4" s="1"/>
  <c r="C38" i="4" l="1"/>
  <c r="G38" i="4" s="1"/>
  <c r="F38" i="4" l="1"/>
  <c r="A39" i="4" s="1"/>
  <c r="D39" i="4" s="1"/>
  <c r="H39" i="4" s="1"/>
  <c r="B39" i="4" l="1"/>
  <c r="C39" i="4" s="1"/>
  <c r="F39" i="4" s="1"/>
  <c r="A40" i="4" s="1"/>
  <c r="G39" i="4" l="1"/>
  <c r="B40" i="4"/>
  <c r="D40" i="4"/>
  <c r="H40" i="4" s="1"/>
  <c r="C40" i="4" l="1"/>
  <c r="G40" i="4" s="1"/>
  <c r="F40" i="4" l="1"/>
  <c r="A41" i="4" s="1"/>
  <c r="D41" i="4" l="1"/>
  <c r="H41" i="4" s="1"/>
  <c r="B41" i="4"/>
  <c r="C41" i="4" l="1"/>
  <c r="F41" i="4" l="1"/>
  <c r="G41" i="4"/>
  <c r="A42" i="4" l="1"/>
  <c r="B42" i="4" s="1"/>
  <c r="D42" i="4" l="1"/>
  <c r="H42" i="4" s="1"/>
  <c r="C42" i="4" l="1"/>
  <c r="G42" i="4" s="1"/>
  <c r="F42" i="4" l="1"/>
  <c r="A43" i="4" s="1"/>
  <c r="D43" i="4" s="1"/>
  <c r="H43" i="4" s="1"/>
  <c r="I43" i="4" s="1"/>
  <c r="G25" i="3" l="1"/>
  <c r="G26" i="3" s="1"/>
  <c r="G45" i="3" s="1"/>
  <c r="H24" i="3"/>
  <c r="B43" i="4"/>
  <c r="C43" i="4" s="1"/>
  <c r="F43" i="4" s="1"/>
  <c r="A44" i="4" l="1"/>
  <c r="B44" i="4" s="1"/>
  <c r="H49" i="3"/>
  <c r="G43" i="4"/>
  <c r="J43" i="4" s="1"/>
  <c r="G46" i="3"/>
  <c r="G28" i="3"/>
  <c r="G54" i="3" s="1"/>
  <c r="D44" i="4"/>
  <c r="H44" i="4" s="1"/>
  <c r="G56" i="3" l="1"/>
  <c r="G57" i="3" s="1"/>
  <c r="C44" i="4"/>
  <c r="G44" i="4" l="1"/>
  <c r="F44" i="4"/>
  <c r="A45" i="4" l="1"/>
  <c r="D45" i="4" l="1"/>
  <c r="H45" i="4" s="1"/>
  <c r="B45" i="4"/>
  <c r="C45" i="4" l="1"/>
  <c r="F45" i="4" s="1"/>
  <c r="A46" i="4" s="1"/>
  <c r="G45" i="4" l="1"/>
  <c r="B46" i="4"/>
  <c r="D46" i="4"/>
  <c r="H46" i="4" s="1"/>
  <c r="C46" i="4" l="1"/>
  <c r="G46" i="4" s="1"/>
  <c r="F46" i="4" l="1"/>
  <c r="A47" i="4" s="1"/>
  <c r="D47" i="4" l="1"/>
  <c r="H47" i="4" s="1"/>
  <c r="B47" i="4"/>
  <c r="C47" i="4" l="1"/>
  <c r="F47" i="4" l="1"/>
  <c r="G47" i="4"/>
  <c r="A48" i="4" l="1"/>
  <c r="B48" i="4" s="1"/>
  <c r="D48" i="4" l="1"/>
  <c r="H48" i="4" s="1"/>
  <c r="C48" i="4" l="1"/>
  <c r="G48" i="4" s="1"/>
  <c r="F48" i="4" l="1"/>
  <c r="A49" i="4" s="1"/>
  <c r="D49" i="4" s="1"/>
  <c r="H49" i="4" s="1"/>
  <c r="B49" i="4" l="1"/>
  <c r="C49" i="4" s="1"/>
  <c r="G49" i="4" s="1"/>
  <c r="F49" i="4" l="1"/>
  <c r="A50" i="4" s="1"/>
  <c r="B50" i="4" l="1"/>
  <c r="D50" i="4"/>
  <c r="H50" i="4" s="1"/>
  <c r="C50" i="4" l="1"/>
  <c r="G50" i="4" s="1"/>
  <c r="F50" i="4" l="1"/>
  <c r="A51" i="4" s="1"/>
  <c r="D51" i="4" l="1"/>
  <c r="H51" i="4" s="1"/>
  <c r="B51" i="4"/>
  <c r="C51" i="4" l="1"/>
  <c r="F51" i="4" l="1"/>
  <c r="G51" i="4"/>
  <c r="A52" i="4" l="1"/>
  <c r="B52" i="4" s="1"/>
  <c r="D52" i="4" l="1"/>
  <c r="H52" i="4" s="1"/>
  <c r="C52" i="4" l="1"/>
  <c r="G52" i="4" s="1"/>
  <c r="F52" i="4" l="1"/>
  <c r="A53" i="4" s="1"/>
  <c r="D53" i="4" s="1"/>
  <c r="H53" i="4" s="1"/>
  <c r="B53" i="4" l="1"/>
  <c r="C53" i="4" s="1"/>
  <c r="F53" i="4" l="1"/>
  <c r="A54" i="4" s="1"/>
  <c r="D54" i="4" s="1"/>
  <c r="H54" i="4" s="1"/>
  <c r="G53" i="4"/>
  <c r="B54" i="4" l="1"/>
  <c r="C54" i="4" s="1"/>
  <c r="G54" i="4" s="1"/>
  <c r="F54" i="4" l="1"/>
  <c r="A55" i="4" s="1"/>
  <c r="D55" i="4" l="1"/>
  <c r="H55" i="4" s="1"/>
  <c r="I55" i="4" s="1"/>
  <c r="B55" i="4"/>
  <c r="H25" i="3" l="1"/>
  <c r="H26" i="3" s="1"/>
  <c r="H45" i="3" s="1"/>
  <c r="I24" i="3"/>
  <c r="C55" i="4"/>
  <c r="G55" i="4" s="1"/>
  <c r="J55" i="4" s="1"/>
  <c r="F55" i="4" l="1"/>
  <c r="H46" i="3"/>
  <c r="H28" i="3"/>
  <c r="H54" i="3" s="1"/>
  <c r="A56" i="4" l="1"/>
  <c r="B56" i="4" s="1"/>
  <c r="I49" i="3"/>
  <c r="H56" i="3"/>
  <c r="H57" i="3" s="1"/>
  <c r="D56" i="4"/>
  <c r="H56" i="4" s="1"/>
  <c r="C56" i="4" l="1"/>
  <c r="F56" i="4" l="1"/>
  <c r="G56" i="4"/>
  <c r="A57" i="4" l="1"/>
  <c r="D57" i="4" l="1"/>
  <c r="H57" i="4" s="1"/>
  <c r="B57" i="4"/>
  <c r="C57" i="4" l="1"/>
  <c r="G57" i="4" s="1"/>
  <c r="F57" i="4" l="1"/>
  <c r="A58" i="4" s="1"/>
  <c r="D58" i="4" l="1"/>
  <c r="H58" i="4" s="1"/>
  <c r="B58" i="4"/>
  <c r="C58" i="4" l="1"/>
  <c r="F58" i="4" l="1"/>
  <c r="G58" i="4"/>
  <c r="A59" i="4" l="1"/>
  <c r="B59" i="4" s="1"/>
  <c r="D59" i="4" l="1"/>
  <c r="H59" i="4" s="1"/>
  <c r="C59" i="4" l="1"/>
  <c r="G59" i="4" s="1"/>
  <c r="F59" i="4" l="1"/>
  <c r="A60" i="4" s="1"/>
  <c r="D60" i="4" l="1"/>
  <c r="H60" i="4" s="1"/>
  <c r="B60" i="4"/>
  <c r="C60" i="4" l="1"/>
  <c r="F60" i="4" l="1"/>
  <c r="G60" i="4"/>
  <c r="A61" i="4" l="1"/>
  <c r="B61" i="4" s="1"/>
  <c r="D61" i="4" l="1"/>
  <c r="H61" i="4" s="1"/>
  <c r="C61" i="4" l="1"/>
  <c r="F61" i="4" s="1"/>
  <c r="A62" i="4" s="1"/>
  <c r="G61" i="4" l="1"/>
  <c r="D62" i="4"/>
  <c r="H62" i="4" s="1"/>
  <c r="B62" i="4"/>
  <c r="C62" i="4" l="1"/>
  <c r="F62" i="4" l="1"/>
  <c r="G62" i="4"/>
  <c r="A63" i="4" l="1"/>
  <c r="B63" i="4" s="1"/>
  <c r="D63" i="4" l="1"/>
  <c r="H63" i="4" s="1"/>
  <c r="C63" i="4" l="1"/>
  <c r="G63" i="4" l="1"/>
  <c r="F63" i="4"/>
  <c r="A64" i="4" s="1"/>
  <c r="B64" i="4" s="1"/>
  <c r="D64" i="4" l="1"/>
  <c r="H64" i="4" s="1"/>
  <c r="C64" i="4" l="1"/>
  <c r="F64" i="4" s="1"/>
  <c r="G64" i="4" l="1"/>
  <c r="A65" i="4"/>
  <c r="B65" i="4" s="1"/>
  <c r="D65" i="4" l="1"/>
  <c r="H65" i="4" s="1"/>
  <c r="C65" i="4" l="1"/>
  <c r="G65" i="4" s="1"/>
  <c r="F65" i="4" l="1"/>
  <c r="A66" i="4" s="1"/>
  <c r="B66" i="4" s="1"/>
  <c r="D66" i="4" l="1"/>
  <c r="H66" i="4" s="1"/>
  <c r="C66" i="4" l="1"/>
  <c r="F66" i="4" s="1"/>
  <c r="G66" i="4" l="1"/>
  <c r="A67" i="4"/>
  <c r="B67" i="4" s="1"/>
  <c r="D67" i="4" l="1"/>
  <c r="H67" i="4" s="1"/>
  <c r="I67" i="4" s="1"/>
  <c r="I25" i="3" l="1"/>
  <c r="I26" i="3" s="1"/>
  <c r="I45" i="3" s="1"/>
  <c r="I46" i="3" s="1"/>
  <c r="J24" i="3"/>
  <c r="C67" i="4"/>
  <c r="I28" i="3" l="1"/>
  <c r="I54" i="3" s="1"/>
  <c r="G67" i="4"/>
  <c r="J67" i="4" s="1"/>
  <c r="F67" i="4"/>
  <c r="J49" i="3" s="1"/>
  <c r="I56" i="3" l="1"/>
  <c r="I57" i="3" s="1"/>
  <c r="A68" i="4"/>
  <c r="D68" i="4" l="1"/>
  <c r="H68" i="4" s="1"/>
  <c r="B68" i="4"/>
  <c r="C68" i="4" l="1"/>
  <c r="F68" i="4" l="1"/>
  <c r="G68" i="4"/>
  <c r="A69" i="4" l="1"/>
  <c r="B69" i="4" s="1"/>
  <c r="D69" i="4" l="1"/>
  <c r="H69" i="4" s="1"/>
  <c r="C69" i="4" l="1"/>
  <c r="F69" i="4" s="1"/>
  <c r="A70" i="4" s="1"/>
  <c r="G69" i="4" l="1"/>
  <c r="D70" i="4"/>
  <c r="H70" i="4" s="1"/>
  <c r="B70" i="4"/>
  <c r="C70" i="4" l="1"/>
  <c r="F70" i="4" l="1"/>
  <c r="G70" i="4"/>
  <c r="A71" i="4" l="1"/>
  <c r="D71" i="4" l="1"/>
  <c r="H71" i="4" s="1"/>
  <c r="B71" i="4"/>
  <c r="C71" i="4" l="1"/>
  <c r="F71" i="4" s="1"/>
  <c r="A72" i="4" s="1"/>
  <c r="G71" i="4" l="1"/>
  <c r="D72" i="4"/>
  <c r="H72" i="4" s="1"/>
  <c r="B72" i="4"/>
  <c r="C72" i="4" l="1"/>
  <c r="F72" i="4" l="1"/>
  <c r="G72" i="4"/>
  <c r="A73" i="4" l="1"/>
  <c r="B73" i="4" s="1"/>
  <c r="D73" i="4" l="1"/>
  <c r="H73" i="4" s="1"/>
  <c r="C73" i="4" l="1"/>
  <c r="F73" i="4" s="1"/>
  <c r="A74" i="4" s="1"/>
  <c r="G73" i="4" l="1"/>
  <c r="D74" i="4"/>
  <c r="H74" i="4" s="1"/>
  <c r="B74" i="4"/>
  <c r="C74" i="4" l="1"/>
  <c r="F74" i="4" l="1"/>
  <c r="G74" i="4"/>
  <c r="A75" i="4" l="1"/>
  <c r="B75" i="4" s="1"/>
  <c r="D75" i="4" l="1"/>
  <c r="H75" i="4" s="1"/>
  <c r="C75" i="4" l="1"/>
  <c r="F75" i="4" s="1"/>
  <c r="A76" i="4" s="1"/>
  <c r="G75" i="4" l="1"/>
  <c r="D76" i="4"/>
  <c r="H76" i="4" s="1"/>
  <c r="B76" i="4"/>
  <c r="C76" i="4" l="1"/>
  <c r="F76" i="4" l="1"/>
  <c r="G76" i="4"/>
  <c r="A77" i="4" l="1"/>
  <c r="B77" i="4" s="1"/>
  <c r="D77" i="4" l="1"/>
  <c r="H77" i="4" s="1"/>
  <c r="C77" i="4" l="1"/>
  <c r="G77" i="4" l="1"/>
  <c r="F77" i="4"/>
  <c r="A78" i="4" l="1"/>
  <c r="D78" i="4" l="1"/>
  <c r="H78" i="4" s="1"/>
  <c r="B78" i="4"/>
  <c r="C78" i="4" l="1"/>
  <c r="F78" i="4" s="1"/>
  <c r="G78" i="4" l="1"/>
  <c r="A79" i="4"/>
  <c r="B79" i="4" s="1"/>
  <c r="D79" i="4" l="1"/>
  <c r="I79" i="4" s="1"/>
  <c r="J25" i="3" l="1"/>
  <c r="J26" i="3" s="1"/>
  <c r="J45" i="3" s="1"/>
  <c r="J46" i="3" s="1"/>
  <c r="K24" i="3"/>
  <c r="C79" i="4"/>
  <c r="G79" i="4" s="1"/>
  <c r="J79" i="4" s="1"/>
  <c r="H79" i="4"/>
  <c r="F79" i="4" l="1"/>
  <c r="J28" i="3"/>
  <c r="J54" i="3" s="1"/>
  <c r="J56" i="3" l="1"/>
  <c r="J57" i="3" s="1"/>
  <c r="A80" i="4"/>
  <c r="B80" i="4" s="1"/>
  <c r="K49" i="3"/>
  <c r="D80" i="4"/>
  <c r="C80" i="4" s="1"/>
  <c r="H80" i="4" l="1"/>
  <c r="F80" i="4"/>
  <c r="G80" i="4"/>
  <c r="A81" i="4" l="1"/>
  <c r="D81" i="4" l="1"/>
  <c r="H81" i="4" s="1"/>
  <c r="B81" i="4"/>
  <c r="C81" i="4" l="1"/>
  <c r="F81" i="4" s="1"/>
  <c r="A82" i="4" s="1"/>
  <c r="G81" i="4" l="1"/>
  <c r="D82" i="4"/>
  <c r="B82" i="4"/>
  <c r="C82" i="4" l="1"/>
  <c r="H82" i="4"/>
  <c r="F82" i="4" l="1"/>
  <c r="G82" i="4"/>
  <c r="A83" i="4" l="1"/>
  <c r="B83" i="4" s="1"/>
  <c r="D83" i="4" l="1"/>
  <c r="H83" i="4" s="1"/>
  <c r="C83" i="4" l="1"/>
  <c r="F83" i="4" s="1"/>
  <c r="A84" i="4" s="1"/>
  <c r="G83" i="4" l="1"/>
  <c r="D84" i="4"/>
  <c r="H84" i="4" s="1"/>
  <c r="B84" i="4"/>
  <c r="C84" i="4" l="1"/>
  <c r="F84" i="4" l="1"/>
  <c r="G84" i="4"/>
  <c r="A85" i="4" l="1"/>
  <c r="B85" i="4" s="1"/>
  <c r="D85" i="4" l="1"/>
  <c r="H85" i="4" s="1"/>
  <c r="C85" i="4" l="1"/>
  <c r="F85" i="4" s="1"/>
  <c r="A86" i="4" s="1"/>
  <c r="G85" i="4" l="1"/>
  <c r="D86" i="4"/>
  <c r="H86" i="4" s="1"/>
  <c r="B86" i="4"/>
  <c r="C86" i="4" l="1"/>
  <c r="F86" i="4" l="1"/>
  <c r="G86" i="4"/>
  <c r="A87" i="4" l="1"/>
  <c r="B87" i="4" s="1"/>
  <c r="D87" i="4" l="1"/>
  <c r="H87" i="4" s="1"/>
  <c r="C87" i="4" l="1"/>
  <c r="G87" i="4" l="1"/>
  <c r="F87" i="4"/>
  <c r="A88" i="4" l="1"/>
  <c r="D88" i="4" l="1"/>
  <c r="H88" i="4" s="1"/>
  <c r="B88" i="4"/>
  <c r="C88" i="4" l="1"/>
  <c r="F88" i="4" l="1"/>
  <c r="G88" i="4"/>
  <c r="A89" i="4" l="1"/>
  <c r="B89" i="4" s="1"/>
  <c r="D89" i="4" l="1"/>
  <c r="H89" i="4" s="1"/>
  <c r="C89" i="4" l="1"/>
  <c r="G89" i="4" s="1"/>
  <c r="F89" i="4" l="1"/>
  <c r="A90" i="4" s="1"/>
  <c r="D90" i="4" l="1"/>
  <c r="H90" i="4" s="1"/>
  <c r="B90" i="4"/>
  <c r="C90" i="4" l="1"/>
  <c r="F90" i="4" l="1"/>
  <c r="G90" i="4"/>
  <c r="A91" i="4" l="1"/>
  <c r="B91" i="4" s="1"/>
  <c r="D91" i="4" l="1"/>
  <c r="I91" i="4" s="1"/>
  <c r="K25" i="3" l="1"/>
  <c r="K26" i="3" s="1"/>
  <c r="K45" i="3" s="1"/>
  <c r="K46" i="3" s="1"/>
  <c r="L24" i="3"/>
  <c r="C91" i="4"/>
  <c r="H91" i="4"/>
  <c r="K28" i="3" l="1"/>
  <c r="K54" i="3" s="1"/>
  <c r="G91" i="4"/>
  <c r="J91" i="4" s="1"/>
  <c r="F91" i="4"/>
  <c r="L49" i="3" s="1"/>
  <c r="K56" i="3" l="1"/>
  <c r="K57" i="3" s="1"/>
  <c r="A92" i="4"/>
  <c r="B92" i="4" s="1"/>
  <c r="D92" i="4" l="1"/>
  <c r="C92" i="4" l="1"/>
  <c r="H92" i="4"/>
  <c r="F92" i="4" l="1"/>
  <c r="G92" i="4"/>
  <c r="A93" i="4" l="1"/>
  <c r="D93" i="4" l="1"/>
  <c r="H93" i="4" s="1"/>
  <c r="B93" i="4"/>
  <c r="C93" i="4" l="1"/>
  <c r="F93" i="4" s="1"/>
  <c r="A94" i="4" s="1"/>
  <c r="G93" i="4" l="1"/>
  <c r="D94" i="4"/>
  <c r="B94" i="4"/>
  <c r="C94" i="4" l="1"/>
  <c r="F94" i="4" s="1"/>
  <c r="H94" i="4"/>
  <c r="G94" i="4" l="1"/>
  <c r="A95" i="4"/>
  <c r="B95" i="4" s="1"/>
  <c r="D95" i="4" l="1"/>
  <c r="H95" i="4" s="1"/>
  <c r="C95" i="4" l="1"/>
  <c r="F95" i="4" s="1"/>
  <c r="A96" i="4" s="1"/>
  <c r="G95" i="4" l="1"/>
  <c r="D96" i="4"/>
  <c r="H96" i="4" s="1"/>
  <c r="B96" i="4"/>
  <c r="C96" i="4" l="1"/>
  <c r="F96" i="4" l="1"/>
  <c r="G96" i="4"/>
  <c r="A97" i="4" l="1"/>
  <c r="B97" i="4" s="1"/>
  <c r="D97" i="4" l="1"/>
  <c r="H97" i="4" s="1"/>
  <c r="C97" i="4" l="1"/>
  <c r="F97" i="4" s="1"/>
  <c r="A98" i="4" s="1"/>
  <c r="G97" i="4" l="1"/>
  <c r="D98" i="4"/>
  <c r="H98" i="4" s="1"/>
  <c r="B98" i="4"/>
  <c r="C98" i="4" l="1"/>
  <c r="F98" i="4" l="1"/>
  <c r="G98" i="4"/>
  <c r="A99" i="4" l="1"/>
  <c r="B99" i="4" s="1"/>
  <c r="D99" i="4" l="1"/>
  <c r="H99" i="4" s="1"/>
  <c r="C99" i="4" l="1"/>
  <c r="G99" i="4" s="1"/>
  <c r="F99" i="4" l="1"/>
  <c r="A100" i="4" s="1"/>
  <c r="D100" i="4" l="1"/>
  <c r="H100" i="4" s="1"/>
  <c r="B100" i="4"/>
  <c r="C100" i="4" l="1"/>
  <c r="F100" i="4" l="1"/>
  <c r="G100" i="4"/>
  <c r="A101" i="4" l="1"/>
  <c r="B101" i="4" s="1"/>
  <c r="D101" i="4" l="1"/>
  <c r="H101" i="4" s="1"/>
  <c r="C101" i="4" l="1"/>
  <c r="F101" i="4" s="1"/>
  <c r="A102" i="4" s="1"/>
  <c r="G101" i="4" l="1"/>
  <c r="D102" i="4"/>
  <c r="H102" i="4" s="1"/>
  <c r="B102" i="4"/>
  <c r="C102" i="4" l="1"/>
  <c r="F102" i="4" l="1"/>
  <c r="G102" i="4"/>
  <c r="A103" i="4" l="1"/>
  <c r="B103" i="4" s="1"/>
  <c r="D103" i="4" l="1"/>
  <c r="I103" i="4" s="1"/>
  <c r="L25" i="3" l="1"/>
  <c r="L26" i="3" s="1"/>
  <c r="L45" i="3" s="1"/>
  <c r="L46" i="3" s="1"/>
  <c r="M24" i="3"/>
  <c r="C103" i="4"/>
  <c r="G103" i="4" s="1"/>
  <c r="J103" i="4" s="1"/>
  <c r="H103" i="4"/>
  <c r="F103" i="4" l="1"/>
  <c r="L28" i="3"/>
  <c r="L54" i="3" s="1"/>
  <c r="L56" i="3" l="1"/>
  <c r="L57" i="3" s="1"/>
  <c r="A104" i="4"/>
  <c r="D104" i="4" s="1"/>
  <c r="M49" i="3"/>
  <c r="B104" i="4"/>
  <c r="C104" i="4" s="1"/>
  <c r="H104" i="4"/>
  <c r="F104" i="4" l="1"/>
  <c r="A105" i="4" s="1"/>
  <c r="B105" i="4" s="1"/>
  <c r="G104" i="4"/>
  <c r="D105" i="4" l="1"/>
  <c r="H105" i="4" s="1"/>
  <c r="C105" i="4" l="1"/>
  <c r="F105" i="4" s="1"/>
  <c r="A106" i="4" s="1"/>
  <c r="G105" i="4" l="1"/>
  <c r="D106" i="4"/>
  <c r="H106" i="4" s="1"/>
  <c r="B106" i="4"/>
  <c r="C106" i="4" l="1"/>
  <c r="F106" i="4" l="1"/>
  <c r="G106" i="4"/>
  <c r="A107" i="4" l="1"/>
  <c r="B107" i="4" s="1"/>
  <c r="D107" i="4" l="1"/>
  <c r="H107" i="4" s="1"/>
  <c r="C107" i="4" l="1"/>
  <c r="G107" i="4" s="1"/>
  <c r="F107" i="4" l="1"/>
  <c r="A108" i="4" s="1"/>
  <c r="D108" i="4" l="1"/>
  <c r="H108" i="4" s="1"/>
  <c r="B108" i="4"/>
  <c r="C108" i="4" l="1"/>
  <c r="F108" i="4" l="1"/>
  <c r="G108" i="4"/>
  <c r="A109" i="4" l="1"/>
  <c r="B109" i="4" s="1"/>
  <c r="D109" i="4" l="1"/>
  <c r="H109" i="4" s="1"/>
  <c r="C109" i="4" l="1"/>
  <c r="F109" i="4" s="1"/>
  <c r="A110" i="4" s="1"/>
  <c r="G109" i="4" l="1"/>
  <c r="D110" i="4"/>
  <c r="H110" i="4" s="1"/>
  <c r="B110" i="4"/>
  <c r="C110" i="4" l="1"/>
  <c r="F110" i="4" l="1"/>
  <c r="G110" i="4"/>
  <c r="A111" i="4" l="1"/>
  <c r="B111" i="4" s="1"/>
  <c r="D111" i="4" l="1"/>
  <c r="H111" i="4" s="1"/>
  <c r="C111" i="4" l="1"/>
  <c r="F111" i="4" s="1"/>
  <c r="A112" i="4" s="1"/>
  <c r="G111" i="4" l="1"/>
  <c r="D112" i="4"/>
  <c r="H112" i="4" s="1"/>
  <c r="B112" i="4"/>
  <c r="C112" i="4" l="1"/>
  <c r="F112" i="4" l="1"/>
  <c r="G112" i="4"/>
  <c r="A113" i="4" l="1"/>
  <c r="B113" i="4" s="1"/>
  <c r="D113" i="4" l="1"/>
  <c r="H113" i="4" s="1"/>
  <c r="C113" i="4" l="1"/>
  <c r="G113" i="4" s="1"/>
  <c r="F113" i="4" l="1"/>
  <c r="A114" i="4" s="1"/>
  <c r="D114" i="4" l="1"/>
  <c r="H114" i="4" s="1"/>
  <c r="B114" i="4"/>
  <c r="C114" i="4" l="1"/>
  <c r="F114" i="4" l="1"/>
  <c r="G114" i="4"/>
  <c r="A115" i="4" l="1"/>
  <c r="B115" i="4" s="1"/>
  <c r="D115" i="4" l="1"/>
  <c r="I115" i="4" s="1"/>
  <c r="M25" i="3" l="1"/>
  <c r="M26" i="3" s="1"/>
  <c r="M45" i="3" s="1"/>
  <c r="M46" i="3" s="1"/>
  <c r="N24" i="3"/>
  <c r="C115" i="4"/>
  <c r="H115" i="4"/>
  <c r="G115" i="4" l="1"/>
  <c r="J115" i="4" s="1"/>
  <c r="F115" i="4"/>
  <c r="N49" i="3" s="1"/>
  <c r="M28" i="3"/>
  <c r="M54" i="3" s="1"/>
  <c r="M56" i="3" l="1"/>
  <c r="M57" i="3" s="1"/>
  <c r="A116" i="4"/>
  <c r="D116" i="4" s="1"/>
  <c r="H116" i="4" l="1"/>
  <c r="B116" i="4"/>
  <c r="C116" i="4" s="1"/>
  <c r="F116" i="4" s="1"/>
  <c r="G116" i="4" l="1"/>
  <c r="A117" i="4"/>
  <c r="B117" i="4" s="1"/>
  <c r="D117" i="4" l="1"/>
  <c r="H117" i="4" s="1"/>
  <c r="C117" i="4" l="1"/>
  <c r="G117" i="4" l="1"/>
  <c r="F117" i="4"/>
  <c r="A118" i="4" s="1"/>
  <c r="D118" i="4" s="1"/>
  <c r="B118" i="4" l="1"/>
  <c r="C118" i="4" s="1"/>
  <c r="F118" i="4" s="1"/>
  <c r="H118" i="4"/>
  <c r="G118" i="4" l="1"/>
  <c r="A119" i="4"/>
  <c r="D119" i="4" s="1"/>
  <c r="H119" i="4" s="1"/>
  <c r="B119" i="4" l="1"/>
  <c r="C119" i="4" s="1"/>
  <c r="F119" i="4" l="1"/>
  <c r="A120" i="4" s="1"/>
  <c r="D120" i="4" s="1"/>
  <c r="H120" i="4" s="1"/>
  <c r="G119" i="4"/>
  <c r="B120" i="4" l="1"/>
  <c r="C120" i="4" s="1"/>
  <c r="F120" i="4" l="1"/>
  <c r="G120" i="4"/>
  <c r="A121" i="4" l="1"/>
  <c r="B121" i="4" s="1"/>
  <c r="D121" i="4" l="1"/>
  <c r="H121" i="4" s="1"/>
  <c r="C121" i="4" l="1"/>
  <c r="G121" i="4" s="1"/>
  <c r="F121" i="4" l="1"/>
  <c r="A122" i="4" s="1"/>
  <c r="D122" i="4" l="1"/>
  <c r="H122" i="4" s="1"/>
  <c r="B122" i="4"/>
  <c r="C122" i="4" l="1"/>
  <c r="F122" i="4" l="1"/>
  <c r="G122" i="4"/>
  <c r="A123" i="4" l="1"/>
  <c r="B123" i="4" s="1"/>
  <c r="D123" i="4" l="1"/>
  <c r="H123" i="4" s="1"/>
  <c r="C123" i="4" l="1"/>
  <c r="F123" i="4" s="1"/>
  <c r="A124" i="4" s="1"/>
  <c r="G123" i="4" l="1"/>
  <c r="D124" i="4"/>
  <c r="H124" i="4" s="1"/>
  <c r="B124" i="4"/>
  <c r="C124" i="4" l="1"/>
  <c r="F124" i="4" l="1"/>
  <c r="G124" i="4"/>
  <c r="A125" i="4" l="1"/>
  <c r="B125" i="4" s="1"/>
  <c r="D125" i="4" l="1"/>
  <c r="H125" i="4" s="1"/>
  <c r="C125" i="4" l="1"/>
  <c r="G125" i="4" l="1"/>
  <c r="F125" i="4"/>
  <c r="A126" i="4" l="1"/>
  <c r="D126" i="4" l="1"/>
  <c r="H126" i="4" s="1"/>
  <c r="B126" i="4"/>
  <c r="C126" i="4" l="1"/>
  <c r="F126" i="4" s="1"/>
  <c r="A127" i="4" s="1"/>
  <c r="B127" i="4" s="1"/>
  <c r="G126" i="4" l="1"/>
  <c r="D127" i="4"/>
  <c r="I127" i="4" s="1"/>
  <c r="N25" i="3" l="1"/>
  <c r="O24" i="3"/>
  <c r="O25" i="3" s="1"/>
  <c r="C127" i="4"/>
  <c r="H127" i="4"/>
  <c r="N26" i="3"/>
  <c r="N45" i="3" s="1"/>
  <c r="N46" i="3" s="1"/>
  <c r="O26" i="3" l="1"/>
  <c r="O28" i="3" s="1"/>
  <c r="N28" i="3"/>
  <c r="N54" i="3" s="1"/>
  <c r="G127" i="4"/>
  <c r="J127" i="4" s="1"/>
  <c r="F127" i="4"/>
  <c r="O54" i="3" l="1"/>
  <c r="A128" i="4"/>
  <c r="B128" i="4" s="1"/>
  <c r="O45" i="3"/>
  <c r="O46" i="3" s="1"/>
  <c r="S121" i="3"/>
  <c r="S122" i="3" s="1"/>
  <c r="N56" i="3"/>
  <c r="N57" i="3" s="1"/>
  <c r="D128" i="4"/>
  <c r="C128" i="4" s="1"/>
  <c r="G128" i="4" s="1"/>
  <c r="H128" i="4"/>
  <c r="O56" i="3" l="1"/>
  <c r="O57" i="3" s="1"/>
  <c r="P54" i="3"/>
  <c r="F128" i="4"/>
  <c r="A129" i="4" s="1"/>
  <c r="D129" i="4" s="1"/>
  <c r="P56" i="3" l="1"/>
  <c r="P57" i="3" s="1"/>
  <c r="Q54" i="3"/>
  <c r="B129" i="4"/>
  <c r="C129" i="4" s="1"/>
  <c r="H129" i="4"/>
  <c r="Q56" i="3" l="1"/>
  <c r="Q57" i="3" s="1"/>
  <c r="R54" i="3"/>
  <c r="F129" i="4"/>
  <c r="A130" i="4" s="1"/>
  <c r="D130" i="4" s="1"/>
  <c r="G129" i="4"/>
  <c r="R56" i="3" l="1"/>
  <c r="R57" i="3" s="1"/>
  <c r="S54" i="3"/>
  <c r="S56" i="3" s="1"/>
  <c r="S57" i="3" s="1"/>
  <c r="C130" i="4"/>
  <c r="F130" i="4" s="1"/>
  <c r="A131" i="4" s="1"/>
  <c r="B131" i="4" s="1"/>
  <c r="B130" i="4"/>
  <c r="H130" i="4"/>
  <c r="G130" i="4" l="1"/>
  <c r="D131" i="4"/>
  <c r="H131" i="4"/>
  <c r="C131" i="4"/>
  <c r="F131" i="4" s="1"/>
  <c r="G131" i="4" l="1"/>
  <c r="A132" i="4"/>
  <c r="D132" i="4" l="1"/>
  <c r="H132" i="4" s="1"/>
  <c r="B132" i="4"/>
  <c r="C132" i="4" l="1"/>
  <c r="F132" i="4" l="1"/>
  <c r="A133" i="4" s="1"/>
  <c r="B133" i="4" s="1"/>
  <c r="G132" i="4"/>
  <c r="D133" i="4" l="1"/>
  <c r="H133" i="4" l="1"/>
  <c r="C133" i="4"/>
  <c r="G133" i="4" l="1"/>
  <c r="F133" i="4"/>
  <c r="A134" i="4" l="1"/>
  <c r="D134" i="4" l="1"/>
  <c r="H134" i="4" s="1"/>
  <c r="B134" i="4"/>
  <c r="C134" i="4" l="1"/>
  <c r="G134" i="4"/>
  <c r="F134" i="4"/>
  <c r="A135" i="4" s="1"/>
  <c r="B135" i="4" l="1"/>
  <c r="C135" i="4" s="1"/>
  <c r="D135" i="4"/>
  <c r="H135" i="4"/>
  <c r="G135" i="4" l="1"/>
  <c r="F135" i="4"/>
  <c r="A136" i="4" l="1"/>
  <c r="H136" i="4" l="1"/>
  <c r="D136" i="4"/>
  <c r="B136" i="4"/>
  <c r="C136" i="4" s="1"/>
  <c r="F136" i="4" l="1"/>
  <c r="A137" i="4" s="1"/>
  <c r="G136" i="4"/>
  <c r="B137" i="4" l="1"/>
  <c r="C137" i="4" s="1"/>
  <c r="D137" i="4"/>
  <c r="H137" i="4"/>
  <c r="G137" i="4" l="1"/>
  <c r="F137" i="4"/>
  <c r="A138" i="4" l="1"/>
  <c r="D138" i="4" l="1"/>
  <c r="H138" i="4" s="1"/>
  <c r="B138" i="4"/>
  <c r="C138" i="4" l="1"/>
  <c r="F138" i="4" s="1"/>
  <c r="A139" i="4" s="1"/>
  <c r="G138" i="4"/>
  <c r="B139" i="4" l="1"/>
  <c r="C139" i="4" s="1"/>
  <c r="D139" i="4"/>
  <c r="H139" i="4"/>
  <c r="G139" i="4" l="1"/>
  <c r="F139" i="4"/>
  <c r="A140" i="4" l="1"/>
  <c r="H140" i="4" l="1"/>
  <c r="D140" i="4"/>
  <c r="B140" i="4"/>
  <c r="C140" i="4" s="1"/>
  <c r="G140" i="4" l="1"/>
  <c r="F140" i="4"/>
  <c r="A141" i="4" s="1"/>
  <c r="B141" i="4" l="1"/>
  <c r="C141" i="4" s="1"/>
  <c r="D141" i="4"/>
  <c r="H141" i="4"/>
  <c r="G141" i="4" l="1"/>
  <c r="F141" i="4"/>
  <c r="A142" i="4" s="1"/>
  <c r="B142" i="4" l="1"/>
  <c r="C142" i="4" s="1"/>
  <c r="G142" i="4" s="1"/>
  <c r="D142" i="4"/>
  <c r="H142" i="4"/>
  <c r="F142" i="4" l="1"/>
  <c r="A143" i="4" l="1"/>
  <c r="D143" i="4" l="1"/>
  <c r="H143" i="4" s="1"/>
  <c r="B143" i="4"/>
  <c r="C143" i="4" s="1"/>
  <c r="F143" i="4" l="1"/>
  <c r="A144" i="4" s="1"/>
  <c r="G143" i="4"/>
  <c r="B144" i="4" l="1"/>
  <c r="C144" i="4" s="1"/>
  <c r="D144" i="4"/>
  <c r="H144" i="4"/>
  <c r="G144" i="4" l="1"/>
  <c r="F144" i="4"/>
  <c r="A145" i="4" s="1"/>
  <c r="B145" i="4" l="1"/>
  <c r="C145" i="4" s="1"/>
  <c r="F145" i="4" s="1"/>
  <c r="A146" i="4" s="1"/>
  <c r="D145" i="4"/>
  <c r="H145" i="4" s="1"/>
  <c r="B146" i="4" l="1"/>
  <c r="C146" i="4" s="1"/>
  <c r="F146" i="4" s="1"/>
  <c r="D146" i="4"/>
  <c r="H146" i="4"/>
  <c r="G145" i="4"/>
  <c r="A147" i="4" l="1"/>
  <c r="B147" i="4" s="1"/>
  <c r="G146" i="4"/>
  <c r="D147" i="4" l="1"/>
  <c r="H147" i="4" s="1"/>
  <c r="C147" i="4" l="1"/>
  <c r="F147" i="4" l="1"/>
  <c r="A148" i="4" s="1"/>
  <c r="G147" i="4"/>
  <c r="B148" i="4" l="1"/>
  <c r="C148" i="4" s="1"/>
  <c r="D148" i="4"/>
  <c r="H148" i="4" s="1"/>
  <c r="G148" i="4" l="1"/>
  <c r="F148" i="4"/>
  <c r="A149" i="4" l="1"/>
  <c r="D149" i="4" l="1"/>
  <c r="H149" i="4" s="1"/>
  <c r="B149" i="4"/>
  <c r="C149" i="4" l="1"/>
  <c r="G149" i="4" s="1"/>
  <c r="F149" i="4"/>
  <c r="A150" i="4" s="1"/>
  <c r="B150" i="4" l="1"/>
  <c r="D150" i="4"/>
  <c r="H150" i="4" s="1"/>
  <c r="C150" i="4" l="1"/>
  <c r="G150" i="4" s="1"/>
  <c r="F150" i="4"/>
  <c r="A151" i="4" l="1"/>
  <c r="D151" i="4" l="1"/>
  <c r="H151" i="4" s="1"/>
  <c r="B151" i="4"/>
  <c r="C151" i="4" s="1"/>
  <c r="F151" i="4" l="1"/>
  <c r="A152" i="4" s="1"/>
  <c r="G151" i="4"/>
  <c r="B152" i="4" l="1"/>
  <c r="C152" i="4" s="1"/>
  <c r="D152" i="4"/>
  <c r="H152" i="4"/>
  <c r="F152" i="4" l="1"/>
  <c r="G152" i="4"/>
  <c r="A153" i="4" l="1"/>
  <c r="D153" i="4" l="1"/>
  <c r="H153" i="4" s="1"/>
  <c r="B153" i="4"/>
  <c r="C153" i="4" l="1"/>
  <c r="G153" i="4" s="1"/>
  <c r="F153" i="4"/>
  <c r="A154" i="4" s="1"/>
  <c r="B154" i="4" l="1"/>
  <c r="D154" i="4"/>
  <c r="C154" i="4"/>
  <c r="G154" i="4" s="1"/>
  <c r="H154" i="4"/>
  <c r="F154" i="4" l="1"/>
  <c r="A155" i="4" l="1"/>
  <c r="D155" i="4" l="1"/>
  <c r="H155" i="4" s="1"/>
  <c r="B155" i="4"/>
  <c r="C155" i="4" s="1"/>
  <c r="F155" i="4" l="1"/>
  <c r="A156" i="4" s="1"/>
  <c r="G155" i="4"/>
  <c r="B156" i="4" l="1"/>
  <c r="C156" i="4" s="1"/>
  <c r="D156" i="4"/>
  <c r="H156" i="4"/>
  <c r="G156" i="4" l="1"/>
  <c r="F156" i="4"/>
  <c r="A157" i="4" l="1"/>
  <c r="D157" i="4" l="1"/>
  <c r="H157" i="4" s="1"/>
  <c r="B157" i="4"/>
  <c r="C157" i="4" l="1"/>
  <c r="G157" i="4" s="1"/>
  <c r="F157" i="4"/>
  <c r="A158" i="4" s="1"/>
  <c r="B158" i="4" l="1"/>
  <c r="C158" i="4" s="1"/>
  <c r="D158" i="4"/>
  <c r="H158" i="4" s="1"/>
  <c r="F158" i="4" l="1"/>
  <c r="A159" i="4" s="1"/>
  <c r="G158" i="4"/>
  <c r="B159" i="4" l="1"/>
  <c r="C159" i="4" s="1"/>
  <c r="D159" i="4"/>
  <c r="H159" i="4"/>
  <c r="G159" i="4" l="1"/>
  <c r="F159" i="4"/>
  <c r="A160" i="4" l="1"/>
  <c r="D160" i="4" l="1"/>
  <c r="H160" i="4" s="1"/>
  <c r="B160" i="4"/>
  <c r="C160" i="4" l="1"/>
  <c r="G160" i="4" s="1"/>
  <c r="F160" i="4"/>
  <c r="A161" i="4" s="1"/>
  <c r="B161" i="4" l="1"/>
  <c r="C161" i="4" s="1"/>
  <c r="D161" i="4"/>
  <c r="H161" i="4"/>
  <c r="G161" i="4" l="1"/>
  <c r="F161" i="4"/>
  <c r="A162" i="4" l="1"/>
  <c r="D162" i="4" l="1"/>
  <c r="H162" i="4" s="1"/>
  <c r="B162" i="4"/>
  <c r="C162" i="4" l="1"/>
  <c r="F162" i="4" s="1"/>
  <c r="A163" i="4" s="1"/>
  <c r="G162" i="4"/>
  <c r="B163" i="4" l="1"/>
  <c r="C163" i="4" s="1"/>
  <c r="D163" i="4"/>
  <c r="H163" i="4"/>
  <c r="G163" i="4" l="1"/>
  <c r="F163" i="4"/>
  <c r="A164" i="4" l="1"/>
  <c r="D164" i="4" l="1"/>
  <c r="H164" i="4" s="1"/>
  <c r="B164" i="4"/>
  <c r="C164" i="4" l="1"/>
  <c r="G164" i="4" s="1"/>
  <c r="F164" i="4"/>
  <c r="A165" i="4" s="1"/>
  <c r="B165" i="4" l="1"/>
  <c r="C165" i="4" s="1"/>
  <c r="D165" i="4"/>
  <c r="H165" i="4"/>
  <c r="G165" i="4" l="1"/>
  <c r="F165" i="4"/>
  <c r="A166" i="4" l="1"/>
  <c r="D166" i="4" l="1"/>
  <c r="H166" i="4" s="1"/>
  <c r="B166" i="4"/>
  <c r="C166" i="4" l="1"/>
  <c r="G166" i="4" s="1"/>
  <c r="F166" i="4"/>
  <c r="A167" i="4" s="1"/>
  <c r="B167" i="4" l="1"/>
  <c r="C167" i="4" s="1"/>
  <c r="D167" i="4"/>
  <c r="H167" i="4"/>
  <c r="G167" i="4" l="1"/>
  <c r="F167" i="4"/>
  <c r="A168" i="4" l="1"/>
  <c r="D168" i="4" l="1"/>
  <c r="H168" i="4" s="1"/>
  <c r="B168" i="4"/>
  <c r="C168" i="4" l="1"/>
  <c r="G168" i="4" s="1"/>
  <c r="F168" i="4"/>
  <c r="A169" i="4" l="1"/>
  <c r="D169" i="4" l="1"/>
  <c r="H169" i="4" s="1"/>
  <c r="B169" i="4"/>
  <c r="C169" i="4" l="1"/>
  <c r="F169" i="4" l="1"/>
  <c r="A170" i="4" s="1"/>
  <c r="G169" i="4"/>
  <c r="B170" i="4" l="1"/>
  <c r="C170" i="4" s="1"/>
  <c r="G170" i="4" s="1"/>
  <c r="D170" i="4"/>
  <c r="H170" i="4" s="1"/>
  <c r="F170" i="4" l="1"/>
  <c r="A171" i="4" l="1"/>
  <c r="D171" i="4" l="1"/>
  <c r="H171" i="4" s="1"/>
  <c r="B171" i="4"/>
  <c r="C171" i="4" s="1"/>
  <c r="F171" i="4" s="1"/>
  <c r="A172" i="4" l="1"/>
  <c r="G171" i="4"/>
  <c r="D172" i="4" l="1"/>
  <c r="H172" i="4" s="1"/>
  <c r="B172" i="4"/>
  <c r="C172" i="4" l="1"/>
  <c r="F172" i="4" s="1"/>
  <c r="A173" i="4" s="1"/>
  <c r="G172" i="4"/>
  <c r="B173" i="4" l="1"/>
  <c r="D173" i="4"/>
  <c r="H173" i="4" s="1"/>
  <c r="C173" i="4" l="1"/>
  <c r="G173" i="4" s="1"/>
  <c r="F173" i="4"/>
  <c r="A174" i="4" l="1"/>
  <c r="D174" i="4" l="1"/>
  <c r="H174" i="4" s="1"/>
  <c r="B174" i="4"/>
  <c r="C174" i="4" l="1"/>
  <c r="F174" i="4" s="1"/>
  <c r="A175" i="4" s="1"/>
  <c r="G174" i="4"/>
  <c r="B175" i="4" l="1"/>
  <c r="C175" i="4" s="1"/>
  <c r="D175" i="4"/>
  <c r="H175" i="4"/>
  <c r="G175" i="4" l="1"/>
  <c r="F175" i="4"/>
  <c r="A176" i="4" l="1"/>
  <c r="D176" i="4" l="1"/>
  <c r="H176" i="4" s="1"/>
  <c r="B176" i="4"/>
  <c r="C176" i="4" l="1"/>
  <c r="G176" i="4" s="1"/>
  <c r="F176" i="4"/>
  <c r="A177" i="4" s="1"/>
  <c r="B177" i="4" l="1"/>
  <c r="C177" i="4" s="1"/>
  <c r="D177" i="4"/>
  <c r="H177" i="4"/>
  <c r="G177" i="4" l="1"/>
  <c r="F177" i="4"/>
  <c r="A178" i="4" l="1"/>
  <c r="D178" i="4" l="1"/>
  <c r="H178" i="4" s="1"/>
  <c r="B178" i="4"/>
  <c r="C178" i="4" l="1"/>
  <c r="G178" i="4" s="1"/>
  <c r="F178" i="4"/>
  <c r="A179" i="4" s="1"/>
  <c r="B179" i="4" l="1"/>
  <c r="D179" i="4"/>
  <c r="H179" i="4" s="1"/>
  <c r="C179" i="4"/>
  <c r="F179" i="4" s="1"/>
  <c r="A180" i="4" s="1"/>
  <c r="B180" i="4" l="1"/>
  <c r="C180" i="4" s="1"/>
  <c r="F180" i="4" s="1"/>
  <c r="A181" i="4" s="1"/>
  <c r="D180" i="4"/>
  <c r="H180" i="4" s="1"/>
  <c r="G179" i="4"/>
  <c r="G180" i="4" l="1"/>
  <c r="B181" i="4"/>
  <c r="D181" i="4"/>
  <c r="H181" i="4" s="1"/>
  <c r="C181" i="4" l="1"/>
  <c r="G181" i="4" s="1"/>
  <c r="F181" i="4"/>
  <c r="A182" i="4" s="1"/>
  <c r="B182" i="4" l="1"/>
  <c r="C182" i="4" s="1"/>
  <c r="G182" i="4" s="1"/>
  <c r="D182" i="4"/>
  <c r="H182" i="4" s="1"/>
  <c r="F182" i="4" l="1"/>
  <c r="A183" i="4" s="1"/>
  <c r="B183" i="4" l="1"/>
  <c r="C183" i="4" s="1"/>
  <c r="D183" i="4"/>
  <c r="H183" i="4"/>
  <c r="G183" i="4" l="1"/>
  <c r="F183" i="4"/>
  <c r="A184" i="4" s="1"/>
  <c r="B184" i="4" l="1"/>
  <c r="C184" i="4" s="1"/>
  <c r="F184" i="4" s="1"/>
  <c r="A185" i="4" s="1"/>
  <c r="D184" i="4"/>
  <c r="H184" i="4" s="1"/>
  <c r="B185" i="4" l="1"/>
  <c r="C185" i="4" s="1"/>
  <c r="F185" i="4" s="1"/>
  <c r="A186" i="4" s="1"/>
  <c r="D185" i="4"/>
  <c r="H185" i="4"/>
  <c r="G184" i="4"/>
  <c r="B186" i="4" l="1"/>
  <c r="C186" i="4" s="1"/>
  <c r="F186" i="4" s="1"/>
  <c r="D186" i="4"/>
  <c r="H186" i="4" s="1"/>
  <c r="G185" i="4"/>
  <c r="G186" i="4" l="1"/>
  <c r="A187" i="4"/>
  <c r="D187" i="4" l="1"/>
  <c r="H187" i="4" s="1"/>
  <c r="B187" i="4"/>
  <c r="C187" i="4" s="1"/>
  <c r="G187" i="4" s="1"/>
  <c r="F187" i="4" l="1"/>
  <c r="A188" i="4" s="1"/>
  <c r="B188" i="4" l="1"/>
  <c r="H188" i="4"/>
  <c r="F188" i="4"/>
  <c r="G188" i="4"/>
  <c r="C188" i="4"/>
  <c r="D188" i="4"/>
  <c r="A189" i="4" l="1"/>
  <c r="D189" i="4" l="1"/>
  <c r="F189" i="4"/>
  <c r="A190" i="4" s="1"/>
  <c r="G189" i="4"/>
  <c r="H189" i="4"/>
  <c r="C189" i="4"/>
  <c r="B189" i="4"/>
  <c r="B190" i="4" l="1"/>
  <c r="H190" i="4"/>
  <c r="C190" i="4"/>
  <c r="D190" i="4"/>
  <c r="F190" i="4"/>
  <c r="G190" i="4"/>
  <c r="A191" i="4" l="1"/>
  <c r="G191" i="4" l="1"/>
  <c r="H191" i="4"/>
  <c r="C191" i="4"/>
  <c r="D191" i="4"/>
  <c r="F191" i="4"/>
  <c r="A192" i="4" s="1"/>
  <c r="B191" i="4"/>
  <c r="B192" i="4" l="1"/>
  <c r="F192" i="4"/>
  <c r="G192" i="4"/>
  <c r="H192" i="4"/>
  <c r="C192" i="4"/>
  <c r="D192" i="4"/>
  <c r="A193" i="4" l="1"/>
  <c r="G193" i="4" l="1"/>
  <c r="H193" i="4"/>
  <c r="C193" i="4"/>
  <c r="D193" i="4"/>
  <c r="F193" i="4"/>
  <c r="A194" i="4" s="1"/>
  <c r="B193" i="4"/>
  <c r="B194" i="4" l="1"/>
  <c r="F194" i="4"/>
  <c r="G194" i="4"/>
  <c r="H194" i="4"/>
  <c r="C194" i="4"/>
  <c r="D194" i="4"/>
  <c r="A195" i="4" l="1"/>
  <c r="G195" i="4" l="1"/>
  <c r="H195" i="4"/>
  <c r="C195" i="4"/>
  <c r="D195" i="4"/>
  <c r="F195" i="4"/>
  <c r="A196" i="4" s="1"/>
  <c r="B195" i="4"/>
  <c r="B196" i="4" l="1"/>
  <c r="F196" i="4"/>
  <c r="G196" i="4"/>
  <c r="H196" i="4"/>
  <c r="C196" i="4"/>
  <c r="D196" i="4"/>
  <c r="A197" i="4" l="1"/>
  <c r="G197" i="4" l="1"/>
  <c r="H197" i="4"/>
  <c r="C197" i="4"/>
  <c r="D197" i="4"/>
  <c r="F197" i="4"/>
  <c r="A198" i="4" s="1"/>
  <c r="B197" i="4"/>
  <c r="B198" i="4" l="1"/>
  <c r="F198" i="4"/>
  <c r="G198" i="4"/>
  <c r="H198" i="4"/>
  <c r="C198" i="4"/>
  <c r="D198" i="4"/>
  <c r="A199" i="4" l="1"/>
  <c r="D199" i="4" l="1"/>
  <c r="F199" i="4"/>
  <c r="A200" i="4" s="1"/>
  <c r="G199" i="4"/>
  <c r="H199" i="4"/>
  <c r="C199" i="4"/>
  <c r="B199" i="4"/>
  <c r="B200" i="4" l="1"/>
  <c r="F200" i="4"/>
  <c r="G200" i="4"/>
  <c r="H200" i="4"/>
  <c r="C200" i="4"/>
  <c r="D200" i="4"/>
  <c r="A201" i="4" l="1"/>
  <c r="D201" i="4" l="1"/>
  <c r="F201" i="4"/>
  <c r="A202" i="4" s="1"/>
  <c r="G201" i="4"/>
  <c r="H201" i="4"/>
  <c r="C201" i="4"/>
  <c r="B201" i="4"/>
  <c r="B202" i="4" l="1"/>
  <c r="F202" i="4"/>
  <c r="G202" i="4"/>
  <c r="H202" i="4"/>
  <c r="C202" i="4"/>
  <c r="D202" i="4"/>
  <c r="A203" i="4" l="1"/>
  <c r="D203" i="4" l="1"/>
  <c r="F203" i="4"/>
  <c r="A204" i="4" s="1"/>
  <c r="G203" i="4"/>
  <c r="H203" i="4"/>
  <c r="C203" i="4"/>
  <c r="B203" i="4"/>
  <c r="B204" i="4" l="1"/>
  <c r="F204" i="4"/>
  <c r="G204" i="4"/>
  <c r="H204" i="4"/>
  <c r="C204" i="4"/>
  <c r="D204" i="4"/>
  <c r="A205" i="4" l="1"/>
  <c r="D205" i="4" l="1"/>
  <c r="F205" i="4"/>
  <c r="A206" i="4" s="1"/>
  <c r="G205" i="4"/>
  <c r="H205" i="4"/>
  <c r="C205" i="4"/>
  <c r="B205" i="4"/>
  <c r="B206" i="4" l="1"/>
  <c r="F206" i="4"/>
  <c r="G206" i="4"/>
  <c r="H206" i="4"/>
  <c r="C206" i="4"/>
  <c r="D206" i="4"/>
  <c r="A207" i="4" l="1"/>
  <c r="D207" i="4" l="1"/>
  <c r="F207" i="4"/>
  <c r="A208" i="4" s="1"/>
  <c r="G207" i="4"/>
  <c r="H207" i="4"/>
  <c r="C207" i="4"/>
  <c r="B207" i="4"/>
  <c r="B208" i="4" l="1"/>
  <c r="F208" i="4"/>
  <c r="G208" i="4"/>
  <c r="H208" i="4"/>
  <c r="C208" i="4"/>
  <c r="D208" i="4"/>
  <c r="A209" i="4" l="1"/>
  <c r="D209" i="4" l="1"/>
  <c r="F209" i="4"/>
  <c r="A210" i="4" s="1"/>
  <c r="G209" i="4"/>
  <c r="H209" i="4"/>
  <c r="C209" i="4"/>
  <c r="B209" i="4"/>
  <c r="B210" i="4" l="1"/>
  <c r="F210" i="4"/>
  <c r="G210" i="4"/>
  <c r="H210" i="4"/>
  <c r="C210" i="4"/>
  <c r="D210" i="4"/>
  <c r="A211" i="4" l="1"/>
  <c r="D211" i="4" l="1"/>
  <c r="F211" i="4"/>
  <c r="A212" i="4" s="1"/>
  <c r="G211" i="4"/>
  <c r="H211" i="4"/>
  <c r="C211" i="4"/>
  <c r="B211" i="4"/>
  <c r="B212" i="4" l="1"/>
  <c r="F212" i="4"/>
  <c r="G212" i="4"/>
  <c r="H212" i="4"/>
  <c r="C212" i="4"/>
  <c r="D212" i="4"/>
  <c r="A213" i="4" l="1"/>
  <c r="D213" i="4" l="1"/>
  <c r="F213" i="4"/>
  <c r="A214" i="4" s="1"/>
  <c r="G213" i="4"/>
  <c r="H213" i="4"/>
  <c r="C213" i="4"/>
  <c r="B213" i="4"/>
  <c r="B214" i="4" l="1"/>
  <c r="F214" i="4"/>
  <c r="G214" i="4"/>
  <c r="H214" i="4"/>
  <c r="C214" i="4"/>
  <c r="D214" i="4"/>
  <c r="A215" i="4" l="1"/>
  <c r="D215" i="4" l="1"/>
  <c r="F215" i="4"/>
  <c r="A216" i="4" s="1"/>
  <c r="G215" i="4"/>
  <c r="H215" i="4"/>
  <c r="C215" i="4"/>
  <c r="B215" i="4"/>
  <c r="B216" i="4" l="1"/>
  <c r="F216" i="4"/>
  <c r="G216" i="4"/>
  <c r="H216" i="4"/>
  <c r="C216" i="4"/>
  <c r="D216" i="4"/>
  <c r="A217" i="4" l="1"/>
  <c r="D217" i="4" l="1"/>
  <c r="F217" i="4"/>
  <c r="A218" i="4" s="1"/>
  <c r="G217" i="4"/>
  <c r="H217" i="4"/>
  <c r="C217" i="4"/>
  <c r="B217" i="4"/>
  <c r="B218" i="4" l="1"/>
  <c r="F218" i="4"/>
  <c r="G218" i="4"/>
  <c r="H218" i="4"/>
  <c r="C218" i="4"/>
  <c r="D218" i="4"/>
  <c r="A219" i="4" l="1"/>
  <c r="D219" i="4" l="1"/>
  <c r="F219" i="4"/>
  <c r="G219" i="4"/>
  <c r="H219" i="4"/>
  <c r="C219" i="4"/>
  <c r="B219" i="4"/>
  <c r="A220" i="4" l="1"/>
  <c r="F220" i="4" l="1"/>
  <c r="A221" i="4" s="1"/>
  <c r="G220" i="4"/>
  <c r="H220" i="4"/>
  <c r="C220" i="4"/>
  <c r="D220" i="4"/>
  <c r="B220" i="4"/>
  <c r="B221" i="4" l="1"/>
  <c r="D221" i="4"/>
  <c r="F221" i="4"/>
  <c r="G221" i="4"/>
  <c r="H221" i="4"/>
  <c r="C221" i="4"/>
  <c r="A222" i="4" l="1"/>
  <c r="D222" i="4" l="1"/>
  <c r="F222" i="4"/>
  <c r="A223" i="4" s="1"/>
  <c r="G222" i="4"/>
  <c r="H222" i="4"/>
  <c r="C222" i="4"/>
  <c r="B222" i="4"/>
  <c r="B223" i="4" l="1"/>
  <c r="D223" i="4"/>
  <c r="F223" i="4"/>
  <c r="A224" i="4" s="1"/>
  <c r="B224" i="4" s="1"/>
  <c r="G223" i="4"/>
  <c r="H223" i="4"/>
  <c r="C223" i="4"/>
  <c r="H224" i="4" l="1"/>
  <c r="D224" i="4"/>
  <c r="C224" i="4"/>
  <c r="G224" i="4"/>
  <c r="F224" i="4"/>
  <c r="A225" i="4" s="1"/>
  <c r="B225" i="4" s="1"/>
  <c r="G225" i="4" l="1"/>
  <c r="D225" i="4"/>
  <c r="H225" i="4"/>
  <c r="F225" i="4"/>
  <c r="C225" i="4"/>
  <c r="A226" i="4" l="1"/>
  <c r="B226" i="4" s="1"/>
  <c r="H226" i="4" l="1"/>
  <c r="F226" i="4"/>
  <c r="C226" i="4"/>
  <c r="G226" i="4"/>
  <c r="D226" i="4"/>
  <c r="A227" i="4" l="1"/>
  <c r="B227" i="4" s="1"/>
  <c r="G227" i="4" l="1"/>
  <c r="D227" i="4"/>
  <c r="H227" i="4"/>
  <c r="F227" i="4"/>
  <c r="C227" i="4"/>
  <c r="A228" i="4" l="1"/>
  <c r="H228" i="4" l="1"/>
  <c r="F228" i="4"/>
  <c r="C228" i="4"/>
  <c r="G228" i="4"/>
  <c r="D228" i="4"/>
  <c r="B228" i="4"/>
  <c r="A229" i="4" l="1"/>
  <c r="B229" i="4" s="1"/>
  <c r="G229" i="4" l="1"/>
  <c r="D229" i="4"/>
  <c r="H229" i="4"/>
  <c r="F229" i="4"/>
  <c r="C229" i="4"/>
  <c r="A230" i="4" l="1"/>
  <c r="H230" i="4" l="1"/>
  <c r="F230" i="4"/>
  <c r="C230" i="4"/>
  <c r="G230" i="4"/>
  <c r="D230" i="4"/>
  <c r="B230" i="4"/>
  <c r="A231" i="4" l="1"/>
  <c r="B231" i="4" s="1"/>
  <c r="G231" i="4" l="1"/>
  <c r="D231" i="4"/>
  <c r="H231" i="4"/>
  <c r="F231" i="4"/>
  <c r="C231" i="4"/>
  <c r="A232" i="4" l="1"/>
  <c r="H232" i="4" l="1"/>
  <c r="F232" i="4"/>
  <c r="C232" i="4"/>
  <c r="G232" i="4"/>
  <c r="D232" i="4"/>
  <c r="B232" i="4"/>
  <c r="A233" i="4" l="1"/>
  <c r="B233" i="4" s="1"/>
  <c r="G233" i="4" l="1"/>
  <c r="D233" i="4"/>
  <c r="H233" i="4"/>
  <c r="F233" i="4"/>
  <c r="C233" i="4"/>
  <c r="A234" i="4" l="1"/>
  <c r="B234" i="4" s="1"/>
  <c r="H234" i="4" l="1"/>
  <c r="F234" i="4"/>
  <c r="C234" i="4"/>
  <c r="G234" i="4"/>
  <c r="D234" i="4"/>
  <c r="A235" i="4" l="1"/>
  <c r="B235" i="4" s="1"/>
  <c r="G235" i="4" l="1"/>
  <c r="D235" i="4"/>
  <c r="H235" i="4"/>
  <c r="F235" i="4"/>
  <c r="C235" i="4"/>
  <c r="A236" i="4" l="1"/>
  <c r="H236" i="4" l="1"/>
  <c r="F236" i="4"/>
  <c r="C236" i="4"/>
  <c r="G236" i="4"/>
  <c r="D236" i="4"/>
  <c r="B236" i="4"/>
  <c r="A237" i="4" l="1"/>
  <c r="B237" i="4" s="1"/>
  <c r="G237" i="4" l="1"/>
  <c r="D237" i="4"/>
  <c r="F237" i="4"/>
  <c r="H237" i="4"/>
  <c r="C237" i="4"/>
  <c r="A238" i="4" l="1"/>
  <c r="H238" i="4" l="1"/>
  <c r="F238" i="4"/>
  <c r="C238" i="4"/>
  <c r="G238" i="4"/>
  <c r="D238" i="4"/>
  <c r="B238" i="4"/>
  <c r="A239" i="4" l="1"/>
  <c r="B239" i="4" s="1"/>
  <c r="G239" i="4" l="1"/>
  <c r="D239" i="4"/>
  <c r="H239" i="4"/>
  <c r="C239" i="4"/>
  <c r="F239" i="4"/>
  <c r="A240" i="4" l="1"/>
  <c r="H240" i="4" l="1"/>
  <c r="F240" i="4"/>
  <c r="C240" i="4"/>
  <c r="D240" i="4"/>
  <c r="G240" i="4"/>
  <c r="B240" i="4"/>
  <c r="A241" i="4" l="1"/>
  <c r="B241" i="4" s="1"/>
  <c r="H241" i="4" l="1"/>
  <c r="G241" i="4"/>
  <c r="D241" i="4"/>
  <c r="F241" i="4"/>
  <c r="C241" i="4"/>
  <c r="A242" i="4" l="1"/>
  <c r="G242" i="4" l="1"/>
  <c r="D242" i="4"/>
  <c r="H242" i="4"/>
  <c r="F242" i="4"/>
  <c r="C242" i="4"/>
  <c r="B242" i="4"/>
  <c r="A243" i="4" l="1"/>
  <c r="B243" i="4" s="1"/>
  <c r="H243" i="4" l="1"/>
  <c r="F243" i="4"/>
  <c r="C243" i="4"/>
  <c r="G243" i="4"/>
  <c r="D243" i="4"/>
  <c r="A244" i="4" l="1"/>
  <c r="B244" i="4" s="1"/>
  <c r="G244" i="4" l="1"/>
  <c r="D244" i="4"/>
  <c r="H244" i="4"/>
  <c r="F244" i="4"/>
  <c r="C244" i="4"/>
  <c r="A245" i="4" l="1"/>
  <c r="H245" i="4" l="1"/>
  <c r="F245" i="4"/>
  <c r="C245" i="4"/>
  <c r="G245" i="4"/>
  <c r="D245" i="4"/>
  <c r="B245" i="4"/>
  <c r="A246" i="4" l="1"/>
  <c r="B246" i="4" s="1"/>
  <c r="G246" i="4" l="1"/>
  <c r="D246" i="4"/>
  <c r="H246" i="4"/>
  <c r="F246" i="4"/>
  <c r="C246" i="4"/>
  <c r="A247" i="4" l="1"/>
  <c r="H247" i="4" l="1"/>
  <c r="F247" i="4"/>
  <c r="C247" i="4"/>
  <c r="G247" i="4"/>
  <c r="D247" i="4"/>
  <c r="B247" i="4"/>
  <c r="A248" i="4" l="1"/>
  <c r="B248" i="4" s="1"/>
  <c r="G248" i="4" l="1"/>
  <c r="D248" i="4"/>
  <c r="H248" i="4"/>
  <c r="F248" i="4"/>
  <c r="C248" i="4"/>
  <c r="A249" i="4" l="1"/>
  <c r="H249" i="4" l="1"/>
  <c r="F249" i="4"/>
  <c r="C249" i="4"/>
  <c r="G249" i="4"/>
  <c r="D249" i="4"/>
  <c r="B249" i="4"/>
  <c r="A250" i="4" l="1"/>
  <c r="G250" i="4" l="1"/>
  <c r="D250" i="4"/>
  <c r="H250" i="4"/>
  <c r="F250" i="4"/>
  <c r="C250" i="4"/>
  <c r="B250" i="4"/>
  <c r="A251" i="4" l="1"/>
  <c r="H251" i="4" l="1"/>
  <c r="F251" i="4"/>
  <c r="C251" i="4"/>
  <c r="G251" i="4"/>
  <c r="D251" i="4"/>
  <c r="B251" i="4"/>
  <c r="A252" i="4" l="1"/>
  <c r="B252" i="4" s="1"/>
  <c r="G252" i="4" l="1"/>
  <c r="D252" i="4"/>
  <c r="H252" i="4"/>
  <c r="F252" i="4"/>
  <c r="C252" i="4"/>
  <c r="A253" i="4" l="1"/>
  <c r="H253" i="4" l="1"/>
  <c r="F253" i="4"/>
  <c r="C253" i="4"/>
  <c r="G253" i="4"/>
  <c r="D253" i="4"/>
  <c r="B253" i="4"/>
  <c r="A254" i="4" l="1"/>
  <c r="B254" i="4" s="1"/>
  <c r="G254" i="4" l="1"/>
  <c r="D254" i="4"/>
  <c r="H254" i="4"/>
  <c r="F254" i="4"/>
  <c r="C254" i="4"/>
  <c r="A255" i="4" l="1"/>
  <c r="H255" i="4" l="1"/>
  <c r="F255" i="4"/>
  <c r="C255" i="4"/>
  <c r="G255" i="4"/>
  <c r="D255" i="4"/>
  <c r="B255" i="4"/>
  <c r="A256" i="4" l="1"/>
  <c r="B256" i="4" s="1"/>
  <c r="G256" i="4" l="1"/>
  <c r="D256" i="4"/>
  <c r="H256" i="4"/>
  <c r="F256" i="4"/>
  <c r="C256" i="4"/>
  <c r="A257" i="4" l="1"/>
  <c r="H257" i="4" l="1"/>
  <c r="F257" i="4"/>
  <c r="C257" i="4"/>
  <c r="G257" i="4"/>
  <c r="D257" i="4"/>
  <c r="B257" i="4"/>
  <c r="A258" i="4" l="1"/>
  <c r="B258" i="4" s="1"/>
  <c r="G258" i="4" l="1"/>
  <c r="D258" i="4"/>
  <c r="H258" i="4"/>
  <c r="F258" i="4"/>
  <c r="C258" i="4"/>
  <c r="A259" i="4" l="1"/>
  <c r="B259" i="4" s="1"/>
  <c r="H259" i="4" l="1"/>
  <c r="F259" i="4"/>
  <c r="C259" i="4"/>
  <c r="G259" i="4"/>
  <c r="D259" i="4"/>
  <c r="A260" i="4" l="1"/>
  <c r="B260" i="4" s="1"/>
  <c r="G260" i="4" l="1"/>
  <c r="D260" i="4"/>
  <c r="H260" i="4"/>
  <c r="F260" i="4"/>
  <c r="C260" i="4"/>
  <c r="A261" i="4" l="1"/>
  <c r="H261" i="4" l="1"/>
  <c r="F261" i="4"/>
  <c r="C261" i="4"/>
  <c r="G261" i="4"/>
  <c r="D261" i="4"/>
  <c r="B261" i="4"/>
  <c r="A262" i="4" l="1"/>
  <c r="B262" i="4" s="1"/>
  <c r="G262" i="4" l="1"/>
  <c r="D262" i="4"/>
  <c r="H262" i="4"/>
  <c r="F262" i="4"/>
  <c r="C262" i="4"/>
  <c r="A263" i="4" l="1"/>
  <c r="H263" i="4" l="1"/>
  <c r="F263" i="4"/>
  <c r="C263" i="4"/>
  <c r="G263" i="4"/>
  <c r="D263" i="4"/>
  <c r="B263" i="4"/>
  <c r="A264" i="4" l="1"/>
  <c r="B264" i="4" s="1"/>
  <c r="G264" i="4" l="1"/>
  <c r="D264" i="4"/>
  <c r="H264" i="4"/>
  <c r="F264" i="4"/>
  <c r="C264" i="4"/>
  <c r="A265" i="4" l="1"/>
  <c r="H265" i="4" l="1"/>
  <c r="F265" i="4"/>
  <c r="C265" i="4"/>
  <c r="G265" i="4"/>
  <c r="D265" i="4"/>
  <c r="B265" i="4"/>
  <c r="A266" i="4" l="1"/>
  <c r="B266" i="4" s="1"/>
  <c r="G266" i="4" l="1"/>
  <c r="D266" i="4"/>
  <c r="H266" i="4"/>
  <c r="F266" i="4"/>
  <c r="C266" i="4"/>
  <c r="A267" i="4" l="1"/>
  <c r="H267" i="4" l="1"/>
  <c r="F267" i="4"/>
  <c r="C267" i="4"/>
  <c r="G267" i="4"/>
  <c r="D267" i="4"/>
  <c r="B267" i="4"/>
  <c r="A268" i="4" l="1"/>
  <c r="B268" i="4" s="1"/>
  <c r="G268" i="4" l="1"/>
  <c r="D268" i="4"/>
  <c r="H268" i="4"/>
  <c r="F268" i="4"/>
  <c r="C268" i="4"/>
  <c r="A269" i="4" l="1"/>
  <c r="H269" i="4" l="1"/>
  <c r="F269" i="4"/>
  <c r="C269" i="4"/>
  <c r="G269" i="4"/>
  <c r="D269" i="4"/>
  <c r="B269" i="4"/>
  <c r="A270" i="4" l="1"/>
  <c r="B270" i="4" s="1"/>
  <c r="G270" i="4" l="1"/>
  <c r="D270" i="4"/>
  <c r="H270" i="4"/>
  <c r="F270" i="4"/>
  <c r="C270" i="4"/>
  <c r="A271" i="4" l="1"/>
  <c r="B271" i="4" s="1"/>
  <c r="H271" i="4" l="1"/>
  <c r="F271" i="4"/>
  <c r="C271" i="4"/>
  <c r="G271" i="4"/>
  <c r="D271" i="4"/>
  <c r="A272" i="4" l="1"/>
  <c r="B272" i="4" s="1"/>
  <c r="G272" i="4" l="1"/>
  <c r="D272" i="4"/>
  <c r="H272" i="4"/>
  <c r="F272" i="4"/>
  <c r="C272" i="4"/>
  <c r="A273" i="4" l="1"/>
  <c r="H273" i="4" l="1"/>
  <c r="F273" i="4"/>
  <c r="C273" i="4"/>
  <c r="G273" i="4"/>
  <c r="D273" i="4"/>
  <c r="B273" i="4"/>
  <c r="A274" i="4" l="1"/>
  <c r="B274" i="4" s="1"/>
  <c r="G274" i="4" l="1"/>
  <c r="D274" i="4"/>
  <c r="H274" i="4"/>
  <c r="F274" i="4"/>
  <c r="C274" i="4"/>
  <c r="A275" i="4" l="1"/>
  <c r="H275" i="4" l="1"/>
  <c r="F275" i="4"/>
  <c r="C275" i="4"/>
  <c r="G275" i="4"/>
  <c r="D275" i="4"/>
  <c r="B275" i="4"/>
  <c r="A276" i="4" l="1"/>
  <c r="B276" i="4" s="1"/>
  <c r="G276" i="4" l="1"/>
  <c r="D276" i="4"/>
  <c r="H276" i="4"/>
  <c r="F276" i="4"/>
  <c r="C276" i="4"/>
  <c r="A277" i="4" l="1"/>
  <c r="B277" i="4" s="1"/>
  <c r="H277" i="4" l="1"/>
  <c r="F277" i="4"/>
  <c r="C277" i="4"/>
  <c r="G277" i="4"/>
  <c r="D277" i="4"/>
  <c r="A278" i="4" l="1"/>
  <c r="B278" i="4" s="1"/>
  <c r="G278" i="4" l="1"/>
  <c r="D278" i="4"/>
  <c r="H278" i="4"/>
  <c r="F278" i="4"/>
  <c r="C278" i="4"/>
  <c r="A279" i="4" l="1"/>
  <c r="H279" i="4" l="1"/>
  <c r="F279" i="4"/>
  <c r="C279" i="4"/>
  <c r="G279" i="4"/>
  <c r="D279" i="4"/>
  <c r="B279" i="4"/>
  <c r="A280" i="4" l="1"/>
  <c r="B280" i="4" s="1"/>
  <c r="G280" i="4" l="1"/>
  <c r="D280" i="4"/>
  <c r="H280" i="4"/>
  <c r="F280" i="4"/>
  <c r="C280" i="4"/>
  <c r="A281" i="4" l="1"/>
  <c r="B281" i="4" s="1"/>
  <c r="H281" i="4" l="1"/>
  <c r="F281" i="4"/>
  <c r="C281" i="4"/>
  <c r="G281" i="4"/>
  <c r="D281" i="4"/>
  <c r="A282" i="4" l="1"/>
  <c r="B282" i="4" s="1"/>
  <c r="G282" i="4" l="1"/>
  <c r="D282" i="4"/>
  <c r="H282" i="4"/>
  <c r="F282" i="4"/>
  <c r="C282" i="4"/>
  <c r="A283" i="4" l="1"/>
  <c r="H283" i="4" l="1"/>
  <c r="F283" i="4"/>
  <c r="C283" i="4"/>
  <c r="G283" i="4"/>
  <c r="D283" i="4"/>
  <c r="B283" i="4"/>
  <c r="A284" i="4" l="1"/>
  <c r="B284" i="4" s="1"/>
  <c r="G284" i="4" l="1"/>
  <c r="D284" i="4"/>
  <c r="H284" i="4"/>
  <c r="F284" i="4"/>
  <c r="C284" i="4"/>
  <c r="A285" i="4" l="1"/>
  <c r="H285" i="4" l="1"/>
  <c r="F285" i="4"/>
  <c r="C285" i="4"/>
  <c r="G285" i="4"/>
  <c r="D285" i="4"/>
  <c r="B285" i="4"/>
  <c r="A286" i="4" l="1"/>
  <c r="B286" i="4" s="1"/>
  <c r="G286" i="4" l="1"/>
  <c r="D286" i="4"/>
  <c r="H286" i="4"/>
  <c r="F286" i="4"/>
  <c r="C286" i="4"/>
  <c r="A287" i="4" l="1"/>
  <c r="H287" i="4" l="1"/>
  <c r="F287" i="4"/>
  <c r="C287" i="4"/>
  <c r="G287" i="4"/>
  <c r="D287" i="4"/>
  <c r="B287" i="4"/>
  <c r="A288" i="4" l="1"/>
  <c r="B288" i="4" s="1"/>
  <c r="G288" i="4" l="1"/>
  <c r="H288" i="4"/>
  <c r="D288" i="4"/>
  <c r="F288" i="4"/>
  <c r="C288" i="4"/>
  <c r="A289" i="4" l="1"/>
  <c r="H289" i="4" l="1"/>
  <c r="F289" i="4"/>
  <c r="C289" i="4"/>
  <c r="D289" i="4"/>
  <c r="G289" i="4"/>
  <c r="B289" i="4"/>
  <c r="A290" i="4" l="1"/>
  <c r="B290" i="4" s="1"/>
  <c r="G290" i="4" l="1"/>
  <c r="D290" i="4"/>
  <c r="F290" i="4"/>
  <c r="H290" i="4"/>
  <c r="C290" i="4"/>
  <c r="A291" i="4" l="1"/>
  <c r="H291" i="4" l="1"/>
  <c r="F291" i="4"/>
  <c r="C291" i="4"/>
  <c r="G291" i="4"/>
  <c r="D291" i="4"/>
  <c r="B291" i="4"/>
  <c r="A292" i="4" l="1"/>
  <c r="H292" i="4" l="1"/>
  <c r="F292" i="4"/>
  <c r="C292" i="4"/>
  <c r="G292" i="4"/>
  <c r="D292" i="4"/>
  <c r="B292" i="4"/>
  <c r="A293" i="4" l="1"/>
  <c r="B293" i="4" s="1"/>
  <c r="G293" i="4" l="1"/>
  <c r="D293" i="4"/>
  <c r="H293" i="4"/>
  <c r="F293" i="4"/>
  <c r="C293" i="4"/>
  <c r="A294" i="4" l="1"/>
  <c r="H294" i="4" l="1"/>
  <c r="F294" i="4"/>
  <c r="C294" i="4"/>
  <c r="G294" i="4"/>
  <c r="D294" i="4"/>
  <c r="B294" i="4"/>
  <c r="A295" i="4" l="1"/>
  <c r="B295" i="4" s="1"/>
  <c r="G295" i="4" l="1"/>
  <c r="D295" i="4"/>
  <c r="H295" i="4"/>
  <c r="F295" i="4"/>
  <c r="C295" i="4"/>
  <c r="A296" i="4" l="1"/>
  <c r="H296" i="4" l="1"/>
  <c r="F296" i="4"/>
  <c r="C296" i="4"/>
  <c r="G296" i="4"/>
  <c r="D296" i="4"/>
  <c r="B296" i="4"/>
  <c r="A297" i="4" l="1"/>
  <c r="B297" i="4" s="1"/>
  <c r="G297" i="4" l="1"/>
  <c r="D297" i="4"/>
  <c r="H297" i="4"/>
  <c r="F297" i="4"/>
  <c r="C297" i="4"/>
  <c r="A298" i="4" l="1"/>
  <c r="H298" i="4" l="1"/>
  <c r="F298" i="4"/>
  <c r="C298" i="4"/>
  <c r="G298" i="4"/>
  <c r="D298" i="4"/>
  <c r="B298" i="4"/>
  <c r="A299" i="4" l="1"/>
  <c r="B299" i="4" s="1"/>
  <c r="H299" i="4" l="1"/>
  <c r="F299" i="4"/>
  <c r="D299" i="4"/>
  <c r="G299" i="4"/>
  <c r="C299" i="4"/>
  <c r="A300" i="4" l="1"/>
  <c r="B300" i="4" s="1"/>
  <c r="G300" i="4" l="1"/>
  <c r="D300" i="4"/>
  <c r="F300" i="4"/>
  <c r="H300" i="4"/>
  <c r="C300" i="4"/>
  <c r="A301" i="4" l="1"/>
  <c r="H301" i="4" l="1"/>
  <c r="F301" i="4"/>
  <c r="C301" i="4"/>
  <c r="G301" i="4"/>
  <c r="D301" i="4"/>
  <c r="B301" i="4"/>
  <c r="A302" i="4" l="1"/>
  <c r="B302" i="4" s="1"/>
  <c r="G302" i="4" l="1"/>
  <c r="D302" i="4"/>
  <c r="H302" i="4"/>
  <c r="C302" i="4"/>
  <c r="F302" i="4"/>
  <c r="A303" i="4" l="1"/>
  <c r="H303" i="4" l="1"/>
  <c r="F303" i="4"/>
  <c r="C303" i="4"/>
  <c r="D303" i="4"/>
  <c r="G303" i="4"/>
  <c r="B303" i="4"/>
  <c r="A304" i="4" l="1"/>
  <c r="B304" i="4" s="1"/>
  <c r="G304" i="4" l="1"/>
  <c r="D304" i="4"/>
  <c r="F304" i="4"/>
  <c r="H304" i="4"/>
  <c r="C304" i="4"/>
  <c r="A305" i="4" l="1"/>
  <c r="H305" i="4" l="1"/>
  <c r="F305" i="4"/>
  <c r="C305" i="4"/>
  <c r="G305" i="4"/>
  <c r="D305" i="4"/>
  <c r="B305" i="4"/>
  <c r="A306" i="4" l="1"/>
  <c r="B306" i="4" s="1"/>
  <c r="G306" i="4" l="1"/>
  <c r="D306" i="4"/>
  <c r="H306" i="4"/>
  <c r="C306" i="4"/>
  <c r="F306" i="4"/>
  <c r="A307" i="4" l="1"/>
  <c r="H307" i="4" l="1"/>
  <c r="F307" i="4"/>
  <c r="C307" i="4"/>
  <c r="D307" i="4"/>
  <c r="G307" i="4"/>
  <c r="B307" i="4"/>
  <c r="A308" i="4" l="1"/>
  <c r="B308" i="4" s="1"/>
  <c r="G308" i="4" l="1"/>
  <c r="D308" i="4"/>
  <c r="F308" i="4"/>
  <c r="H308" i="4"/>
  <c r="C308" i="4"/>
  <c r="A309" i="4" l="1"/>
  <c r="H309" i="4" l="1"/>
  <c r="F309" i="4"/>
  <c r="C309" i="4"/>
  <c r="G309" i="4"/>
  <c r="D309" i="4"/>
  <c r="B309" i="4"/>
  <c r="A310" i="4" l="1"/>
  <c r="B310" i="4" s="1"/>
  <c r="G310" i="4" l="1"/>
  <c r="D310" i="4"/>
  <c r="H310" i="4"/>
  <c r="C310" i="4"/>
  <c r="F310" i="4"/>
  <c r="A311" i="4" l="1"/>
  <c r="H311" i="4" l="1"/>
  <c r="F311" i="4"/>
  <c r="C311" i="4"/>
  <c r="D311" i="4"/>
  <c r="G311" i="4"/>
  <c r="B311" i="4"/>
  <c r="A312" i="4" l="1"/>
  <c r="B312" i="4" s="1"/>
  <c r="G312" i="4" l="1"/>
  <c r="D312" i="4"/>
  <c r="F312" i="4"/>
  <c r="H312" i="4"/>
  <c r="C312" i="4"/>
  <c r="A313" i="4" l="1"/>
  <c r="H313" i="4" l="1"/>
  <c r="F313" i="4"/>
  <c r="C313" i="4"/>
  <c r="G313" i="4"/>
  <c r="D313" i="4"/>
  <c r="B313" i="4"/>
  <c r="A314" i="4" l="1"/>
  <c r="B314" i="4" s="1"/>
  <c r="G314" i="4" l="1"/>
  <c r="D314" i="4"/>
  <c r="H314" i="4"/>
  <c r="C314" i="4"/>
  <c r="F314" i="4"/>
  <c r="A315" i="4" l="1"/>
  <c r="H315" i="4" l="1"/>
  <c r="F315" i="4"/>
  <c r="C315" i="4"/>
  <c r="D315" i="4"/>
  <c r="G315" i="4"/>
  <c r="B315" i="4"/>
  <c r="A316" i="4" l="1"/>
  <c r="B316" i="4" s="1"/>
  <c r="G316" i="4" l="1"/>
  <c r="D316" i="4"/>
  <c r="F316" i="4"/>
  <c r="H316" i="4"/>
  <c r="C316" i="4"/>
  <c r="A317" i="4" l="1"/>
  <c r="H317" i="4" l="1"/>
  <c r="F317" i="4"/>
  <c r="C317" i="4"/>
  <c r="G317" i="4"/>
  <c r="D317" i="4"/>
  <c r="B317" i="4"/>
  <c r="A318" i="4" l="1"/>
  <c r="B318" i="4" s="1"/>
  <c r="G318" i="4" l="1"/>
  <c r="D318" i="4"/>
  <c r="H318" i="4"/>
  <c r="C318" i="4"/>
  <c r="F318" i="4"/>
  <c r="A319" i="4" l="1"/>
  <c r="H319" i="4" l="1"/>
  <c r="F319" i="4"/>
  <c r="C319" i="4"/>
  <c r="D319" i="4"/>
  <c r="G319" i="4"/>
  <c r="B319" i="4"/>
  <c r="A320" i="4" l="1"/>
  <c r="B320" i="4" s="1"/>
  <c r="G320" i="4" l="1"/>
  <c r="D320" i="4"/>
  <c r="F320" i="4"/>
  <c r="H320" i="4"/>
  <c r="C320" i="4"/>
  <c r="A321" i="4" l="1"/>
  <c r="H321" i="4" l="1"/>
  <c r="F321" i="4"/>
  <c r="C321" i="4"/>
  <c r="G321" i="4"/>
  <c r="D321" i="4"/>
  <c r="B321" i="4"/>
  <c r="A322" i="4" l="1"/>
  <c r="B322" i="4" s="1"/>
  <c r="G322" i="4" l="1"/>
  <c r="D322" i="4"/>
  <c r="H322" i="4"/>
  <c r="C322" i="4"/>
  <c r="F322" i="4"/>
  <c r="A323" i="4" l="1"/>
  <c r="H323" i="4" l="1"/>
  <c r="F323" i="4"/>
  <c r="C323" i="4"/>
  <c r="D323" i="4"/>
  <c r="G323" i="4"/>
  <c r="B323" i="4"/>
  <c r="A324" i="4" l="1"/>
  <c r="B324" i="4" s="1"/>
  <c r="G324" i="4" l="1"/>
  <c r="D324" i="4"/>
  <c r="F324" i="4"/>
  <c r="H324" i="4"/>
  <c r="C324" i="4"/>
  <c r="A325" i="4" l="1"/>
  <c r="H325" i="4" l="1"/>
  <c r="F325" i="4"/>
  <c r="C325" i="4"/>
  <c r="G325" i="4"/>
  <c r="D325" i="4"/>
  <c r="B325" i="4"/>
  <c r="A326" i="4" l="1"/>
  <c r="B326" i="4" s="1"/>
  <c r="G326" i="4" l="1"/>
  <c r="D326" i="4"/>
  <c r="H326" i="4"/>
  <c r="C326" i="4"/>
  <c r="F326" i="4"/>
  <c r="A327" i="4" l="1"/>
  <c r="H327" i="4" l="1"/>
  <c r="F327" i="4"/>
  <c r="C327" i="4"/>
  <c r="D327" i="4"/>
  <c r="G327" i="4"/>
  <c r="B327" i="4"/>
  <c r="A328" i="4" l="1"/>
  <c r="B328" i="4" s="1"/>
  <c r="G328" i="4" l="1"/>
  <c r="D328" i="4"/>
  <c r="F328" i="4"/>
  <c r="H328" i="4"/>
  <c r="C328" i="4"/>
  <c r="A329" i="4" l="1"/>
  <c r="H329" i="4" l="1"/>
  <c r="F329" i="4"/>
  <c r="C329" i="4"/>
  <c r="G329" i="4"/>
  <c r="D329" i="4"/>
  <c r="B329" i="4"/>
  <c r="A330" i="4" l="1"/>
  <c r="B330" i="4" s="1"/>
  <c r="G330" i="4" l="1"/>
  <c r="D330" i="4"/>
  <c r="H330" i="4"/>
  <c r="C330" i="4"/>
  <c r="F330" i="4"/>
  <c r="A331" i="4" l="1"/>
  <c r="H331" i="4" l="1"/>
  <c r="F331" i="4"/>
  <c r="C331" i="4"/>
  <c r="D331" i="4"/>
  <c r="G331" i="4"/>
  <c r="B331" i="4"/>
  <c r="A332" i="4" l="1"/>
  <c r="B332" i="4" s="1"/>
  <c r="H332" i="4" l="1"/>
  <c r="G332" i="4"/>
  <c r="D332" i="4"/>
  <c r="F332" i="4"/>
  <c r="C332" i="4"/>
  <c r="A333" i="4" l="1"/>
  <c r="G333" i="4" l="1"/>
  <c r="D333" i="4"/>
  <c r="H333" i="4"/>
  <c r="F333" i="4"/>
  <c r="C333" i="4"/>
  <c r="B333" i="4"/>
  <c r="A334" i="4" l="1"/>
  <c r="H334" i="4" l="1"/>
  <c r="F334" i="4"/>
  <c r="C334" i="4"/>
  <c r="G334" i="4"/>
  <c r="D334" i="4"/>
  <c r="B334" i="4"/>
  <c r="A335" i="4" l="1"/>
  <c r="B335" i="4" s="1"/>
  <c r="G335" i="4" l="1"/>
  <c r="D335" i="4"/>
  <c r="H335" i="4"/>
  <c r="F335" i="4"/>
  <c r="C335" i="4"/>
  <c r="A336" i="4" l="1"/>
  <c r="H336" i="4" l="1"/>
  <c r="F336" i="4"/>
  <c r="C336" i="4"/>
  <c r="G336" i="4"/>
  <c r="D336" i="4"/>
  <c r="B336" i="4"/>
  <c r="A337" i="4" l="1"/>
  <c r="B337" i="4" s="1"/>
  <c r="G337" i="4" l="1"/>
  <c r="D337" i="4"/>
  <c r="H337" i="4"/>
  <c r="F337" i="4"/>
  <c r="C337" i="4"/>
  <c r="A338" i="4" l="1"/>
  <c r="H338" i="4" l="1"/>
  <c r="F338" i="4"/>
  <c r="C338" i="4"/>
  <c r="G338" i="4"/>
  <c r="D338" i="4"/>
  <c r="B338" i="4"/>
  <c r="A339" i="4" l="1"/>
  <c r="B339" i="4" s="1"/>
  <c r="G339" i="4" l="1"/>
  <c r="D339" i="4"/>
  <c r="H339" i="4"/>
  <c r="F339" i="4"/>
  <c r="C339" i="4"/>
  <c r="A340" i="4" l="1"/>
  <c r="H340" i="4" l="1"/>
  <c r="F340" i="4"/>
  <c r="C340" i="4"/>
  <c r="G340" i="4"/>
  <c r="D340" i="4"/>
  <c r="B340" i="4"/>
  <c r="A341" i="4" l="1"/>
  <c r="B341" i="4" s="1"/>
  <c r="G341" i="4" l="1"/>
  <c r="D341" i="4"/>
  <c r="H341" i="4"/>
  <c r="F341" i="4"/>
  <c r="C341" i="4"/>
  <c r="A342" i="4" l="1"/>
  <c r="H342" i="4" l="1"/>
  <c r="F342" i="4"/>
  <c r="C342" i="4"/>
  <c r="G342" i="4"/>
  <c r="D342" i="4"/>
  <c r="B342" i="4"/>
  <c r="A343" i="4" l="1"/>
  <c r="B343" i="4" s="1"/>
  <c r="G343" i="4" l="1"/>
  <c r="D343" i="4"/>
  <c r="H343" i="4"/>
  <c r="F343" i="4"/>
  <c r="C343" i="4"/>
  <c r="A344" i="4" l="1"/>
  <c r="G344" i="4" l="1"/>
  <c r="F344" i="4"/>
  <c r="C344" i="4"/>
  <c r="H344" i="4"/>
  <c r="D344" i="4"/>
  <c r="B344" i="4"/>
  <c r="A345" i="4" l="1"/>
  <c r="H345" i="4" l="1"/>
  <c r="F345" i="4"/>
  <c r="C345" i="4"/>
  <c r="G345" i="4"/>
  <c r="D345" i="4"/>
  <c r="B345" i="4"/>
  <c r="A346" i="4" l="1"/>
  <c r="B346" i="4" s="1"/>
  <c r="G346" i="4" l="1"/>
  <c r="D346" i="4"/>
  <c r="H346" i="4"/>
  <c r="C346" i="4"/>
  <c r="F346" i="4"/>
  <c r="A347" i="4" l="1"/>
  <c r="B347" i="4" s="1"/>
  <c r="H347" i="4" l="1"/>
  <c r="F347" i="4"/>
  <c r="C347" i="4"/>
  <c r="D347" i="4"/>
  <c r="G347" i="4"/>
  <c r="A348" i="4" l="1"/>
  <c r="B348" i="4" s="1"/>
  <c r="G348" i="4" l="1"/>
  <c r="D348" i="4"/>
  <c r="F348" i="4"/>
  <c r="H348" i="4"/>
  <c r="C348" i="4"/>
  <c r="A349" i="4" l="1"/>
  <c r="B349" i="4" s="1"/>
  <c r="H349" i="4" l="1"/>
  <c r="F349" i="4"/>
  <c r="C349" i="4"/>
  <c r="G349" i="4"/>
  <c r="D349" i="4"/>
  <c r="A350" i="4" l="1"/>
  <c r="B350" i="4" s="1"/>
  <c r="G350" i="4" l="1"/>
  <c r="D350" i="4"/>
  <c r="H350" i="4"/>
  <c r="C350" i="4"/>
  <c r="F350" i="4"/>
  <c r="A351" i="4" l="1"/>
  <c r="G351" i="4" l="1"/>
  <c r="H351" i="4"/>
  <c r="F351" i="4"/>
  <c r="C351" i="4"/>
  <c r="D351" i="4"/>
  <c r="B351" i="4"/>
  <c r="A352" i="4" l="1"/>
  <c r="B352" i="4" s="1"/>
  <c r="H352" i="4" l="1"/>
  <c r="F352" i="4"/>
  <c r="C352" i="4"/>
  <c r="G352" i="4"/>
  <c r="D352" i="4"/>
  <c r="A353" i="4" l="1"/>
  <c r="B353" i="4" s="1"/>
  <c r="G353" i="4" l="1"/>
  <c r="D353" i="4"/>
  <c r="H353" i="4"/>
  <c r="F353" i="4"/>
  <c r="C353" i="4"/>
  <c r="A354" i="4" l="1"/>
  <c r="H354" i="4" l="1"/>
  <c r="F354" i="4"/>
  <c r="C354" i="4"/>
  <c r="G354" i="4"/>
  <c r="D354" i="4"/>
  <c r="B354" i="4"/>
  <c r="A355" i="4" l="1"/>
  <c r="B355" i="4" s="1"/>
  <c r="G355" i="4" l="1"/>
  <c r="D355" i="4"/>
  <c r="H355" i="4"/>
  <c r="F355" i="4"/>
  <c r="C355" i="4"/>
  <c r="A356" i="4" l="1"/>
  <c r="H356" i="4" l="1"/>
  <c r="F356" i="4"/>
  <c r="C356" i="4"/>
  <c r="G356" i="4"/>
  <c r="D356" i="4"/>
  <c r="B356" i="4"/>
  <c r="A357" i="4" l="1"/>
  <c r="B357" i="4" s="1"/>
  <c r="G357" i="4" l="1"/>
  <c r="D357" i="4"/>
  <c r="H357" i="4"/>
  <c r="F357" i="4"/>
  <c r="C357" i="4"/>
  <c r="A358" i="4" l="1"/>
  <c r="H358" i="4" l="1"/>
  <c r="F358" i="4"/>
  <c r="C358" i="4"/>
  <c r="G358" i="4"/>
  <c r="D358" i="4"/>
  <c r="B358" i="4"/>
  <c r="A359" i="4" l="1"/>
  <c r="B359" i="4" s="1"/>
  <c r="G359" i="4" l="1"/>
  <c r="D359" i="4"/>
  <c r="H359" i="4"/>
  <c r="F359" i="4"/>
  <c r="C359" i="4"/>
  <c r="A360" i="4" l="1"/>
  <c r="H360" i="4" l="1"/>
  <c r="F360" i="4"/>
  <c r="C360" i="4"/>
  <c r="G360" i="4"/>
  <c r="D360" i="4"/>
  <c r="B360" i="4"/>
  <c r="A361" i="4" l="1"/>
  <c r="B361" i="4" s="1"/>
  <c r="G361" i="4" l="1"/>
  <c r="D361" i="4"/>
  <c r="H361" i="4"/>
  <c r="F361" i="4"/>
  <c r="C361" i="4"/>
  <c r="A362" i="4" l="1"/>
  <c r="H362" i="4" l="1"/>
  <c r="F362" i="4"/>
  <c r="C362" i="4"/>
  <c r="G362" i="4"/>
  <c r="D362" i="4"/>
  <c r="B362" i="4"/>
  <c r="A363" i="4" l="1"/>
  <c r="B363" i="4" s="1"/>
  <c r="G363" i="4" l="1"/>
  <c r="D363" i="4"/>
  <c r="H363" i="4"/>
  <c r="F363" i="4"/>
  <c r="C363" i="4"/>
  <c r="A364" i="4" l="1"/>
  <c r="H364" i="4" l="1"/>
  <c r="F364" i="4"/>
  <c r="C364" i="4"/>
  <c r="G364" i="4"/>
  <c r="D364" i="4"/>
  <c r="B364" i="4"/>
  <c r="A365" i="4" l="1"/>
  <c r="B365" i="4" s="1"/>
  <c r="G365" i="4" l="1"/>
  <c r="D365" i="4"/>
  <c r="H365" i="4"/>
  <c r="F365" i="4"/>
  <c r="C365" i="4"/>
  <c r="A366" i="4" l="1"/>
  <c r="H366" i="4" l="1"/>
  <c r="F366" i="4"/>
  <c r="C366" i="4"/>
  <c r="G366" i="4"/>
  <c r="D366" i="4"/>
  <c r="B366" i="4"/>
  <c r="A367" i="4" l="1"/>
  <c r="B367" i="4" s="1"/>
  <c r="G367" i="4" l="1"/>
  <c r="D367" i="4"/>
  <c r="H367" i="4"/>
  <c r="F367" i="4"/>
  <c r="C367" i="4"/>
</calcChain>
</file>

<file path=xl/sharedStrings.xml><?xml version="1.0" encoding="utf-8"?>
<sst xmlns="http://schemas.openxmlformats.org/spreadsheetml/2006/main" count="278" uniqueCount="218">
  <si>
    <t>Building 1</t>
  </si>
  <si>
    <t>Building 2</t>
  </si>
  <si>
    <t>Parking Lot</t>
  </si>
  <si>
    <t>Married Housing</t>
  </si>
  <si>
    <t>Single Student Housing</t>
  </si>
  <si>
    <t>month</t>
  </si>
  <si>
    <t>months</t>
  </si>
  <si>
    <t>units per floor</t>
  </si>
  <si>
    <t>sq. ft. per apt.</t>
  </si>
  <si>
    <t>sq. ft. per level</t>
  </si>
  <si>
    <t># of levels</t>
  </si>
  <si>
    <t># of units</t>
  </si>
  <si>
    <t>units</t>
  </si>
  <si>
    <t>semester</t>
  </si>
  <si>
    <t># of ppl per unit</t>
  </si>
  <si>
    <t>Revenue per year</t>
  </si>
  <si>
    <t>sq. ft. per building</t>
  </si>
  <si>
    <t>45 feet</t>
  </si>
  <si>
    <t>345 feet</t>
  </si>
  <si>
    <t>360 feet</t>
  </si>
  <si>
    <t xml:space="preserve">  150 feet</t>
  </si>
  <si>
    <t>The Buffett Investments, LLC.</t>
  </si>
  <si>
    <t>357 w 4th s Rexburg</t>
  </si>
  <si>
    <t>$850,000   property 2</t>
  </si>
  <si>
    <t>1.93 acres</t>
  </si>
  <si>
    <t>84070 sq ft</t>
  </si>
  <si>
    <t>1.4 acres</t>
  </si>
  <si>
    <t>60984 sq ft</t>
  </si>
  <si>
    <t>60 units</t>
  </si>
  <si>
    <t>6 ppl</t>
  </si>
  <si>
    <t>@ $1300 per semester</t>
  </si>
  <si>
    <t>$67,000          property 1</t>
  </si>
  <si>
    <t>per semester</t>
  </si>
  <si>
    <t>demolition</t>
  </si>
  <si>
    <t>3 semesters</t>
  </si>
  <si>
    <t>grade land</t>
  </si>
  <si>
    <t>permits</t>
  </si>
  <si>
    <t>architect</t>
  </si>
  <si>
    <t>general contractor</t>
  </si>
  <si>
    <t>civil engineer</t>
  </si>
  <si>
    <t>electrical</t>
  </si>
  <si>
    <t>plumbing</t>
  </si>
  <si>
    <t>fire</t>
  </si>
  <si>
    <t>gas</t>
  </si>
  <si>
    <t>roofing</t>
  </si>
  <si>
    <t>truss</t>
  </si>
  <si>
    <t>landscape</t>
  </si>
  <si>
    <t>foundation</t>
  </si>
  <si>
    <t>cabinets</t>
  </si>
  <si>
    <t>Property 1</t>
  </si>
  <si>
    <t>Property 2</t>
  </si>
  <si>
    <t>Costs/ Expenses</t>
  </si>
  <si>
    <t>Property 1 Purchase</t>
  </si>
  <si>
    <t>Property 2 Purchase</t>
  </si>
  <si>
    <t>Demolition $7 per foot</t>
  </si>
  <si>
    <t>989 sq. ft</t>
  </si>
  <si>
    <t>House Demolition</t>
  </si>
  <si>
    <t xml:space="preserve"> cubic yards</t>
  </si>
  <si>
    <t xml:space="preserve"> per cubic yard</t>
  </si>
  <si>
    <t>Land grading</t>
  </si>
  <si>
    <t>Square Foot Cost Assuming Brick Veneer / Wood Frame</t>
  </si>
  <si>
    <t>Cost Estimate (Union Labor)</t>
  </si>
  <si>
    <t>% of Total</t>
  </si>
  <si>
    <t>Cost Per SF</t>
  </si>
  <si>
    <t>Cost</t>
  </si>
  <si>
    <t>Total</t>
  </si>
  <si>
    <t>Contractor Fees (GC,Overhead,Profit)</t>
  </si>
  <si>
    <t>Architectural Fees</t>
  </si>
  <si>
    <t>User Fees</t>
  </si>
  <si>
    <t>Total Building Cost</t>
  </si>
  <si>
    <t>per square foot</t>
  </si>
  <si>
    <t>Land leveling and grading</t>
  </si>
  <si>
    <t>Cost of building structures</t>
  </si>
  <si>
    <t>Lounge                    2,000 square feet</t>
  </si>
  <si>
    <t>total square footage</t>
  </si>
  <si>
    <t>Construction costs</t>
  </si>
  <si>
    <t>1.5-3.5 per sq. ft</t>
  </si>
  <si>
    <t>Parking lot costs</t>
  </si>
  <si>
    <t>cost per sq. ft.</t>
  </si>
  <si>
    <t>total sq. ft.</t>
  </si>
  <si>
    <t>Permits and Fees</t>
  </si>
  <si>
    <t>first $1M</t>
  </si>
  <si>
    <t>each $1000 after</t>
  </si>
  <si>
    <t>Building Permit</t>
  </si>
  <si>
    <t>Electrical Permit ($300,000 estimate)</t>
  </si>
  <si>
    <t>Blumbing Permit ($150,000 estimate)</t>
  </si>
  <si>
    <t>Total Permits</t>
  </si>
  <si>
    <t>Depreciation</t>
  </si>
  <si>
    <t>10 years</t>
  </si>
  <si>
    <t>INCOME STATEMENT</t>
  </si>
  <si>
    <t>Occupancy</t>
  </si>
  <si>
    <t>Rent per Semester</t>
  </si>
  <si>
    <t xml:space="preserve"> # of Apartments</t>
  </si>
  <si>
    <t xml:space="preserve"> Tenants per Apt.</t>
  </si>
  <si>
    <t xml:space="preserve"> Number of Semesters</t>
  </si>
  <si>
    <t xml:space="preserve"> Maintenance hrs. per wk.</t>
  </si>
  <si>
    <t>Maintenance cost per hr.</t>
  </si>
  <si>
    <t>Net Sales</t>
  </si>
  <si>
    <t>Cost of Goods Sold</t>
  </si>
  <si>
    <t>Gross Profit</t>
  </si>
  <si>
    <t>SG&amp;A expenses free rent to manager</t>
  </si>
  <si>
    <t>Utility Expense list assumptions</t>
  </si>
  <si>
    <t>Marketing Expense</t>
  </si>
  <si>
    <t>Net Operating Income</t>
  </si>
  <si>
    <t>Income taxes</t>
  </si>
  <si>
    <t>Net Income</t>
  </si>
  <si>
    <t>BALANCE SHEET</t>
  </si>
  <si>
    <t>Assets</t>
  </si>
  <si>
    <t>Cash</t>
  </si>
  <si>
    <t>Total Current Assets</t>
  </si>
  <si>
    <t>Gross plant &amp; equipment</t>
  </si>
  <si>
    <t>Accumulated depreciation</t>
  </si>
  <si>
    <t>Net plant &amp; equipment</t>
  </si>
  <si>
    <t>Total assets</t>
  </si>
  <si>
    <t>Liabilities and shareholder's equity</t>
  </si>
  <si>
    <t>Taxes Payable</t>
  </si>
  <si>
    <t>Total current liabilities</t>
  </si>
  <si>
    <t>Long term debt</t>
  </si>
  <si>
    <t>Common Stock</t>
  </si>
  <si>
    <t>Retained Earnings</t>
  </si>
  <si>
    <t>Total shareholder's equity</t>
  </si>
  <si>
    <t>Total liabilities and shareholder's equity</t>
  </si>
  <si>
    <t>Funds Needed</t>
  </si>
  <si>
    <t>Variance</t>
  </si>
  <si>
    <t>Loan Amount:</t>
  </si>
  <si>
    <t>Periodic Rate</t>
  </si>
  <si>
    <t>Annual Rate:</t>
  </si>
  <si>
    <t>Pmt Periods</t>
  </si>
  <si>
    <t>Loan Length(yrs):</t>
  </si>
  <si>
    <t>Pmt Amt</t>
  </si>
  <si>
    <t>Pmt #</t>
  </si>
  <si>
    <t>Princ Pmt</t>
  </si>
  <si>
    <t>Int Pmt</t>
  </si>
  <si>
    <t>Add. Pmt.</t>
  </si>
  <si>
    <t>Tot. Prin. Remain</t>
  </si>
  <si>
    <t>Tot. Prin. Paid</t>
  </si>
  <si>
    <t>Tot. Int. Paid</t>
  </si>
  <si>
    <t>Interest Expense</t>
  </si>
  <si>
    <t>331 ft</t>
  </si>
  <si>
    <t>205 ft</t>
  </si>
  <si>
    <t>320 ft</t>
  </si>
  <si>
    <t>206 ft</t>
  </si>
  <si>
    <t>125 ft.</t>
  </si>
  <si>
    <t xml:space="preserve">Industry Name </t>
  </si>
  <si>
    <t>Number of Firms</t>
  </si>
  <si>
    <t xml:space="preserve"> Average Beta</t>
  </si>
  <si>
    <t xml:space="preserve"> Tax Rate </t>
  </si>
  <si>
    <t xml:space="preserve">Unlevered Beta </t>
  </si>
  <si>
    <t>Cash/Firm Value</t>
  </si>
  <si>
    <t xml:space="preserve"> Unlevered Beta corrected for cash</t>
  </si>
  <si>
    <t>http://pages.stern.nyu.edu/~adamodar/New_Home_Page/datafile/Betas.html</t>
  </si>
  <si>
    <t>Cost of Inflation</t>
  </si>
  <si>
    <t>Maintenance Expense</t>
  </si>
  <si>
    <t>Post Tax Additions</t>
  </si>
  <si>
    <t>WAAC</t>
  </si>
  <si>
    <t>WAAC Computations:</t>
  </si>
  <si>
    <t>Total Debt</t>
  </si>
  <si>
    <t>Interest Rate</t>
  </si>
  <si>
    <t>Total Equity</t>
  </si>
  <si>
    <t>T-Bill</t>
  </si>
  <si>
    <t>S&amp;P Rate</t>
  </si>
  <si>
    <t>http://performance.morningstar.com/fund/performance-return.action?t=AREWX&amp;region=USA&amp;culture=en-US</t>
  </si>
  <si>
    <t>http://www.treasury.gov/resource-center/data-chart-center/interest-rates/Pages/TextView.aspx?data=billrates</t>
  </si>
  <si>
    <t>Proportions</t>
  </si>
  <si>
    <t>Current Equity holders cost</t>
  </si>
  <si>
    <t>Tax Rate</t>
  </si>
  <si>
    <t>EMRP</t>
  </si>
  <si>
    <t>Blended Rate</t>
  </si>
  <si>
    <t>Blended Rate Debt</t>
  </si>
  <si>
    <t>FREE CASH FLOWS, NPV, IRR</t>
  </si>
  <si>
    <t>4 parts</t>
  </si>
  <si>
    <t>Cash from operations</t>
  </si>
  <si>
    <t>Operating Profit</t>
  </si>
  <si>
    <t>Less: Depreciation</t>
  </si>
  <si>
    <t xml:space="preserve"> - Sub Total</t>
  </si>
  <si>
    <t>Tax on Operations (also = Taxes Payable)</t>
  </si>
  <si>
    <t>Add: Back: Depreciation</t>
  </si>
  <si>
    <t>Total Cash From Operations</t>
  </si>
  <si>
    <t>Cash from Capital Expendatures</t>
  </si>
  <si>
    <t>Book Value</t>
  </si>
  <si>
    <t>Changes in working capital</t>
  </si>
  <si>
    <t>Cash Inventory (Min. Cash Balance)</t>
  </si>
  <si>
    <t>Income Tax Payable</t>
  </si>
  <si>
    <t>Liquidation of Working Capital</t>
  </si>
  <si>
    <t>TOTAL FREE CASH FLOWS</t>
  </si>
  <si>
    <t>PV OF FREE CASH FLOWS</t>
  </si>
  <si>
    <t>WACC</t>
  </si>
  <si>
    <t>NPV</t>
  </si>
  <si>
    <t>IRR</t>
  </si>
  <si>
    <t>Sell Complex</t>
  </si>
  <si>
    <t>Taxes on Sale of Complex and Property</t>
  </si>
  <si>
    <t>Historical Property Appreciation Rate</t>
  </si>
  <si>
    <t>Property Value</t>
  </si>
  <si>
    <t>Gain on Sale of Complex</t>
  </si>
  <si>
    <t>REIT</t>
  </si>
  <si>
    <t>Relevered Beta</t>
  </si>
  <si>
    <t>12% interest rate the first year</t>
  </si>
  <si>
    <t>7% iterest rate after completion</t>
  </si>
  <si>
    <t>Purchase Land</t>
  </si>
  <si>
    <t>Sell Land</t>
  </si>
  <si>
    <t>Cost of Buildings</t>
  </si>
  <si>
    <t>bring out to 15 years then add in remodel construction</t>
  </si>
  <si>
    <t>$20,000 per apt.</t>
  </si>
  <si>
    <t>total remodel</t>
  </si>
  <si>
    <t>Building Remodel</t>
  </si>
  <si>
    <t>The Buffett Investments LLC</t>
  </si>
  <si>
    <t>Total Square Feet</t>
  </si>
  <si>
    <t>Loan Amort for 1 yr. for building construction then do another Loan Amort for the complex at a lower rate</t>
  </si>
  <si>
    <t>@ 12%</t>
  </si>
  <si>
    <t>Short Term Construction Interest</t>
  </si>
  <si>
    <t>Construction Debt</t>
  </si>
  <si>
    <t>Target Data</t>
  </si>
  <si>
    <t>Desired Debt</t>
  </si>
  <si>
    <t>Desired Equity</t>
  </si>
  <si>
    <t>Cash Above Cashe Min.</t>
  </si>
  <si>
    <t xml:space="preserve">    Less: Dividends</t>
  </si>
  <si>
    <t>Ending Retained Earnings</t>
  </si>
  <si>
    <t>Begin. Retained Earnings +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</si>
</sst>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\-??_);_(@_)"/>
    <numFmt numFmtId="166" formatCode="0.0%"/>
    <numFmt numFmtId="167" formatCode="_(\$* #,##0_);_(\$* \(#,##0\);_(\$* \-??_);_(@_)"/>
    <numFmt numFmtId="168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0"/>
      <name val="Times New Roman"/>
      <family val="1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b/>
      <sz val="13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A7D00"/>
      <name val="Times New Roman"/>
      <family val="1"/>
    </font>
    <font>
      <u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0" borderId="0"/>
  </cellStyleXfs>
  <cellXfs count="20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6" fontId="2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3" borderId="0" xfId="0" applyFont="1" applyFill="1"/>
    <xf numFmtId="6" fontId="2" fillId="3" borderId="0" xfId="0" applyNumberFormat="1" applyFont="1" applyFill="1"/>
    <xf numFmtId="164" fontId="2" fillId="2" borderId="0" xfId="1" applyNumberFormat="1" applyFont="1" applyFill="1"/>
    <xf numFmtId="0" fontId="4" fillId="2" borderId="0" xfId="0" applyFont="1" applyFill="1"/>
    <xf numFmtId="0" fontId="2" fillId="2" borderId="0" xfId="0" quotePrefix="1" applyFont="1" applyFill="1" applyBorder="1"/>
    <xf numFmtId="0" fontId="0" fillId="0" borderId="0" xfId="0" quotePrefix="1"/>
    <xf numFmtId="44" fontId="0" fillId="0" borderId="0" xfId="2" applyFont="1"/>
    <xf numFmtId="0" fontId="0" fillId="0" borderId="0" xfId="0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44" fontId="2" fillId="2" borderId="0" xfId="2" applyFont="1" applyFill="1"/>
    <xf numFmtId="8" fontId="2" fillId="2" borderId="0" xfId="0" applyNumberFormat="1" applyFont="1" applyFill="1"/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6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43" fontId="2" fillId="2" borderId="0" xfId="1" applyFont="1" applyFill="1"/>
    <xf numFmtId="0" fontId="6" fillId="2" borderId="0" xfId="0" applyFont="1" applyFill="1"/>
    <xf numFmtId="43" fontId="2" fillId="2" borderId="7" xfId="1" applyFont="1" applyFill="1" applyBorder="1"/>
    <xf numFmtId="10" fontId="0" fillId="0" borderId="0" xfId="3" applyNumberFormat="1" applyFont="1"/>
    <xf numFmtId="0" fontId="8" fillId="0" borderId="0" xfId="0" applyFont="1"/>
    <xf numFmtId="8" fontId="0" fillId="0" borderId="0" xfId="0" applyNumberFormat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0" fillId="0" borderId="0" xfId="0" applyNumberFormat="1"/>
    <xf numFmtId="0" fontId="17" fillId="0" borderId="0" xfId="0" applyFont="1" applyFill="1"/>
    <xf numFmtId="0" fontId="18" fillId="0" borderId="7" xfId="1" quotePrefix="1" applyNumberFormat="1" applyFont="1" applyFill="1" applyBorder="1"/>
    <xf numFmtId="9" fontId="17" fillId="0" borderId="0" xfId="3" applyFont="1" applyFill="1"/>
    <xf numFmtId="164" fontId="17" fillId="0" borderId="0" xfId="1" applyNumberFormat="1" applyFont="1" applyFill="1"/>
    <xf numFmtId="43" fontId="17" fillId="0" borderId="0" xfId="1" applyFont="1" applyFill="1"/>
    <xf numFmtId="43" fontId="17" fillId="0" borderId="0" xfId="1" applyFont="1" applyFill="1" applyBorder="1"/>
    <xf numFmtId="43" fontId="17" fillId="0" borderId="0" xfId="0" applyNumberFormat="1" applyFont="1" applyFill="1"/>
    <xf numFmtId="44" fontId="17" fillId="0" borderId="0" xfId="2" applyFont="1" applyFill="1"/>
    <xf numFmtId="43" fontId="17" fillId="0" borderId="0" xfId="1" applyFont="1" applyFill="1" applyAlignment="1">
      <alignment horizontal="left"/>
    </xf>
    <xf numFmtId="0" fontId="18" fillId="0" borderId="7" xfId="1" quotePrefix="1" applyNumberFormat="1" applyFont="1" applyFill="1" applyBorder="1" applyAlignment="1">
      <alignment horizontal="center"/>
    </xf>
    <xf numFmtId="0" fontId="17" fillId="3" borderId="0" xfId="0" applyFont="1" applyFill="1"/>
    <xf numFmtId="0" fontId="18" fillId="0" borderId="0" xfId="1" quotePrefix="1" applyNumberFormat="1" applyFont="1" applyFill="1" applyBorder="1"/>
    <xf numFmtId="9" fontId="17" fillId="0" borderId="0" xfId="3" applyFont="1" applyFill="1" applyBorder="1"/>
    <xf numFmtId="164" fontId="17" fillId="0" borderId="0" xfId="1" applyNumberFormat="1" applyFont="1" applyFill="1" applyBorder="1"/>
    <xf numFmtId="43" fontId="17" fillId="0" borderId="0" xfId="0" applyNumberFormat="1" applyFont="1" applyFill="1" applyBorder="1"/>
    <xf numFmtId="0" fontId="17" fillId="0" borderId="0" xfId="0" applyFont="1" applyFill="1" applyBorder="1"/>
    <xf numFmtId="44" fontId="17" fillId="0" borderId="0" xfId="2" applyFont="1" applyFill="1" applyBorder="1"/>
    <xf numFmtId="0" fontId="18" fillId="0" borderId="0" xfId="1" quotePrefix="1" applyNumberFormat="1" applyFont="1" applyFill="1" applyBorder="1" applyAlignment="1">
      <alignment horizontal="center"/>
    </xf>
    <xf numFmtId="43" fontId="15" fillId="0" borderId="0" xfId="1" applyFont="1" applyFill="1"/>
    <xf numFmtId="43" fontId="16" fillId="0" borderId="0" xfId="1" applyFont="1" applyFill="1"/>
    <xf numFmtId="43" fontId="16" fillId="0" borderId="0" xfId="1" applyFont="1" applyFill="1" applyAlignment="1">
      <alignment horizontal="left"/>
    </xf>
    <xf numFmtId="9" fontId="17" fillId="0" borderId="0" xfId="1" applyNumberFormat="1" applyFont="1" applyFill="1"/>
    <xf numFmtId="9" fontId="17" fillId="0" borderId="0" xfId="1" applyNumberFormat="1" applyFont="1" applyFill="1" applyBorder="1"/>
    <xf numFmtId="10" fontId="17" fillId="0" borderId="0" xfId="3" applyNumberFormat="1" applyFont="1" applyFill="1"/>
    <xf numFmtId="10" fontId="17" fillId="0" borderId="0" xfId="3" applyNumberFormat="1" applyFont="1" applyFill="1" applyBorder="1"/>
    <xf numFmtId="44" fontId="17" fillId="0" borderId="0" xfId="2" applyFont="1" applyFill="1" applyAlignment="1">
      <alignment horizontal="left" indent="1"/>
    </xf>
    <xf numFmtId="166" fontId="17" fillId="0" borderId="0" xfId="3" applyNumberFormat="1" applyFont="1" applyFill="1"/>
    <xf numFmtId="43" fontId="17" fillId="0" borderId="2" xfId="1" applyFont="1" applyFill="1" applyBorder="1"/>
    <xf numFmtId="9" fontId="17" fillId="0" borderId="0" xfId="1" applyNumberFormat="1" applyFont="1" applyFill="1" applyAlignment="1">
      <alignment horizontal="left"/>
    </xf>
    <xf numFmtId="43" fontId="17" fillId="0" borderId="7" xfId="1" applyFont="1" applyFill="1" applyBorder="1"/>
    <xf numFmtId="165" fontId="17" fillId="0" borderId="0" xfId="1" applyNumberFormat="1" applyFont="1" applyFill="1" applyBorder="1"/>
    <xf numFmtId="0" fontId="17" fillId="0" borderId="19" xfId="0" applyFont="1" applyFill="1" applyBorder="1" applyAlignment="1">
      <alignment horizontal="center"/>
    </xf>
    <xf numFmtId="0" fontId="17" fillId="0" borderId="19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0" fontId="17" fillId="0" borderId="20" xfId="0" applyNumberFormat="1" applyFont="1" applyFill="1" applyBorder="1" applyAlignment="1">
      <alignment horizontal="center"/>
    </xf>
    <xf numFmtId="10" fontId="17" fillId="0" borderId="6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9" fillId="0" borderId="0" xfId="4" applyFont="1" applyFill="1"/>
    <xf numFmtId="164" fontId="17" fillId="0" borderId="0" xfId="0" applyNumberFormat="1" applyFont="1" applyFill="1"/>
    <xf numFmtId="9" fontId="17" fillId="0" borderId="0" xfId="0" applyNumberFormat="1" applyFont="1" applyFill="1"/>
    <xf numFmtId="0" fontId="16" fillId="0" borderId="0" xfId="0" applyFont="1" applyFill="1"/>
    <xf numFmtId="10" fontId="20" fillId="0" borderId="23" xfId="6" applyNumberFormat="1" applyFont="1" applyFill="1"/>
    <xf numFmtId="10" fontId="17" fillId="0" borderId="0" xfId="0" applyNumberFormat="1" applyFont="1" applyFill="1"/>
    <xf numFmtId="0" fontId="13" fillId="0" borderId="0" xfId="7" applyFont="1" applyFill="1"/>
    <xf numFmtId="10" fontId="13" fillId="0" borderId="0" xfId="7" applyNumberFormat="1" applyFont="1" applyFill="1"/>
    <xf numFmtId="9" fontId="13" fillId="0" borderId="0" xfId="7" applyNumberFormat="1" applyFont="1" applyFill="1"/>
    <xf numFmtId="0" fontId="14" fillId="0" borderId="0" xfId="7" applyFont="1" applyFill="1"/>
    <xf numFmtId="10" fontId="21" fillId="0" borderId="22" xfId="5" applyNumberFormat="1" applyFont="1" applyFill="1"/>
    <xf numFmtId="164" fontId="13" fillId="0" borderId="0" xfId="1" applyNumberFormat="1" applyFont="1" applyFill="1"/>
    <xf numFmtId="164" fontId="13" fillId="0" borderId="0" xfId="1" applyNumberFormat="1" applyFont="1" applyFill="1" applyBorder="1"/>
    <xf numFmtId="164" fontId="13" fillId="0" borderId="7" xfId="1" applyNumberFormat="1" applyFont="1" applyFill="1" applyBorder="1"/>
    <xf numFmtId="168" fontId="17" fillId="0" borderId="0" xfId="2" applyNumberFormat="1" applyFont="1" applyFill="1"/>
    <xf numFmtId="167" fontId="13" fillId="0" borderId="0" xfId="2" applyNumberFormat="1" applyFont="1" applyFill="1"/>
    <xf numFmtId="167" fontId="13" fillId="0" borderId="0" xfId="2" applyNumberFormat="1" applyFont="1" applyFill="1" applyBorder="1"/>
    <xf numFmtId="164" fontId="13" fillId="0" borderId="0" xfId="7" applyNumberFormat="1" applyFont="1" applyFill="1"/>
    <xf numFmtId="164" fontId="13" fillId="0" borderId="0" xfId="7" applyNumberFormat="1" applyFont="1" applyFill="1" applyBorder="1"/>
    <xf numFmtId="6" fontId="13" fillId="0" borderId="0" xfId="7" applyNumberFormat="1" applyFont="1" applyFill="1"/>
    <xf numFmtId="6" fontId="13" fillId="0" borderId="0" xfId="7" applyNumberFormat="1" applyFont="1" applyFill="1" applyBorder="1"/>
    <xf numFmtId="0" fontId="13" fillId="0" borderId="0" xfId="7" applyFont="1" applyFill="1" applyBorder="1"/>
    <xf numFmtId="10" fontId="13" fillId="0" borderId="0" xfId="3" applyNumberFormat="1" applyFont="1" applyFill="1"/>
    <xf numFmtId="43" fontId="17" fillId="2" borderId="0" xfId="1" applyFont="1" applyFill="1"/>
    <xf numFmtId="0" fontId="17" fillId="2" borderId="0" xfId="0" applyFont="1" applyFill="1"/>
    <xf numFmtId="0" fontId="17" fillId="2" borderId="0" xfId="0" applyFont="1" applyFill="1" applyBorder="1"/>
    <xf numFmtId="164" fontId="17" fillId="2" borderId="0" xfId="1" applyNumberFormat="1" applyFont="1" applyFill="1"/>
    <xf numFmtId="44" fontId="17" fillId="2" borderId="0" xfId="2" applyFont="1" applyFill="1"/>
    <xf numFmtId="43" fontId="17" fillId="2" borderId="7" xfId="1" applyFont="1" applyFill="1" applyBorder="1"/>
    <xf numFmtId="0" fontId="16" fillId="2" borderId="0" xfId="0" applyFont="1" applyFill="1" applyAlignment="1"/>
    <xf numFmtId="0" fontId="17" fillId="2" borderId="0" xfId="0" applyFont="1" applyFill="1" applyBorder="1" applyAlignment="1">
      <alignment vertical="center"/>
    </xf>
    <xf numFmtId="0" fontId="17" fillId="2" borderId="0" xfId="0" quotePrefix="1" applyFont="1" applyFill="1" applyBorder="1"/>
    <xf numFmtId="0" fontId="22" fillId="2" borderId="0" xfId="0" applyFont="1" applyFill="1"/>
    <xf numFmtId="0" fontId="17" fillId="2" borderId="0" xfId="0" applyFont="1" applyFill="1" applyAlignment="1">
      <alignment horizontal="left"/>
    </xf>
    <xf numFmtId="6" fontId="17" fillId="2" borderId="0" xfId="0" applyNumberFormat="1" applyFont="1" applyFill="1"/>
    <xf numFmtId="1" fontId="17" fillId="2" borderId="0" xfId="0" applyNumberFormat="1" applyFont="1" applyFill="1"/>
    <xf numFmtId="8" fontId="17" fillId="2" borderId="0" xfId="0" applyNumberFormat="1" applyFont="1" applyFill="1"/>
    <xf numFmtId="6" fontId="17" fillId="3" borderId="0" xfId="0" applyNumberFormat="1" applyFont="1" applyFill="1"/>
    <xf numFmtId="0" fontId="17" fillId="2" borderId="9" xfId="0" applyFont="1" applyFill="1" applyBorder="1"/>
    <xf numFmtId="0" fontId="17" fillId="2" borderId="15" xfId="0" applyFont="1" applyFill="1" applyBorder="1"/>
    <xf numFmtId="0" fontId="17" fillId="2" borderId="10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6" xfId="0" applyFont="1" applyFill="1" applyBorder="1"/>
    <xf numFmtId="0" fontId="17" fillId="2" borderId="14" xfId="0" applyFont="1" applyFill="1" applyBorder="1"/>
    <xf numFmtId="0" fontId="17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43" fontId="0" fillId="0" borderId="0" xfId="1" applyFont="1"/>
    <xf numFmtId="2" fontId="17" fillId="0" borderId="20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Continuous"/>
    </xf>
    <xf numFmtId="43" fontId="17" fillId="0" borderId="18" xfId="1" applyFont="1" applyFill="1" applyBorder="1"/>
    <xf numFmtId="43" fontId="17" fillId="0" borderId="21" xfId="1" applyFont="1" applyFill="1" applyBorder="1"/>
    <xf numFmtId="0" fontId="15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/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top"/>
    </xf>
    <xf numFmtId="0" fontId="17" fillId="2" borderId="7" xfId="0" applyFont="1" applyFill="1" applyBorder="1" applyAlignment="1">
      <alignment horizontal="center"/>
    </xf>
    <xf numFmtId="6" fontId="0" fillId="0" borderId="1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8">
    <cellStyle name="Calculation" xfId="5" builtinId="22"/>
    <cellStyle name="Check Cell" xfId="6" builtinId="23"/>
    <cellStyle name="Comma" xfId="1" builtinId="3"/>
    <cellStyle name="Currency" xfId="2" builtinId="4"/>
    <cellStyle name="Excel Built-in Normal" xfId="7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16</xdr:row>
      <xdr:rowOff>66675</xdr:rowOff>
    </xdr:from>
    <xdr:to>
      <xdr:col>13</xdr:col>
      <xdr:colOff>209550</xdr:colOff>
      <xdr:row>21</xdr:row>
      <xdr:rowOff>76200</xdr:rowOff>
    </xdr:to>
    <xdr:sp macro="" textlink="">
      <xdr:nvSpPr>
        <xdr:cNvPr id="2" name="Round Single Corner Rectangle 1"/>
        <xdr:cNvSpPr/>
      </xdr:nvSpPr>
      <xdr:spPr>
        <a:xfrm>
          <a:off x="5810250" y="2371725"/>
          <a:ext cx="1343025" cy="962025"/>
        </a:xfrm>
        <a:prstGeom prst="round1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2,500</a:t>
          </a:r>
          <a:r>
            <a:rPr lang="en-US" sz="1100" baseline="0"/>
            <a:t> sq. ft.</a:t>
          </a:r>
        </a:p>
        <a:p>
          <a:pPr algn="ctr"/>
          <a:r>
            <a:rPr lang="en-US" sz="1100" baseline="0"/>
            <a:t>Lounge</a:t>
          </a:r>
        </a:p>
      </xdr:txBody>
    </xdr:sp>
    <xdr:clientData/>
  </xdr:twoCellAnchor>
  <xdr:twoCellAnchor>
    <xdr:from>
      <xdr:col>10</xdr:col>
      <xdr:colOff>314325</xdr:colOff>
      <xdr:row>16</xdr:row>
      <xdr:rowOff>57150</xdr:rowOff>
    </xdr:from>
    <xdr:to>
      <xdr:col>13</xdr:col>
      <xdr:colOff>228600</xdr:colOff>
      <xdr:row>21</xdr:row>
      <xdr:rowOff>104775</xdr:rowOff>
    </xdr:to>
    <xdr:sp macro="" textlink="">
      <xdr:nvSpPr>
        <xdr:cNvPr id="3" name="Rectangle 2"/>
        <xdr:cNvSpPr/>
      </xdr:nvSpPr>
      <xdr:spPr>
        <a:xfrm>
          <a:off x="5800725" y="2362200"/>
          <a:ext cx="1371600" cy="100012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2,500 sq. ft. </a:t>
          </a:r>
        </a:p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Lounge</a:t>
          </a:r>
        </a:p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7</xdr:col>
      <xdr:colOff>28575</xdr:colOff>
      <xdr:row>22</xdr:row>
      <xdr:rowOff>161925</xdr:rowOff>
    </xdr:to>
    <xdr:sp macro="" textlink="">
      <xdr:nvSpPr>
        <xdr:cNvPr id="4" name="Rectangle 3"/>
        <xdr:cNvSpPr/>
      </xdr:nvSpPr>
      <xdr:spPr>
        <a:xfrm>
          <a:off x="3333750" y="1190625"/>
          <a:ext cx="1438275" cy="34480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latin typeface="Times New Roman" pitchFamily="18" charset="0"/>
              <a:cs typeface="Times New Roman" pitchFamily="18" charset="0"/>
            </a:rPr>
            <a:t>51 Units</a:t>
          </a:r>
        </a:p>
      </xdr:txBody>
    </xdr:sp>
    <xdr:clientData/>
  </xdr:twoCellAnchor>
  <xdr:twoCellAnchor>
    <xdr:from>
      <xdr:col>7</xdr:col>
      <xdr:colOff>38101</xdr:colOff>
      <xdr:row>5</xdr:row>
      <xdr:rowOff>180975</xdr:rowOff>
    </xdr:from>
    <xdr:to>
      <xdr:col>9</xdr:col>
      <xdr:colOff>476251</xdr:colOff>
      <xdr:row>8</xdr:row>
      <xdr:rowOff>180975</xdr:rowOff>
    </xdr:to>
    <xdr:sp macro="" textlink="">
      <xdr:nvSpPr>
        <xdr:cNvPr id="5" name="Rectangle 4"/>
        <xdr:cNvSpPr/>
      </xdr:nvSpPr>
      <xdr:spPr>
        <a:xfrm>
          <a:off x="4781551" y="1181100"/>
          <a:ext cx="1466850" cy="5715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latin typeface="Times New Roman" pitchFamily="18" charset="0"/>
              <a:cs typeface="Times New Roman" pitchFamily="18" charset="0"/>
            </a:rPr>
            <a:t>21</a:t>
          </a:r>
          <a:r>
            <a:rPr lang="en-US" sz="1100"/>
            <a:t> Units</a:t>
          </a:r>
        </a:p>
      </xdr:txBody>
    </xdr:sp>
    <xdr:clientData/>
  </xdr:twoCellAnchor>
  <xdr:twoCellAnchor>
    <xdr:from>
      <xdr:col>7</xdr:col>
      <xdr:colOff>247650</xdr:colOff>
      <xdr:row>9</xdr:row>
      <xdr:rowOff>171450</xdr:rowOff>
    </xdr:from>
    <xdr:to>
      <xdr:col>9</xdr:col>
      <xdr:colOff>600075</xdr:colOff>
      <xdr:row>22</xdr:row>
      <xdr:rowOff>171450</xdr:rowOff>
    </xdr:to>
    <xdr:sp macro="" textlink="">
      <xdr:nvSpPr>
        <xdr:cNvPr id="6" name="Rectangle 5"/>
        <xdr:cNvSpPr/>
      </xdr:nvSpPr>
      <xdr:spPr>
        <a:xfrm>
          <a:off x="3752850" y="1133475"/>
          <a:ext cx="1381125" cy="24860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Parking</a:t>
          </a:r>
          <a:r>
            <a:rPr lang="en-US" sz="1100"/>
            <a:t> Lot</a:t>
          </a:r>
        </a:p>
        <a:p>
          <a:pPr algn="ctr"/>
          <a:endParaRPr lang="en-US" sz="1100"/>
        </a:p>
      </xdr:txBody>
    </xdr:sp>
    <xdr:clientData/>
  </xdr:twoCellAnchor>
  <xdr:twoCellAnchor>
    <xdr:from>
      <xdr:col>3</xdr:col>
      <xdr:colOff>200025</xdr:colOff>
      <xdr:row>5</xdr:row>
      <xdr:rowOff>9525</xdr:rowOff>
    </xdr:from>
    <xdr:to>
      <xdr:col>3</xdr:col>
      <xdr:colOff>514350</xdr:colOff>
      <xdr:row>22</xdr:row>
      <xdr:rowOff>190500</xdr:rowOff>
    </xdr:to>
    <xdr:sp macro="" textlink="">
      <xdr:nvSpPr>
        <xdr:cNvPr id="7" name="Left Brace 6"/>
        <xdr:cNvSpPr/>
      </xdr:nvSpPr>
      <xdr:spPr>
        <a:xfrm>
          <a:off x="2028825" y="209550"/>
          <a:ext cx="314325" cy="34290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571502</xdr:colOff>
      <xdr:row>3</xdr:row>
      <xdr:rowOff>114301</xdr:rowOff>
    </xdr:from>
    <xdr:to>
      <xdr:col>10</xdr:col>
      <xdr:colOff>2</xdr:colOff>
      <xdr:row>4</xdr:row>
      <xdr:rowOff>152401</xdr:rowOff>
    </xdr:to>
    <xdr:sp macro="" textlink="">
      <xdr:nvSpPr>
        <xdr:cNvPr id="10" name="Left Brace 9"/>
        <xdr:cNvSpPr/>
      </xdr:nvSpPr>
      <xdr:spPr>
        <a:xfrm rot="5400000">
          <a:off x="3657602" y="-1142999"/>
          <a:ext cx="228600" cy="2743200"/>
        </a:xfrm>
        <a:prstGeom prst="lef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4763</xdr:colOff>
      <xdr:row>23</xdr:row>
      <xdr:rowOff>61912</xdr:rowOff>
    </xdr:from>
    <xdr:to>
      <xdr:col>14</xdr:col>
      <xdr:colOff>9528</xdr:colOff>
      <xdr:row>24</xdr:row>
      <xdr:rowOff>185737</xdr:rowOff>
    </xdr:to>
    <xdr:sp macro="" textlink="">
      <xdr:nvSpPr>
        <xdr:cNvPr id="11" name="Left Brace 10"/>
        <xdr:cNvSpPr/>
      </xdr:nvSpPr>
      <xdr:spPr>
        <a:xfrm rot="16200000">
          <a:off x="4674395" y="1859755"/>
          <a:ext cx="314325" cy="477679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104776</xdr:colOff>
      <xdr:row>15</xdr:row>
      <xdr:rowOff>19050</xdr:rowOff>
    </xdr:from>
    <xdr:to>
      <xdr:col>14</xdr:col>
      <xdr:colOff>428626</xdr:colOff>
      <xdr:row>22</xdr:row>
      <xdr:rowOff>190500</xdr:rowOff>
    </xdr:to>
    <xdr:sp macro="" textlink="">
      <xdr:nvSpPr>
        <xdr:cNvPr id="12" name="Left Brace 11"/>
        <xdr:cNvSpPr/>
      </xdr:nvSpPr>
      <xdr:spPr>
        <a:xfrm rot="10800000">
          <a:off x="7315201" y="2514600"/>
          <a:ext cx="323850" cy="15049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4</xdr:row>
      <xdr:rowOff>190500</xdr:rowOff>
    </xdr:from>
    <xdr:to>
      <xdr:col>10</xdr:col>
      <xdr:colOff>323850</xdr:colOff>
      <xdr:row>14</xdr:row>
      <xdr:rowOff>171450</xdr:rowOff>
    </xdr:to>
    <xdr:sp macro="" textlink="">
      <xdr:nvSpPr>
        <xdr:cNvPr id="13" name="Left Brace 12"/>
        <xdr:cNvSpPr/>
      </xdr:nvSpPr>
      <xdr:spPr>
        <a:xfrm rot="10800000">
          <a:off x="5143500" y="571500"/>
          <a:ext cx="323850" cy="18954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</xdr:row>
      <xdr:rowOff>9525</xdr:rowOff>
    </xdr:from>
    <xdr:to>
      <xdr:col>3</xdr:col>
      <xdr:colOff>561975</xdr:colOff>
      <xdr:row>16</xdr:row>
      <xdr:rowOff>219075</xdr:rowOff>
    </xdr:to>
    <xdr:sp macro="" textlink="">
      <xdr:nvSpPr>
        <xdr:cNvPr id="2" name="Left Brace 1"/>
        <xdr:cNvSpPr/>
      </xdr:nvSpPr>
      <xdr:spPr>
        <a:xfrm>
          <a:off x="2295525" y="495300"/>
          <a:ext cx="247650" cy="38290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138114</xdr:colOff>
      <xdr:row>18</xdr:row>
      <xdr:rowOff>61914</xdr:rowOff>
    </xdr:from>
    <xdr:to>
      <xdr:col>7</xdr:col>
      <xdr:colOff>33339</xdr:colOff>
      <xdr:row>19</xdr:row>
      <xdr:rowOff>90489</xdr:rowOff>
    </xdr:to>
    <xdr:sp macro="" textlink="">
      <xdr:nvSpPr>
        <xdr:cNvPr id="3" name="Left Brace 2"/>
        <xdr:cNvSpPr/>
      </xdr:nvSpPr>
      <xdr:spPr>
        <a:xfrm rot="16200000">
          <a:off x="3276602" y="4105276"/>
          <a:ext cx="266700" cy="13620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28576</xdr:colOff>
      <xdr:row>20</xdr:row>
      <xdr:rowOff>133350</xdr:rowOff>
    </xdr:from>
    <xdr:to>
      <xdr:col>19</xdr:col>
      <xdr:colOff>85725</xdr:colOff>
      <xdr:row>21</xdr:row>
      <xdr:rowOff>161925</xdr:rowOff>
    </xdr:to>
    <xdr:sp macro="" textlink="">
      <xdr:nvSpPr>
        <xdr:cNvPr id="4" name="Left Brace 3"/>
        <xdr:cNvSpPr/>
      </xdr:nvSpPr>
      <xdr:spPr>
        <a:xfrm rot="16200000">
          <a:off x="6196013" y="1624013"/>
          <a:ext cx="266700" cy="741997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66675</xdr:colOff>
      <xdr:row>10</xdr:row>
      <xdr:rowOff>0</xdr:rowOff>
    </xdr:from>
    <xdr:to>
      <xdr:col>19</xdr:col>
      <xdr:colOff>333375</xdr:colOff>
      <xdr:row>17</xdr:row>
      <xdr:rowOff>228600</xdr:rowOff>
    </xdr:to>
    <xdr:sp macro="" textlink="">
      <xdr:nvSpPr>
        <xdr:cNvPr id="5" name="Left Brace 4"/>
        <xdr:cNvSpPr/>
      </xdr:nvSpPr>
      <xdr:spPr>
        <a:xfrm rot="10800000">
          <a:off x="10429875" y="2390775"/>
          <a:ext cx="266700" cy="2190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easury.gov/resource-center/data-chart-center/interest-rates/Pages/TextView.aspx?data=billrates" TargetMode="External"/><Relationship Id="rId2" Type="http://schemas.openxmlformats.org/officeDocument/2006/relationships/hyperlink" Target="http://performance.morningstar.com/fund/performance-return.action?t=AREWX&amp;region=USA&amp;culture=en-US" TargetMode="External"/><Relationship Id="rId1" Type="http://schemas.openxmlformats.org/officeDocument/2006/relationships/hyperlink" Target="http://pages.stern.nyu.edu/~adamodar/New_Home_Page/datafile/Betas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abSelected="1" zoomScale="90" zoomScaleNormal="90" workbookViewId="0">
      <pane xSplit="1" topLeftCell="B1" activePane="topRight" state="frozen"/>
      <selection pane="topRight" activeCell="A6" sqref="A6"/>
    </sheetView>
  </sheetViews>
  <sheetFormatPr defaultRowHeight="15" x14ac:dyDescent="0.25"/>
  <cols>
    <col min="1" max="1" width="26.42578125" style="49" customWidth="1"/>
    <col min="2" max="2" width="23.140625" style="49" customWidth="1"/>
    <col min="3" max="3" width="12" style="49" bestFit="1" customWidth="1"/>
    <col min="4" max="4" width="14" style="49" bestFit="1" customWidth="1"/>
    <col min="5" max="9" width="15" style="49" bestFit="1" customWidth="1"/>
    <col min="10" max="10" width="15.7109375" style="49" customWidth="1"/>
    <col min="11" max="13" width="15" style="49" bestFit="1" customWidth="1"/>
    <col min="14" max="14" width="15.28515625" style="49" bestFit="1" customWidth="1"/>
    <col min="15" max="15" width="15.7109375" style="49" customWidth="1"/>
    <col min="16" max="24" width="14" style="49" bestFit="1" customWidth="1"/>
    <col min="25" max="26" width="11.42578125" style="49" bestFit="1" customWidth="1"/>
    <col min="27" max="27" width="9.140625" style="49"/>
    <col min="28" max="28" width="11.42578125" style="49" bestFit="1" customWidth="1"/>
    <col min="29" max="249" width="9.140625" style="49"/>
    <col min="250" max="250" width="39" style="49" bestFit="1" customWidth="1"/>
    <col min="251" max="252" width="9.140625" style="49"/>
    <col min="253" max="253" width="12.28515625" style="49" bestFit="1" customWidth="1"/>
    <col min="254" max="254" width="7.7109375" style="49" bestFit="1" customWidth="1"/>
    <col min="255" max="255" width="12.85546875" style="49" bestFit="1" customWidth="1"/>
    <col min="256" max="256" width="7.7109375" style="49" bestFit="1" customWidth="1"/>
    <col min="257" max="257" width="12.85546875" style="49" bestFit="1" customWidth="1"/>
    <col min="258" max="258" width="8.28515625" style="49" bestFit="1" customWidth="1"/>
    <col min="259" max="259" width="12.85546875" style="49" bestFit="1" customWidth="1"/>
    <col min="260" max="260" width="9.140625" style="49"/>
    <col min="261" max="261" width="12.85546875" style="49" bestFit="1" customWidth="1"/>
    <col min="262" max="505" width="9.140625" style="49"/>
    <col min="506" max="506" width="39" style="49" bestFit="1" customWidth="1"/>
    <col min="507" max="508" width="9.140625" style="49"/>
    <col min="509" max="509" width="12.28515625" style="49" bestFit="1" customWidth="1"/>
    <col min="510" max="510" width="7.7109375" style="49" bestFit="1" customWidth="1"/>
    <col min="511" max="511" width="12.85546875" style="49" bestFit="1" customWidth="1"/>
    <col min="512" max="512" width="7.7109375" style="49" bestFit="1" customWidth="1"/>
    <col min="513" max="513" width="12.85546875" style="49" bestFit="1" customWidth="1"/>
    <col min="514" max="514" width="8.28515625" style="49" bestFit="1" customWidth="1"/>
    <col min="515" max="515" width="12.85546875" style="49" bestFit="1" customWidth="1"/>
    <col min="516" max="516" width="9.140625" style="49"/>
    <col min="517" max="517" width="12.85546875" style="49" bestFit="1" customWidth="1"/>
    <col min="518" max="761" width="9.140625" style="49"/>
    <col min="762" max="762" width="39" style="49" bestFit="1" customWidth="1"/>
    <col min="763" max="764" width="9.140625" style="49"/>
    <col min="765" max="765" width="12.28515625" style="49" bestFit="1" customWidth="1"/>
    <col min="766" max="766" width="7.7109375" style="49" bestFit="1" customWidth="1"/>
    <col min="767" max="767" width="12.85546875" style="49" bestFit="1" customWidth="1"/>
    <col min="768" max="768" width="7.7109375" style="49" bestFit="1" customWidth="1"/>
    <col min="769" max="769" width="12.85546875" style="49" bestFit="1" customWidth="1"/>
    <col min="770" max="770" width="8.28515625" style="49" bestFit="1" customWidth="1"/>
    <col min="771" max="771" width="12.85546875" style="49" bestFit="1" customWidth="1"/>
    <col min="772" max="772" width="9.140625" style="49"/>
    <col min="773" max="773" width="12.85546875" style="49" bestFit="1" customWidth="1"/>
    <col min="774" max="1017" width="9.140625" style="49"/>
    <col min="1018" max="1018" width="39" style="49" bestFit="1" customWidth="1"/>
    <col min="1019" max="1020" width="9.140625" style="49"/>
    <col min="1021" max="1021" width="12.28515625" style="49" bestFit="1" customWidth="1"/>
    <col min="1022" max="1022" width="7.7109375" style="49" bestFit="1" customWidth="1"/>
    <col min="1023" max="1023" width="12.85546875" style="49" bestFit="1" customWidth="1"/>
    <col min="1024" max="1024" width="7.7109375" style="49" bestFit="1" customWidth="1"/>
    <col min="1025" max="1025" width="12.85546875" style="49" bestFit="1" customWidth="1"/>
    <col min="1026" max="1026" width="8.28515625" style="49" bestFit="1" customWidth="1"/>
    <col min="1027" max="1027" width="12.85546875" style="49" bestFit="1" customWidth="1"/>
    <col min="1028" max="1028" width="9.140625" style="49"/>
    <col min="1029" max="1029" width="12.85546875" style="49" bestFit="1" customWidth="1"/>
    <col min="1030" max="1273" width="9.140625" style="49"/>
    <col min="1274" max="1274" width="39" style="49" bestFit="1" customWidth="1"/>
    <col min="1275" max="1276" width="9.140625" style="49"/>
    <col min="1277" max="1277" width="12.28515625" style="49" bestFit="1" customWidth="1"/>
    <col min="1278" max="1278" width="7.7109375" style="49" bestFit="1" customWidth="1"/>
    <col min="1279" max="1279" width="12.85546875" style="49" bestFit="1" customWidth="1"/>
    <col min="1280" max="1280" width="7.7109375" style="49" bestFit="1" customWidth="1"/>
    <col min="1281" max="1281" width="12.85546875" style="49" bestFit="1" customWidth="1"/>
    <col min="1282" max="1282" width="8.28515625" style="49" bestFit="1" customWidth="1"/>
    <col min="1283" max="1283" width="12.85546875" style="49" bestFit="1" customWidth="1"/>
    <col min="1284" max="1284" width="9.140625" style="49"/>
    <col min="1285" max="1285" width="12.85546875" style="49" bestFit="1" customWidth="1"/>
    <col min="1286" max="1529" width="9.140625" style="49"/>
    <col min="1530" max="1530" width="39" style="49" bestFit="1" customWidth="1"/>
    <col min="1531" max="1532" width="9.140625" style="49"/>
    <col min="1533" max="1533" width="12.28515625" style="49" bestFit="1" customWidth="1"/>
    <col min="1534" max="1534" width="7.7109375" style="49" bestFit="1" customWidth="1"/>
    <col min="1535" max="1535" width="12.85546875" style="49" bestFit="1" customWidth="1"/>
    <col min="1536" max="1536" width="7.7109375" style="49" bestFit="1" customWidth="1"/>
    <col min="1537" max="1537" width="12.85546875" style="49" bestFit="1" customWidth="1"/>
    <col min="1538" max="1538" width="8.28515625" style="49" bestFit="1" customWidth="1"/>
    <col min="1539" max="1539" width="12.85546875" style="49" bestFit="1" customWidth="1"/>
    <col min="1540" max="1540" width="9.140625" style="49"/>
    <col min="1541" max="1541" width="12.85546875" style="49" bestFit="1" customWidth="1"/>
    <col min="1542" max="1785" width="9.140625" style="49"/>
    <col min="1786" max="1786" width="39" style="49" bestFit="1" customWidth="1"/>
    <col min="1787" max="1788" width="9.140625" style="49"/>
    <col min="1789" max="1789" width="12.28515625" style="49" bestFit="1" customWidth="1"/>
    <col min="1790" max="1790" width="7.7109375" style="49" bestFit="1" customWidth="1"/>
    <col min="1791" max="1791" width="12.85546875" style="49" bestFit="1" customWidth="1"/>
    <col min="1792" max="1792" width="7.7109375" style="49" bestFit="1" customWidth="1"/>
    <col min="1793" max="1793" width="12.85546875" style="49" bestFit="1" customWidth="1"/>
    <col min="1794" max="1794" width="8.28515625" style="49" bestFit="1" customWidth="1"/>
    <col min="1795" max="1795" width="12.85546875" style="49" bestFit="1" customWidth="1"/>
    <col min="1796" max="1796" width="9.140625" style="49"/>
    <col min="1797" max="1797" width="12.85546875" style="49" bestFit="1" customWidth="1"/>
    <col min="1798" max="2041" width="9.140625" style="49"/>
    <col min="2042" max="2042" width="39" style="49" bestFit="1" customWidth="1"/>
    <col min="2043" max="2044" width="9.140625" style="49"/>
    <col min="2045" max="2045" width="12.28515625" style="49" bestFit="1" customWidth="1"/>
    <col min="2046" max="2046" width="7.7109375" style="49" bestFit="1" customWidth="1"/>
    <col min="2047" max="2047" width="12.85546875" style="49" bestFit="1" customWidth="1"/>
    <col min="2048" max="2048" width="7.7109375" style="49" bestFit="1" customWidth="1"/>
    <col min="2049" max="2049" width="12.85546875" style="49" bestFit="1" customWidth="1"/>
    <col min="2050" max="2050" width="8.28515625" style="49" bestFit="1" customWidth="1"/>
    <col min="2051" max="2051" width="12.85546875" style="49" bestFit="1" customWidth="1"/>
    <col min="2052" max="2052" width="9.140625" style="49"/>
    <col min="2053" max="2053" width="12.85546875" style="49" bestFit="1" customWidth="1"/>
    <col min="2054" max="2297" width="9.140625" style="49"/>
    <col min="2298" max="2298" width="39" style="49" bestFit="1" customWidth="1"/>
    <col min="2299" max="2300" width="9.140625" style="49"/>
    <col min="2301" max="2301" width="12.28515625" style="49" bestFit="1" customWidth="1"/>
    <col min="2302" max="2302" width="7.7109375" style="49" bestFit="1" customWidth="1"/>
    <col min="2303" max="2303" width="12.85546875" style="49" bestFit="1" customWidth="1"/>
    <col min="2304" max="2304" width="7.7109375" style="49" bestFit="1" customWidth="1"/>
    <col min="2305" max="2305" width="12.85546875" style="49" bestFit="1" customWidth="1"/>
    <col min="2306" max="2306" width="8.28515625" style="49" bestFit="1" customWidth="1"/>
    <col min="2307" max="2307" width="12.85546875" style="49" bestFit="1" customWidth="1"/>
    <col min="2308" max="2308" width="9.140625" style="49"/>
    <col min="2309" max="2309" width="12.85546875" style="49" bestFit="1" customWidth="1"/>
    <col min="2310" max="2553" width="9.140625" style="49"/>
    <col min="2554" max="2554" width="39" style="49" bestFit="1" customWidth="1"/>
    <col min="2555" max="2556" width="9.140625" style="49"/>
    <col min="2557" max="2557" width="12.28515625" style="49" bestFit="1" customWidth="1"/>
    <col min="2558" max="2558" width="7.7109375" style="49" bestFit="1" customWidth="1"/>
    <col min="2559" max="2559" width="12.85546875" style="49" bestFit="1" customWidth="1"/>
    <col min="2560" max="2560" width="7.7109375" style="49" bestFit="1" customWidth="1"/>
    <col min="2561" max="2561" width="12.85546875" style="49" bestFit="1" customWidth="1"/>
    <col min="2562" max="2562" width="8.28515625" style="49" bestFit="1" customWidth="1"/>
    <col min="2563" max="2563" width="12.85546875" style="49" bestFit="1" customWidth="1"/>
    <col min="2564" max="2564" width="9.140625" style="49"/>
    <col min="2565" max="2565" width="12.85546875" style="49" bestFit="1" customWidth="1"/>
    <col min="2566" max="2809" width="9.140625" style="49"/>
    <col min="2810" max="2810" width="39" style="49" bestFit="1" customWidth="1"/>
    <col min="2811" max="2812" width="9.140625" style="49"/>
    <col min="2813" max="2813" width="12.28515625" style="49" bestFit="1" customWidth="1"/>
    <col min="2814" max="2814" width="7.7109375" style="49" bestFit="1" customWidth="1"/>
    <col min="2815" max="2815" width="12.85546875" style="49" bestFit="1" customWidth="1"/>
    <col min="2816" max="2816" width="7.7109375" style="49" bestFit="1" customWidth="1"/>
    <col min="2817" max="2817" width="12.85546875" style="49" bestFit="1" customWidth="1"/>
    <col min="2818" max="2818" width="8.28515625" style="49" bestFit="1" customWidth="1"/>
    <col min="2819" max="2819" width="12.85546875" style="49" bestFit="1" customWidth="1"/>
    <col min="2820" max="2820" width="9.140625" style="49"/>
    <col min="2821" max="2821" width="12.85546875" style="49" bestFit="1" customWidth="1"/>
    <col min="2822" max="3065" width="9.140625" style="49"/>
    <col min="3066" max="3066" width="39" style="49" bestFit="1" customWidth="1"/>
    <col min="3067" max="3068" width="9.140625" style="49"/>
    <col min="3069" max="3069" width="12.28515625" style="49" bestFit="1" customWidth="1"/>
    <col min="3070" max="3070" width="7.7109375" style="49" bestFit="1" customWidth="1"/>
    <col min="3071" max="3071" width="12.85546875" style="49" bestFit="1" customWidth="1"/>
    <col min="3072" max="3072" width="7.7109375" style="49" bestFit="1" customWidth="1"/>
    <col min="3073" max="3073" width="12.85546875" style="49" bestFit="1" customWidth="1"/>
    <col min="3074" max="3074" width="8.28515625" style="49" bestFit="1" customWidth="1"/>
    <col min="3075" max="3075" width="12.85546875" style="49" bestFit="1" customWidth="1"/>
    <col min="3076" max="3076" width="9.140625" style="49"/>
    <col min="3077" max="3077" width="12.85546875" style="49" bestFit="1" customWidth="1"/>
    <col min="3078" max="3321" width="9.140625" style="49"/>
    <col min="3322" max="3322" width="39" style="49" bestFit="1" customWidth="1"/>
    <col min="3323" max="3324" width="9.140625" style="49"/>
    <col min="3325" max="3325" width="12.28515625" style="49" bestFit="1" customWidth="1"/>
    <col min="3326" max="3326" width="7.7109375" style="49" bestFit="1" customWidth="1"/>
    <col min="3327" max="3327" width="12.85546875" style="49" bestFit="1" customWidth="1"/>
    <col min="3328" max="3328" width="7.7109375" style="49" bestFit="1" customWidth="1"/>
    <col min="3329" max="3329" width="12.85546875" style="49" bestFit="1" customWidth="1"/>
    <col min="3330" max="3330" width="8.28515625" style="49" bestFit="1" customWidth="1"/>
    <col min="3331" max="3331" width="12.85546875" style="49" bestFit="1" customWidth="1"/>
    <col min="3332" max="3332" width="9.140625" style="49"/>
    <col min="3333" max="3333" width="12.85546875" style="49" bestFit="1" customWidth="1"/>
    <col min="3334" max="3577" width="9.140625" style="49"/>
    <col min="3578" max="3578" width="39" style="49" bestFit="1" customWidth="1"/>
    <col min="3579" max="3580" width="9.140625" style="49"/>
    <col min="3581" max="3581" width="12.28515625" style="49" bestFit="1" customWidth="1"/>
    <col min="3582" max="3582" width="7.7109375" style="49" bestFit="1" customWidth="1"/>
    <col min="3583" max="3583" width="12.85546875" style="49" bestFit="1" customWidth="1"/>
    <col min="3584" max="3584" width="7.7109375" style="49" bestFit="1" customWidth="1"/>
    <col min="3585" max="3585" width="12.85546875" style="49" bestFit="1" customWidth="1"/>
    <col min="3586" max="3586" width="8.28515625" style="49" bestFit="1" customWidth="1"/>
    <col min="3587" max="3587" width="12.85546875" style="49" bestFit="1" customWidth="1"/>
    <col min="3588" max="3588" width="9.140625" style="49"/>
    <col min="3589" max="3589" width="12.85546875" style="49" bestFit="1" customWidth="1"/>
    <col min="3590" max="3833" width="9.140625" style="49"/>
    <col min="3834" max="3834" width="39" style="49" bestFit="1" customWidth="1"/>
    <col min="3835" max="3836" width="9.140625" style="49"/>
    <col min="3837" max="3837" width="12.28515625" style="49" bestFit="1" customWidth="1"/>
    <col min="3838" max="3838" width="7.7109375" style="49" bestFit="1" customWidth="1"/>
    <col min="3839" max="3839" width="12.85546875" style="49" bestFit="1" customWidth="1"/>
    <col min="3840" max="3840" width="7.7109375" style="49" bestFit="1" customWidth="1"/>
    <col min="3841" max="3841" width="12.85546875" style="49" bestFit="1" customWidth="1"/>
    <col min="3842" max="3842" width="8.28515625" style="49" bestFit="1" customWidth="1"/>
    <col min="3843" max="3843" width="12.85546875" style="49" bestFit="1" customWidth="1"/>
    <col min="3844" max="3844" width="9.140625" style="49"/>
    <col min="3845" max="3845" width="12.85546875" style="49" bestFit="1" customWidth="1"/>
    <col min="3846" max="4089" width="9.140625" style="49"/>
    <col min="4090" max="4090" width="39" style="49" bestFit="1" customWidth="1"/>
    <col min="4091" max="4092" width="9.140625" style="49"/>
    <col min="4093" max="4093" width="12.28515625" style="49" bestFit="1" customWidth="1"/>
    <col min="4094" max="4094" width="7.7109375" style="49" bestFit="1" customWidth="1"/>
    <col min="4095" max="4095" width="12.85546875" style="49" bestFit="1" customWidth="1"/>
    <col min="4096" max="4096" width="7.7109375" style="49" bestFit="1" customWidth="1"/>
    <col min="4097" max="4097" width="12.85546875" style="49" bestFit="1" customWidth="1"/>
    <col min="4098" max="4098" width="8.28515625" style="49" bestFit="1" customWidth="1"/>
    <col min="4099" max="4099" width="12.85546875" style="49" bestFit="1" customWidth="1"/>
    <col min="4100" max="4100" width="9.140625" style="49"/>
    <col min="4101" max="4101" width="12.85546875" style="49" bestFit="1" customWidth="1"/>
    <col min="4102" max="4345" width="9.140625" style="49"/>
    <col min="4346" max="4346" width="39" style="49" bestFit="1" customWidth="1"/>
    <col min="4347" max="4348" width="9.140625" style="49"/>
    <col min="4349" max="4349" width="12.28515625" style="49" bestFit="1" customWidth="1"/>
    <col min="4350" max="4350" width="7.7109375" style="49" bestFit="1" customWidth="1"/>
    <col min="4351" max="4351" width="12.85546875" style="49" bestFit="1" customWidth="1"/>
    <col min="4352" max="4352" width="7.7109375" style="49" bestFit="1" customWidth="1"/>
    <col min="4353" max="4353" width="12.85546875" style="49" bestFit="1" customWidth="1"/>
    <col min="4354" max="4354" width="8.28515625" style="49" bestFit="1" customWidth="1"/>
    <col min="4355" max="4355" width="12.85546875" style="49" bestFit="1" customWidth="1"/>
    <col min="4356" max="4356" width="9.140625" style="49"/>
    <col min="4357" max="4357" width="12.85546875" style="49" bestFit="1" customWidth="1"/>
    <col min="4358" max="4601" width="9.140625" style="49"/>
    <col min="4602" max="4602" width="39" style="49" bestFit="1" customWidth="1"/>
    <col min="4603" max="4604" width="9.140625" style="49"/>
    <col min="4605" max="4605" width="12.28515625" style="49" bestFit="1" customWidth="1"/>
    <col min="4606" max="4606" width="7.7109375" style="49" bestFit="1" customWidth="1"/>
    <col min="4607" max="4607" width="12.85546875" style="49" bestFit="1" customWidth="1"/>
    <col min="4608" max="4608" width="7.7109375" style="49" bestFit="1" customWidth="1"/>
    <col min="4609" max="4609" width="12.85546875" style="49" bestFit="1" customWidth="1"/>
    <col min="4610" max="4610" width="8.28515625" style="49" bestFit="1" customWidth="1"/>
    <col min="4611" max="4611" width="12.85546875" style="49" bestFit="1" customWidth="1"/>
    <col min="4612" max="4612" width="9.140625" style="49"/>
    <col min="4613" max="4613" width="12.85546875" style="49" bestFit="1" customWidth="1"/>
    <col min="4614" max="4857" width="9.140625" style="49"/>
    <col min="4858" max="4858" width="39" style="49" bestFit="1" customWidth="1"/>
    <col min="4859" max="4860" width="9.140625" style="49"/>
    <col min="4861" max="4861" width="12.28515625" style="49" bestFit="1" customWidth="1"/>
    <col min="4862" max="4862" width="7.7109375" style="49" bestFit="1" customWidth="1"/>
    <col min="4863" max="4863" width="12.85546875" style="49" bestFit="1" customWidth="1"/>
    <col min="4864" max="4864" width="7.7109375" style="49" bestFit="1" customWidth="1"/>
    <col min="4865" max="4865" width="12.85546875" style="49" bestFit="1" customWidth="1"/>
    <col min="4866" max="4866" width="8.28515625" style="49" bestFit="1" customWidth="1"/>
    <col min="4867" max="4867" width="12.85546875" style="49" bestFit="1" customWidth="1"/>
    <col min="4868" max="4868" width="9.140625" style="49"/>
    <col min="4869" max="4869" width="12.85546875" style="49" bestFit="1" customWidth="1"/>
    <col min="4870" max="5113" width="9.140625" style="49"/>
    <col min="5114" max="5114" width="39" style="49" bestFit="1" customWidth="1"/>
    <col min="5115" max="5116" width="9.140625" style="49"/>
    <col min="5117" max="5117" width="12.28515625" style="49" bestFit="1" customWidth="1"/>
    <col min="5118" max="5118" width="7.7109375" style="49" bestFit="1" customWidth="1"/>
    <col min="5119" max="5119" width="12.85546875" style="49" bestFit="1" customWidth="1"/>
    <col min="5120" max="5120" width="7.7109375" style="49" bestFit="1" customWidth="1"/>
    <col min="5121" max="5121" width="12.85546875" style="49" bestFit="1" customWidth="1"/>
    <col min="5122" max="5122" width="8.28515625" style="49" bestFit="1" customWidth="1"/>
    <col min="5123" max="5123" width="12.85546875" style="49" bestFit="1" customWidth="1"/>
    <col min="5124" max="5124" width="9.140625" style="49"/>
    <col min="5125" max="5125" width="12.85546875" style="49" bestFit="1" customWidth="1"/>
    <col min="5126" max="5369" width="9.140625" style="49"/>
    <col min="5370" max="5370" width="39" style="49" bestFit="1" customWidth="1"/>
    <col min="5371" max="5372" width="9.140625" style="49"/>
    <col min="5373" max="5373" width="12.28515625" style="49" bestFit="1" customWidth="1"/>
    <col min="5374" max="5374" width="7.7109375" style="49" bestFit="1" customWidth="1"/>
    <col min="5375" max="5375" width="12.85546875" style="49" bestFit="1" customWidth="1"/>
    <col min="5376" max="5376" width="7.7109375" style="49" bestFit="1" customWidth="1"/>
    <col min="5377" max="5377" width="12.85546875" style="49" bestFit="1" customWidth="1"/>
    <col min="5378" max="5378" width="8.28515625" style="49" bestFit="1" customWidth="1"/>
    <col min="5379" max="5379" width="12.85546875" style="49" bestFit="1" customWidth="1"/>
    <col min="5380" max="5380" width="9.140625" style="49"/>
    <col min="5381" max="5381" width="12.85546875" style="49" bestFit="1" customWidth="1"/>
    <col min="5382" max="5625" width="9.140625" style="49"/>
    <col min="5626" max="5626" width="39" style="49" bestFit="1" customWidth="1"/>
    <col min="5627" max="5628" width="9.140625" style="49"/>
    <col min="5629" max="5629" width="12.28515625" style="49" bestFit="1" customWidth="1"/>
    <col min="5630" max="5630" width="7.7109375" style="49" bestFit="1" customWidth="1"/>
    <col min="5631" max="5631" width="12.85546875" style="49" bestFit="1" customWidth="1"/>
    <col min="5632" max="5632" width="7.7109375" style="49" bestFit="1" customWidth="1"/>
    <col min="5633" max="5633" width="12.85546875" style="49" bestFit="1" customWidth="1"/>
    <col min="5634" max="5634" width="8.28515625" style="49" bestFit="1" customWidth="1"/>
    <col min="5635" max="5635" width="12.85546875" style="49" bestFit="1" customWidth="1"/>
    <col min="5636" max="5636" width="9.140625" style="49"/>
    <col min="5637" max="5637" width="12.85546875" style="49" bestFit="1" customWidth="1"/>
    <col min="5638" max="5881" width="9.140625" style="49"/>
    <col min="5882" max="5882" width="39" style="49" bestFit="1" customWidth="1"/>
    <col min="5883" max="5884" width="9.140625" style="49"/>
    <col min="5885" max="5885" width="12.28515625" style="49" bestFit="1" customWidth="1"/>
    <col min="5886" max="5886" width="7.7109375" style="49" bestFit="1" customWidth="1"/>
    <col min="5887" max="5887" width="12.85546875" style="49" bestFit="1" customWidth="1"/>
    <col min="5888" max="5888" width="7.7109375" style="49" bestFit="1" customWidth="1"/>
    <col min="5889" max="5889" width="12.85546875" style="49" bestFit="1" customWidth="1"/>
    <col min="5890" max="5890" width="8.28515625" style="49" bestFit="1" customWidth="1"/>
    <col min="5891" max="5891" width="12.85546875" style="49" bestFit="1" customWidth="1"/>
    <col min="5892" max="5892" width="9.140625" style="49"/>
    <col min="5893" max="5893" width="12.85546875" style="49" bestFit="1" customWidth="1"/>
    <col min="5894" max="6137" width="9.140625" style="49"/>
    <col min="6138" max="6138" width="39" style="49" bestFit="1" customWidth="1"/>
    <col min="6139" max="6140" width="9.140625" style="49"/>
    <col min="6141" max="6141" width="12.28515625" style="49" bestFit="1" customWidth="1"/>
    <col min="6142" max="6142" width="7.7109375" style="49" bestFit="1" customWidth="1"/>
    <col min="6143" max="6143" width="12.85546875" style="49" bestFit="1" customWidth="1"/>
    <col min="6144" max="6144" width="7.7109375" style="49" bestFit="1" customWidth="1"/>
    <col min="6145" max="6145" width="12.85546875" style="49" bestFit="1" customWidth="1"/>
    <col min="6146" max="6146" width="8.28515625" style="49" bestFit="1" customWidth="1"/>
    <col min="6147" max="6147" width="12.85546875" style="49" bestFit="1" customWidth="1"/>
    <col min="6148" max="6148" width="9.140625" style="49"/>
    <col min="6149" max="6149" width="12.85546875" style="49" bestFit="1" customWidth="1"/>
    <col min="6150" max="6393" width="9.140625" style="49"/>
    <col min="6394" max="6394" width="39" style="49" bestFit="1" customWidth="1"/>
    <col min="6395" max="6396" width="9.140625" style="49"/>
    <col min="6397" max="6397" width="12.28515625" style="49" bestFit="1" customWidth="1"/>
    <col min="6398" max="6398" width="7.7109375" style="49" bestFit="1" customWidth="1"/>
    <col min="6399" max="6399" width="12.85546875" style="49" bestFit="1" customWidth="1"/>
    <col min="6400" max="6400" width="7.7109375" style="49" bestFit="1" customWidth="1"/>
    <col min="6401" max="6401" width="12.85546875" style="49" bestFit="1" customWidth="1"/>
    <col min="6402" max="6402" width="8.28515625" style="49" bestFit="1" customWidth="1"/>
    <col min="6403" max="6403" width="12.85546875" style="49" bestFit="1" customWidth="1"/>
    <col min="6404" max="6404" width="9.140625" style="49"/>
    <col min="6405" max="6405" width="12.85546875" style="49" bestFit="1" customWidth="1"/>
    <col min="6406" max="6649" width="9.140625" style="49"/>
    <col min="6650" max="6650" width="39" style="49" bestFit="1" customWidth="1"/>
    <col min="6651" max="6652" width="9.140625" style="49"/>
    <col min="6653" max="6653" width="12.28515625" style="49" bestFit="1" customWidth="1"/>
    <col min="6654" max="6654" width="7.7109375" style="49" bestFit="1" customWidth="1"/>
    <col min="6655" max="6655" width="12.85546875" style="49" bestFit="1" customWidth="1"/>
    <col min="6656" max="6656" width="7.7109375" style="49" bestFit="1" customWidth="1"/>
    <col min="6657" max="6657" width="12.85546875" style="49" bestFit="1" customWidth="1"/>
    <col min="6658" max="6658" width="8.28515625" style="49" bestFit="1" customWidth="1"/>
    <col min="6659" max="6659" width="12.85546875" style="49" bestFit="1" customWidth="1"/>
    <col min="6660" max="6660" width="9.140625" style="49"/>
    <col min="6661" max="6661" width="12.85546875" style="49" bestFit="1" customWidth="1"/>
    <col min="6662" max="6905" width="9.140625" style="49"/>
    <col min="6906" max="6906" width="39" style="49" bestFit="1" customWidth="1"/>
    <col min="6907" max="6908" width="9.140625" style="49"/>
    <col min="6909" max="6909" width="12.28515625" style="49" bestFit="1" customWidth="1"/>
    <col min="6910" max="6910" width="7.7109375" style="49" bestFit="1" customWidth="1"/>
    <col min="6911" max="6911" width="12.85546875" style="49" bestFit="1" customWidth="1"/>
    <col min="6912" max="6912" width="7.7109375" style="49" bestFit="1" customWidth="1"/>
    <col min="6913" max="6913" width="12.85546875" style="49" bestFit="1" customWidth="1"/>
    <col min="6914" max="6914" width="8.28515625" style="49" bestFit="1" customWidth="1"/>
    <col min="6915" max="6915" width="12.85546875" style="49" bestFit="1" customWidth="1"/>
    <col min="6916" max="6916" width="9.140625" style="49"/>
    <col min="6917" max="6917" width="12.85546875" style="49" bestFit="1" customWidth="1"/>
    <col min="6918" max="7161" width="9.140625" style="49"/>
    <col min="7162" max="7162" width="39" style="49" bestFit="1" customWidth="1"/>
    <col min="7163" max="7164" width="9.140625" style="49"/>
    <col min="7165" max="7165" width="12.28515625" style="49" bestFit="1" customWidth="1"/>
    <col min="7166" max="7166" width="7.7109375" style="49" bestFit="1" customWidth="1"/>
    <col min="7167" max="7167" width="12.85546875" style="49" bestFit="1" customWidth="1"/>
    <col min="7168" max="7168" width="7.7109375" style="49" bestFit="1" customWidth="1"/>
    <col min="7169" max="7169" width="12.85546875" style="49" bestFit="1" customWidth="1"/>
    <col min="7170" max="7170" width="8.28515625" style="49" bestFit="1" customWidth="1"/>
    <col min="7171" max="7171" width="12.85546875" style="49" bestFit="1" customWidth="1"/>
    <col min="7172" max="7172" width="9.140625" style="49"/>
    <col min="7173" max="7173" width="12.85546875" style="49" bestFit="1" customWidth="1"/>
    <col min="7174" max="7417" width="9.140625" style="49"/>
    <col min="7418" max="7418" width="39" style="49" bestFit="1" customWidth="1"/>
    <col min="7419" max="7420" width="9.140625" style="49"/>
    <col min="7421" max="7421" width="12.28515625" style="49" bestFit="1" customWidth="1"/>
    <col min="7422" max="7422" width="7.7109375" style="49" bestFit="1" customWidth="1"/>
    <col min="7423" max="7423" width="12.85546875" style="49" bestFit="1" customWidth="1"/>
    <col min="7424" max="7424" width="7.7109375" style="49" bestFit="1" customWidth="1"/>
    <col min="7425" max="7425" width="12.85546875" style="49" bestFit="1" customWidth="1"/>
    <col min="7426" max="7426" width="8.28515625" style="49" bestFit="1" customWidth="1"/>
    <col min="7427" max="7427" width="12.85546875" style="49" bestFit="1" customWidth="1"/>
    <col min="7428" max="7428" width="9.140625" style="49"/>
    <col min="7429" max="7429" width="12.85546875" style="49" bestFit="1" customWidth="1"/>
    <col min="7430" max="7673" width="9.140625" style="49"/>
    <col min="7674" max="7674" width="39" style="49" bestFit="1" customWidth="1"/>
    <col min="7675" max="7676" width="9.140625" style="49"/>
    <col min="7677" max="7677" width="12.28515625" style="49" bestFit="1" customWidth="1"/>
    <col min="7678" max="7678" width="7.7109375" style="49" bestFit="1" customWidth="1"/>
    <col min="7679" max="7679" width="12.85546875" style="49" bestFit="1" customWidth="1"/>
    <col min="7680" max="7680" width="7.7109375" style="49" bestFit="1" customWidth="1"/>
    <col min="7681" max="7681" width="12.85546875" style="49" bestFit="1" customWidth="1"/>
    <col min="7682" max="7682" width="8.28515625" style="49" bestFit="1" customWidth="1"/>
    <col min="7683" max="7683" width="12.85546875" style="49" bestFit="1" customWidth="1"/>
    <col min="7684" max="7684" width="9.140625" style="49"/>
    <col min="7685" max="7685" width="12.85546875" style="49" bestFit="1" customWidth="1"/>
    <col min="7686" max="7929" width="9.140625" style="49"/>
    <col min="7930" max="7930" width="39" style="49" bestFit="1" customWidth="1"/>
    <col min="7931" max="7932" width="9.140625" style="49"/>
    <col min="7933" max="7933" width="12.28515625" style="49" bestFit="1" customWidth="1"/>
    <col min="7934" max="7934" width="7.7109375" style="49" bestFit="1" customWidth="1"/>
    <col min="7935" max="7935" width="12.85546875" style="49" bestFit="1" customWidth="1"/>
    <col min="7936" max="7936" width="7.7109375" style="49" bestFit="1" customWidth="1"/>
    <col min="7937" max="7937" width="12.85546875" style="49" bestFit="1" customWidth="1"/>
    <col min="7938" max="7938" width="8.28515625" style="49" bestFit="1" customWidth="1"/>
    <col min="7939" max="7939" width="12.85546875" style="49" bestFit="1" customWidth="1"/>
    <col min="7940" max="7940" width="9.140625" style="49"/>
    <col min="7941" max="7941" width="12.85546875" style="49" bestFit="1" customWidth="1"/>
    <col min="7942" max="8185" width="9.140625" style="49"/>
    <col min="8186" max="8186" width="39" style="49" bestFit="1" customWidth="1"/>
    <col min="8187" max="8188" width="9.140625" style="49"/>
    <col min="8189" max="8189" width="12.28515625" style="49" bestFit="1" customWidth="1"/>
    <col min="8190" max="8190" width="7.7109375" style="49" bestFit="1" customWidth="1"/>
    <col min="8191" max="8191" width="12.85546875" style="49" bestFit="1" customWidth="1"/>
    <col min="8192" max="8192" width="7.7109375" style="49" bestFit="1" customWidth="1"/>
    <col min="8193" max="8193" width="12.85546875" style="49" bestFit="1" customWidth="1"/>
    <col min="8194" max="8194" width="8.28515625" style="49" bestFit="1" customWidth="1"/>
    <col min="8195" max="8195" width="12.85546875" style="49" bestFit="1" customWidth="1"/>
    <col min="8196" max="8196" width="9.140625" style="49"/>
    <col min="8197" max="8197" width="12.85546875" style="49" bestFit="1" customWidth="1"/>
    <col min="8198" max="8441" width="9.140625" style="49"/>
    <col min="8442" max="8442" width="39" style="49" bestFit="1" customWidth="1"/>
    <col min="8443" max="8444" width="9.140625" style="49"/>
    <col min="8445" max="8445" width="12.28515625" style="49" bestFit="1" customWidth="1"/>
    <col min="8446" max="8446" width="7.7109375" style="49" bestFit="1" customWidth="1"/>
    <col min="8447" max="8447" width="12.85546875" style="49" bestFit="1" customWidth="1"/>
    <col min="8448" max="8448" width="7.7109375" style="49" bestFit="1" customWidth="1"/>
    <col min="8449" max="8449" width="12.85546875" style="49" bestFit="1" customWidth="1"/>
    <col min="8450" max="8450" width="8.28515625" style="49" bestFit="1" customWidth="1"/>
    <col min="8451" max="8451" width="12.85546875" style="49" bestFit="1" customWidth="1"/>
    <col min="8452" max="8452" width="9.140625" style="49"/>
    <col min="8453" max="8453" width="12.85546875" style="49" bestFit="1" customWidth="1"/>
    <col min="8454" max="8697" width="9.140625" style="49"/>
    <col min="8698" max="8698" width="39" style="49" bestFit="1" customWidth="1"/>
    <col min="8699" max="8700" width="9.140625" style="49"/>
    <col min="8701" max="8701" width="12.28515625" style="49" bestFit="1" customWidth="1"/>
    <col min="8702" max="8702" width="7.7109375" style="49" bestFit="1" customWidth="1"/>
    <col min="8703" max="8703" width="12.85546875" style="49" bestFit="1" customWidth="1"/>
    <col min="8704" max="8704" width="7.7109375" style="49" bestFit="1" customWidth="1"/>
    <col min="8705" max="8705" width="12.85546875" style="49" bestFit="1" customWidth="1"/>
    <col min="8706" max="8706" width="8.28515625" style="49" bestFit="1" customWidth="1"/>
    <col min="8707" max="8707" width="12.85546875" style="49" bestFit="1" customWidth="1"/>
    <col min="8708" max="8708" width="9.140625" style="49"/>
    <col min="8709" max="8709" width="12.85546875" style="49" bestFit="1" customWidth="1"/>
    <col min="8710" max="8953" width="9.140625" style="49"/>
    <col min="8954" max="8954" width="39" style="49" bestFit="1" customWidth="1"/>
    <col min="8955" max="8956" width="9.140625" style="49"/>
    <col min="8957" max="8957" width="12.28515625" style="49" bestFit="1" customWidth="1"/>
    <col min="8958" max="8958" width="7.7109375" style="49" bestFit="1" customWidth="1"/>
    <col min="8959" max="8959" width="12.85546875" style="49" bestFit="1" customWidth="1"/>
    <col min="8960" max="8960" width="7.7109375" style="49" bestFit="1" customWidth="1"/>
    <col min="8961" max="8961" width="12.85546875" style="49" bestFit="1" customWidth="1"/>
    <col min="8962" max="8962" width="8.28515625" style="49" bestFit="1" customWidth="1"/>
    <col min="8963" max="8963" width="12.85546875" style="49" bestFit="1" customWidth="1"/>
    <col min="8964" max="8964" width="9.140625" style="49"/>
    <col min="8965" max="8965" width="12.85546875" style="49" bestFit="1" customWidth="1"/>
    <col min="8966" max="9209" width="9.140625" style="49"/>
    <col min="9210" max="9210" width="39" style="49" bestFit="1" customWidth="1"/>
    <col min="9211" max="9212" width="9.140625" style="49"/>
    <col min="9213" max="9213" width="12.28515625" style="49" bestFit="1" customWidth="1"/>
    <col min="9214" max="9214" width="7.7109375" style="49" bestFit="1" customWidth="1"/>
    <col min="9215" max="9215" width="12.85546875" style="49" bestFit="1" customWidth="1"/>
    <col min="9216" max="9216" width="7.7109375" style="49" bestFit="1" customWidth="1"/>
    <col min="9217" max="9217" width="12.85546875" style="49" bestFit="1" customWidth="1"/>
    <col min="9218" max="9218" width="8.28515625" style="49" bestFit="1" customWidth="1"/>
    <col min="9219" max="9219" width="12.85546875" style="49" bestFit="1" customWidth="1"/>
    <col min="9220" max="9220" width="9.140625" style="49"/>
    <col min="9221" max="9221" width="12.85546875" style="49" bestFit="1" customWidth="1"/>
    <col min="9222" max="9465" width="9.140625" style="49"/>
    <col min="9466" max="9466" width="39" style="49" bestFit="1" customWidth="1"/>
    <col min="9467" max="9468" width="9.140625" style="49"/>
    <col min="9469" max="9469" width="12.28515625" style="49" bestFit="1" customWidth="1"/>
    <col min="9470" max="9470" width="7.7109375" style="49" bestFit="1" customWidth="1"/>
    <col min="9471" max="9471" width="12.85546875" style="49" bestFit="1" customWidth="1"/>
    <col min="9472" max="9472" width="7.7109375" style="49" bestFit="1" customWidth="1"/>
    <col min="9473" max="9473" width="12.85546875" style="49" bestFit="1" customWidth="1"/>
    <col min="9474" max="9474" width="8.28515625" style="49" bestFit="1" customWidth="1"/>
    <col min="9475" max="9475" width="12.85546875" style="49" bestFit="1" customWidth="1"/>
    <col min="9476" max="9476" width="9.140625" style="49"/>
    <col min="9477" max="9477" width="12.85546875" style="49" bestFit="1" customWidth="1"/>
    <col min="9478" max="9721" width="9.140625" style="49"/>
    <col min="9722" max="9722" width="39" style="49" bestFit="1" customWidth="1"/>
    <col min="9723" max="9724" width="9.140625" style="49"/>
    <col min="9725" max="9725" width="12.28515625" style="49" bestFit="1" customWidth="1"/>
    <col min="9726" max="9726" width="7.7109375" style="49" bestFit="1" customWidth="1"/>
    <col min="9727" max="9727" width="12.85546875" style="49" bestFit="1" customWidth="1"/>
    <col min="9728" max="9728" width="7.7109375" style="49" bestFit="1" customWidth="1"/>
    <col min="9729" max="9729" width="12.85546875" style="49" bestFit="1" customWidth="1"/>
    <col min="9730" max="9730" width="8.28515625" style="49" bestFit="1" customWidth="1"/>
    <col min="9731" max="9731" width="12.85546875" style="49" bestFit="1" customWidth="1"/>
    <col min="9732" max="9732" width="9.140625" style="49"/>
    <col min="9733" max="9733" width="12.85546875" style="49" bestFit="1" customWidth="1"/>
    <col min="9734" max="9977" width="9.140625" style="49"/>
    <col min="9978" max="9978" width="39" style="49" bestFit="1" customWidth="1"/>
    <col min="9979" max="9980" width="9.140625" style="49"/>
    <col min="9981" max="9981" width="12.28515625" style="49" bestFit="1" customWidth="1"/>
    <col min="9982" max="9982" width="7.7109375" style="49" bestFit="1" customWidth="1"/>
    <col min="9983" max="9983" width="12.85546875" style="49" bestFit="1" customWidth="1"/>
    <col min="9984" max="9984" width="7.7109375" style="49" bestFit="1" customWidth="1"/>
    <col min="9985" max="9985" width="12.85546875" style="49" bestFit="1" customWidth="1"/>
    <col min="9986" max="9986" width="8.28515625" style="49" bestFit="1" customWidth="1"/>
    <col min="9987" max="9987" width="12.85546875" style="49" bestFit="1" customWidth="1"/>
    <col min="9988" max="9988" width="9.140625" style="49"/>
    <col min="9989" max="9989" width="12.85546875" style="49" bestFit="1" customWidth="1"/>
    <col min="9990" max="10233" width="9.140625" style="49"/>
    <col min="10234" max="10234" width="39" style="49" bestFit="1" customWidth="1"/>
    <col min="10235" max="10236" width="9.140625" style="49"/>
    <col min="10237" max="10237" width="12.28515625" style="49" bestFit="1" customWidth="1"/>
    <col min="10238" max="10238" width="7.7109375" style="49" bestFit="1" customWidth="1"/>
    <col min="10239" max="10239" width="12.85546875" style="49" bestFit="1" customWidth="1"/>
    <col min="10240" max="10240" width="7.7109375" style="49" bestFit="1" customWidth="1"/>
    <col min="10241" max="10241" width="12.85546875" style="49" bestFit="1" customWidth="1"/>
    <col min="10242" max="10242" width="8.28515625" style="49" bestFit="1" customWidth="1"/>
    <col min="10243" max="10243" width="12.85546875" style="49" bestFit="1" customWidth="1"/>
    <col min="10244" max="10244" width="9.140625" style="49"/>
    <col min="10245" max="10245" width="12.85546875" style="49" bestFit="1" customWidth="1"/>
    <col min="10246" max="10489" width="9.140625" style="49"/>
    <col min="10490" max="10490" width="39" style="49" bestFit="1" customWidth="1"/>
    <col min="10491" max="10492" width="9.140625" style="49"/>
    <col min="10493" max="10493" width="12.28515625" style="49" bestFit="1" customWidth="1"/>
    <col min="10494" max="10494" width="7.7109375" style="49" bestFit="1" customWidth="1"/>
    <col min="10495" max="10495" width="12.85546875" style="49" bestFit="1" customWidth="1"/>
    <col min="10496" max="10496" width="7.7109375" style="49" bestFit="1" customWidth="1"/>
    <col min="10497" max="10497" width="12.85546875" style="49" bestFit="1" customWidth="1"/>
    <col min="10498" max="10498" width="8.28515625" style="49" bestFit="1" customWidth="1"/>
    <col min="10499" max="10499" width="12.85546875" style="49" bestFit="1" customWidth="1"/>
    <col min="10500" max="10500" width="9.140625" style="49"/>
    <col min="10501" max="10501" width="12.85546875" style="49" bestFit="1" customWidth="1"/>
    <col min="10502" max="10745" width="9.140625" style="49"/>
    <col min="10746" max="10746" width="39" style="49" bestFit="1" customWidth="1"/>
    <col min="10747" max="10748" width="9.140625" style="49"/>
    <col min="10749" max="10749" width="12.28515625" style="49" bestFit="1" customWidth="1"/>
    <col min="10750" max="10750" width="7.7109375" style="49" bestFit="1" customWidth="1"/>
    <col min="10751" max="10751" width="12.85546875" style="49" bestFit="1" customWidth="1"/>
    <col min="10752" max="10752" width="7.7109375" style="49" bestFit="1" customWidth="1"/>
    <col min="10753" max="10753" width="12.85546875" style="49" bestFit="1" customWidth="1"/>
    <col min="10754" max="10754" width="8.28515625" style="49" bestFit="1" customWidth="1"/>
    <col min="10755" max="10755" width="12.85546875" style="49" bestFit="1" customWidth="1"/>
    <col min="10756" max="10756" width="9.140625" style="49"/>
    <col min="10757" max="10757" width="12.85546875" style="49" bestFit="1" customWidth="1"/>
    <col min="10758" max="11001" width="9.140625" style="49"/>
    <col min="11002" max="11002" width="39" style="49" bestFit="1" customWidth="1"/>
    <col min="11003" max="11004" width="9.140625" style="49"/>
    <col min="11005" max="11005" width="12.28515625" style="49" bestFit="1" customWidth="1"/>
    <col min="11006" max="11006" width="7.7109375" style="49" bestFit="1" customWidth="1"/>
    <col min="11007" max="11007" width="12.85546875" style="49" bestFit="1" customWidth="1"/>
    <col min="11008" max="11008" width="7.7109375" style="49" bestFit="1" customWidth="1"/>
    <col min="11009" max="11009" width="12.85546875" style="49" bestFit="1" customWidth="1"/>
    <col min="11010" max="11010" width="8.28515625" style="49" bestFit="1" customWidth="1"/>
    <col min="11011" max="11011" width="12.85546875" style="49" bestFit="1" customWidth="1"/>
    <col min="11012" max="11012" width="9.140625" style="49"/>
    <col min="11013" max="11013" width="12.85546875" style="49" bestFit="1" customWidth="1"/>
    <col min="11014" max="11257" width="9.140625" style="49"/>
    <col min="11258" max="11258" width="39" style="49" bestFit="1" customWidth="1"/>
    <col min="11259" max="11260" width="9.140625" style="49"/>
    <col min="11261" max="11261" width="12.28515625" style="49" bestFit="1" customWidth="1"/>
    <col min="11262" max="11262" width="7.7109375" style="49" bestFit="1" customWidth="1"/>
    <col min="11263" max="11263" width="12.85546875" style="49" bestFit="1" customWidth="1"/>
    <col min="11264" max="11264" width="7.7109375" style="49" bestFit="1" customWidth="1"/>
    <col min="11265" max="11265" width="12.85546875" style="49" bestFit="1" customWidth="1"/>
    <col min="11266" max="11266" width="8.28515625" style="49" bestFit="1" customWidth="1"/>
    <col min="11267" max="11267" width="12.85546875" style="49" bestFit="1" customWidth="1"/>
    <col min="11268" max="11268" width="9.140625" style="49"/>
    <col min="11269" max="11269" width="12.85546875" style="49" bestFit="1" customWidth="1"/>
    <col min="11270" max="11513" width="9.140625" style="49"/>
    <col min="11514" max="11514" width="39" style="49" bestFit="1" customWidth="1"/>
    <col min="11515" max="11516" width="9.140625" style="49"/>
    <col min="11517" max="11517" width="12.28515625" style="49" bestFit="1" customWidth="1"/>
    <col min="11518" max="11518" width="7.7109375" style="49" bestFit="1" customWidth="1"/>
    <col min="11519" max="11519" width="12.85546875" style="49" bestFit="1" customWidth="1"/>
    <col min="11520" max="11520" width="7.7109375" style="49" bestFit="1" customWidth="1"/>
    <col min="11521" max="11521" width="12.85546875" style="49" bestFit="1" customWidth="1"/>
    <col min="11522" max="11522" width="8.28515625" style="49" bestFit="1" customWidth="1"/>
    <col min="11523" max="11523" width="12.85546875" style="49" bestFit="1" customWidth="1"/>
    <col min="11524" max="11524" width="9.140625" style="49"/>
    <col min="11525" max="11525" width="12.85546875" style="49" bestFit="1" customWidth="1"/>
    <col min="11526" max="11769" width="9.140625" style="49"/>
    <col min="11770" max="11770" width="39" style="49" bestFit="1" customWidth="1"/>
    <col min="11771" max="11772" width="9.140625" style="49"/>
    <col min="11773" max="11773" width="12.28515625" style="49" bestFit="1" customWidth="1"/>
    <col min="11774" max="11774" width="7.7109375" style="49" bestFit="1" customWidth="1"/>
    <col min="11775" max="11775" width="12.85546875" style="49" bestFit="1" customWidth="1"/>
    <col min="11776" max="11776" width="7.7109375" style="49" bestFit="1" customWidth="1"/>
    <col min="11777" max="11777" width="12.85546875" style="49" bestFit="1" customWidth="1"/>
    <col min="11778" max="11778" width="8.28515625" style="49" bestFit="1" customWidth="1"/>
    <col min="11779" max="11779" width="12.85546875" style="49" bestFit="1" customWidth="1"/>
    <col min="11780" max="11780" width="9.140625" style="49"/>
    <col min="11781" max="11781" width="12.85546875" style="49" bestFit="1" customWidth="1"/>
    <col min="11782" max="12025" width="9.140625" style="49"/>
    <col min="12026" max="12026" width="39" style="49" bestFit="1" customWidth="1"/>
    <col min="12027" max="12028" width="9.140625" style="49"/>
    <col min="12029" max="12029" width="12.28515625" style="49" bestFit="1" customWidth="1"/>
    <col min="12030" max="12030" width="7.7109375" style="49" bestFit="1" customWidth="1"/>
    <col min="12031" max="12031" width="12.85546875" style="49" bestFit="1" customWidth="1"/>
    <col min="12032" max="12032" width="7.7109375" style="49" bestFit="1" customWidth="1"/>
    <col min="12033" max="12033" width="12.85546875" style="49" bestFit="1" customWidth="1"/>
    <col min="12034" max="12034" width="8.28515625" style="49" bestFit="1" customWidth="1"/>
    <col min="12035" max="12035" width="12.85546875" style="49" bestFit="1" customWidth="1"/>
    <col min="12036" max="12036" width="9.140625" style="49"/>
    <col min="12037" max="12037" width="12.85546875" style="49" bestFit="1" customWidth="1"/>
    <col min="12038" max="12281" width="9.140625" style="49"/>
    <col min="12282" max="12282" width="39" style="49" bestFit="1" customWidth="1"/>
    <col min="12283" max="12284" width="9.140625" style="49"/>
    <col min="12285" max="12285" width="12.28515625" style="49" bestFit="1" customWidth="1"/>
    <col min="12286" max="12286" width="7.7109375" style="49" bestFit="1" customWidth="1"/>
    <col min="12287" max="12287" width="12.85546875" style="49" bestFit="1" customWidth="1"/>
    <col min="12288" max="12288" width="7.7109375" style="49" bestFit="1" customWidth="1"/>
    <col min="12289" max="12289" width="12.85546875" style="49" bestFit="1" customWidth="1"/>
    <col min="12290" max="12290" width="8.28515625" style="49" bestFit="1" customWidth="1"/>
    <col min="12291" max="12291" width="12.85546875" style="49" bestFit="1" customWidth="1"/>
    <col min="12292" max="12292" width="9.140625" style="49"/>
    <col min="12293" max="12293" width="12.85546875" style="49" bestFit="1" customWidth="1"/>
    <col min="12294" max="12537" width="9.140625" style="49"/>
    <col min="12538" max="12538" width="39" style="49" bestFit="1" customWidth="1"/>
    <col min="12539" max="12540" width="9.140625" style="49"/>
    <col min="12541" max="12541" width="12.28515625" style="49" bestFit="1" customWidth="1"/>
    <col min="12542" max="12542" width="7.7109375" style="49" bestFit="1" customWidth="1"/>
    <col min="12543" max="12543" width="12.85546875" style="49" bestFit="1" customWidth="1"/>
    <col min="12544" max="12544" width="7.7109375" style="49" bestFit="1" customWidth="1"/>
    <col min="12545" max="12545" width="12.85546875" style="49" bestFit="1" customWidth="1"/>
    <col min="12546" max="12546" width="8.28515625" style="49" bestFit="1" customWidth="1"/>
    <col min="12547" max="12547" width="12.85546875" style="49" bestFit="1" customWidth="1"/>
    <col min="12548" max="12548" width="9.140625" style="49"/>
    <col min="12549" max="12549" width="12.85546875" style="49" bestFit="1" customWidth="1"/>
    <col min="12550" max="12793" width="9.140625" style="49"/>
    <col min="12794" max="12794" width="39" style="49" bestFit="1" customWidth="1"/>
    <col min="12795" max="12796" width="9.140625" style="49"/>
    <col min="12797" max="12797" width="12.28515625" style="49" bestFit="1" customWidth="1"/>
    <col min="12798" max="12798" width="7.7109375" style="49" bestFit="1" customWidth="1"/>
    <col min="12799" max="12799" width="12.85546875" style="49" bestFit="1" customWidth="1"/>
    <col min="12800" max="12800" width="7.7109375" style="49" bestFit="1" customWidth="1"/>
    <col min="12801" max="12801" width="12.85546875" style="49" bestFit="1" customWidth="1"/>
    <col min="12802" max="12802" width="8.28515625" style="49" bestFit="1" customWidth="1"/>
    <col min="12803" max="12803" width="12.85546875" style="49" bestFit="1" customWidth="1"/>
    <col min="12804" max="12804" width="9.140625" style="49"/>
    <col min="12805" max="12805" width="12.85546875" style="49" bestFit="1" customWidth="1"/>
    <col min="12806" max="13049" width="9.140625" style="49"/>
    <col min="13050" max="13050" width="39" style="49" bestFit="1" customWidth="1"/>
    <col min="13051" max="13052" width="9.140625" style="49"/>
    <col min="13053" max="13053" width="12.28515625" style="49" bestFit="1" customWidth="1"/>
    <col min="13054" max="13054" width="7.7109375" style="49" bestFit="1" customWidth="1"/>
    <col min="13055" max="13055" width="12.85546875" style="49" bestFit="1" customWidth="1"/>
    <col min="13056" max="13056" width="7.7109375" style="49" bestFit="1" customWidth="1"/>
    <col min="13057" max="13057" width="12.85546875" style="49" bestFit="1" customWidth="1"/>
    <col min="13058" max="13058" width="8.28515625" style="49" bestFit="1" customWidth="1"/>
    <col min="13059" max="13059" width="12.85546875" style="49" bestFit="1" customWidth="1"/>
    <col min="13060" max="13060" width="9.140625" style="49"/>
    <col min="13061" max="13061" width="12.85546875" style="49" bestFit="1" customWidth="1"/>
    <col min="13062" max="13305" width="9.140625" style="49"/>
    <col min="13306" max="13306" width="39" style="49" bestFit="1" customWidth="1"/>
    <col min="13307" max="13308" width="9.140625" style="49"/>
    <col min="13309" max="13309" width="12.28515625" style="49" bestFit="1" customWidth="1"/>
    <col min="13310" max="13310" width="7.7109375" style="49" bestFit="1" customWidth="1"/>
    <col min="13311" max="13311" width="12.85546875" style="49" bestFit="1" customWidth="1"/>
    <col min="13312" max="13312" width="7.7109375" style="49" bestFit="1" customWidth="1"/>
    <col min="13313" max="13313" width="12.85546875" style="49" bestFit="1" customWidth="1"/>
    <col min="13314" max="13314" width="8.28515625" style="49" bestFit="1" customWidth="1"/>
    <col min="13315" max="13315" width="12.85546875" style="49" bestFit="1" customWidth="1"/>
    <col min="13316" max="13316" width="9.140625" style="49"/>
    <col min="13317" max="13317" width="12.85546875" style="49" bestFit="1" customWidth="1"/>
    <col min="13318" max="13561" width="9.140625" style="49"/>
    <col min="13562" max="13562" width="39" style="49" bestFit="1" customWidth="1"/>
    <col min="13563" max="13564" width="9.140625" style="49"/>
    <col min="13565" max="13565" width="12.28515625" style="49" bestFit="1" customWidth="1"/>
    <col min="13566" max="13566" width="7.7109375" style="49" bestFit="1" customWidth="1"/>
    <col min="13567" max="13567" width="12.85546875" style="49" bestFit="1" customWidth="1"/>
    <col min="13568" max="13568" width="7.7109375" style="49" bestFit="1" customWidth="1"/>
    <col min="13569" max="13569" width="12.85546875" style="49" bestFit="1" customWidth="1"/>
    <col min="13570" max="13570" width="8.28515625" style="49" bestFit="1" customWidth="1"/>
    <col min="13571" max="13571" width="12.85546875" style="49" bestFit="1" customWidth="1"/>
    <col min="13572" max="13572" width="9.140625" style="49"/>
    <col min="13573" max="13573" width="12.85546875" style="49" bestFit="1" customWidth="1"/>
    <col min="13574" max="13817" width="9.140625" style="49"/>
    <col min="13818" max="13818" width="39" style="49" bestFit="1" customWidth="1"/>
    <col min="13819" max="13820" width="9.140625" style="49"/>
    <col min="13821" max="13821" width="12.28515625" style="49" bestFit="1" customWidth="1"/>
    <col min="13822" max="13822" width="7.7109375" style="49" bestFit="1" customWidth="1"/>
    <col min="13823" max="13823" width="12.85546875" style="49" bestFit="1" customWidth="1"/>
    <col min="13824" max="13824" width="7.7109375" style="49" bestFit="1" customWidth="1"/>
    <col min="13825" max="13825" width="12.85546875" style="49" bestFit="1" customWidth="1"/>
    <col min="13826" max="13826" width="8.28515625" style="49" bestFit="1" customWidth="1"/>
    <col min="13827" max="13827" width="12.85546875" style="49" bestFit="1" customWidth="1"/>
    <col min="13828" max="13828" width="9.140625" style="49"/>
    <col min="13829" max="13829" width="12.85546875" style="49" bestFit="1" customWidth="1"/>
    <col min="13830" max="14073" width="9.140625" style="49"/>
    <col min="14074" max="14074" width="39" style="49" bestFit="1" customWidth="1"/>
    <col min="14075" max="14076" width="9.140625" style="49"/>
    <col min="14077" max="14077" width="12.28515625" style="49" bestFit="1" customWidth="1"/>
    <col min="14078" max="14078" width="7.7109375" style="49" bestFit="1" customWidth="1"/>
    <col min="14079" max="14079" width="12.85546875" style="49" bestFit="1" customWidth="1"/>
    <col min="14080" max="14080" width="7.7109375" style="49" bestFit="1" customWidth="1"/>
    <col min="14081" max="14081" width="12.85546875" style="49" bestFit="1" customWidth="1"/>
    <col min="14082" max="14082" width="8.28515625" style="49" bestFit="1" customWidth="1"/>
    <col min="14083" max="14083" width="12.85546875" style="49" bestFit="1" customWidth="1"/>
    <col min="14084" max="14084" width="9.140625" style="49"/>
    <col min="14085" max="14085" width="12.85546875" style="49" bestFit="1" customWidth="1"/>
    <col min="14086" max="14329" width="9.140625" style="49"/>
    <col min="14330" max="14330" width="39" style="49" bestFit="1" customWidth="1"/>
    <col min="14331" max="14332" width="9.140625" style="49"/>
    <col min="14333" max="14333" width="12.28515625" style="49" bestFit="1" customWidth="1"/>
    <col min="14334" max="14334" width="7.7109375" style="49" bestFit="1" customWidth="1"/>
    <col min="14335" max="14335" width="12.85546875" style="49" bestFit="1" customWidth="1"/>
    <col min="14336" max="14336" width="7.7109375" style="49" bestFit="1" customWidth="1"/>
    <col min="14337" max="14337" width="12.85546875" style="49" bestFit="1" customWidth="1"/>
    <col min="14338" max="14338" width="8.28515625" style="49" bestFit="1" customWidth="1"/>
    <col min="14339" max="14339" width="12.85546875" style="49" bestFit="1" customWidth="1"/>
    <col min="14340" max="14340" width="9.140625" style="49"/>
    <col min="14341" max="14341" width="12.85546875" style="49" bestFit="1" customWidth="1"/>
    <col min="14342" max="14585" width="9.140625" style="49"/>
    <col min="14586" max="14586" width="39" style="49" bestFit="1" customWidth="1"/>
    <col min="14587" max="14588" width="9.140625" style="49"/>
    <col min="14589" max="14589" width="12.28515625" style="49" bestFit="1" customWidth="1"/>
    <col min="14590" max="14590" width="7.7109375" style="49" bestFit="1" customWidth="1"/>
    <col min="14591" max="14591" width="12.85546875" style="49" bestFit="1" customWidth="1"/>
    <col min="14592" max="14592" width="7.7109375" style="49" bestFit="1" customWidth="1"/>
    <col min="14593" max="14593" width="12.85546875" style="49" bestFit="1" customWidth="1"/>
    <col min="14594" max="14594" width="8.28515625" style="49" bestFit="1" customWidth="1"/>
    <col min="14595" max="14595" width="12.85546875" style="49" bestFit="1" customWidth="1"/>
    <col min="14596" max="14596" width="9.140625" style="49"/>
    <col min="14597" max="14597" width="12.85546875" style="49" bestFit="1" customWidth="1"/>
    <col min="14598" max="14841" width="9.140625" style="49"/>
    <col min="14842" max="14842" width="39" style="49" bestFit="1" customWidth="1"/>
    <col min="14843" max="14844" width="9.140625" style="49"/>
    <col min="14845" max="14845" width="12.28515625" style="49" bestFit="1" customWidth="1"/>
    <col min="14846" max="14846" width="7.7109375" style="49" bestFit="1" customWidth="1"/>
    <col min="14847" max="14847" width="12.85546875" style="49" bestFit="1" customWidth="1"/>
    <col min="14848" max="14848" width="7.7109375" style="49" bestFit="1" customWidth="1"/>
    <col min="14849" max="14849" width="12.85546875" style="49" bestFit="1" customWidth="1"/>
    <col min="14850" max="14850" width="8.28515625" style="49" bestFit="1" customWidth="1"/>
    <col min="14851" max="14851" width="12.85546875" style="49" bestFit="1" customWidth="1"/>
    <col min="14852" max="14852" width="9.140625" style="49"/>
    <col min="14853" max="14853" width="12.85546875" style="49" bestFit="1" customWidth="1"/>
    <col min="14854" max="15097" width="9.140625" style="49"/>
    <col min="15098" max="15098" width="39" style="49" bestFit="1" customWidth="1"/>
    <col min="15099" max="15100" width="9.140625" style="49"/>
    <col min="15101" max="15101" width="12.28515625" style="49" bestFit="1" customWidth="1"/>
    <col min="15102" max="15102" width="7.7109375" style="49" bestFit="1" customWidth="1"/>
    <col min="15103" max="15103" width="12.85546875" style="49" bestFit="1" customWidth="1"/>
    <col min="15104" max="15104" width="7.7109375" style="49" bestFit="1" customWidth="1"/>
    <col min="15105" max="15105" width="12.85546875" style="49" bestFit="1" customWidth="1"/>
    <col min="15106" max="15106" width="8.28515625" style="49" bestFit="1" customWidth="1"/>
    <col min="15107" max="15107" width="12.85546875" style="49" bestFit="1" customWidth="1"/>
    <col min="15108" max="15108" width="9.140625" style="49"/>
    <col min="15109" max="15109" width="12.85546875" style="49" bestFit="1" customWidth="1"/>
    <col min="15110" max="15353" width="9.140625" style="49"/>
    <col min="15354" max="15354" width="39" style="49" bestFit="1" customWidth="1"/>
    <col min="15355" max="15356" width="9.140625" style="49"/>
    <col min="15357" max="15357" width="12.28515625" style="49" bestFit="1" customWidth="1"/>
    <col min="15358" max="15358" width="7.7109375" style="49" bestFit="1" customWidth="1"/>
    <col min="15359" max="15359" width="12.85546875" style="49" bestFit="1" customWidth="1"/>
    <col min="15360" max="15360" width="7.7109375" style="49" bestFit="1" customWidth="1"/>
    <col min="15361" max="15361" width="12.85546875" style="49" bestFit="1" customWidth="1"/>
    <col min="15362" max="15362" width="8.28515625" style="49" bestFit="1" customWidth="1"/>
    <col min="15363" max="15363" width="12.85546875" style="49" bestFit="1" customWidth="1"/>
    <col min="15364" max="15364" width="9.140625" style="49"/>
    <col min="15365" max="15365" width="12.85546875" style="49" bestFit="1" customWidth="1"/>
    <col min="15366" max="15609" width="9.140625" style="49"/>
    <col min="15610" max="15610" width="39" style="49" bestFit="1" customWidth="1"/>
    <col min="15611" max="15612" width="9.140625" style="49"/>
    <col min="15613" max="15613" width="12.28515625" style="49" bestFit="1" customWidth="1"/>
    <col min="15614" max="15614" width="7.7109375" style="49" bestFit="1" customWidth="1"/>
    <col min="15615" max="15615" width="12.85546875" style="49" bestFit="1" customWidth="1"/>
    <col min="15616" max="15616" width="7.7109375" style="49" bestFit="1" customWidth="1"/>
    <col min="15617" max="15617" width="12.85546875" style="49" bestFit="1" customWidth="1"/>
    <col min="15618" max="15618" width="8.28515625" style="49" bestFit="1" customWidth="1"/>
    <col min="15619" max="15619" width="12.85546875" style="49" bestFit="1" customWidth="1"/>
    <col min="15620" max="15620" width="9.140625" style="49"/>
    <col min="15621" max="15621" width="12.85546875" style="49" bestFit="1" customWidth="1"/>
    <col min="15622" max="15865" width="9.140625" style="49"/>
    <col min="15866" max="15866" width="39" style="49" bestFit="1" customWidth="1"/>
    <col min="15867" max="15868" width="9.140625" style="49"/>
    <col min="15869" max="15869" width="12.28515625" style="49" bestFit="1" customWidth="1"/>
    <col min="15870" max="15870" width="7.7109375" style="49" bestFit="1" customWidth="1"/>
    <col min="15871" max="15871" width="12.85546875" style="49" bestFit="1" customWidth="1"/>
    <col min="15872" max="15872" width="7.7109375" style="49" bestFit="1" customWidth="1"/>
    <col min="15873" max="15873" width="12.85546875" style="49" bestFit="1" customWidth="1"/>
    <col min="15874" max="15874" width="8.28515625" style="49" bestFit="1" customWidth="1"/>
    <col min="15875" max="15875" width="12.85546875" style="49" bestFit="1" customWidth="1"/>
    <col min="15876" max="15876" width="9.140625" style="49"/>
    <col min="15877" max="15877" width="12.85546875" style="49" bestFit="1" customWidth="1"/>
    <col min="15878" max="16121" width="9.140625" style="49"/>
    <col min="16122" max="16122" width="39" style="49" bestFit="1" customWidth="1"/>
    <col min="16123" max="16124" width="9.140625" style="49"/>
    <col min="16125" max="16125" width="12.28515625" style="49" bestFit="1" customWidth="1"/>
    <col min="16126" max="16126" width="7.7109375" style="49" bestFit="1" customWidth="1"/>
    <col min="16127" max="16127" width="12.85546875" style="49" bestFit="1" customWidth="1"/>
    <col min="16128" max="16128" width="7.7109375" style="49" bestFit="1" customWidth="1"/>
    <col min="16129" max="16129" width="12.85546875" style="49" bestFit="1" customWidth="1"/>
    <col min="16130" max="16130" width="8.28515625" style="49" bestFit="1" customWidth="1"/>
    <col min="16131" max="16131" width="12.85546875" style="49" bestFit="1" customWidth="1"/>
    <col min="16132" max="16132" width="9.140625" style="49"/>
    <col min="16133" max="16133" width="12.85546875" style="49" bestFit="1" customWidth="1"/>
    <col min="16134" max="16384" width="9.140625" style="49"/>
  </cols>
  <sheetData>
    <row r="1" spans="1:24" ht="15.75" x14ac:dyDescent="0.25">
      <c r="A1" s="67"/>
      <c r="B1" s="68" t="s">
        <v>88</v>
      </c>
      <c r="C1" s="53"/>
      <c r="D1" s="53"/>
      <c r="E1" s="53"/>
      <c r="F1" s="53"/>
      <c r="G1" s="53"/>
      <c r="T1" s="64"/>
      <c r="U1" s="64"/>
      <c r="V1" s="64"/>
      <c r="W1" s="64"/>
      <c r="X1" s="64"/>
    </row>
    <row r="2" spans="1:24" x14ac:dyDescent="0.25">
      <c r="A2" s="69" t="s">
        <v>89</v>
      </c>
      <c r="B2" s="53"/>
      <c r="C2" s="53"/>
      <c r="D2" s="50">
        <v>2012</v>
      </c>
      <c r="E2" s="50">
        <v>2013</v>
      </c>
      <c r="F2" s="50">
        <v>2014</v>
      </c>
      <c r="G2" s="50">
        <v>2015</v>
      </c>
      <c r="H2" s="50">
        <v>2016</v>
      </c>
      <c r="I2" s="50">
        <v>2017</v>
      </c>
      <c r="J2" s="50">
        <v>2018</v>
      </c>
      <c r="K2" s="50">
        <v>2019</v>
      </c>
      <c r="L2" s="50">
        <v>2020</v>
      </c>
      <c r="M2" s="50">
        <v>2021</v>
      </c>
      <c r="N2" s="50">
        <v>2022</v>
      </c>
      <c r="O2" s="50">
        <v>2023</v>
      </c>
      <c r="P2" s="50">
        <v>2024</v>
      </c>
      <c r="Q2" s="50">
        <v>2025</v>
      </c>
      <c r="R2" s="50">
        <v>2026</v>
      </c>
      <c r="S2" s="50">
        <v>2027</v>
      </c>
      <c r="T2" s="60"/>
      <c r="U2" s="60"/>
      <c r="V2" s="60"/>
      <c r="W2" s="60"/>
      <c r="X2" s="60"/>
    </row>
    <row r="3" spans="1:24" x14ac:dyDescent="0.25">
      <c r="A3" s="57" t="s">
        <v>90</v>
      </c>
      <c r="B3" s="57"/>
      <c r="D3" s="53">
        <v>0</v>
      </c>
      <c r="E3" s="70">
        <v>0.99</v>
      </c>
      <c r="F3" s="70">
        <v>0.99</v>
      </c>
      <c r="G3" s="51">
        <v>0.99</v>
      </c>
      <c r="H3" s="51">
        <v>0.99</v>
      </c>
      <c r="I3" s="51">
        <v>0.99</v>
      </c>
      <c r="J3" s="70">
        <v>0.99</v>
      </c>
      <c r="K3" s="70">
        <v>0.99</v>
      </c>
      <c r="L3" s="51">
        <v>0.99</v>
      </c>
      <c r="M3" s="51">
        <v>0.99</v>
      </c>
      <c r="N3" s="51">
        <v>0.99</v>
      </c>
      <c r="O3" s="70">
        <v>0.99</v>
      </c>
      <c r="P3" s="70">
        <v>0.99</v>
      </c>
      <c r="Q3" s="51">
        <v>0.99</v>
      </c>
      <c r="R3" s="51">
        <v>0.99</v>
      </c>
      <c r="S3" s="51">
        <v>0.99</v>
      </c>
      <c r="T3" s="71"/>
      <c r="U3" s="71"/>
      <c r="V3" s="61"/>
      <c r="W3" s="61"/>
      <c r="X3" s="61"/>
    </row>
    <row r="4" spans="1:24" x14ac:dyDescent="0.25">
      <c r="A4" s="57" t="s">
        <v>91</v>
      </c>
      <c r="B4" s="57"/>
      <c r="C4" s="70"/>
      <c r="D4" s="53">
        <v>0</v>
      </c>
      <c r="E4" s="53">
        <v>1200</v>
      </c>
      <c r="F4" s="53">
        <f t="shared" ref="F4:O4" si="0">+E4*(1+F5)</f>
        <v>1236</v>
      </c>
      <c r="G4" s="53">
        <f t="shared" si="0"/>
        <v>1273.08</v>
      </c>
      <c r="H4" s="53">
        <f t="shared" si="0"/>
        <v>1311.2724000000001</v>
      </c>
      <c r="I4" s="53">
        <f t="shared" si="0"/>
        <v>1350.610572</v>
      </c>
      <c r="J4" s="53">
        <f t="shared" si="0"/>
        <v>1391.12888916</v>
      </c>
      <c r="K4" s="53">
        <f t="shared" si="0"/>
        <v>1432.8627558348001</v>
      </c>
      <c r="L4" s="53">
        <f t="shared" si="0"/>
        <v>1475.848638509844</v>
      </c>
      <c r="M4" s="53">
        <f t="shared" si="0"/>
        <v>1520.1240976651393</v>
      </c>
      <c r="N4" s="53">
        <f t="shared" si="0"/>
        <v>1565.7278205950936</v>
      </c>
      <c r="O4" s="53">
        <f t="shared" si="0"/>
        <v>1612.6996552129465</v>
      </c>
      <c r="P4" s="53">
        <f t="shared" ref="P4" si="1">+O4*(1+P5)</f>
        <v>1661.0806448693349</v>
      </c>
      <c r="Q4" s="53">
        <f t="shared" ref="Q4" si="2">+P4*(1+Q5)</f>
        <v>1710.913064215415</v>
      </c>
      <c r="R4" s="53">
        <f t="shared" ref="R4" si="3">+Q4*(1+R5)</f>
        <v>1762.2404561418775</v>
      </c>
      <c r="S4" s="53">
        <f t="shared" ref="S4" si="4">+R4*(1+S5)</f>
        <v>1815.1076698261338</v>
      </c>
      <c r="T4" s="54"/>
      <c r="U4" s="54"/>
      <c r="V4" s="54"/>
      <c r="W4" s="54"/>
      <c r="X4" s="54"/>
    </row>
    <row r="5" spans="1:24" x14ac:dyDescent="0.25">
      <c r="A5" s="57" t="s">
        <v>151</v>
      </c>
      <c r="B5" s="57"/>
      <c r="C5" s="70"/>
      <c r="D5" s="53">
        <v>0</v>
      </c>
      <c r="E5" s="53">
        <v>0</v>
      </c>
      <c r="F5" s="72">
        <v>0.03</v>
      </c>
      <c r="G5" s="72">
        <v>0.03</v>
      </c>
      <c r="H5" s="72">
        <v>0.03</v>
      </c>
      <c r="I5" s="72">
        <v>0.03</v>
      </c>
      <c r="J5" s="72">
        <v>0.03</v>
      </c>
      <c r="K5" s="72">
        <v>0.03</v>
      </c>
      <c r="L5" s="72">
        <v>0.03</v>
      </c>
      <c r="M5" s="72">
        <v>0.03</v>
      </c>
      <c r="N5" s="72">
        <v>0.03</v>
      </c>
      <c r="O5" s="72">
        <v>0.03</v>
      </c>
      <c r="P5" s="72">
        <v>0.03</v>
      </c>
      <c r="Q5" s="72">
        <v>0.03</v>
      </c>
      <c r="R5" s="72">
        <v>0.03</v>
      </c>
      <c r="S5" s="72">
        <v>0.03</v>
      </c>
      <c r="T5" s="73"/>
      <c r="U5" s="73"/>
      <c r="V5" s="73"/>
      <c r="W5" s="73"/>
      <c r="X5" s="73"/>
    </row>
    <row r="6" spans="1:24" x14ac:dyDescent="0.25">
      <c r="A6" s="49" t="s">
        <v>92</v>
      </c>
      <c r="B6" s="57"/>
      <c r="C6" s="70"/>
      <c r="D6" s="53">
        <v>0</v>
      </c>
      <c r="E6" s="52">
        <v>72</v>
      </c>
      <c r="F6" s="52">
        <v>72</v>
      </c>
      <c r="G6" s="52">
        <v>72</v>
      </c>
      <c r="H6" s="52">
        <v>72</v>
      </c>
      <c r="I6" s="52">
        <v>72</v>
      </c>
      <c r="J6" s="52">
        <v>72</v>
      </c>
      <c r="K6" s="52">
        <v>72</v>
      </c>
      <c r="L6" s="52">
        <v>72</v>
      </c>
      <c r="M6" s="52">
        <v>72</v>
      </c>
      <c r="N6" s="52">
        <v>72</v>
      </c>
      <c r="O6" s="52">
        <v>72</v>
      </c>
      <c r="P6" s="52">
        <v>72</v>
      </c>
      <c r="Q6" s="52">
        <v>72</v>
      </c>
      <c r="R6" s="52">
        <v>72</v>
      </c>
      <c r="S6" s="52">
        <v>72</v>
      </c>
      <c r="T6" s="62"/>
      <c r="U6" s="62"/>
      <c r="V6" s="62"/>
      <c r="W6" s="62"/>
      <c r="X6" s="62"/>
    </row>
    <row r="7" spans="1:24" x14ac:dyDescent="0.25">
      <c r="A7" s="49" t="s">
        <v>93</v>
      </c>
      <c r="B7" s="57"/>
      <c r="C7" s="70"/>
      <c r="D7" s="53">
        <v>0</v>
      </c>
      <c r="E7" s="52">
        <v>6</v>
      </c>
      <c r="F7" s="52">
        <v>6</v>
      </c>
      <c r="G7" s="52">
        <v>6</v>
      </c>
      <c r="H7" s="52">
        <v>6</v>
      </c>
      <c r="I7" s="52">
        <v>6</v>
      </c>
      <c r="J7" s="52">
        <v>6</v>
      </c>
      <c r="K7" s="52">
        <v>6</v>
      </c>
      <c r="L7" s="52">
        <v>6</v>
      </c>
      <c r="M7" s="52">
        <v>6</v>
      </c>
      <c r="N7" s="52">
        <v>6</v>
      </c>
      <c r="O7" s="52">
        <v>6</v>
      </c>
      <c r="P7" s="52">
        <v>6</v>
      </c>
      <c r="Q7" s="52">
        <v>6</v>
      </c>
      <c r="R7" s="52">
        <v>6</v>
      </c>
      <c r="S7" s="52">
        <v>6</v>
      </c>
      <c r="T7" s="62"/>
      <c r="U7" s="62"/>
      <c r="V7" s="62"/>
      <c r="W7" s="62"/>
      <c r="X7" s="62"/>
    </row>
    <row r="8" spans="1:24" x14ac:dyDescent="0.25">
      <c r="A8" s="49" t="s">
        <v>94</v>
      </c>
      <c r="B8" s="57"/>
      <c r="C8" s="70"/>
      <c r="D8" s="53">
        <v>0</v>
      </c>
      <c r="E8" s="52">
        <v>3</v>
      </c>
      <c r="F8" s="52">
        <v>3</v>
      </c>
      <c r="G8" s="52">
        <v>3</v>
      </c>
      <c r="H8" s="52">
        <v>3</v>
      </c>
      <c r="I8" s="52">
        <v>3</v>
      </c>
      <c r="J8" s="52">
        <v>3</v>
      </c>
      <c r="K8" s="52">
        <v>3</v>
      </c>
      <c r="L8" s="52">
        <v>3</v>
      </c>
      <c r="M8" s="52">
        <v>3</v>
      </c>
      <c r="N8" s="52">
        <v>3</v>
      </c>
      <c r="O8" s="52">
        <v>3</v>
      </c>
      <c r="P8" s="52">
        <v>3</v>
      </c>
      <c r="Q8" s="52">
        <v>3</v>
      </c>
      <c r="R8" s="52">
        <v>3</v>
      </c>
      <c r="S8" s="52">
        <v>3</v>
      </c>
      <c r="T8" s="62"/>
      <c r="U8" s="62"/>
      <c r="V8" s="62"/>
      <c r="W8" s="62"/>
      <c r="X8" s="62"/>
    </row>
    <row r="9" spans="1:24" x14ac:dyDescent="0.25">
      <c r="A9" s="49" t="s">
        <v>95</v>
      </c>
      <c r="B9" s="57"/>
      <c r="C9" s="70"/>
      <c r="D9" s="53">
        <v>0</v>
      </c>
      <c r="E9" s="53">
        <v>10</v>
      </c>
      <c r="F9" s="53">
        <v>15</v>
      </c>
      <c r="G9" s="53">
        <v>20</v>
      </c>
      <c r="H9" s="53">
        <v>25</v>
      </c>
      <c r="I9" s="53">
        <v>30</v>
      </c>
      <c r="J9" s="53">
        <v>35</v>
      </c>
      <c r="K9" s="53">
        <v>40</v>
      </c>
      <c r="L9" s="53">
        <v>40</v>
      </c>
      <c r="M9" s="53">
        <v>40</v>
      </c>
      <c r="N9" s="53">
        <v>40</v>
      </c>
      <c r="O9" s="53">
        <v>40</v>
      </c>
      <c r="P9" s="53">
        <v>40</v>
      </c>
      <c r="Q9" s="53">
        <v>40</v>
      </c>
      <c r="R9" s="53">
        <v>40</v>
      </c>
      <c r="S9" s="53">
        <v>40</v>
      </c>
      <c r="T9" s="54"/>
      <c r="U9" s="54"/>
      <c r="V9" s="54"/>
      <c r="W9" s="54"/>
      <c r="X9" s="54"/>
    </row>
    <row r="10" spans="1:24" x14ac:dyDescent="0.25">
      <c r="A10" s="57" t="s">
        <v>96</v>
      </c>
      <c r="B10" s="57"/>
      <c r="C10" s="70"/>
      <c r="D10" s="53">
        <v>0</v>
      </c>
      <c r="E10" s="53">
        <v>24</v>
      </c>
      <c r="F10" s="53">
        <v>24</v>
      </c>
      <c r="G10" s="53">
        <v>24</v>
      </c>
      <c r="H10" s="53">
        <v>24</v>
      </c>
      <c r="I10" s="53">
        <v>24</v>
      </c>
      <c r="J10" s="53">
        <v>24</v>
      </c>
      <c r="K10" s="53">
        <v>24</v>
      </c>
      <c r="L10" s="53">
        <v>24</v>
      </c>
      <c r="M10" s="53">
        <v>24</v>
      </c>
      <c r="N10" s="53">
        <v>24</v>
      </c>
      <c r="O10" s="53">
        <v>24</v>
      </c>
      <c r="P10" s="53">
        <v>24</v>
      </c>
      <c r="Q10" s="53">
        <v>24</v>
      </c>
      <c r="R10" s="53">
        <v>24</v>
      </c>
      <c r="S10" s="53">
        <v>24</v>
      </c>
      <c r="T10" s="54"/>
      <c r="U10" s="54"/>
      <c r="V10" s="54"/>
      <c r="W10" s="54"/>
      <c r="X10" s="54"/>
    </row>
    <row r="11" spans="1:24" x14ac:dyDescent="0.25">
      <c r="A11" s="69"/>
      <c r="B11" s="57"/>
      <c r="C11" s="7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  <c r="U11" s="54"/>
      <c r="V11" s="54"/>
      <c r="W11" s="54"/>
      <c r="X11" s="54"/>
    </row>
    <row r="12" spans="1:24" x14ac:dyDescent="0.25">
      <c r="B12" s="57"/>
      <c r="C12" s="7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  <c r="U12" s="54"/>
      <c r="V12" s="54"/>
      <c r="W12" s="54"/>
      <c r="X12" s="54"/>
    </row>
    <row r="13" spans="1:24" x14ac:dyDescent="0.25">
      <c r="A13" s="57" t="s">
        <v>97</v>
      </c>
      <c r="B13" s="74"/>
      <c r="C13" s="56"/>
      <c r="D13" s="53">
        <v>0</v>
      </c>
      <c r="E13" s="54">
        <f t="shared" ref="E13:O13" si="5">E4*E6*E7*E8*E3</f>
        <v>1539648</v>
      </c>
      <c r="F13" s="54">
        <f t="shared" si="5"/>
        <v>1585837.44</v>
      </c>
      <c r="G13" s="54">
        <f t="shared" si="5"/>
        <v>1633412.5631999997</v>
      </c>
      <c r="H13" s="54">
        <f t="shared" si="5"/>
        <v>1682414.940096</v>
      </c>
      <c r="I13" s="54">
        <f t="shared" si="5"/>
        <v>1732887.3882988801</v>
      </c>
      <c r="J13" s="54">
        <f t="shared" si="5"/>
        <v>1784874.0099478464</v>
      </c>
      <c r="K13" s="54">
        <f t="shared" si="5"/>
        <v>1838420.2302462819</v>
      </c>
      <c r="L13" s="54">
        <f t="shared" si="5"/>
        <v>1893572.8371536701</v>
      </c>
      <c r="M13" s="54">
        <f t="shared" si="5"/>
        <v>1950380.0222682802</v>
      </c>
      <c r="N13" s="54">
        <f t="shared" si="5"/>
        <v>2008891.4229363289</v>
      </c>
      <c r="O13" s="54">
        <f t="shared" si="5"/>
        <v>2069158.1656244188</v>
      </c>
      <c r="P13" s="54">
        <f t="shared" ref="P13:S13" si="6">P4*P6*P7*P8*P3</f>
        <v>2131232.9105931516</v>
      </c>
      <c r="Q13" s="54">
        <f t="shared" si="6"/>
        <v>2195169.8979109465</v>
      </c>
      <c r="R13" s="54">
        <f t="shared" si="6"/>
        <v>2261024.9948482746</v>
      </c>
      <c r="S13" s="54">
        <f t="shared" si="6"/>
        <v>2328855.7446937226</v>
      </c>
      <c r="T13" s="65"/>
      <c r="U13" s="65"/>
      <c r="V13" s="65"/>
      <c r="W13" s="65"/>
      <c r="X13" s="65"/>
    </row>
    <row r="14" spans="1:24" x14ac:dyDescent="0.25">
      <c r="A14" s="57" t="s">
        <v>98</v>
      </c>
      <c r="B14" s="57"/>
      <c r="D14" s="53"/>
      <c r="E14" s="78"/>
      <c r="F14" s="78"/>
      <c r="G14" s="78"/>
      <c r="H14" s="54"/>
      <c r="I14" s="53"/>
      <c r="J14" s="78"/>
      <c r="K14" s="78"/>
      <c r="L14" s="78"/>
      <c r="M14" s="54"/>
      <c r="N14" s="53"/>
      <c r="O14" s="78"/>
      <c r="P14" s="78"/>
      <c r="Q14" s="78"/>
      <c r="R14" s="54"/>
      <c r="S14" s="53"/>
      <c r="T14" s="63"/>
      <c r="U14" s="63"/>
      <c r="V14" s="63"/>
      <c r="W14" s="63"/>
      <c r="X14" s="64"/>
    </row>
    <row r="15" spans="1:24" ht="15.75" thickBot="1" x14ac:dyDescent="0.3">
      <c r="A15" s="57" t="s">
        <v>99</v>
      </c>
      <c r="B15" s="57"/>
      <c r="C15" s="53"/>
      <c r="D15" s="53">
        <v>0</v>
      </c>
      <c r="E15" s="145">
        <f t="shared" ref="E15:S15" si="7">E13-E14</f>
        <v>1539648</v>
      </c>
      <c r="F15" s="145">
        <f t="shared" si="7"/>
        <v>1585837.44</v>
      </c>
      <c r="G15" s="145">
        <f t="shared" si="7"/>
        <v>1633412.5631999997</v>
      </c>
      <c r="H15" s="145">
        <f t="shared" si="7"/>
        <v>1682414.940096</v>
      </c>
      <c r="I15" s="145">
        <f t="shared" si="7"/>
        <v>1732887.3882988801</v>
      </c>
      <c r="J15" s="145">
        <f t="shared" si="7"/>
        <v>1784874.0099478464</v>
      </c>
      <c r="K15" s="145">
        <f t="shared" si="7"/>
        <v>1838420.2302462819</v>
      </c>
      <c r="L15" s="145">
        <f t="shared" si="7"/>
        <v>1893572.8371536701</v>
      </c>
      <c r="M15" s="145">
        <f t="shared" si="7"/>
        <v>1950380.0222682802</v>
      </c>
      <c r="N15" s="145">
        <f t="shared" si="7"/>
        <v>2008891.4229363289</v>
      </c>
      <c r="O15" s="145">
        <f t="shared" si="7"/>
        <v>2069158.1656244188</v>
      </c>
      <c r="P15" s="145">
        <f t="shared" si="7"/>
        <v>2131232.9105931516</v>
      </c>
      <c r="Q15" s="145">
        <f t="shared" si="7"/>
        <v>2195169.8979109465</v>
      </c>
      <c r="R15" s="145">
        <f t="shared" si="7"/>
        <v>2261024.9948482746</v>
      </c>
      <c r="S15" s="145">
        <f t="shared" si="7"/>
        <v>2328855.7446937226</v>
      </c>
      <c r="T15" s="65"/>
      <c r="U15" s="65"/>
      <c r="V15" s="65"/>
      <c r="W15" s="65"/>
      <c r="X15" s="65"/>
    </row>
    <row r="16" spans="1:24" ht="15.75" thickTop="1" x14ac:dyDescent="0.25">
      <c r="B16" s="57"/>
      <c r="C16" s="53"/>
      <c r="D16" s="53"/>
      <c r="E16" s="54"/>
      <c r="F16" s="54"/>
      <c r="G16" s="54"/>
      <c r="H16" s="54"/>
      <c r="I16" s="53"/>
      <c r="J16" s="54"/>
      <c r="K16" s="54"/>
      <c r="L16" s="54"/>
      <c r="M16" s="54"/>
      <c r="N16" s="53"/>
      <c r="O16" s="54"/>
      <c r="P16" s="54"/>
      <c r="Q16" s="54"/>
      <c r="R16" s="54"/>
      <c r="S16" s="53"/>
      <c r="T16" s="54"/>
      <c r="U16" s="54"/>
      <c r="V16" s="54"/>
      <c r="W16" s="54"/>
      <c r="X16" s="64"/>
    </row>
    <row r="17" spans="1:24" x14ac:dyDescent="0.25">
      <c r="A17" s="57"/>
      <c r="B17" s="57"/>
      <c r="C17" s="53"/>
      <c r="D17" s="53"/>
      <c r="E17" s="54"/>
      <c r="F17" s="54"/>
      <c r="G17" s="54"/>
      <c r="H17" s="54"/>
      <c r="I17" s="53"/>
      <c r="J17" s="54"/>
      <c r="K17" s="54"/>
      <c r="L17" s="54"/>
      <c r="M17" s="54"/>
      <c r="N17" s="53"/>
      <c r="O17" s="54"/>
      <c r="P17" s="54"/>
      <c r="Q17" s="54"/>
      <c r="R17" s="54"/>
      <c r="S17" s="53"/>
      <c r="T17" s="54"/>
      <c r="U17" s="54"/>
      <c r="V17" s="54"/>
      <c r="W17" s="54"/>
      <c r="X17" s="64"/>
    </row>
    <row r="18" spans="1:24" x14ac:dyDescent="0.25">
      <c r="A18" s="57" t="s">
        <v>100</v>
      </c>
      <c r="B18" s="57"/>
      <c r="C18" s="70">
        <v>0.03</v>
      </c>
      <c r="D18" s="53">
        <v>0</v>
      </c>
      <c r="E18" s="53">
        <f>E4*6</f>
        <v>7200</v>
      </c>
      <c r="F18" s="53">
        <f t="shared" ref="F18:O18" si="8">E18*$C$18+E18</f>
        <v>7416</v>
      </c>
      <c r="G18" s="53">
        <f t="shared" si="8"/>
        <v>7638.48</v>
      </c>
      <c r="H18" s="53">
        <f t="shared" si="8"/>
        <v>7867.6343999999999</v>
      </c>
      <c r="I18" s="53">
        <f t="shared" si="8"/>
        <v>8103.6634320000003</v>
      </c>
      <c r="J18" s="53">
        <f t="shared" si="8"/>
        <v>8346.7733349600003</v>
      </c>
      <c r="K18" s="53">
        <f t="shared" si="8"/>
        <v>8597.1765350088008</v>
      </c>
      <c r="L18" s="53">
        <f t="shared" si="8"/>
        <v>8855.0918310590641</v>
      </c>
      <c r="M18" s="53">
        <f t="shared" si="8"/>
        <v>9120.7445859908366</v>
      </c>
      <c r="N18" s="53">
        <f t="shared" si="8"/>
        <v>9394.366923570562</v>
      </c>
      <c r="O18" s="53">
        <f t="shared" si="8"/>
        <v>9676.1979312776784</v>
      </c>
      <c r="P18" s="53">
        <f t="shared" ref="P18" si="9">O18*$C$18+O18</f>
        <v>9966.4838692160083</v>
      </c>
      <c r="Q18" s="53">
        <f t="shared" ref="Q18" si="10">P18*$C$18+P18</f>
        <v>10265.478385292488</v>
      </c>
      <c r="R18" s="53">
        <f t="shared" ref="R18" si="11">Q18*$C$18+Q18</f>
        <v>10573.442736851262</v>
      </c>
      <c r="S18" s="53">
        <f t="shared" ref="S18" si="12">R18*$C$18+R18</f>
        <v>10890.646018956801</v>
      </c>
      <c r="T18" s="54"/>
      <c r="U18" s="54"/>
      <c r="V18" s="54"/>
      <c r="W18" s="54"/>
      <c r="X18" s="54"/>
    </row>
    <row r="19" spans="1:24" x14ac:dyDescent="0.25">
      <c r="A19" s="57" t="s">
        <v>101</v>
      </c>
      <c r="B19" s="57"/>
      <c r="C19" s="70">
        <v>0.03</v>
      </c>
      <c r="D19" s="53">
        <v>0</v>
      </c>
      <c r="E19" s="53">
        <f>6350*12</f>
        <v>76200</v>
      </c>
      <c r="F19" s="53">
        <f t="shared" ref="F19:O19" si="13">E19*$C$19+E19</f>
        <v>78486</v>
      </c>
      <c r="G19" s="53">
        <f t="shared" si="13"/>
        <v>80840.58</v>
      </c>
      <c r="H19" s="53">
        <f t="shared" si="13"/>
        <v>83265.797399999996</v>
      </c>
      <c r="I19" s="53">
        <f t="shared" si="13"/>
        <v>85763.771322000001</v>
      </c>
      <c r="J19" s="53">
        <f t="shared" si="13"/>
        <v>88336.684461659999</v>
      </c>
      <c r="K19" s="53">
        <f t="shared" si="13"/>
        <v>90986.784995509806</v>
      </c>
      <c r="L19" s="53">
        <f t="shared" si="13"/>
        <v>93716.388545375099</v>
      </c>
      <c r="M19" s="53">
        <f t="shared" si="13"/>
        <v>96527.880201736349</v>
      </c>
      <c r="N19" s="53">
        <f t="shared" si="13"/>
        <v>99423.716607788432</v>
      </c>
      <c r="O19" s="53">
        <f t="shared" si="13"/>
        <v>102406.42810602208</v>
      </c>
      <c r="P19" s="53">
        <f t="shared" ref="P19" si="14">O19*$C$19+O19</f>
        <v>105478.62094920274</v>
      </c>
      <c r="Q19" s="53">
        <f t="shared" ref="Q19" si="15">P19*$C$19+P19</f>
        <v>108642.97957767882</v>
      </c>
      <c r="R19" s="53">
        <f t="shared" ref="R19" si="16">Q19*$C$19+Q19</f>
        <v>111902.26896500919</v>
      </c>
      <c r="S19" s="53">
        <f t="shared" ref="S19" si="17">R19*$C$19+R19</f>
        <v>115259.33703395947</v>
      </c>
      <c r="T19" s="54"/>
      <c r="U19" s="54"/>
      <c r="V19" s="54"/>
      <c r="W19" s="54"/>
      <c r="X19" s="54"/>
    </row>
    <row r="20" spans="1:24" x14ac:dyDescent="0.25">
      <c r="A20" s="57" t="s">
        <v>152</v>
      </c>
      <c r="B20" s="57"/>
      <c r="C20" s="56"/>
      <c r="D20" s="53">
        <v>0</v>
      </c>
      <c r="E20" s="53">
        <f t="shared" ref="E20:S20" si="18">+E9*E10*50</f>
        <v>12000</v>
      </c>
      <c r="F20" s="53">
        <f t="shared" si="18"/>
        <v>18000</v>
      </c>
      <c r="G20" s="53">
        <f t="shared" si="18"/>
        <v>24000</v>
      </c>
      <c r="H20" s="53">
        <f t="shared" si="18"/>
        <v>30000</v>
      </c>
      <c r="I20" s="53">
        <f t="shared" si="18"/>
        <v>36000</v>
      </c>
      <c r="J20" s="53">
        <f t="shared" si="18"/>
        <v>42000</v>
      </c>
      <c r="K20" s="53">
        <f t="shared" si="18"/>
        <v>48000</v>
      </c>
      <c r="L20" s="53">
        <f t="shared" si="18"/>
        <v>48000</v>
      </c>
      <c r="M20" s="53">
        <f t="shared" si="18"/>
        <v>48000</v>
      </c>
      <c r="N20" s="53">
        <f t="shared" si="18"/>
        <v>48000</v>
      </c>
      <c r="O20" s="53">
        <f t="shared" si="18"/>
        <v>48000</v>
      </c>
      <c r="P20" s="53">
        <f t="shared" si="18"/>
        <v>48000</v>
      </c>
      <c r="Q20" s="53">
        <f t="shared" si="18"/>
        <v>48000</v>
      </c>
      <c r="R20" s="53">
        <f t="shared" si="18"/>
        <v>48000</v>
      </c>
      <c r="S20" s="53">
        <f t="shared" si="18"/>
        <v>48000</v>
      </c>
      <c r="T20" s="54"/>
      <c r="U20" s="54"/>
      <c r="V20" s="54"/>
      <c r="W20" s="54"/>
      <c r="X20" s="54"/>
    </row>
    <row r="21" spans="1:24" x14ac:dyDescent="0.25">
      <c r="A21" s="57" t="s">
        <v>102</v>
      </c>
      <c r="B21" s="57"/>
      <c r="C21" s="75"/>
      <c r="D21" s="53">
        <v>0</v>
      </c>
      <c r="E21" s="53">
        <v>240</v>
      </c>
      <c r="F21" s="53">
        <f t="shared" ref="F21:O21" si="19">E21*$C$19+E21</f>
        <v>247.2</v>
      </c>
      <c r="G21" s="53">
        <f t="shared" si="19"/>
        <v>254.61599999999999</v>
      </c>
      <c r="H21" s="53">
        <f t="shared" si="19"/>
        <v>262.25448</v>
      </c>
      <c r="I21" s="53">
        <f t="shared" si="19"/>
        <v>270.12211439999999</v>
      </c>
      <c r="J21" s="53">
        <f t="shared" si="19"/>
        <v>278.22577783200001</v>
      </c>
      <c r="K21" s="53">
        <f t="shared" si="19"/>
        <v>286.57255116696001</v>
      </c>
      <c r="L21" s="53">
        <f t="shared" si="19"/>
        <v>295.16972770196878</v>
      </c>
      <c r="M21" s="53">
        <f t="shared" si="19"/>
        <v>304.02481953302782</v>
      </c>
      <c r="N21" s="53">
        <f t="shared" si="19"/>
        <v>313.14556411901867</v>
      </c>
      <c r="O21" s="53">
        <f t="shared" si="19"/>
        <v>322.53993104258922</v>
      </c>
      <c r="P21" s="53">
        <f t="shared" ref="P21" si="20">O21*$C$19+O21</f>
        <v>332.21612897386689</v>
      </c>
      <c r="Q21" s="53">
        <f t="shared" ref="Q21" si="21">P21*$C$19+P21</f>
        <v>342.18261284308289</v>
      </c>
      <c r="R21" s="53">
        <f t="shared" ref="R21" si="22">Q21*$C$19+Q21</f>
        <v>352.4480912283754</v>
      </c>
      <c r="S21" s="53">
        <f t="shared" ref="S21" si="23">R21*$C$19+R21</f>
        <v>363.02153396522664</v>
      </c>
      <c r="T21" s="54"/>
      <c r="U21" s="54"/>
      <c r="V21" s="54"/>
      <c r="W21" s="54"/>
      <c r="X21" s="54"/>
    </row>
    <row r="22" spans="1:24" x14ac:dyDescent="0.25">
      <c r="A22" s="57" t="s">
        <v>87</v>
      </c>
      <c r="B22" s="57"/>
      <c r="C22" s="53"/>
      <c r="D22" s="53">
        <v>0</v>
      </c>
      <c r="E22" s="53">
        <f>+Layout!$V$36</f>
        <v>284449.03333333333</v>
      </c>
      <c r="F22" s="53">
        <f>+Layout!$V$36</f>
        <v>284449.03333333333</v>
      </c>
      <c r="G22" s="53">
        <f>+Layout!$V$36</f>
        <v>284449.03333333333</v>
      </c>
      <c r="H22" s="53">
        <f>+Layout!$V$36</f>
        <v>284449.03333333333</v>
      </c>
      <c r="I22" s="53">
        <f>+Layout!$V$36</f>
        <v>284449.03333333333</v>
      </c>
      <c r="J22" s="53">
        <f>+Layout!$V$36</f>
        <v>284449.03333333333</v>
      </c>
      <c r="K22" s="53">
        <f>+Layout!$V$36</f>
        <v>284449.03333333333</v>
      </c>
      <c r="L22" s="53">
        <f>+Layout!$V$36</f>
        <v>284449.03333333333</v>
      </c>
      <c r="M22" s="53">
        <f>+Layout!$V$36</f>
        <v>284449.03333333333</v>
      </c>
      <c r="N22" s="53">
        <f>+Layout!$V$36</f>
        <v>284449.03333333333</v>
      </c>
      <c r="O22" s="53">
        <f>+Layout!$V$36</f>
        <v>284449.03333333333</v>
      </c>
      <c r="P22" s="53">
        <f>+Layout!$V$36</f>
        <v>284449.03333333333</v>
      </c>
      <c r="Q22" s="53">
        <f>+Layout!$V$36</f>
        <v>284449.03333333333</v>
      </c>
      <c r="R22" s="53">
        <f>+Layout!$V$36</f>
        <v>284449.03333333333</v>
      </c>
      <c r="S22" s="53">
        <f>+Layout!$V$36</f>
        <v>284449.03333333333</v>
      </c>
      <c r="T22" s="54"/>
      <c r="U22" s="54"/>
      <c r="V22" s="54"/>
      <c r="W22" s="54"/>
      <c r="X22" s="54"/>
    </row>
    <row r="23" spans="1:24" x14ac:dyDescent="0.25">
      <c r="A23" s="57" t="s">
        <v>209</v>
      </c>
      <c r="B23" s="57"/>
      <c r="C23" s="53"/>
      <c r="D23" s="53"/>
      <c r="E23" s="53">
        <v>819202.15432616835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4"/>
      <c r="U23" s="64"/>
      <c r="V23" s="64"/>
      <c r="W23" s="64"/>
      <c r="X23" s="64"/>
    </row>
    <row r="24" spans="1:24" x14ac:dyDescent="0.25">
      <c r="A24" s="57" t="s">
        <v>137</v>
      </c>
      <c r="B24" s="57"/>
      <c r="C24" s="54"/>
      <c r="D24" s="54">
        <v>0</v>
      </c>
      <c r="E24" s="53">
        <v>0</v>
      </c>
      <c r="F24" s="53">
        <f>+'Loan Amort'!I19</f>
        <v>447967.33274613583</v>
      </c>
      <c r="G24" s="53">
        <f>+'Loan Amort'!I31</f>
        <v>413735.10243320296</v>
      </c>
      <c r="H24" s="53">
        <f>+'Loan Amort'!I43</f>
        <v>377028.22142305918</v>
      </c>
      <c r="I24" s="53">
        <f>+'Loan Amort'!I55</f>
        <v>337667.79701671144</v>
      </c>
      <c r="J24" s="53">
        <f>+'Loan Amort'!I67</f>
        <v>295462.00434749294</v>
      </c>
      <c r="K24" s="53">
        <f>+'Loan Amort'!I79</f>
        <v>250205.15151361568</v>
      </c>
      <c r="L24" s="53">
        <f>+'Loan Amort'!I91</f>
        <v>201676.67712907845</v>
      </c>
      <c r="M24" s="53">
        <f>+'Loan Amort'!I103</f>
        <v>149640.0754074532</v>
      </c>
      <c r="N24" s="53">
        <f>+'Loan Amort'!I115</f>
        <v>93841.743539887975</v>
      </c>
      <c r="O24" s="53">
        <f>+'Loan Amort'!I127</f>
        <v>34009.745749973335</v>
      </c>
      <c r="P24" s="53">
        <f>+'Loan Amort'!N91</f>
        <v>0</v>
      </c>
      <c r="Q24" s="53">
        <f>+'Loan Amort'!N103</f>
        <v>0</v>
      </c>
      <c r="R24" s="53">
        <f>+'Loan Amort'!N115</f>
        <v>0</v>
      </c>
      <c r="S24" s="53">
        <f>+'Loan Amort'!N127</f>
        <v>0</v>
      </c>
      <c r="T24" s="63"/>
      <c r="U24" s="63"/>
      <c r="V24" s="63"/>
      <c r="W24" s="63"/>
      <c r="X24" s="63"/>
    </row>
    <row r="25" spans="1:24" x14ac:dyDescent="0.25">
      <c r="A25" s="57" t="s">
        <v>103</v>
      </c>
      <c r="B25" s="57"/>
      <c r="D25" s="53">
        <v>0</v>
      </c>
      <c r="E25" s="76">
        <f t="shared" ref="E25:S25" si="24">E15-SUM(E18:E24)</f>
        <v>340356.81234049844</v>
      </c>
      <c r="F25" s="76">
        <f t="shared" si="24"/>
        <v>749271.87392053078</v>
      </c>
      <c r="G25" s="76">
        <f t="shared" si="24"/>
        <v>822494.75143346353</v>
      </c>
      <c r="H25" s="76">
        <f t="shared" si="24"/>
        <v>899541.99905960751</v>
      </c>
      <c r="I25" s="76">
        <f t="shared" si="24"/>
        <v>980633.00108043524</v>
      </c>
      <c r="J25" s="76">
        <f t="shared" si="24"/>
        <v>1066001.2886925682</v>
      </c>
      <c r="K25" s="76">
        <f t="shared" si="24"/>
        <v>1155895.5113176473</v>
      </c>
      <c r="L25" s="76">
        <f t="shared" si="24"/>
        <v>1256580.4765871223</v>
      </c>
      <c r="M25" s="76">
        <f t="shared" si="24"/>
        <v>1362338.2639202334</v>
      </c>
      <c r="N25" s="76">
        <f t="shared" si="24"/>
        <v>1473469.4169676297</v>
      </c>
      <c r="O25" s="76">
        <f t="shared" si="24"/>
        <v>1590294.2205727696</v>
      </c>
      <c r="P25" s="76">
        <f t="shared" si="24"/>
        <v>1683006.5563124255</v>
      </c>
      <c r="Q25" s="76">
        <f t="shared" si="24"/>
        <v>1743470.2240017988</v>
      </c>
      <c r="R25" s="76">
        <f t="shared" si="24"/>
        <v>1805747.8017218525</v>
      </c>
      <c r="S25" s="76">
        <f t="shared" si="24"/>
        <v>1869893.7067735079</v>
      </c>
      <c r="T25" s="54"/>
      <c r="U25" s="54"/>
      <c r="V25" s="54"/>
      <c r="W25" s="54"/>
      <c r="X25" s="54"/>
    </row>
    <row r="26" spans="1:24" x14ac:dyDescent="0.25">
      <c r="A26" s="57" t="s">
        <v>104</v>
      </c>
      <c r="B26" s="77"/>
      <c r="C26" s="72">
        <f>+G65</f>
        <v>0.26669999999999999</v>
      </c>
      <c r="D26" s="53">
        <v>0</v>
      </c>
      <c r="E26" s="78">
        <f t="shared" ref="E26:J26" si="25">$C$26*E25</f>
        <v>90773.161851210927</v>
      </c>
      <c r="F26" s="78">
        <f t="shared" si="25"/>
        <v>199830.80877460554</v>
      </c>
      <c r="G26" s="78">
        <f t="shared" si="25"/>
        <v>219359.35020730473</v>
      </c>
      <c r="H26" s="78">
        <f t="shared" si="25"/>
        <v>239907.85114919732</v>
      </c>
      <c r="I26" s="78">
        <f t="shared" si="25"/>
        <v>261534.82138815208</v>
      </c>
      <c r="J26" s="78">
        <f t="shared" si="25"/>
        <v>284302.54369430791</v>
      </c>
      <c r="K26" s="78">
        <f t="shared" ref="K26:O26" si="26">$C$26*K25</f>
        <v>308277.3328684165</v>
      </c>
      <c r="L26" s="78">
        <f t="shared" si="26"/>
        <v>335130.01310578553</v>
      </c>
      <c r="M26" s="78">
        <f t="shared" si="26"/>
        <v>363335.61498752621</v>
      </c>
      <c r="N26" s="78">
        <f t="shared" si="26"/>
        <v>392974.29350526683</v>
      </c>
      <c r="O26" s="78">
        <f t="shared" si="26"/>
        <v>424131.46862675768</v>
      </c>
      <c r="P26" s="78">
        <f>$C$26*P25</f>
        <v>448857.84856852388</v>
      </c>
      <c r="Q26" s="78">
        <f>$C$26*Q25</f>
        <v>464983.50874127971</v>
      </c>
      <c r="R26" s="78">
        <f>$C$26*R25</f>
        <v>481592.93871921807</v>
      </c>
      <c r="S26" s="78">
        <f>$C$26*S25</f>
        <v>498700.65159649454</v>
      </c>
      <c r="T26" s="54"/>
      <c r="U26" s="54"/>
      <c r="V26" s="54"/>
      <c r="W26" s="54"/>
      <c r="X26" s="54"/>
    </row>
    <row r="27" spans="1:24" x14ac:dyDescent="0.25">
      <c r="A27" s="57" t="s">
        <v>153</v>
      </c>
      <c r="B27" s="77"/>
      <c r="C27" s="72"/>
      <c r="D27" s="53">
        <v>0</v>
      </c>
      <c r="E27" s="54">
        <f t="shared" ref="E27:S27" si="27">+E22</f>
        <v>284449.03333333333</v>
      </c>
      <c r="F27" s="54">
        <f t="shared" si="27"/>
        <v>284449.03333333333</v>
      </c>
      <c r="G27" s="54">
        <f t="shared" si="27"/>
        <v>284449.03333333333</v>
      </c>
      <c r="H27" s="54">
        <f t="shared" si="27"/>
        <v>284449.03333333333</v>
      </c>
      <c r="I27" s="54">
        <f t="shared" si="27"/>
        <v>284449.03333333333</v>
      </c>
      <c r="J27" s="54">
        <f t="shared" si="27"/>
        <v>284449.03333333333</v>
      </c>
      <c r="K27" s="54">
        <f t="shared" si="27"/>
        <v>284449.03333333333</v>
      </c>
      <c r="L27" s="54">
        <f t="shared" si="27"/>
        <v>284449.03333333333</v>
      </c>
      <c r="M27" s="54">
        <f t="shared" si="27"/>
        <v>284449.03333333333</v>
      </c>
      <c r="N27" s="54">
        <f t="shared" si="27"/>
        <v>284449.03333333333</v>
      </c>
      <c r="O27" s="54">
        <f t="shared" si="27"/>
        <v>284449.03333333333</v>
      </c>
      <c r="P27" s="54">
        <f t="shared" si="27"/>
        <v>284449.03333333333</v>
      </c>
      <c r="Q27" s="54">
        <f t="shared" si="27"/>
        <v>284449.03333333333</v>
      </c>
      <c r="R27" s="54">
        <f t="shared" si="27"/>
        <v>284449.03333333333</v>
      </c>
      <c r="S27" s="54">
        <f t="shared" si="27"/>
        <v>284449.03333333333</v>
      </c>
      <c r="T27" s="54"/>
      <c r="U27" s="54"/>
      <c r="V27" s="54"/>
      <c r="W27" s="54"/>
      <c r="X27" s="54"/>
    </row>
    <row r="28" spans="1:24" ht="15.75" thickBot="1" x14ac:dyDescent="0.3">
      <c r="A28" s="57" t="s">
        <v>105</v>
      </c>
      <c r="B28" s="57"/>
      <c r="C28" s="53"/>
      <c r="D28" s="53">
        <v>0</v>
      </c>
      <c r="E28" s="146">
        <f t="shared" ref="E28:O28" si="28">E25-E26+E27</f>
        <v>534032.68382262089</v>
      </c>
      <c r="F28" s="146">
        <f t="shared" si="28"/>
        <v>833890.0984792586</v>
      </c>
      <c r="G28" s="146">
        <f t="shared" si="28"/>
        <v>887584.43455949216</v>
      </c>
      <c r="H28" s="146">
        <f t="shared" si="28"/>
        <v>944083.18124374351</v>
      </c>
      <c r="I28" s="146">
        <f t="shared" si="28"/>
        <v>1003547.2130256165</v>
      </c>
      <c r="J28" s="146">
        <f t="shared" si="28"/>
        <v>1066147.7783315936</v>
      </c>
      <c r="K28" s="146">
        <f t="shared" si="28"/>
        <v>1132067.2117825639</v>
      </c>
      <c r="L28" s="146">
        <f t="shared" si="28"/>
        <v>1205899.49681467</v>
      </c>
      <c r="M28" s="146">
        <f t="shared" si="28"/>
        <v>1283451.6822660405</v>
      </c>
      <c r="N28" s="146">
        <f t="shared" si="28"/>
        <v>1364944.1567956964</v>
      </c>
      <c r="O28" s="146">
        <f t="shared" si="28"/>
        <v>1450611.7852793452</v>
      </c>
      <c r="P28" s="146">
        <f t="shared" ref="P28:S28" si="29">P25-P26+P27</f>
        <v>1518597.741077235</v>
      </c>
      <c r="Q28" s="146">
        <f t="shared" si="29"/>
        <v>1562935.7485938524</v>
      </c>
      <c r="R28" s="146">
        <f t="shared" si="29"/>
        <v>1608603.8963359678</v>
      </c>
      <c r="S28" s="146">
        <f t="shared" si="29"/>
        <v>1655642.0885103466</v>
      </c>
      <c r="T28" s="65"/>
      <c r="U28" s="65"/>
      <c r="V28" s="65"/>
      <c r="W28" s="65"/>
      <c r="X28" s="65"/>
    </row>
    <row r="29" spans="1:24" ht="15.75" thickTop="1" x14ac:dyDescent="0.25">
      <c r="A29" s="57"/>
      <c r="B29" s="57"/>
      <c r="C29" s="53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64"/>
    </row>
    <row r="30" spans="1:24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54"/>
      <c r="V30" s="54"/>
      <c r="W30" s="63"/>
      <c r="X30" s="64"/>
    </row>
    <row r="31" spans="1:24" x14ac:dyDescent="0.25">
      <c r="A31" s="57"/>
      <c r="B31" s="57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4"/>
      <c r="V31" s="54"/>
      <c r="W31" s="64"/>
      <c r="X31" s="64"/>
    </row>
    <row r="32" spans="1:24" x14ac:dyDescent="0.25">
      <c r="A32" s="69" t="s">
        <v>106</v>
      </c>
      <c r="B32" s="69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  <c r="U32" s="54"/>
      <c r="V32" s="54"/>
      <c r="W32" s="64"/>
      <c r="X32" s="64"/>
    </row>
    <row r="33" spans="1:24" x14ac:dyDescent="0.25">
      <c r="A33" s="69" t="s">
        <v>107</v>
      </c>
      <c r="B33" s="69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54"/>
      <c r="V33" s="54"/>
      <c r="W33" s="64"/>
      <c r="X33" s="64"/>
    </row>
    <row r="34" spans="1:24" x14ac:dyDescent="0.25">
      <c r="A34" s="57" t="s">
        <v>108</v>
      </c>
      <c r="B34" s="57"/>
      <c r="C34" s="53"/>
      <c r="D34" s="53"/>
      <c r="E34" s="54">
        <v>10000</v>
      </c>
      <c r="F34" s="54">
        <v>10000</v>
      </c>
      <c r="G34" s="54">
        <v>10000</v>
      </c>
      <c r="H34" s="54">
        <v>10000</v>
      </c>
      <c r="I34" s="54">
        <v>10000</v>
      </c>
      <c r="J34" s="54">
        <v>10000</v>
      </c>
      <c r="K34" s="54">
        <v>10000</v>
      </c>
      <c r="L34" s="54">
        <v>10000</v>
      </c>
      <c r="M34" s="54">
        <v>10000</v>
      </c>
      <c r="N34" s="54">
        <v>10000</v>
      </c>
      <c r="O34" s="54">
        <v>10000</v>
      </c>
      <c r="P34" s="54">
        <v>10000</v>
      </c>
      <c r="Q34" s="54">
        <v>10000</v>
      </c>
      <c r="R34" s="54">
        <v>10000</v>
      </c>
      <c r="S34" s="54">
        <v>10000</v>
      </c>
      <c r="T34" s="65"/>
      <c r="U34" s="65"/>
      <c r="V34" s="65"/>
      <c r="W34" s="65"/>
      <c r="X34" s="64"/>
    </row>
    <row r="35" spans="1:24" x14ac:dyDescent="0.25">
      <c r="A35" s="57" t="s">
        <v>214</v>
      </c>
      <c r="B35" s="57"/>
      <c r="C35" s="53"/>
      <c r="D35" s="53"/>
      <c r="E35" s="54">
        <v>579621.34</v>
      </c>
      <c r="F35" s="54">
        <v>533478.31999999995</v>
      </c>
      <c r="G35" s="54">
        <v>317268.3</v>
      </c>
      <c r="H35" s="54">
        <v>121870.11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65"/>
      <c r="U35" s="65"/>
      <c r="V35" s="65"/>
      <c r="W35" s="65"/>
      <c r="X35" s="64"/>
    </row>
    <row r="36" spans="1:24" x14ac:dyDescent="0.25">
      <c r="A36" s="57" t="s">
        <v>109</v>
      </c>
      <c r="B36" s="57"/>
      <c r="C36" s="53"/>
      <c r="D36" s="53"/>
      <c r="E36" s="76">
        <f>SUM(E34:E35)</f>
        <v>589621.34</v>
      </c>
      <c r="F36" s="76">
        <f t="shared" ref="F36:S36" si="30">SUM(F34:F35)</f>
        <v>543478.31999999995</v>
      </c>
      <c r="G36" s="76">
        <f t="shared" si="30"/>
        <v>327268.3</v>
      </c>
      <c r="H36" s="76">
        <f t="shared" si="30"/>
        <v>131870.10999999999</v>
      </c>
      <c r="I36" s="76">
        <f t="shared" si="30"/>
        <v>10000</v>
      </c>
      <c r="J36" s="76">
        <f t="shared" si="30"/>
        <v>10000</v>
      </c>
      <c r="K36" s="76">
        <f t="shared" si="30"/>
        <v>10000</v>
      </c>
      <c r="L36" s="76">
        <f t="shared" si="30"/>
        <v>10000</v>
      </c>
      <c r="M36" s="76">
        <f t="shared" si="30"/>
        <v>10000</v>
      </c>
      <c r="N36" s="76">
        <f t="shared" si="30"/>
        <v>10000</v>
      </c>
      <c r="O36" s="76">
        <f t="shared" si="30"/>
        <v>10000</v>
      </c>
      <c r="P36" s="76">
        <f t="shared" si="30"/>
        <v>10000</v>
      </c>
      <c r="Q36" s="76">
        <f t="shared" si="30"/>
        <v>10000</v>
      </c>
      <c r="R36" s="76">
        <f t="shared" si="30"/>
        <v>10000</v>
      </c>
      <c r="S36" s="76">
        <f t="shared" si="30"/>
        <v>10000</v>
      </c>
      <c r="T36" s="54"/>
      <c r="U36" s="54"/>
      <c r="V36" s="54"/>
      <c r="W36" s="54"/>
      <c r="X36" s="54"/>
    </row>
    <row r="37" spans="1:24" x14ac:dyDescent="0.25">
      <c r="A37" s="57"/>
      <c r="B37" s="57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54"/>
      <c r="V37" s="54"/>
      <c r="W37" s="54"/>
      <c r="X37" s="64"/>
    </row>
    <row r="38" spans="1:24" x14ac:dyDescent="0.25">
      <c r="A38" s="57" t="s">
        <v>110</v>
      </c>
      <c r="B38" s="57"/>
      <c r="C38" s="53"/>
      <c r="D38" s="53"/>
      <c r="E38" s="54">
        <f>+'Layout #1'!O40+'Layout #1'!O41</f>
        <v>8533471</v>
      </c>
      <c r="F38" s="54">
        <f>+Layout!$V$31+Layout!$V$32</f>
        <v>8533471</v>
      </c>
      <c r="G38" s="54">
        <f>+Layout!$V$31+Layout!$V$32</f>
        <v>8533471</v>
      </c>
      <c r="H38" s="54">
        <f>+Layout!$V$31+Layout!$V$32</f>
        <v>8533471</v>
      </c>
      <c r="I38" s="54">
        <f>+Layout!$V$31+Layout!$V$32</f>
        <v>8533471</v>
      </c>
      <c r="J38" s="54">
        <f>+Layout!$V$31+Layout!$V$32</f>
        <v>8533471</v>
      </c>
      <c r="K38" s="54">
        <f>+Layout!$V$31+Layout!$V$32</f>
        <v>8533471</v>
      </c>
      <c r="L38" s="54">
        <f>+Layout!$V$31+Layout!$V$32</f>
        <v>8533471</v>
      </c>
      <c r="M38" s="54">
        <f>+Layout!$V$31+Layout!$V$32</f>
        <v>8533471</v>
      </c>
      <c r="N38" s="54">
        <f>+Layout!$V$31+Layout!$V$32</f>
        <v>8533471</v>
      </c>
      <c r="O38" s="54">
        <f>+Layout!$V$31+Layout!$V$32</f>
        <v>8533471</v>
      </c>
      <c r="P38" s="54">
        <f>+Layout!$V$31+Layout!$V$32</f>
        <v>8533471</v>
      </c>
      <c r="Q38" s="54">
        <f>+Layout!$V$31+Layout!$V$32</f>
        <v>8533471</v>
      </c>
      <c r="R38" s="54">
        <f>+Layout!$V$31+Layout!$V$32</f>
        <v>8533471</v>
      </c>
      <c r="S38" s="54">
        <f>+Layout!$V$31+Layout!$V$32+1440000</f>
        <v>9973471</v>
      </c>
      <c r="T38" s="54"/>
      <c r="U38" s="54"/>
      <c r="V38" s="54"/>
      <c r="W38" s="54"/>
      <c r="X38" s="54"/>
    </row>
    <row r="39" spans="1:24" x14ac:dyDescent="0.25">
      <c r="A39" s="57" t="s">
        <v>111</v>
      </c>
      <c r="B39" s="57"/>
      <c r="C39" s="53"/>
      <c r="D39" s="53"/>
      <c r="E39" s="78">
        <f>E22</f>
        <v>284449.03333333333</v>
      </c>
      <c r="F39" s="78">
        <f t="shared" ref="F39:S39" si="31">E39+F22</f>
        <v>568898.06666666665</v>
      </c>
      <c r="G39" s="78">
        <f t="shared" si="31"/>
        <v>853347.1</v>
      </c>
      <c r="H39" s="78">
        <f t="shared" si="31"/>
        <v>1137796.1333333333</v>
      </c>
      <c r="I39" s="78">
        <f t="shared" si="31"/>
        <v>1422245.1666666665</v>
      </c>
      <c r="J39" s="78">
        <f t="shared" si="31"/>
        <v>1706694.1999999997</v>
      </c>
      <c r="K39" s="78">
        <f t="shared" si="31"/>
        <v>1991143.2333333329</v>
      </c>
      <c r="L39" s="78">
        <f t="shared" si="31"/>
        <v>2275592.2666666661</v>
      </c>
      <c r="M39" s="78">
        <f t="shared" si="31"/>
        <v>2560041.2999999993</v>
      </c>
      <c r="N39" s="78">
        <f t="shared" si="31"/>
        <v>2844490.3333333326</v>
      </c>
      <c r="O39" s="78">
        <f t="shared" si="31"/>
        <v>3128939.3666666658</v>
      </c>
      <c r="P39" s="78">
        <f t="shared" si="31"/>
        <v>3413388.399999999</v>
      </c>
      <c r="Q39" s="78">
        <f t="shared" si="31"/>
        <v>3697837.4333333322</v>
      </c>
      <c r="R39" s="78">
        <f t="shared" si="31"/>
        <v>3982286.4666666654</v>
      </c>
      <c r="S39" s="78">
        <f t="shared" si="31"/>
        <v>4266735.4999999991</v>
      </c>
      <c r="T39" s="54"/>
      <c r="U39" s="54"/>
      <c r="V39" s="54"/>
      <c r="W39" s="54"/>
      <c r="X39" s="54"/>
    </row>
    <row r="40" spans="1:24" x14ac:dyDescent="0.25">
      <c r="A40" s="57" t="s">
        <v>112</v>
      </c>
      <c r="B40" s="57"/>
      <c r="C40" s="53"/>
      <c r="D40" s="53"/>
      <c r="E40" s="53">
        <f t="shared" ref="E40:O40" si="32">E38-E39</f>
        <v>8249021.9666666668</v>
      </c>
      <c r="F40" s="53">
        <f t="shared" si="32"/>
        <v>7964572.9333333336</v>
      </c>
      <c r="G40" s="53">
        <f t="shared" si="32"/>
        <v>7680123.9000000004</v>
      </c>
      <c r="H40" s="53">
        <f t="shared" si="32"/>
        <v>7395674.8666666672</v>
      </c>
      <c r="I40" s="53">
        <f t="shared" si="32"/>
        <v>7111225.833333334</v>
      </c>
      <c r="J40" s="53">
        <f t="shared" si="32"/>
        <v>6826776.8000000007</v>
      </c>
      <c r="K40" s="53">
        <f t="shared" si="32"/>
        <v>6542327.7666666675</v>
      </c>
      <c r="L40" s="53">
        <f t="shared" si="32"/>
        <v>6257878.7333333343</v>
      </c>
      <c r="M40" s="53">
        <f t="shared" si="32"/>
        <v>5973429.7000000011</v>
      </c>
      <c r="N40" s="53">
        <f t="shared" si="32"/>
        <v>5688980.6666666679</v>
      </c>
      <c r="O40" s="53">
        <f t="shared" si="32"/>
        <v>5404531.6333333347</v>
      </c>
      <c r="P40" s="53">
        <f t="shared" ref="P40:S40" si="33">P38-P39</f>
        <v>5120082.6000000015</v>
      </c>
      <c r="Q40" s="53">
        <f t="shared" si="33"/>
        <v>4835633.5666666683</v>
      </c>
      <c r="R40" s="53">
        <f t="shared" si="33"/>
        <v>4551184.5333333351</v>
      </c>
      <c r="S40" s="53">
        <f t="shared" si="33"/>
        <v>5706735.5000000009</v>
      </c>
      <c r="T40" s="54"/>
      <c r="U40" s="54"/>
      <c r="V40" s="54"/>
      <c r="W40" s="54"/>
      <c r="X40" s="54"/>
    </row>
    <row r="41" spans="1:24" x14ac:dyDescent="0.25">
      <c r="A41" s="57"/>
      <c r="B41" s="5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64"/>
      <c r="U41" s="64"/>
      <c r="V41" s="64"/>
      <c r="W41" s="64"/>
      <c r="X41" s="64"/>
    </row>
    <row r="42" spans="1:24" ht="15.75" thickBot="1" x14ac:dyDescent="0.3">
      <c r="A42" s="69" t="s">
        <v>113</v>
      </c>
      <c r="B42" s="69"/>
      <c r="C42" s="53"/>
      <c r="D42" s="53"/>
      <c r="E42" s="145">
        <f t="shared" ref="E42:O42" si="34">E40+E36</f>
        <v>8838643.3066666666</v>
      </c>
      <c r="F42" s="145">
        <f t="shared" si="34"/>
        <v>8508051.2533333339</v>
      </c>
      <c r="G42" s="145">
        <f t="shared" si="34"/>
        <v>8007392.2000000002</v>
      </c>
      <c r="H42" s="145">
        <f t="shared" si="34"/>
        <v>7527544.9766666675</v>
      </c>
      <c r="I42" s="145">
        <f t="shared" si="34"/>
        <v>7121225.833333334</v>
      </c>
      <c r="J42" s="145">
        <f t="shared" si="34"/>
        <v>6836776.8000000007</v>
      </c>
      <c r="K42" s="145">
        <f t="shared" si="34"/>
        <v>6552327.7666666675</v>
      </c>
      <c r="L42" s="145">
        <f t="shared" si="34"/>
        <v>6267878.7333333343</v>
      </c>
      <c r="M42" s="145">
        <f t="shared" si="34"/>
        <v>5983429.7000000011</v>
      </c>
      <c r="N42" s="145">
        <f t="shared" si="34"/>
        <v>5698980.6666666679</v>
      </c>
      <c r="O42" s="145">
        <f t="shared" si="34"/>
        <v>5414531.6333333347</v>
      </c>
      <c r="P42" s="145">
        <f t="shared" ref="P42:S42" si="35">P40+P36</f>
        <v>5130082.6000000015</v>
      </c>
      <c r="Q42" s="145">
        <f t="shared" si="35"/>
        <v>4845633.5666666683</v>
      </c>
      <c r="R42" s="145">
        <f t="shared" si="35"/>
        <v>4561184.5333333351</v>
      </c>
      <c r="S42" s="145">
        <f t="shared" si="35"/>
        <v>5716735.5000000009</v>
      </c>
      <c r="T42" s="65"/>
      <c r="U42" s="65"/>
      <c r="V42" s="65"/>
      <c r="W42" s="65"/>
      <c r="X42" s="65"/>
    </row>
    <row r="43" spans="1:24" ht="15.75" thickTop="1" x14ac:dyDescent="0.25">
      <c r="A43" s="57"/>
      <c r="B43" s="5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4"/>
      <c r="U43" s="54"/>
      <c r="V43" s="54"/>
      <c r="W43" s="54"/>
      <c r="X43" s="64"/>
    </row>
    <row r="44" spans="1:24" x14ac:dyDescent="0.25">
      <c r="A44" s="69" t="s">
        <v>114</v>
      </c>
      <c r="B44" s="69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65"/>
      <c r="U44" s="65"/>
      <c r="V44" s="65"/>
      <c r="W44" s="65"/>
      <c r="X44" s="64"/>
    </row>
    <row r="45" spans="1:24" x14ac:dyDescent="0.25">
      <c r="A45" s="57" t="s">
        <v>115</v>
      </c>
      <c r="B45" s="57"/>
      <c r="C45" s="53">
        <v>30</v>
      </c>
      <c r="D45" s="53"/>
      <c r="E45" s="78">
        <f t="shared" ref="E45:O45" si="36">E26</f>
        <v>90773.161851210927</v>
      </c>
      <c r="F45" s="78">
        <f t="shared" si="36"/>
        <v>199830.80877460554</v>
      </c>
      <c r="G45" s="78">
        <f t="shared" si="36"/>
        <v>219359.35020730473</v>
      </c>
      <c r="H45" s="78">
        <f t="shared" si="36"/>
        <v>239907.85114919732</v>
      </c>
      <c r="I45" s="78">
        <f t="shared" si="36"/>
        <v>261534.82138815208</v>
      </c>
      <c r="J45" s="78">
        <f t="shared" si="36"/>
        <v>284302.54369430791</v>
      </c>
      <c r="K45" s="78">
        <f t="shared" si="36"/>
        <v>308277.3328684165</v>
      </c>
      <c r="L45" s="78">
        <f t="shared" si="36"/>
        <v>335130.01310578553</v>
      </c>
      <c r="M45" s="78">
        <f t="shared" si="36"/>
        <v>363335.61498752621</v>
      </c>
      <c r="N45" s="78">
        <f t="shared" si="36"/>
        <v>392974.29350526683</v>
      </c>
      <c r="O45" s="78">
        <f t="shared" si="36"/>
        <v>424131.46862675768</v>
      </c>
      <c r="P45" s="78">
        <f t="shared" ref="P45:S45" si="37">P26</f>
        <v>448857.84856852388</v>
      </c>
      <c r="Q45" s="78">
        <f t="shared" si="37"/>
        <v>464983.50874127971</v>
      </c>
      <c r="R45" s="78">
        <f t="shared" si="37"/>
        <v>481592.93871921807</v>
      </c>
      <c r="S45" s="78">
        <f t="shared" si="37"/>
        <v>498700.65159649454</v>
      </c>
      <c r="T45" s="79"/>
      <c r="U45" s="79"/>
      <c r="V45" s="79"/>
      <c r="W45" s="79"/>
      <c r="X45" s="79"/>
    </row>
    <row r="46" spans="1:24" x14ac:dyDescent="0.25">
      <c r="A46" s="57" t="s">
        <v>116</v>
      </c>
      <c r="B46" s="57"/>
      <c r="C46" s="53"/>
      <c r="D46" s="53"/>
      <c r="E46" s="53">
        <f t="shared" ref="E46:O46" si="38">SUM(E45:E45)</f>
        <v>90773.161851210927</v>
      </c>
      <c r="F46" s="53">
        <f t="shared" si="38"/>
        <v>199830.80877460554</v>
      </c>
      <c r="G46" s="53">
        <f t="shared" si="38"/>
        <v>219359.35020730473</v>
      </c>
      <c r="H46" s="53">
        <f t="shared" si="38"/>
        <v>239907.85114919732</v>
      </c>
      <c r="I46" s="53">
        <f t="shared" si="38"/>
        <v>261534.82138815208</v>
      </c>
      <c r="J46" s="53">
        <f t="shared" si="38"/>
        <v>284302.54369430791</v>
      </c>
      <c r="K46" s="53">
        <f t="shared" si="38"/>
        <v>308277.3328684165</v>
      </c>
      <c r="L46" s="53">
        <f t="shared" si="38"/>
        <v>335130.01310578553</v>
      </c>
      <c r="M46" s="53">
        <f t="shared" si="38"/>
        <v>363335.61498752621</v>
      </c>
      <c r="N46" s="53">
        <f t="shared" si="38"/>
        <v>392974.29350526683</v>
      </c>
      <c r="O46" s="53">
        <f t="shared" si="38"/>
        <v>424131.46862675768</v>
      </c>
      <c r="P46" s="53">
        <f t="shared" ref="P46:S46" si="39">SUM(P45:P45)</f>
        <v>448857.84856852388</v>
      </c>
      <c r="Q46" s="53">
        <f t="shared" si="39"/>
        <v>464983.50874127971</v>
      </c>
      <c r="R46" s="53">
        <f t="shared" si="39"/>
        <v>481592.93871921807</v>
      </c>
      <c r="S46" s="53">
        <f t="shared" si="39"/>
        <v>498700.65159649454</v>
      </c>
      <c r="T46" s="54"/>
      <c r="U46" s="54"/>
      <c r="V46" s="54"/>
      <c r="W46" s="54"/>
      <c r="X46" s="54"/>
    </row>
    <row r="47" spans="1:24" x14ac:dyDescent="0.25">
      <c r="A47" s="57"/>
      <c r="B47" s="57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4"/>
      <c r="U47" s="54"/>
      <c r="V47" s="54"/>
      <c r="W47" s="54"/>
      <c r="X47" s="64"/>
    </row>
    <row r="48" spans="1:24" x14ac:dyDescent="0.25">
      <c r="A48" s="57" t="s">
        <v>210</v>
      </c>
      <c r="B48" s="57"/>
      <c r="C48" s="70">
        <v>0.12</v>
      </c>
      <c r="D48" s="53"/>
      <c r="E48" s="53">
        <v>6613837.4598713517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4"/>
      <c r="U48" s="54"/>
      <c r="V48" s="54"/>
      <c r="W48" s="54"/>
      <c r="X48" s="54"/>
    </row>
    <row r="49" spans="1:25" x14ac:dyDescent="0.25">
      <c r="A49" s="57" t="s">
        <v>117</v>
      </c>
      <c r="B49" s="57"/>
      <c r="C49" s="70"/>
      <c r="D49" s="53"/>
      <c r="E49" s="78">
        <v>0</v>
      </c>
      <c r="F49" s="78">
        <f>+'Loan Amort'!F19</f>
        <v>6140297.6614996931</v>
      </c>
      <c r="G49" s="78">
        <f>+'Loan Amort'!F31</f>
        <v>5632525.6328150993</v>
      </c>
      <c r="H49" s="78">
        <f>+'Loan Amort'!F43</f>
        <v>5088046.7231203616</v>
      </c>
      <c r="I49" s="78">
        <f>+'Loan Amort'!F55</f>
        <v>4504207.3890192769</v>
      </c>
      <c r="J49" s="78">
        <f>+'Loan Amort'!F67</f>
        <v>3878162.2622489743</v>
      </c>
      <c r="K49" s="78">
        <f>+'Loan Amort'!F79</f>
        <v>3206860.2826447943</v>
      </c>
      <c r="L49" s="78">
        <f>+'Loan Amort'!F91</f>
        <v>2487029.8286560765</v>
      </c>
      <c r="M49" s="78">
        <f>+'Loan Amort'!F103</f>
        <v>1715162.7729457337</v>
      </c>
      <c r="N49" s="78">
        <f>+'Loan Amort'!F115</f>
        <v>887497.38536782539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54"/>
      <c r="U49" s="54"/>
      <c r="V49" s="54"/>
      <c r="W49" s="54"/>
      <c r="X49" s="54"/>
    </row>
    <row r="50" spans="1:25" x14ac:dyDescent="0.25">
      <c r="A50" s="57"/>
      <c r="B50" s="57"/>
      <c r="C50" s="53"/>
      <c r="D50" s="53"/>
      <c r="E50" s="53">
        <v>51929</v>
      </c>
      <c r="F50" s="53">
        <v>55683</v>
      </c>
      <c r="G50" s="53">
        <v>59709</v>
      </c>
      <c r="H50" s="53">
        <v>64025</v>
      </c>
      <c r="I50" s="53">
        <v>68653</v>
      </c>
      <c r="J50" s="53">
        <v>70447.3</v>
      </c>
      <c r="K50" s="53">
        <v>74626.3</v>
      </c>
      <c r="L50" s="53">
        <v>78805.3</v>
      </c>
      <c r="M50" s="53">
        <v>82984.3</v>
      </c>
      <c r="N50" s="53">
        <v>87163.3</v>
      </c>
      <c r="O50" s="53">
        <v>89252.800000000003</v>
      </c>
      <c r="P50" s="53">
        <v>93849.7</v>
      </c>
      <c r="Q50" s="53">
        <v>97610.8</v>
      </c>
      <c r="R50" s="53">
        <v>101371.9</v>
      </c>
      <c r="S50" s="53">
        <v>105133</v>
      </c>
      <c r="T50" s="54"/>
      <c r="U50" s="54"/>
      <c r="V50" s="54"/>
      <c r="W50" s="54"/>
      <c r="X50" s="64"/>
    </row>
    <row r="51" spans="1:25" x14ac:dyDescent="0.25">
      <c r="A51" s="57"/>
      <c r="B51" s="57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4"/>
      <c r="U51" s="54"/>
      <c r="V51" s="54"/>
      <c r="W51" s="54"/>
      <c r="X51" s="64"/>
    </row>
    <row r="52" spans="1:25" x14ac:dyDescent="0.25">
      <c r="A52" s="57" t="s">
        <v>118</v>
      </c>
      <c r="B52" s="57"/>
      <c r="C52" s="53"/>
      <c r="D52" s="53"/>
      <c r="E52" s="53">
        <v>2000000</v>
      </c>
      <c r="F52" s="53">
        <v>2000000</v>
      </c>
      <c r="G52" s="53">
        <v>2000000</v>
      </c>
      <c r="H52" s="53">
        <v>2000000</v>
      </c>
      <c r="I52" s="53">
        <v>2000000</v>
      </c>
      <c r="J52" s="53">
        <v>2000000</v>
      </c>
      <c r="K52" s="53">
        <v>2000000</v>
      </c>
      <c r="L52" s="53">
        <v>2000000</v>
      </c>
      <c r="M52" s="53">
        <v>2000000</v>
      </c>
      <c r="N52" s="53">
        <v>2000000</v>
      </c>
      <c r="O52" s="53">
        <v>2000000</v>
      </c>
      <c r="P52" s="53">
        <v>2000000</v>
      </c>
      <c r="Q52" s="53">
        <v>2000000</v>
      </c>
      <c r="R52" s="53">
        <v>2000000</v>
      </c>
      <c r="S52" s="53">
        <v>2000000</v>
      </c>
      <c r="T52" s="54"/>
      <c r="U52" s="54"/>
      <c r="V52" s="54"/>
      <c r="W52" s="54"/>
      <c r="X52" s="54"/>
    </row>
    <row r="53" spans="1:25" x14ac:dyDescent="0.25">
      <c r="A53" s="57" t="s">
        <v>119</v>
      </c>
      <c r="B53" s="57"/>
      <c r="C53" s="53"/>
      <c r="D53" s="53"/>
      <c r="E53" s="54">
        <f>+E62</f>
        <v>134032.68382262089</v>
      </c>
      <c r="F53" s="54">
        <f t="shared" ref="F53:S53" si="40">+F62</f>
        <v>167922.78230187949</v>
      </c>
      <c r="G53" s="54">
        <f t="shared" si="40"/>
        <v>155507.21686137165</v>
      </c>
      <c r="H53" s="54">
        <f t="shared" si="40"/>
        <v>199590.39810511516</v>
      </c>
      <c r="I53" s="54">
        <f t="shared" si="40"/>
        <v>355483.62113073166</v>
      </c>
      <c r="J53" s="54">
        <f t="shared" si="40"/>
        <v>674311.98946232523</v>
      </c>
      <c r="K53" s="54">
        <f t="shared" si="40"/>
        <v>1037190.1512448892</v>
      </c>
      <c r="L53" s="54">
        <f t="shared" si="40"/>
        <v>1445718.888059559</v>
      </c>
      <c r="M53" s="54">
        <f t="shared" si="40"/>
        <v>1904931.3103255995</v>
      </c>
      <c r="N53" s="54">
        <f t="shared" si="40"/>
        <v>2418508.9871212956</v>
      </c>
      <c r="O53" s="54">
        <f t="shared" si="40"/>
        <v>2990400.162400641</v>
      </c>
      <c r="P53" s="54">
        <f t="shared" si="40"/>
        <v>2681224.7534778756</v>
      </c>
      <c r="Q53" s="54">
        <f t="shared" si="40"/>
        <v>2380650.0620717281</v>
      </c>
      <c r="R53" s="54">
        <f t="shared" si="40"/>
        <v>2079591.5984076958</v>
      </c>
      <c r="S53" s="54">
        <f t="shared" si="40"/>
        <v>3218034.8469180427</v>
      </c>
      <c r="T53" s="54"/>
      <c r="U53" s="54"/>
      <c r="V53" s="54"/>
      <c r="W53" s="54"/>
      <c r="X53" s="64"/>
    </row>
    <row r="54" spans="1:25" x14ac:dyDescent="0.25">
      <c r="A54" s="57" t="s">
        <v>120</v>
      </c>
      <c r="B54" s="57"/>
      <c r="C54" s="53"/>
      <c r="D54" s="53"/>
      <c r="E54" s="76">
        <f>+E53+E52</f>
        <v>2134032.6838226207</v>
      </c>
      <c r="F54" s="76">
        <f t="shared" ref="F54:S54" si="41">+F53+F52</f>
        <v>2167922.7823018795</v>
      </c>
      <c r="G54" s="76">
        <f t="shared" si="41"/>
        <v>2155507.2168613719</v>
      </c>
      <c r="H54" s="76">
        <f t="shared" si="41"/>
        <v>2199590.3981051152</v>
      </c>
      <c r="I54" s="76">
        <f t="shared" si="41"/>
        <v>2355483.6211307319</v>
      </c>
      <c r="J54" s="76">
        <f t="shared" si="41"/>
        <v>2674311.9894623253</v>
      </c>
      <c r="K54" s="76">
        <f t="shared" si="41"/>
        <v>3037190.151244889</v>
      </c>
      <c r="L54" s="76">
        <f t="shared" si="41"/>
        <v>3445718.8880595593</v>
      </c>
      <c r="M54" s="76">
        <f t="shared" si="41"/>
        <v>3904931.3103255993</v>
      </c>
      <c r="N54" s="76">
        <f t="shared" si="41"/>
        <v>4418508.9871212952</v>
      </c>
      <c r="O54" s="76">
        <f t="shared" si="41"/>
        <v>4990400.1624006405</v>
      </c>
      <c r="P54" s="76">
        <f t="shared" si="41"/>
        <v>4681224.7534778751</v>
      </c>
      <c r="Q54" s="76">
        <f t="shared" si="41"/>
        <v>4380650.0620717276</v>
      </c>
      <c r="R54" s="76">
        <f t="shared" si="41"/>
        <v>4079591.598407696</v>
      </c>
      <c r="S54" s="76">
        <f t="shared" si="41"/>
        <v>5218034.8469180427</v>
      </c>
      <c r="T54" s="54"/>
      <c r="U54" s="54"/>
      <c r="V54" s="54"/>
      <c r="W54" s="54"/>
      <c r="X54" s="54"/>
    </row>
    <row r="55" spans="1:25" x14ac:dyDescent="0.25">
      <c r="A55" s="57"/>
      <c r="B55" s="57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  <c r="U55" s="54"/>
      <c r="V55" s="54"/>
      <c r="W55" s="54"/>
      <c r="X55" s="64"/>
    </row>
    <row r="56" spans="1:25" ht="15.75" thickBot="1" x14ac:dyDescent="0.3">
      <c r="A56" s="69" t="s">
        <v>121</v>
      </c>
      <c r="B56" s="69"/>
      <c r="C56" s="53"/>
      <c r="D56" s="53"/>
      <c r="E56" s="145">
        <f t="shared" ref="E56:S56" si="42">E54+E49+E48+E46</f>
        <v>8838643.3055451829</v>
      </c>
      <c r="F56" s="145">
        <f t="shared" si="42"/>
        <v>8508051.2525761779</v>
      </c>
      <c r="G56" s="145">
        <f t="shared" si="42"/>
        <v>8007392.1998837758</v>
      </c>
      <c r="H56" s="145">
        <f t="shared" si="42"/>
        <v>7527544.9723746739</v>
      </c>
      <c r="I56" s="145">
        <f t="shared" si="42"/>
        <v>7121225.8315381613</v>
      </c>
      <c r="J56" s="145">
        <f t="shared" si="42"/>
        <v>6836776.7954056077</v>
      </c>
      <c r="K56" s="145">
        <f t="shared" si="42"/>
        <v>6552327.7667581001</v>
      </c>
      <c r="L56" s="145">
        <f t="shared" si="42"/>
        <v>6267878.7298214212</v>
      </c>
      <c r="M56" s="145">
        <f t="shared" si="42"/>
        <v>5983429.6982588591</v>
      </c>
      <c r="N56" s="145">
        <f t="shared" si="42"/>
        <v>5698980.6659943881</v>
      </c>
      <c r="O56" s="145">
        <f t="shared" si="42"/>
        <v>5414531.6310273986</v>
      </c>
      <c r="P56" s="145">
        <f t="shared" si="42"/>
        <v>5130082.6020463994</v>
      </c>
      <c r="Q56" s="145">
        <f t="shared" si="42"/>
        <v>4845633.5708130077</v>
      </c>
      <c r="R56" s="145">
        <f t="shared" si="42"/>
        <v>4561184.5371269137</v>
      </c>
      <c r="S56" s="145">
        <f t="shared" si="42"/>
        <v>5716735.4985145377</v>
      </c>
      <c r="T56" s="65"/>
      <c r="U56" s="65"/>
      <c r="V56" s="65"/>
      <c r="W56" s="65"/>
      <c r="X56" s="65"/>
    </row>
    <row r="57" spans="1:25" ht="15.75" thickTop="1" x14ac:dyDescent="0.25">
      <c r="A57" s="57" t="s">
        <v>122</v>
      </c>
      <c r="B57" s="49" t="s">
        <v>123</v>
      </c>
      <c r="D57" s="53"/>
      <c r="E57" s="53">
        <f t="shared" ref="E57:S57" si="43">E42-E56</f>
        <v>1.1214837431907654E-3</v>
      </c>
      <c r="F57" s="53">
        <f t="shared" si="43"/>
        <v>7.5715593993663788E-4</v>
      </c>
      <c r="G57" s="53">
        <f t="shared" si="43"/>
        <v>1.1622440069913864E-4</v>
      </c>
      <c r="H57" s="53">
        <f t="shared" si="43"/>
        <v>4.2919935658574104E-3</v>
      </c>
      <c r="I57" s="53">
        <f t="shared" si="43"/>
        <v>1.7951726913452148E-3</v>
      </c>
      <c r="J57" s="53">
        <f t="shared" si="43"/>
        <v>4.5943930745124817E-3</v>
      </c>
      <c r="K57" s="53">
        <f t="shared" si="43"/>
        <v>-9.1432593762874603E-5</v>
      </c>
      <c r="L57" s="53">
        <f t="shared" si="43"/>
        <v>3.5119131207466125E-3</v>
      </c>
      <c r="M57" s="53">
        <f t="shared" si="43"/>
        <v>1.7411420121788979E-3</v>
      </c>
      <c r="N57" s="53">
        <f t="shared" si="43"/>
        <v>6.7227985709905624E-4</v>
      </c>
      <c r="O57" s="53">
        <f t="shared" si="43"/>
        <v>2.3059360682964325E-3</v>
      </c>
      <c r="P57" s="53">
        <f t="shared" si="43"/>
        <v>-2.0463978871703148E-3</v>
      </c>
      <c r="Q57" s="53">
        <f t="shared" si="43"/>
        <v>-4.1463393718004227E-3</v>
      </c>
      <c r="R57" s="53">
        <f t="shared" si="43"/>
        <v>-3.7935785949230194E-3</v>
      </c>
      <c r="S57" s="53">
        <f t="shared" si="43"/>
        <v>1.4854632318019867E-3</v>
      </c>
      <c r="T57" s="63"/>
      <c r="U57" s="63"/>
      <c r="V57" s="63"/>
      <c r="W57" s="63"/>
      <c r="X57" s="63"/>
    </row>
    <row r="58" spans="1:25" x14ac:dyDescent="0.25">
      <c r="A58" s="57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4"/>
      <c r="U58" s="54"/>
      <c r="V58" s="54"/>
      <c r="W58" s="54"/>
      <c r="X58" s="54"/>
    </row>
    <row r="59" spans="1:25" ht="15.75" x14ac:dyDescent="0.25">
      <c r="A59" s="147" t="s">
        <v>119</v>
      </c>
      <c r="T59" s="64"/>
      <c r="U59" s="64"/>
      <c r="V59" s="64"/>
      <c r="W59" s="64"/>
      <c r="X59" s="64"/>
    </row>
    <row r="60" spans="1:25" x14ac:dyDescent="0.25">
      <c r="A60" s="49" t="s">
        <v>217</v>
      </c>
      <c r="E60" s="55">
        <f>+E28</f>
        <v>534032.68382262089</v>
      </c>
      <c r="F60" s="55">
        <f>+F28+E62</f>
        <v>967922.78230187949</v>
      </c>
      <c r="G60" s="55">
        <f t="shared" ref="G60:I60" si="44">+G28+F62</f>
        <v>1055507.2168613716</v>
      </c>
      <c r="H60" s="55">
        <f t="shared" si="44"/>
        <v>1099590.3981051152</v>
      </c>
      <c r="I60" s="55">
        <f t="shared" si="44"/>
        <v>1203137.6111307316</v>
      </c>
      <c r="J60" s="55">
        <f t="shared" ref="J60:S60" si="45">+J28+I62</f>
        <v>1421631.3994623253</v>
      </c>
      <c r="K60" s="55">
        <f t="shared" si="45"/>
        <v>1806379.2012448893</v>
      </c>
      <c r="L60" s="55">
        <f t="shared" si="45"/>
        <v>2243089.6480595591</v>
      </c>
      <c r="M60" s="55">
        <f t="shared" si="45"/>
        <v>2729170.5703255995</v>
      </c>
      <c r="N60" s="55">
        <f t="shared" si="45"/>
        <v>3269875.4671212956</v>
      </c>
      <c r="O60" s="55">
        <f t="shared" si="45"/>
        <v>3869120.7724006409</v>
      </c>
      <c r="P60" s="55">
        <f t="shared" si="45"/>
        <v>4508997.9034778755</v>
      </c>
      <c r="Q60" s="55">
        <f t="shared" si="45"/>
        <v>4244160.502071728</v>
      </c>
      <c r="R60" s="55">
        <f t="shared" si="45"/>
        <v>3989253.9584076959</v>
      </c>
      <c r="S60" s="55">
        <f t="shared" si="45"/>
        <v>3735233.6869180426</v>
      </c>
      <c r="T60" s="64"/>
      <c r="U60" s="64"/>
      <c r="V60" s="64"/>
      <c r="W60" s="64"/>
      <c r="X60" s="64"/>
    </row>
    <row r="61" spans="1:25" x14ac:dyDescent="0.25">
      <c r="A61" s="49" t="s">
        <v>215</v>
      </c>
      <c r="E61" s="53">
        <v>-400000</v>
      </c>
      <c r="F61" s="53">
        <v>-800000</v>
      </c>
      <c r="G61" s="53">
        <f>-900000</f>
        <v>-900000</v>
      </c>
      <c r="H61" s="53">
        <v>-900000</v>
      </c>
      <c r="I61" s="53">
        <v>-847653.99</v>
      </c>
      <c r="J61" s="53">
        <v>-747319.41</v>
      </c>
      <c r="K61" s="53">
        <v>-769189.05</v>
      </c>
      <c r="L61" s="53">
        <v>-797370.76</v>
      </c>
      <c r="M61" s="53">
        <v>-824239.26</v>
      </c>
      <c r="N61" s="53">
        <v>-851366.48</v>
      </c>
      <c r="O61" s="53">
        <v>-878720.61</v>
      </c>
      <c r="P61" s="53">
        <v>-1827773.15</v>
      </c>
      <c r="Q61" s="53">
        <v>-1863510.44</v>
      </c>
      <c r="R61" s="53">
        <v>-1909662.36</v>
      </c>
      <c r="S61" s="53">
        <v>-517198.84</v>
      </c>
      <c r="T61" s="64"/>
      <c r="U61" s="64"/>
      <c r="V61" s="64"/>
      <c r="W61" s="64"/>
      <c r="X61" s="64"/>
    </row>
    <row r="62" spans="1:25" x14ac:dyDescent="0.25">
      <c r="A62" s="49" t="s">
        <v>216</v>
      </c>
      <c r="E62" s="55">
        <f>SUM(E60:E61)</f>
        <v>134032.68382262089</v>
      </c>
      <c r="F62" s="55">
        <f>SUM(F60:F61)</f>
        <v>167922.78230187949</v>
      </c>
      <c r="G62" s="55">
        <f t="shared" ref="G62:I62" si="46">SUM(G60:G61)</f>
        <v>155507.21686137165</v>
      </c>
      <c r="H62" s="55">
        <f t="shared" si="46"/>
        <v>199590.39810511516</v>
      </c>
      <c r="I62" s="55">
        <f t="shared" si="46"/>
        <v>355483.62113073166</v>
      </c>
      <c r="J62" s="55">
        <f t="shared" ref="J62" si="47">SUM(J60:J61)</f>
        <v>674311.98946232523</v>
      </c>
      <c r="K62" s="55">
        <f t="shared" ref="K62:L62" si="48">SUM(K60:K61)</f>
        <v>1037190.1512448892</v>
      </c>
      <c r="L62" s="55">
        <f t="shared" si="48"/>
        <v>1445718.888059559</v>
      </c>
      <c r="M62" s="55">
        <f t="shared" ref="M62" si="49">SUM(M60:M61)</f>
        <v>1904931.3103255995</v>
      </c>
      <c r="N62" s="55">
        <f t="shared" ref="N62:O62" si="50">SUM(N60:N61)</f>
        <v>2418508.9871212956</v>
      </c>
      <c r="O62" s="55">
        <f t="shared" si="50"/>
        <v>2990400.162400641</v>
      </c>
      <c r="P62" s="55">
        <f t="shared" ref="P62" si="51">SUM(P60:P61)</f>
        <v>2681224.7534778756</v>
      </c>
      <c r="Q62" s="55">
        <f t="shared" ref="Q62:R62" si="52">SUM(Q60:Q61)</f>
        <v>2380650.0620717281</v>
      </c>
      <c r="R62" s="55">
        <f t="shared" si="52"/>
        <v>2079591.5984076958</v>
      </c>
      <c r="S62" s="55">
        <f t="shared" ref="S62" si="53">SUM(S60:S61)</f>
        <v>3218034.8469180427</v>
      </c>
      <c r="T62" s="64"/>
      <c r="U62" s="64"/>
      <c r="V62" s="64"/>
      <c r="W62" s="64"/>
      <c r="X62" s="64"/>
    </row>
    <row r="63" spans="1:25" x14ac:dyDescent="0.25"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</row>
    <row r="64" spans="1:25" x14ac:dyDescent="0.25">
      <c r="A64" s="80" t="s">
        <v>143</v>
      </c>
      <c r="B64" s="148" t="s">
        <v>144</v>
      </c>
      <c r="C64" s="149"/>
      <c r="D64" s="80" t="s">
        <v>145</v>
      </c>
      <c r="E64" s="81" t="s">
        <v>147</v>
      </c>
      <c r="F64" s="82" t="s">
        <v>195</v>
      </c>
      <c r="G64" s="80" t="s">
        <v>146</v>
      </c>
      <c r="I64" s="83" t="s">
        <v>148</v>
      </c>
      <c r="J64" s="84" t="s">
        <v>149</v>
      </c>
      <c r="K64" s="85"/>
      <c r="L64" s="82"/>
      <c r="O64" s="64"/>
      <c r="P64" s="86"/>
      <c r="Q64" s="86"/>
      <c r="R64" s="64"/>
      <c r="S64" s="64"/>
      <c r="T64" s="64"/>
      <c r="U64" s="86"/>
      <c r="V64" s="86"/>
      <c r="W64" s="64"/>
      <c r="X64" s="64"/>
      <c r="Y64" s="64"/>
    </row>
    <row r="65" spans="1:25" x14ac:dyDescent="0.25">
      <c r="A65" s="87" t="s">
        <v>194</v>
      </c>
      <c r="B65" s="150">
        <v>5</v>
      </c>
      <c r="C65" s="151"/>
      <c r="D65" s="87">
        <v>0.81</v>
      </c>
      <c r="E65" s="143">
        <f>D65/(1+(1-G65)*(C83/C84))</f>
        <v>0.15048495283765162</v>
      </c>
      <c r="F65" s="143">
        <f>E65*(1+(1-G65)*(F83/F84))</f>
        <v>0.40796972330796821</v>
      </c>
      <c r="G65" s="88">
        <v>0.26669999999999999</v>
      </c>
      <c r="I65" s="89">
        <v>0.1903</v>
      </c>
      <c r="J65" s="90">
        <v>1.1499999999999999</v>
      </c>
      <c r="K65" s="91"/>
      <c r="L65" s="92"/>
      <c r="O65" s="64"/>
      <c r="P65" s="86"/>
      <c r="Q65" s="86"/>
      <c r="R65" s="64"/>
      <c r="S65" s="64"/>
      <c r="T65" s="64"/>
      <c r="U65" s="86"/>
      <c r="V65" s="86"/>
      <c r="W65" s="64"/>
      <c r="X65" s="64"/>
      <c r="Y65" s="64"/>
    </row>
    <row r="66" spans="1:25" x14ac:dyDescent="0.25">
      <c r="A66" s="93" t="s">
        <v>150</v>
      </c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x14ac:dyDescent="0.25">
      <c r="T67" s="64"/>
      <c r="U67" s="64"/>
      <c r="V67" s="64"/>
      <c r="W67" s="64"/>
      <c r="X67" s="64"/>
    </row>
    <row r="68" spans="1:25" x14ac:dyDescent="0.25">
      <c r="A68" s="49" t="s">
        <v>155</v>
      </c>
      <c r="C68" s="49" t="s">
        <v>157</v>
      </c>
      <c r="T68" s="64"/>
      <c r="U68" s="64"/>
      <c r="V68" s="64"/>
      <c r="W68" s="64"/>
      <c r="X68" s="64"/>
    </row>
    <row r="69" spans="1:25" x14ac:dyDescent="0.25">
      <c r="A69" s="55" t="str">
        <f>A48</f>
        <v>Construction Debt</v>
      </c>
      <c r="B69" s="94">
        <f>E48</f>
        <v>6613837.4598713517</v>
      </c>
      <c r="C69" s="95">
        <v>0.12</v>
      </c>
      <c r="D69" s="95"/>
      <c r="E69" s="51">
        <f>B69/B71</f>
        <v>0.51856416738043598</v>
      </c>
      <c r="F69" s="72">
        <f>C69*E69</f>
        <v>6.2227700085652315E-2</v>
      </c>
      <c r="H69" s="49" t="s">
        <v>196</v>
      </c>
      <c r="T69" s="64"/>
      <c r="U69" s="64"/>
      <c r="V69" s="64"/>
      <c r="W69" s="64"/>
      <c r="X69" s="64"/>
    </row>
    <row r="70" spans="1:25" ht="15.75" thickBot="1" x14ac:dyDescent="0.3">
      <c r="A70" s="55" t="str">
        <f>A49</f>
        <v>Long term debt</v>
      </c>
      <c r="B70" s="94">
        <f>+F49</f>
        <v>6140297.6614996931</v>
      </c>
      <c r="C70" s="51">
        <v>7.0000000000000007E-2</v>
      </c>
      <c r="D70" s="51"/>
      <c r="E70" s="51">
        <f>B70/B71</f>
        <v>0.48143583261956396</v>
      </c>
      <c r="F70" s="72">
        <f>C70*E70</f>
        <v>3.3700508283369478E-2</v>
      </c>
      <c r="H70" s="49" t="s">
        <v>197</v>
      </c>
      <c r="T70" s="64"/>
      <c r="U70" s="64"/>
      <c r="V70" s="64"/>
      <c r="W70" s="64"/>
      <c r="X70" s="64"/>
    </row>
    <row r="71" spans="1:25" ht="16.5" thickTop="1" thickBot="1" x14ac:dyDescent="0.3">
      <c r="A71" s="49" t="s">
        <v>156</v>
      </c>
      <c r="B71" s="94">
        <f>SUM(B69:B70)</f>
        <v>12754135.121371046</v>
      </c>
      <c r="E71" s="96" t="s">
        <v>167</v>
      </c>
      <c r="F71" s="97">
        <f>SUM(F69:F70)</f>
        <v>9.59282083690218E-2</v>
      </c>
      <c r="T71" s="64"/>
      <c r="U71" s="64"/>
      <c r="V71" s="64"/>
      <c r="W71" s="64"/>
      <c r="X71" s="64"/>
    </row>
    <row r="72" spans="1:25" ht="15.75" thickTop="1" x14ac:dyDescent="0.25">
      <c r="T72" s="64"/>
      <c r="U72" s="64"/>
      <c r="V72" s="64"/>
      <c r="W72" s="64"/>
      <c r="X72" s="64"/>
    </row>
    <row r="73" spans="1:25" x14ac:dyDescent="0.25">
      <c r="A73" s="49" t="s">
        <v>195</v>
      </c>
      <c r="B73" s="53">
        <f>+F65</f>
        <v>0.40796972330796821</v>
      </c>
      <c r="T73" s="64"/>
      <c r="U73" s="64"/>
      <c r="V73" s="64"/>
      <c r="W73" s="64"/>
      <c r="X73" s="64"/>
    </row>
    <row r="74" spans="1:25" x14ac:dyDescent="0.25">
      <c r="A74" s="49" t="s">
        <v>159</v>
      </c>
      <c r="B74" s="98">
        <v>1.6299999999999999E-2</v>
      </c>
      <c r="T74" s="64"/>
      <c r="U74" s="64"/>
      <c r="V74" s="64"/>
      <c r="W74" s="64"/>
      <c r="X74" s="64"/>
    </row>
    <row r="75" spans="1:25" x14ac:dyDescent="0.25">
      <c r="A75" s="93" t="s">
        <v>162</v>
      </c>
      <c r="T75" s="64"/>
      <c r="U75" s="64"/>
      <c r="V75" s="64"/>
      <c r="W75" s="64"/>
      <c r="X75" s="64"/>
    </row>
    <row r="76" spans="1:25" x14ac:dyDescent="0.25">
      <c r="A76" s="49" t="s">
        <v>160</v>
      </c>
      <c r="B76" s="98">
        <v>9.0700000000000003E-2</v>
      </c>
      <c r="T76" s="64"/>
      <c r="U76" s="64"/>
      <c r="V76" s="64"/>
      <c r="W76" s="64"/>
      <c r="X76" s="64"/>
    </row>
    <row r="77" spans="1:25" x14ac:dyDescent="0.25">
      <c r="A77" s="93" t="s">
        <v>161</v>
      </c>
      <c r="T77" s="64"/>
      <c r="U77" s="64"/>
      <c r="V77" s="64"/>
      <c r="W77" s="64"/>
      <c r="X77" s="64"/>
    </row>
    <row r="78" spans="1:25" x14ac:dyDescent="0.25">
      <c r="A78" s="93"/>
      <c r="T78" s="64"/>
      <c r="U78" s="64"/>
      <c r="V78" s="64"/>
      <c r="W78" s="64"/>
      <c r="X78" s="64"/>
    </row>
    <row r="79" spans="1:25" x14ac:dyDescent="0.25">
      <c r="A79" s="49" t="s">
        <v>164</v>
      </c>
      <c r="B79" s="72">
        <f>B76-B74</f>
        <v>7.4400000000000008E-2</v>
      </c>
      <c r="D79" s="49" t="s">
        <v>191</v>
      </c>
      <c r="T79" s="64"/>
      <c r="U79" s="64"/>
      <c r="V79" s="64"/>
      <c r="W79" s="64"/>
      <c r="X79" s="64"/>
    </row>
    <row r="80" spans="1:25" x14ac:dyDescent="0.25">
      <c r="A80" s="49" t="s">
        <v>165</v>
      </c>
      <c r="B80" s="98">
        <f>G65</f>
        <v>0.26669999999999999</v>
      </c>
      <c r="D80" s="95">
        <v>0.06</v>
      </c>
      <c r="T80" s="64"/>
      <c r="U80" s="64"/>
      <c r="V80" s="64"/>
      <c r="W80" s="64"/>
      <c r="X80" s="64"/>
    </row>
    <row r="81" spans="1:24" x14ac:dyDescent="0.25">
      <c r="A81" s="49" t="s">
        <v>166</v>
      </c>
      <c r="B81" s="98">
        <f>B79*B73+B74</f>
        <v>4.6652947414112841E-2</v>
      </c>
      <c r="T81" s="64"/>
      <c r="U81" s="64"/>
      <c r="V81" s="64"/>
      <c r="W81" s="64"/>
      <c r="X81" s="64"/>
    </row>
    <row r="82" spans="1:24" x14ac:dyDescent="0.25">
      <c r="C82" s="49" t="s">
        <v>163</v>
      </c>
      <c r="E82" s="144" t="s">
        <v>211</v>
      </c>
      <c r="F82" s="144"/>
      <c r="T82" s="64"/>
      <c r="U82" s="64"/>
      <c r="V82" s="64"/>
      <c r="W82" s="64"/>
      <c r="X82" s="64"/>
    </row>
    <row r="83" spans="1:24" x14ac:dyDescent="0.25">
      <c r="A83" s="49" t="s">
        <v>156</v>
      </c>
      <c r="B83" s="94">
        <f>B71</f>
        <v>12754135.121371046</v>
      </c>
      <c r="C83" s="72">
        <f>B83/B85</f>
        <v>0.85666250463148508</v>
      </c>
      <c r="D83" s="72"/>
      <c r="E83" s="49" t="s">
        <v>212</v>
      </c>
      <c r="F83" s="95">
        <v>0.7</v>
      </c>
      <c r="T83" s="64"/>
      <c r="U83" s="64"/>
      <c r="V83" s="64"/>
      <c r="W83" s="64"/>
      <c r="X83" s="64"/>
    </row>
    <row r="84" spans="1:24" x14ac:dyDescent="0.25">
      <c r="A84" s="49" t="s">
        <v>158</v>
      </c>
      <c r="B84" s="94">
        <f>E54</f>
        <v>2134032.6838226207</v>
      </c>
      <c r="C84" s="72">
        <f>B84/B85</f>
        <v>0.14333749536851495</v>
      </c>
      <c r="D84" s="72"/>
      <c r="E84" s="49" t="s">
        <v>213</v>
      </c>
      <c r="F84" s="95">
        <v>0.3</v>
      </c>
      <c r="T84" s="64"/>
      <c r="U84" s="64"/>
      <c r="V84" s="64"/>
      <c r="W84" s="64"/>
      <c r="X84" s="64"/>
    </row>
    <row r="85" spans="1:24" x14ac:dyDescent="0.25">
      <c r="B85" s="94">
        <f>SUM(B83:B84)</f>
        <v>14888167.805193666</v>
      </c>
      <c r="T85" s="64"/>
      <c r="U85" s="64"/>
      <c r="V85" s="64"/>
      <c r="W85" s="64"/>
      <c r="X85" s="64"/>
    </row>
    <row r="86" spans="1:24" x14ac:dyDescent="0.25">
      <c r="T86" s="64"/>
      <c r="U86" s="64"/>
      <c r="V86" s="64"/>
      <c r="W86" s="64"/>
      <c r="X86" s="64"/>
    </row>
    <row r="87" spans="1:24" x14ac:dyDescent="0.25">
      <c r="A87" s="99" t="s">
        <v>168</v>
      </c>
      <c r="B87" s="100">
        <f>F71</f>
        <v>9.59282083690218E-2</v>
      </c>
      <c r="T87" s="64"/>
      <c r="U87" s="64"/>
      <c r="V87" s="64"/>
      <c r="W87" s="64"/>
      <c r="X87" s="64"/>
    </row>
    <row r="88" spans="1:24" x14ac:dyDescent="0.25">
      <c r="A88" s="99"/>
      <c r="B88" s="101"/>
      <c r="T88" s="64"/>
      <c r="U88" s="64"/>
      <c r="V88" s="64"/>
      <c r="W88" s="64"/>
      <c r="X88" s="64"/>
    </row>
    <row r="89" spans="1:24" x14ac:dyDescent="0.25">
      <c r="A89" s="102" t="s">
        <v>154</v>
      </c>
      <c r="B89" s="103">
        <f>(C83*B87*(1-B80))+(C84*B81)</f>
        <v>6.6948316811149058E-2</v>
      </c>
      <c r="D89" s="58">
        <v>2012</v>
      </c>
      <c r="E89" s="58">
        <v>2013</v>
      </c>
      <c r="F89" s="58">
        <v>2014</v>
      </c>
      <c r="G89" s="58">
        <v>2015</v>
      </c>
      <c r="H89" s="58">
        <v>2016</v>
      </c>
      <c r="I89" s="58">
        <v>2017</v>
      </c>
      <c r="J89" s="58">
        <v>2018</v>
      </c>
      <c r="K89" s="58">
        <v>2019</v>
      </c>
      <c r="L89" s="58">
        <v>2020</v>
      </c>
      <c r="M89" s="58">
        <v>2021</v>
      </c>
      <c r="N89" s="58">
        <v>2022</v>
      </c>
      <c r="O89" s="58">
        <v>2023</v>
      </c>
      <c r="P89" s="58">
        <v>2024</v>
      </c>
      <c r="Q89" s="58">
        <v>2025</v>
      </c>
      <c r="R89" s="58">
        <v>2026</v>
      </c>
      <c r="S89" s="58">
        <v>2027</v>
      </c>
      <c r="T89" s="66"/>
      <c r="U89" s="66"/>
      <c r="V89" s="66"/>
      <c r="W89" s="66"/>
      <c r="X89" s="66"/>
    </row>
    <row r="90" spans="1:24" x14ac:dyDescent="0.25">
      <c r="A90" s="99"/>
      <c r="B90" s="101"/>
      <c r="T90" s="64"/>
      <c r="U90" s="64"/>
      <c r="V90" s="64"/>
      <c r="W90" s="64"/>
      <c r="X90" s="64"/>
    </row>
    <row r="91" spans="1:24" x14ac:dyDescent="0.25">
      <c r="A91" s="99"/>
      <c r="B91" s="102" t="s">
        <v>169</v>
      </c>
      <c r="C91" s="99"/>
      <c r="D91" s="99"/>
      <c r="E91" s="99"/>
      <c r="F91" s="99"/>
      <c r="G91" s="99"/>
      <c r="H91" s="99"/>
      <c r="I91" s="99"/>
      <c r="J91" s="99"/>
      <c r="T91" s="64"/>
      <c r="U91" s="64"/>
      <c r="V91" s="64"/>
      <c r="W91" s="64"/>
      <c r="X91" s="64"/>
    </row>
    <row r="92" spans="1:24" x14ac:dyDescent="0.25">
      <c r="A92" s="99"/>
      <c r="B92" s="102" t="s">
        <v>170</v>
      </c>
      <c r="C92" s="99"/>
      <c r="D92" s="99"/>
      <c r="E92" s="99"/>
      <c r="F92" s="99"/>
      <c r="G92" s="99"/>
      <c r="H92" s="99"/>
      <c r="I92" s="99"/>
      <c r="J92" s="99"/>
      <c r="T92" s="64"/>
      <c r="U92" s="64"/>
      <c r="V92" s="64"/>
      <c r="W92" s="64"/>
      <c r="X92" s="64"/>
    </row>
    <row r="93" spans="1:24" x14ac:dyDescent="0.25">
      <c r="A93" s="99"/>
      <c r="B93" s="99"/>
      <c r="C93" s="99"/>
      <c r="D93" s="99"/>
      <c r="E93" s="99"/>
      <c r="F93" s="99"/>
      <c r="G93" s="99"/>
      <c r="H93" s="99"/>
      <c r="I93" s="99"/>
      <c r="J93" s="99"/>
      <c r="T93" s="64"/>
      <c r="U93" s="64"/>
      <c r="V93" s="64"/>
      <c r="W93" s="64"/>
      <c r="X93" s="64"/>
    </row>
    <row r="94" spans="1:24" x14ac:dyDescent="0.25">
      <c r="A94" s="102" t="s">
        <v>171</v>
      </c>
      <c r="B94" s="99"/>
      <c r="C94" s="99"/>
      <c r="D94" s="99"/>
      <c r="E94" s="99"/>
      <c r="F94" s="99"/>
      <c r="G94" s="99"/>
      <c r="H94" s="99"/>
      <c r="I94" s="99"/>
      <c r="J94" s="99"/>
      <c r="T94" s="64"/>
      <c r="U94" s="64"/>
      <c r="V94" s="64"/>
      <c r="W94" s="64"/>
      <c r="X94" s="64"/>
    </row>
    <row r="95" spans="1:24" x14ac:dyDescent="0.25">
      <c r="A95" s="99" t="s">
        <v>172</v>
      </c>
      <c r="B95" s="99"/>
      <c r="D95" s="52"/>
      <c r="E95" s="104">
        <f t="shared" ref="E95:S95" si="54">+E15</f>
        <v>1539648</v>
      </c>
      <c r="F95" s="104">
        <f t="shared" si="54"/>
        <v>1585837.44</v>
      </c>
      <c r="G95" s="104">
        <f t="shared" si="54"/>
        <v>1633412.5631999997</v>
      </c>
      <c r="H95" s="104">
        <f t="shared" si="54"/>
        <v>1682414.940096</v>
      </c>
      <c r="I95" s="104">
        <f t="shared" si="54"/>
        <v>1732887.3882988801</v>
      </c>
      <c r="J95" s="104">
        <f t="shared" si="54"/>
        <v>1784874.0099478464</v>
      </c>
      <c r="K95" s="104">
        <f t="shared" si="54"/>
        <v>1838420.2302462819</v>
      </c>
      <c r="L95" s="104">
        <f t="shared" si="54"/>
        <v>1893572.8371536701</v>
      </c>
      <c r="M95" s="104">
        <f t="shared" si="54"/>
        <v>1950380.0222682802</v>
      </c>
      <c r="N95" s="104">
        <f t="shared" si="54"/>
        <v>2008891.4229363289</v>
      </c>
      <c r="O95" s="104">
        <f t="shared" si="54"/>
        <v>2069158.1656244188</v>
      </c>
      <c r="P95" s="104">
        <f t="shared" si="54"/>
        <v>2131232.9105931516</v>
      </c>
      <c r="Q95" s="104">
        <f t="shared" si="54"/>
        <v>2195169.8979109465</v>
      </c>
      <c r="R95" s="104">
        <f t="shared" si="54"/>
        <v>2261024.9948482746</v>
      </c>
      <c r="S95" s="104">
        <f t="shared" si="54"/>
        <v>2328855.7446937226</v>
      </c>
      <c r="T95" s="105"/>
      <c r="U95" s="105"/>
      <c r="V95" s="105"/>
      <c r="W95" s="105"/>
      <c r="X95" s="105"/>
    </row>
    <row r="96" spans="1:24" x14ac:dyDescent="0.25">
      <c r="A96" s="99" t="s">
        <v>173</v>
      </c>
      <c r="B96" s="99"/>
      <c r="D96" s="52"/>
      <c r="E96" s="106">
        <f t="shared" ref="E96:S96" si="55">-E22</f>
        <v>-284449.03333333333</v>
      </c>
      <c r="F96" s="106">
        <f t="shared" si="55"/>
        <v>-284449.03333333333</v>
      </c>
      <c r="G96" s="106">
        <f t="shared" si="55"/>
        <v>-284449.03333333333</v>
      </c>
      <c r="H96" s="106">
        <f t="shared" si="55"/>
        <v>-284449.03333333333</v>
      </c>
      <c r="I96" s="106">
        <f t="shared" si="55"/>
        <v>-284449.03333333333</v>
      </c>
      <c r="J96" s="106">
        <f t="shared" si="55"/>
        <v>-284449.03333333333</v>
      </c>
      <c r="K96" s="106">
        <f t="shared" si="55"/>
        <v>-284449.03333333333</v>
      </c>
      <c r="L96" s="106">
        <f t="shared" si="55"/>
        <v>-284449.03333333333</v>
      </c>
      <c r="M96" s="106">
        <f t="shared" si="55"/>
        <v>-284449.03333333333</v>
      </c>
      <c r="N96" s="106">
        <f t="shared" si="55"/>
        <v>-284449.03333333333</v>
      </c>
      <c r="O96" s="106">
        <f t="shared" si="55"/>
        <v>-284449.03333333333</v>
      </c>
      <c r="P96" s="106">
        <f t="shared" si="55"/>
        <v>-284449.03333333333</v>
      </c>
      <c r="Q96" s="106">
        <f t="shared" si="55"/>
        <v>-284449.03333333333</v>
      </c>
      <c r="R96" s="106">
        <f t="shared" si="55"/>
        <v>-284449.03333333333</v>
      </c>
      <c r="S96" s="106">
        <f t="shared" si="55"/>
        <v>-284449.03333333333</v>
      </c>
      <c r="T96" s="105"/>
      <c r="U96" s="105"/>
      <c r="V96" s="105"/>
      <c r="W96" s="105"/>
      <c r="X96" s="105"/>
    </row>
    <row r="97" spans="1:24" x14ac:dyDescent="0.25">
      <c r="A97" s="99" t="s">
        <v>174</v>
      </c>
      <c r="B97" s="99"/>
      <c r="D97" s="52"/>
      <c r="E97" s="104">
        <f>IF(E95+E96&lt;0.00001,0,E95+E96)</f>
        <v>1255198.9666666668</v>
      </c>
      <c r="F97" s="104">
        <f t="shared" ref="F97:O97" si="56">IF(F95+F96&lt;0.00001,0,F95+F96)</f>
        <v>1301388.4066666667</v>
      </c>
      <c r="G97" s="104">
        <f t="shared" si="56"/>
        <v>1348963.5298666665</v>
      </c>
      <c r="H97" s="104">
        <f t="shared" si="56"/>
        <v>1397965.9067626665</v>
      </c>
      <c r="I97" s="104">
        <f t="shared" si="56"/>
        <v>1448438.3549655466</v>
      </c>
      <c r="J97" s="104">
        <f t="shared" si="56"/>
        <v>1500424.976614513</v>
      </c>
      <c r="K97" s="104">
        <f t="shared" si="56"/>
        <v>1553971.1969129485</v>
      </c>
      <c r="L97" s="104">
        <f t="shared" si="56"/>
        <v>1609123.8038203367</v>
      </c>
      <c r="M97" s="104">
        <f t="shared" si="56"/>
        <v>1665930.9889349467</v>
      </c>
      <c r="N97" s="104">
        <f t="shared" si="56"/>
        <v>1724442.3896029955</v>
      </c>
      <c r="O97" s="104">
        <f t="shared" si="56"/>
        <v>1784709.1322910856</v>
      </c>
      <c r="P97" s="104">
        <f t="shared" ref="P97:S97" si="57">IF(P95+P96&lt;0.00001,0,P95+P96)</f>
        <v>1846783.8772598184</v>
      </c>
      <c r="Q97" s="104">
        <f t="shared" si="57"/>
        <v>1910720.8645776133</v>
      </c>
      <c r="R97" s="104">
        <f t="shared" si="57"/>
        <v>1976575.9615149414</v>
      </c>
      <c r="S97" s="104">
        <f t="shared" si="57"/>
        <v>2044406.7113603894</v>
      </c>
      <c r="T97" s="105"/>
      <c r="U97" s="105"/>
      <c r="V97" s="105"/>
      <c r="W97" s="105"/>
      <c r="X97" s="105"/>
    </row>
    <row r="98" spans="1:24" x14ac:dyDescent="0.25">
      <c r="A98" s="99" t="s">
        <v>175</v>
      </c>
      <c r="B98" s="99"/>
      <c r="C98" s="49">
        <v>2</v>
      </c>
      <c r="D98" s="52"/>
      <c r="E98" s="104">
        <f>+E97*$G$65</f>
        <v>334761.56441000005</v>
      </c>
      <c r="F98" s="104">
        <f t="shared" ref="F98:O98" si="58">+F97*$G$65</f>
        <v>347080.28805800003</v>
      </c>
      <c r="G98" s="104">
        <f t="shared" si="58"/>
        <v>359768.57341543998</v>
      </c>
      <c r="H98" s="104">
        <f t="shared" si="58"/>
        <v>372837.50733360316</v>
      </c>
      <c r="I98" s="104">
        <f t="shared" si="58"/>
        <v>386298.50926931127</v>
      </c>
      <c r="J98" s="104">
        <f t="shared" si="58"/>
        <v>400163.34126309061</v>
      </c>
      <c r="K98" s="104">
        <f t="shared" si="58"/>
        <v>414444.11821668333</v>
      </c>
      <c r="L98" s="104">
        <f t="shared" si="58"/>
        <v>429153.31847888377</v>
      </c>
      <c r="M98" s="104">
        <f t="shared" si="58"/>
        <v>444303.79474895028</v>
      </c>
      <c r="N98" s="104">
        <f t="shared" si="58"/>
        <v>459908.7853071189</v>
      </c>
      <c r="O98" s="104">
        <f t="shared" si="58"/>
        <v>475981.92558203248</v>
      </c>
      <c r="P98" s="104">
        <f>+P97*$G$65</f>
        <v>492537.26006519352</v>
      </c>
      <c r="Q98" s="104">
        <f>+Q97*$G$65</f>
        <v>509589.25458284945</v>
      </c>
      <c r="R98" s="104">
        <f>+R97*$G$65</f>
        <v>527152.80893603491</v>
      </c>
      <c r="S98" s="104">
        <f>+S97*$G$65</f>
        <v>545243.26991981582</v>
      </c>
      <c r="T98" s="105"/>
      <c r="U98" s="105"/>
      <c r="V98" s="105"/>
      <c r="W98" s="105"/>
      <c r="X98" s="105"/>
    </row>
    <row r="99" spans="1:24" x14ac:dyDescent="0.25">
      <c r="A99" s="99" t="s">
        <v>176</v>
      </c>
      <c r="B99" s="99"/>
      <c r="D99" s="52"/>
      <c r="E99" s="106">
        <f>+E96*-1</f>
        <v>284449.03333333333</v>
      </c>
      <c r="F99" s="106">
        <f t="shared" ref="F99:O99" si="59">+F96*-1</f>
        <v>284449.03333333333</v>
      </c>
      <c r="G99" s="106">
        <f t="shared" si="59"/>
        <v>284449.03333333333</v>
      </c>
      <c r="H99" s="106">
        <f t="shared" si="59"/>
        <v>284449.03333333333</v>
      </c>
      <c r="I99" s="106">
        <f t="shared" si="59"/>
        <v>284449.03333333333</v>
      </c>
      <c r="J99" s="106">
        <f t="shared" si="59"/>
        <v>284449.03333333333</v>
      </c>
      <c r="K99" s="106">
        <f t="shared" si="59"/>
        <v>284449.03333333333</v>
      </c>
      <c r="L99" s="106">
        <f t="shared" si="59"/>
        <v>284449.03333333333</v>
      </c>
      <c r="M99" s="106">
        <f t="shared" si="59"/>
        <v>284449.03333333333</v>
      </c>
      <c r="N99" s="106">
        <f t="shared" si="59"/>
        <v>284449.03333333333</v>
      </c>
      <c r="O99" s="106">
        <f t="shared" si="59"/>
        <v>284449.03333333333</v>
      </c>
      <c r="P99" s="106">
        <f t="shared" ref="P99:S99" si="60">+P96*-1</f>
        <v>284449.03333333333</v>
      </c>
      <c r="Q99" s="106">
        <f t="shared" si="60"/>
        <v>284449.03333333333</v>
      </c>
      <c r="R99" s="106">
        <f t="shared" si="60"/>
        <v>284449.03333333333</v>
      </c>
      <c r="S99" s="106">
        <f t="shared" si="60"/>
        <v>284449.03333333333</v>
      </c>
      <c r="T99" s="105"/>
      <c r="U99" s="105"/>
      <c r="V99" s="105"/>
      <c r="W99" s="105"/>
      <c r="X99" s="105"/>
    </row>
    <row r="100" spans="1:24" x14ac:dyDescent="0.25">
      <c r="A100" s="102" t="s">
        <v>177</v>
      </c>
      <c r="B100" s="99"/>
      <c r="C100" s="99"/>
      <c r="D100" s="104"/>
      <c r="E100" s="104">
        <f>+E97-E98+E99</f>
        <v>1204886.4355899999</v>
      </c>
      <c r="F100" s="104">
        <f t="shared" ref="F100:O100" si="61">+F97-F98+F99</f>
        <v>1238757.151942</v>
      </c>
      <c r="G100" s="104">
        <f t="shared" si="61"/>
        <v>1273643.9897845597</v>
      </c>
      <c r="H100" s="104">
        <f t="shared" si="61"/>
        <v>1309577.4327623965</v>
      </c>
      <c r="I100" s="104">
        <f t="shared" si="61"/>
        <v>1346588.8790295688</v>
      </c>
      <c r="J100" s="104">
        <f t="shared" si="61"/>
        <v>1384710.6686847555</v>
      </c>
      <c r="K100" s="104">
        <f t="shared" si="61"/>
        <v>1423976.1120295986</v>
      </c>
      <c r="L100" s="104">
        <f t="shared" si="61"/>
        <v>1464419.5186747862</v>
      </c>
      <c r="M100" s="104">
        <f t="shared" si="61"/>
        <v>1506076.2275193296</v>
      </c>
      <c r="N100" s="104">
        <f t="shared" si="61"/>
        <v>1548982.63762921</v>
      </c>
      <c r="O100" s="104">
        <f t="shared" si="61"/>
        <v>1593176.2400423866</v>
      </c>
      <c r="P100" s="104">
        <f t="shared" ref="P100:S100" si="62">+P97-P98+P99</f>
        <v>1638695.6505279583</v>
      </c>
      <c r="Q100" s="104">
        <f t="shared" si="62"/>
        <v>1685580.6433280972</v>
      </c>
      <c r="R100" s="104">
        <f t="shared" si="62"/>
        <v>1733872.1859122398</v>
      </c>
      <c r="S100" s="104">
        <f t="shared" si="62"/>
        <v>1783612.4747739066</v>
      </c>
      <c r="T100" s="105"/>
      <c r="U100" s="105"/>
      <c r="V100" s="105"/>
      <c r="W100" s="105"/>
      <c r="X100" s="105"/>
    </row>
    <row r="101" spans="1:24" x14ac:dyDescent="0.25">
      <c r="A101" s="99"/>
      <c r="B101" s="99"/>
      <c r="C101" s="99"/>
      <c r="D101" s="104"/>
      <c r="E101" s="104"/>
      <c r="F101" s="104"/>
      <c r="G101" s="104"/>
      <c r="H101" s="104"/>
      <c r="I101" s="104"/>
      <c r="J101" s="99"/>
      <c r="T101" s="64"/>
      <c r="U101" s="64"/>
      <c r="V101" s="64" t="s">
        <v>207</v>
      </c>
      <c r="W101" s="64"/>
      <c r="X101" s="64"/>
    </row>
    <row r="102" spans="1:24" x14ac:dyDescent="0.25">
      <c r="A102" s="102" t="s">
        <v>178</v>
      </c>
      <c r="B102" s="99"/>
      <c r="C102" s="99"/>
      <c r="D102" s="104"/>
      <c r="E102" s="104"/>
      <c r="F102" s="104"/>
      <c r="G102" s="104"/>
      <c r="H102" s="104"/>
      <c r="I102" s="104"/>
      <c r="J102" s="99"/>
      <c r="T102" s="64"/>
      <c r="U102" s="64"/>
      <c r="V102" s="64"/>
      <c r="W102" s="64"/>
      <c r="X102" s="64"/>
    </row>
    <row r="103" spans="1:24" x14ac:dyDescent="0.25">
      <c r="A103" s="99" t="s">
        <v>198</v>
      </c>
      <c r="B103" s="99"/>
      <c r="D103" s="52">
        <f>+(Layout!V27+Layout!V28)*-1</f>
        <v>-355000</v>
      </c>
      <c r="E103" s="104"/>
      <c r="F103" s="104"/>
      <c r="G103" s="104"/>
      <c r="H103" s="104"/>
      <c r="I103" s="104"/>
      <c r="J103" s="99"/>
      <c r="S103" s="52">
        <f>FV(D80,11,0,-T104)</f>
        <v>673895.98820907634</v>
      </c>
      <c r="U103" s="52"/>
      <c r="V103" s="49" t="s">
        <v>201</v>
      </c>
    </row>
    <row r="104" spans="1:24" x14ac:dyDescent="0.25">
      <c r="A104" s="99" t="s">
        <v>199</v>
      </c>
      <c r="B104" s="99"/>
      <c r="D104" s="52"/>
      <c r="E104" s="104"/>
      <c r="F104" s="104"/>
      <c r="G104" s="104"/>
      <c r="H104" s="104"/>
      <c r="I104" s="104"/>
      <c r="J104" s="99"/>
      <c r="S104" s="52"/>
      <c r="T104" s="53">
        <v>355000</v>
      </c>
      <c r="V104" s="49" t="s">
        <v>202</v>
      </c>
    </row>
    <row r="105" spans="1:24" x14ac:dyDescent="0.25">
      <c r="A105" s="99" t="s">
        <v>200</v>
      </c>
      <c r="B105" s="99"/>
      <c r="D105" s="52">
        <f>+(Layout!V34-Layout!V27-Layout!V28)*-1</f>
        <v>-8644747.8629100006</v>
      </c>
      <c r="E105" s="104"/>
      <c r="F105" s="104"/>
      <c r="G105" s="104"/>
      <c r="H105" s="104"/>
      <c r="I105" s="104"/>
      <c r="J105" s="99"/>
      <c r="S105" s="52">
        <f>+T108+O100</f>
        <v>7108984.7362857219</v>
      </c>
      <c r="U105" s="49" t="s">
        <v>192</v>
      </c>
      <c r="W105" s="49">
        <f>20000*72</f>
        <v>1440000</v>
      </c>
      <c r="X105" s="49" t="s">
        <v>203</v>
      </c>
    </row>
    <row r="106" spans="1:24" x14ac:dyDescent="0.25">
      <c r="A106" s="99" t="s">
        <v>189</v>
      </c>
      <c r="B106" s="99"/>
      <c r="D106" s="52"/>
      <c r="E106" s="104"/>
      <c r="F106" s="104"/>
      <c r="G106" s="104"/>
      <c r="H106" s="104"/>
      <c r="I106" s="104"/>
      <c r="J106" s="99"/>
      <c r="O106" s="52"/>
      <c r="T106" s="94">
        <f>SUM(E99:O99)</f>
        <v>3128939.3666666658</v>
      </c>
      <c r="U106" s="49" t="s">
        <v>87</v>
      </c>
    </row>
    <row r="107" spans="1:24" x14ac:dyDescent="0.25">
      <c r="A107" s="99" t="s">
        <v>204</v>
      </c>
      <c r="B107" s="99"/>
      <c r="D107" s="52"/>
      <c r="E107" s="104"/>
      <c r="F107" s="104"/>
      <c r="G107" s="104"/>
      <c r="H107" s="104"/>
      <c r="I107" s="104"/>
      <c r="J107" s="99"/>
      <c r="O107" s="52"/>
      <c r="S107" s="52">
        <v>-1440000</v>
      </c>
      <c r="T107" s="94"/>
    </row>
    <row r="108" spans="1:24" x14ac:dyDescent="0.25">
      <c r="A108" s="99" t="s">
        <v>190</v>
      </c>
      <c r="B108" s="99"/>
      <c r="D108" s="52"/>
      <c r="E108" s="104"/>
      <c r="F108" s="104"/>
      <c r="G108" s="104"/>
      <c r="H108" s="104"/>
      <c r="I108" s="104"/>
      <c r="J108" s="99"/>
      <c r="S108" s="52">
        <f>+((S103-T104)+(S105-T108)*G65)</f>
        <v>743796.09142838081</v>
      </c>
      <c r="T108" s="107">
        <f>+(D105+T106)*-1</f>
        <v>5515808.4962433353</v>
      </c>
      <c r="U108" s="49" t="s">
        <v>179</v>
      </c>
    </row>
    <row r="109" spans="1:24" x14ac:dyDescent="0.25">
      <c r="A109" s="99"/>
      <c r="B109" s="99"/>
      <c r="C109" s="99"/>
      <c r="D109" s="104"/>
      <c r="E109" s="104"/>
      <c r="F109" s="104"/>
      <c r="G109" s="104"/>
      <c r="H109" s="104"/>
      <c r="I109" s="104"/>
      <c r="J109" s="99"/>
      <c r="T109" s="51">
        <f>+S105/T108-1</f>
        <v>0.28883820769474777</v>
      </c>
      <c r="U109" s="49" t="s">
        <v>193</v>
      </c>
    </row>
    <row r="110" spans="1:24" x14ac:dyDescent="0.25">
      <c r="A110" s="102" t="s">
        <v>180</v>
      </c>
      <c r="B110" s="99"/>
      <c r="C110" s="99"/>
      <c r="D110" s="99"/>
      <c r="E110" s="108"/>
      <c r="F110" s="108"/>
      <c r="G110" s="108"/>
      <c r="H110" s="108"/>
      <c r="I110" s="99"/>
      <c r="J110" s="99"/>
      <c r="T110" s="64"/>
      <c r="U110" s="64"/>
      <c r="V110" s="64"/>
      <c r="W110" s="64"/>
      <c r="X110" s="64"/>
    </row>
    <row r="111" spans="1:24" x14ac:dyDescent="0.25">
      <c r="A111" s="99" t="s">
        <v>181</v>
      </c>
      <c r="C111" s="99"/>
      <c r="D111" s="99"/>
      <c r="E111" s="108"/>
      <c r="F111" s="108"/>
      <c r="G111" s="108"/>
      <c r="H111" s="108"/>
      <c r="I111" s="99"/>
      <c r="J111" s="99"/>
      <c r="T111" s="64"/>
      <c r="U111" s="64"/>
      <c r="V111" s="64"/>
      <c r="W111" s="64"/>
      <c r="X111" s="64"/>
    </row>
    <row r="112" spans="1:24" x14ac:dyDescent="0.25">
      <c r="A112" s="99"/>
      <c r="B112" s="99"/>
      <c r="C112" s="99"/>
      <c r="D112" s="99"/>
      <c r="E112" s="108"/>
      <c r="F112" s="108"/>
      <c r="G112" s="108"/>
      <c r="H112" s="108"/>
      <c r="I112" s="99"/>
      <c r="J112" s="99"/>
      <c r="T112" s="64"/>
      <c r="U112" s="64"/>
      <c r="V112" s="64"/>
      <c r="W112" s="64"/>
      <c r="X112" s="64"/>
    </row>
    <row r="113" spans="1:24" x14ac:dyDescent="0.25">
      <c r="A113" s="99" t="s">
        <v>182</v>
      </c>
      <c r="C113" s="99"/>
      <c r="D113" s="9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>
        <f t="shared" ref="S113" si="63">+S98-R98</f>
        <v>18090.460983780911</v>
      </c>
      <c r="T113" s="109"/>
      <c r="U113" s="109"/>
      <c r="V113" s="109"/>
      <c r="W113" s="109"/>
      <c r="X113" s="109"/>
    </row>
    <row r="114" spans="1:24" x14ac:dyDescent="0.25">
      <c r="A114" s="99"/>
      <c r="B114" s="99"/>
      <c r="C114" s="99"/>
      <c r="D114" s="99"/>
      <c r="E114" s="108"/>
      <c r="F114" s="108"/>
      <c r="G114" s="108"/>
      <c r="H114" s="108"/>
      <c r="I114" s="99"/>
      <c r="J114" s="99"/>
      <c r="T114" s="64"/>
      <c r="U114" s="64"/>
      <c r="V114" s="64"/>
      <c r="W114" s="64"/>
      <c r="X114" s="64"/>
    </row>
    <row r="115" spans="1:24" x14ac:dyDescent="0.25">
      <c r="A115" s="102" t="s">
        <v>183</v>
      </c>
      <c r="B115" s="99"/>
      <c r="C115" s="99"/>
      <c r="D115" s="99"/>
      <c r="E115" s="108"/>
      <c r="F115" s="108"/>
      <c r="G115" s="108"/>
      <c r="H115" s="108"/>
      <c r="I115" s="99"/>
      <c r="J115" s="99"/>
      <c r="T115" s="64"/>
      <c r="U115" s="64"/>
      <c r="V115" s="64"/>
      <c r="W115" s="64"/>
      <c r="X115" s="64"/>
    </row>
    <row r="116" spans="1:24" x14ac:dyDescent="0.25">
      <c r="A116" s="99" t="s">
        <v>181</v>
      </c>
      <c r="B116" s="99"/>
      <c r="E116" s="108"/>
      <c r="F116" s="108"/>
      <c r="G116" s="108"/>
      <c r="H116" s="108"/>
      <c r="I116" s="99"/>
      <c r="J116" s="99"/>
      <c r="T116" s="64"/>
      <c r="U116" s="64"/>
      <c r="V116" s="64"/>
      <c r="W116" s="64"/>
      <c r="X116" s="64"/>
    </row>
    <row r="117" spans="1:24" x14ac:dyDescent="0.25">
      <c r="A117" s="99"/>
      <c r="B117" s="99"/>
      <c r="E117" s="108"/>
      <c r="F117" s="108"/>
      <c r="G117" s="108"/>
      <c r="H117" s="108"/>
      <c r="I117" s="99"/>
      <c r="J117" s="99"/>
      <c r="T117" s="64"/>
      <c r="U117" s="64"/>
      <c r="V117" s="64"/>
      <c r="W117" s="64"/>
      <c r="X117" s="64"/>
    </row>
    <row r="118" spans="1:24" x14ac:dyDescent="0.25">
      <c r="A118" s="99" t="s">
        <v>182</v>
      </c>
      <c r="B118" s="99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P118" s="108"/>
      <c r="Q118" s="108"/>
      <c r="R118" s="108"/>
      <c r="S118" s="108">
        <f>-S26</f>
        <v>-498700.65159649454</v>
      </c>
      <c r="T118" s="109"/>
      <c r="U118" s="109"/>
      <c r="V118" s="109"/>
      <c r="W118" s="109"/>
      <c r="X118" s="109"/>
    </row>
    <row r="119" spans="1:24" x14ac:dyDescent="0.25">
      <c r="A119" s="99"/>
      <c r="B119" s="99"/>
      <c r="C119" s="99"/>
      <c r="D119" s="99"/>
      <c r="E119" s="108"/>
      <c r="F119" s="108"/>
      <c r="G119" s="108"/>
      <c r="H119" s="108"/>
      <c r="I119" s="99"/>
      <c r="J119" s="99"/>
      <c r="T119" s="64"/>
      <c r="U119" s="64"/>
      <c r="V119" s="64"/>
      <c r="W119" s="64"/>
      <c r="X119" s="64"/>
    </row>
    <row r="120" spans="1:24" x14ac:dyDescent="0.25">
      <c r="A120" s="99"/>
      <c r="B120" s="99"/>
      <c r="C120" s="99"/>
      <c r="D120" s="99"/>
      <c r="E120" s="108"/>
      <c r="F120" s="108"/>
      <c r="G120" s="108"/>
      <c r="H120" s="108"/>
      <c r="I120" s="99"/>
      <c r="J120" s="99"/>
      <c r="T120" s="64"/>
      <c r="U120" s="64"/>
      <c r="V120" s="64"/>
      <c r="W120" s="64"/>
      <c r="X120" s="64"/>
    </row>
    <row r="121" spans="1:24" x14ac:dyDescent="0.25">
      <c r="A121" s="102" t="s">
        <v>184</v>
      </c>
      <c r="B121" s="99"/>
      <c r="C121" s="99"/>
      <c r="D121" s="110">
        <f>SUM(D100:D120)</f>
        <v>-8999747.8629100006</v>
      </c>
      <c r="E121" s="110">
        <f t="shared" ref="E121:O121" si="64">SUM(E100:E120)</f>
        <v>1204886.4355899999</v>
      </c>
      <c r="F121" s="110">
        <f t="shared" si="64"/>
        <v>1238757.151942</v>
      </c>
      <c r="G121" s="110">
        <f t="shared" si="64"/>
        <v>1273643.9897845597</v>
      </c>
      <c r="H121" s="110">
        <f t="shared" si="64"/>
        <v>1309577.4327623965</v>
      </c>
      <c r="I121" s="110">
        <f t="shared" si="64"/>
        <v>1346588.8790295688</v>
      </c>
      <c r="J121" s="110">
        <f t="shared" si="64"/>
        <v>1384710.6686847555</v>
      </c>
      <c r="K121" s="110">
        <f t="shared" si="64"/>
        <v>1423976.1120295986</v>
      </c>
      <c r="L121" s="110">
        <f t="shared" si="64"/>
        <v>1464419.5186747862</v>
      </c>
      <c r="M121" s="110">
        <f t="shared" si="64"/>
        <v>1506076.2275193296</v>
      </c>
      <c r="N121" s="110">
        <f t="shared" si="64"/>
        <v>1548982.63762921</v>
      </c>
      <c r="O121" s="110">
        <f t="shared" si="64"/>
        <v>1593176.2400423866</v>
      </c>
      <c r="P121" s="110">
        <f t="shared" ref="P121:S121" si="65">SUM(P100:P120)</f>
        <v>1638695.6505279583</v>
      </c>
      <c r="Q121" s="110">
        <f t="shared" si="65"/>
        <v>1685580.6433280972</v>
      </c>
      <c r="R121" s="110">
        <f t="shared" si="65"/>
        <v>1733872.1859122398</v>
      </c>
      <c r="S121" s="110">
        <f t="shared" si="65"/>
        <v>8389679.1000843719</v>
      </c>
      <c r="T121" s="111"/>
      <c r="U121" s="111"/>
      <c r="V121" s="111"/>
      <c r="W121" s="111"/>
      <c r="X121" s="111"/>
    </row>
    <row r="122" spans="1:24" x14ac:dyDescent="0.25">
      <c r="A122" s="99" t="s">
        <v>185</v>
      </c>
      <c r="B122" s="99"/>
      <c r="C122" s="99"/>
      <c r="D122" s="52">
        <f>PV($B$124,D123,,-D121)</f>
        <v>-8999747.8629100006</v>
      </c>
      <c r="E122" s="112">
        <f t="shared" ref="E122:O122" si="66">PV($B$124,E123,,-E121)</f>
        <v>1129282.8496052315</v>
      </c>
      <c r="F122" s="112">
        <f t="shared" si="66"/>
        <v>1088176.6676135953</v>
      </c>
      <c r="G122" s="112">
        <f t="shared" si="66"/>
        <v>1048619.4351335645</v>
      </c>
      <c r="H122" s="112">
        <f t="shared" si="66"/>
        <v>1010549.6407475391</v>
      </c>
      <c r="I122" s="112">
        <f t="shared" si="66"/>
        <v>973908.39708574687</v>
      </c>
      <c r="J122" s="112">
        <f t="shared" si="66"/>
        <v>938639.31896390091</v>
      </c>
      <c r="K122" s="112">
        <f t="shared" si="66"/>
        <v>904688.40768559964</v>
      </c>
      <c r="L122" s="112">
        <f t="shared" si="66"/>
        <v>872003.94117395289</v>
      </c>
      <c r="M122" s="112">
        <f t="shared" si="66"/>
        <v>840536.36961621768</v>
      </c>
      <c r="N122" s="112">
        <f t="shared" si="66"/>
        <v>810238.21632332378</v>
      </c>
      <c r="O122" s="112">
        <f t="shared" si="66"/>
        <v>781063.98352324474</v>
      </c>
      <c r="P122" s="112">
        <f>PV($B$124,P123,,-P121)</f>
        <v>752970.06282319198</v>
      </c>
      <c r="Q122" s="112">
        <f>PV($B$124,Q123,,-Q121)</f>
        <v>725914.65009070002</v>
      </c>
      <c r="R122" s="112">
        <f>PV($B$124,R123,,-R121)</f>
        <v>699857.66451786109</v>
      </c>
      <c r="S122" s="112">
        <f>PV($B$124,S123,,-S121)</f>
        <v>3173910.0194327142</v>
      </c>
      <c r="T122" s="113"/>
      <c r="U122" s="113"/>
      <c r="V122" s="113"/>
      <c r="W122" s="113"/>
      <c r="X122" s="113"/>
    </row>
    <row r="123" spans="1:24" x14ac:dyDescent="0.25">
      <c r="A123" s="99"/>
      <c r="B123" s="99"/>
      <c r="C123" s="99"/>
      <c r="D123" s="99">
        <v>0</v>
      </c>
      <c r="E123" s="99">
        <v>1</v>
      </c>
      <c r="F123" s="99">
        <v>2</v>
      </c>
      <c r="G123" s="99">
        <v>3</v>
      </c>
      <c r="H123" s="99">
        <v>4</v>
      </c>
      <c r="I123" s="99">
        <v>5</v>
      </c>
      <c r="J123" s="99">
        <v>6</v>
      </c>
      <c r="K123" s="99">
        <v>7</v>
      </c>
      <c r="L123" s="99">
        <v>8</v>
      </c>
      <c r="M123" s="99">
        <v>9</v>
      </c>
      <c r="N123" s="99">
        <v>10</v>
      </c>
      <c r="O123" s="99">
        <v>11</v>
      </c>
      <c r="P123" s="99">
        <v>12</v>
      </c>
      <c r="Q123" s="99">
        <v>13</v>
      </c>
      <c r="R123" s="99">
        <v>14</v>
      </c>
      <c r="S123" s="99">
        <v>15</v>
      </c>
      <c r="T123" s="114"/>
      <c r="U123" s="114"/>
      <c r="V123" s="114"/>
      <c r="W123" s="114"/>
      <c r="X123" s="114"/>
    </row>
    <row r="124" spans="1:24" x14ac:dyDescent="0.25">
      <c r="A124" s="102" t="s">
        <v>186</v>
      </c>
      <c r="B124" s="100">
        <f>+B89</f>
        <v>6.6948316811149058E-2</v>
      </c>
      <c r="E124" s="115"/>
      <c r="F124" s="99"/>
      <c r="G124" s="99"/>
      <c r="H124" s="99"/>
      <c r="I124" s="99"/>
      <c r="J124" s="99"/>
      <c r="T124" s="64"/>
      <c r="U124" s="64"/>
      <c r="V124" s="64"/>
      <c r="W124" s="64"/>
      <c r="X124" s="64"/>
    </row>
    <row r="125" spans="1:24" x14ac:dyDescent="0.25">
      <c r="A125" s="102" t="s">
        <v>187</v>
      </c>
      <c r="B125" s="112">
        <f>SUM(D122:O122)</f>
        <v>1397959.3645619154</v>
      </c>
      <c r="C125" s="99"/>
      <c r="D125" s="99"/>
      <c r="E125" s="108"/>
      <c r="F125" s="99"/>
      <c r="G125" s="99"/>
      <c r="H125" s="99"/>
      <c r="I125" s="99"/>
      <c r="J125" s="99"/>
      <c r="T125" s="64"/>
      <c r="U125" s="64"/>
      <c r="V125" s="64"/>
      <c r="W125" s="64"/>
      <c r="X125" s="64"/>
    </row>
    <row r="126" spans="1:24" x14ac:dyDescent="0.25">
      <c r="A126" s="102" t="s">
        <v>188</v>
      </c>
      <c r="B126" s="100">
        <f>IRR(D121:O121)</f>
        <v>9.5314960774181667E-2</v>
      </c>
      <c r="C126" s="99"/>
      <c r="D126" s="99"/>
      <c r="E126" s="100"/>
      <c r="F126" s="99"/>
      <c r="G126" s="99"/>
      <c r="H126" s="99"/>
      <c r="I126" s="99"/>
      <c r="J126" s="99"/>
      <c r="T126" s="64"/>
      <c r="U126" s="64"/>
      <c r="V126" s="64"/>
      <c r="W126" s="64"/>
      <c r="X126" s="64"/>
    </row>
    <row r="127" spans="1:24" x14ac:dyDescent="0.25">
      <c r="T127" s="64"/>
      <c r="U127" s="64"/>
      <c r="V127" s="64"/>
      <c r="W127" s="64"/>
      <c r="X127" s="64"/>
    </row>
    <row r="128" spans="1:24" x14ac:dyDescent="0.25">
      <c r="D128" s="58">
        <v>2012</v>
      </c>
      <c r="E128" s="58">
        <v>2013</v>
      </c>
      <c r="F128" s="58">
        <v>2014</v>
      </c>
      <c r="G128" s="58">
        <v>2015</v>
      </c>
      <c r="H128" s="58">
        <v>2016</v>
      </c>
      <c r="I128" s="58">
        <v>2017</v>
      </c>
      <c r="J128" s="58">
        <v>2018</v>
      </c>
      <c r="K128" s="58">
        <v>2019</v>
      </c>
      <c r="L128" s="58">
        <v>2020</v>
      </c>
      <c r="M128" s="58">
        <v>2021</v>
      </c>
      <c r="N128" s="58">
        <v>2022</v>
      </c>
      <c r="O128" s="58">
        <v>2023</v>
      </c>
      <c r="P128" s="58">
        <v>2024</v>
      </c>
      <c r="Q128" s="58">
        <v>2025</v>
      </c>
      <c r="R128" s="58">
        <v>2026</v>
      </c>
      <c r="S128" s="58">
        <v>2027</v>
      </c>
      <c r="T128" s="66"/>
      <c r="U128" s="66"/>
      <c r="V128" s="66"/>
      <c r="W128" s="66"/>
      <c r="X128" s="66"/>
    </row>
  </sheetData>
  <mergeCells count="2">
    <mergeCell ref="B64:C64"/>
    <mergeCell ref="B65:C65"/>
  </mergeCells>
  <hyperlinks>
    <hyperlink ref="A66" r:id="rId1"/>
    <hyperlink ref="A77" r:id="rId2"/>
    <hyperlink ref="A75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topLeftCell="A10" workbookViewId="0">
      <selection activeCell="T42" sqref="T42"/>
    </sheetView>
  </sheetViews>
  <sheetFormatPr defaultRowHeight="15" x14ac:dyDescent="0.25"/>
  <cols>
    <col min="1" max="1" width="11.7109375" style="117" customWidth="1"/>
    <col min="2" max="2" width="14.28515625" style="117" bestFit="1" customWidth="1"/>
    <col min="3" max="3" width="12.28515625" style="117" customWidth="1"/>
    <col min="4" max="4" width="9.140625" style="117"/>
    <col min="5" max="5" width="2.5703125" style="117" customWidth="1"/>
    <col min="6" max="6" width="14" style="117" customWidth="1"/>
    <col min="7" max="7" width="7.140625" style="117" customWidth="1"/>
    <col min="8" max="8" width="6.28515625" style="117" customWidth="1"/>
    <col min="9" max="9" width="9.140625" style="117"/>
    <col min="10" max="10" width="9.85546875" style="117" customWidth="1"/>
    <col min="11" max="11" width="9.140625" style="117"/>
    <col min="12" max="12" width="6.42578125" style="117" customWidth="1"/>
    <col min="13" max="13" width="6.28515625" style="117" customWidth="1"/>
    <col min="14" max="14" width="9.140625" style="117"/>
    <col min="15" max="15" width="14.7109375" style="117" customWidth="1"/>
    <col min="16" max="16" width="9.140625" style="117"/>
    <col min="17" max="17" width="12.140625" style="117" customWidth="1"/>
    <col min="18" max="18" width="13.7109375" style="117" customWidth="1"/>
    <col min="19" max="19" width="9.140625" style="117"/>
    <col min="20" max="20" width="15.5703125" style="117" bestFit="1" customWidth="1"/>
    <col min="21" max="22" width="9.140625" style="117"/>
    <col min="23" max="23" width="14" style="117" bestFit="1" customWidth="1"/>
    <col min="24" max="38" width="9.140625" style="117"/>
    <col min="39" max="39" width="18.28515625" style="117" bestFit="1" customWidth="1"/>
    <col min="40" max="40" width="18.7109375" style="117" customWidth="1"/>
    <col min="41" max="41" width="15.7109375" style="117" customWidth="1"/>
    <col min="42" max="16384" width="9.140625" style="117"/>
  </cols>
  <sheetData>
    <row r="1" spans="1:38" ht="23.25" thickBot="1" x14ac:dyDescent="0.35">
      <c r="A1" s="122"/>
      <c r="B1" s="122"/>
      <c r="C1" s="158" t="s">
        <v>205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38" ht="9.75" customHeight="1" x14ac:dyDescent="0.3">
      <c r="A2" s="122"/>
      <c r="B2" s="122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38" x14ac:dyDescent="0.25">
      <c r="G3" s="162" t="s">
        <v>139</v>
      </c>
      <c r="H3" s="162"/>
      <c r="I3" s="162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</row>
    <row r="4" spans="1:38" x14ac:dyDescent="0.25"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</row>
    <row r="5" spans="1:38" ht="15.75" thickBot="1" x14ac:dyDescent="0.3">
      <c r="R5" s="118"/>
      <c r="S5" s="118"/>
      <c r="T5" s="118"/>
      <c r="V5" s="118"/>
      <c r="W5" s="123"/>
      <c r="X5" s="123"/>
      <c r="Y5" s="118"/>
      <c r="Z5" s="123"/>
      <c r="AA5" s="123"/>
      <c r="AB5" s="118"/>
      <c r="AC5" s="123"/>
      <c r="AD5" s="123"/>
      <c r="AE5" s="118"/>
      <c r="AF5" s="118"/>
      <c r="AG5" s="118"/>
      <c r="AH5" s="118"/>
      <c r="AI5" s="118"/>
      <c r="AJ5" s="118"/>
    </row>
    <row r="6" spans="1:38" x14ac:dyDescent="0.25">
      <c r="E6" s="131"/>
      <c r="F6" s="132"/>
      <c r="G6" s="132"/>
      <c r="H6" s="132"/>
      <c r="I6" s="132"/>
      <c r="J6" s="133"/>
      <c r="R6" s="152"/>
      <c r="S6" s="152"/>
      <c r="T6" s="118"/>
      <c r="V6" s="118"/>
      <c r="W6" s="123"/>
      <c r="X6" s="123"/>
      <c r="Y6" s="118"/>
      <c r="Z6" s="123"/>
      <c r="AA6" s="123"/>
      <c r="AB6" s="118"/>
      <c r="AC6" s="123"/>
      <c r="AD6" s="123"/>
      <c r="AE6" s="118"/>
      <c r="AF6" s="118"/>
      <c r="AG6" s="118"/>
      <c r="AH6" s="118"/>
      <c r="AI6" s="118"/>
      <c r="AJ6" s="118"/>
    </row>
    <row r="7" spans="1:38" x14ac:dyDescent="0.25">
      <c r="E7" s="134"/>
      <c r="F7" s="118"/>
      <c r="G7" s="118"/>
      <c r="H7" s="118"/>
      <c r="I7" s="118"/>
      <c r="J7" s="135"/>
      <c r="R7" s="124"/>
      <c r="S7" s="118"/>
      <c r="T7" s="118"/>
      <c r="V7" s="118"/>
      <c r="W7" s="123"/>
      <c r="X7" s="123"/>
      <c r="Y7" s="118"/>
      <c r="Z7" s="123"/>
      <c r="AA7" s="123"/>
      <c r="AB7" s="118"/>
      <c r="AC7" s="123"/>
      <c r="AD7" s="123"/>
      <c r="AE7" s="118"/>
      <c r="AF7" s="118"/>
      <c r="AG7" s="118"/>
      <c r="AH7" s="118"/>
      <c r="AI7" s="118"/>
      <c r="AJ7" s="118"/>
    </row>
    <row r="8" spans="1:38" x14ac:dyDescent="0.25">
      <c r="E8" s="134"/>
      <c r="F8" s="118"/>
      <c r="G8" s="118"/>
      <c r="H8" s="118"/>
      <c r="I8" s="118"/>
      <c r="J8" s="135"/>
      <c r="R8" s="124"/>
      <c r="S8" s="118"/>
      <c r="T8" s="118"/>
      <c r="V8" s="118"/>
      <c r="W8" s="123"/>
      <c r="X8" s="123"/>
      <c r="Y8" s="118"/>
      <c r="Z8" s="123"/>
      <c r="AA8" s="123"/>
      <c r="AC8" s="123"/>
      <c r="AD8" s="123"/>
      <c r="AE8" s="118"/>
      <c r="AF8" s="118"/>
      <c r="AG8" s="118"/>
      <c r="AH8" s="118"/>
      <c r="AI8" s="118"/>
      <c r="AJ8" s="118"/>
    </row>
    <row r="9" spans="1:38" x14ac:dyDescent="0.25">
      <c r="E9" s="134"/>
      <c r="F9" s="118"/>
      <c r="G9" s="118"/>
      <c r="H9" s="118"/>
      <c r="I9" s="118"/>
      <c r="J9" s="135"/>
      <c r="V9" s="118"/>
      <c r="W9" s="123"/>
      <c r="X9" s="123"/>
      <c r="Y9" s="118"/>
      <c r="Z9" s="123"/>
      <c r="AA9" s="123"/>
      <c r="AB9" s="118"/>
      <c r="AC9" s="123"/>
      <c r="AD9" s="123"/>
      <c r="AE9" s="118"/>
      <c r="AF9" s="118"/>
      <c r="AG9" s="118"/>
      <c r="AH9" s="118"/>
      <c r="AI9" s="118"/>
      <c r="AJ9" s="118"/>
    </row>
    <row r="10" spans="1:38" x14ac:dyDescent="0.25">
      <c r="E10" s="134"/>
      <c r="F10" s="118"/>
      <c r="G10" s="118"/>
      <c r="H10" s="118"/>
      <c r="I10" s="118"/>
      <c r="J10" s="135"/>
      <c r="K10" s="163" t="s">
        <v>141</v>
      </c>
      <c r="L10" s="155"/>
      <c r="V10" s="118"/>
      <c r="W10" s="123"/>
      <c r="X10" s="123"/>
      <c r="Y10" s="118"/>
      <c r="Z10" s="123"/>
      <c r="AA10" s="123"/>
      <c r="AB10" s="118"/>
      <c r="AC10" s="123"/>
      <c r="AD10" s="123"/>
      <c r="AE10" s="118"/>
      <c r="AF10" s="118"/>
      <c r="AG10" s="118"/>
      <c r="AH10" s="118"/>
      <c r="AI10" s="118"/>
      <c r="AJ10" s="118"/>
    </row>
    <row r="11" spans="1:38" x14ac:dyDescent="0.25">
      <c r="B11" s="120"/>
      <c r="E11" s="134"/>
      <c r="F11" s="118"/>
      <c r="G11" s="118"/>
      <c r="H11" s="118"/>
      <c r="I11" s="118"/>
      <c r="J11" s="135"/>
      <c r="K11" s="163"/>
      <c r="L11" s="155"/>
      <c r="Q11" s="117" t="s">
        <v>54</v>
      </c>
      <c r="W11" s="123"/>
      <c r="X11" s="123"/>
      <c r="Y11" s="118"/>
      <c r="Z11" s="123"/>
      <c r="AA11" s="123"/>
      <c r="AB11" s="118"/>
      <c r="AC11" s="123"/>
      <c r="AD11" s="123"/>
      <c r="AE11" s="118"/>
      <c r="AF11" s="118"/>
      <c r="AG11" s="118"/>
      <c r="AH11" s="118"/>
      <c r="AI11" s="118"/>
      <c r="AJ11" s="118"/>
    </row>
    <row r="12" spans="1:38" x14ac:dyDescent="0.25">
      <c r="E12" s="134"/>
      <c r="F12" s="118"/>
      <c r="G12" s="118"/>
      <c r="H12" s="118"/>
      <c r="I12" s="118"/>
      <c r="J12" s="135"/>
      <c r="Q12" s="117" t="s">
        <v>55</v>
      </c>
      <c r="W12" s="123"/>
      <c r="X12" s="123"/>
      <c r="Y12" s="118"/>
      <c r="Z12" s="123"/>
      <c r="AA12" s="123"/>
      <c r="AB12" s="118"/>
      <c r="AC12" s="123"/>
      <c r="AD12" s="123"/>
      <c r="AE12" s="118"/>
      <c r="AF12" s="118"/>
      <c r="AG12" s="118"/>
      <c r="AH12" s="118"/>
      <c r="AI12" s="118"/>
      <c r="AJ12" s="118"/>
    </row>
    <row r="13" spans="1:38" x14ac:dyDescent="0.25">
      <c r="E13" s="134"/>
      <c r="F13" s="118"/>
      <c r="G13" s="118"/>
      <c r="H13" s="118"/>
      <c r="I13" s="118"/>
      <c r="J13" s="135"/>
      <c r="W13" s="123"/>
      <c r="X13" s="123"/>
      <c r="Y13" s="118"/>
      <c r="Z13" s="123"/>
      <c r="AA13" s="123"/>
      <c r="AB13" s="118"/>
      <c r="AC13" s="123"/>
      <c r="AD13" s="123"/>
      <c r="AE13" s="118"/>
      <c r="AF13" s="118"/>
      <c r="AG13" s="118"/>
      <c r="AH13" s="118"/>
      <c r="AI13" s="118"/>
      <c r="AJ13" s="118"/>
    </row>
    <row r="14" spans="1:38" x14ac:dyDescent="0.25">
      <c r="B14" s="164" t="s">
        <v>138</v>
      </c>
      <c r="C14" s="164"/>
      <c r="E14" s="134"/>
      <c r="F14" s="118"/>
      <c r="G14" s="118"/>
      <c r="H14" s="118"/>
      <c r="I14" s="118"/>
      <c r="J14" s="135"/>
      <c r="W14" s="123"/>
      <c r="X14" s="123"/>
      <c r="Y14" s="118"/>
      <c r="Z14" s="123"/>
      <c r="AA14" s="123"/>
      <c r="AB14" s="118"/>
      <c r="AC14" s="123"/>
      <c r="AD14" s="123"/>
      <c r="AE14" s="118"/>
      <c r="AF14" s="118"/>
      <c r="AG14" s="161"/>
      <c r="AH14" s="161"/>
      <c r="AI14" s="161"/>
      <c r="AJ14" s="118"/>
    </row>
    <row r="15" spans="1:38" ht="15.75" thickBot="1" x14ac:dyDescent="0.3">
      <c r="B15" s="164"/>
      <c r="C15" s="164"/>
      <c r="E15" s="134"/>
      <c r="F15" s="118"/>
      <c r="G15" s="118"/>
      <c r="H15" s="118"/>
      <c r="I15" s="118"/>
      <c r="J15" s="135"/>
      <c r="Q15" s="125" t="s">
        <v>71</v>
      </c>
      <c r="R15" s="125"/>
      <c r="W15" s="123"/>
      <c r="X15" s="123"/>
      <c r="Y15" s="118"/>
      <c r="Z15" s="123"/>
      <c r="AA15" s="123"/>
      <c r="AB15" s="118"/>
      <c r="AC15" s="123"/>
      <c r="AD15" s="123"/>
      <c r="AE15" s="118"/>
      <c r="AF15" s="118"/>
      <c r="AG15" s="161"/>
      <c r="AH15" s="161"/>
      <c r="AI15" s="161"/>
      <c r="AJ15" s="118"/>
    </row>
    <row r="16" spans="1:38" x14ac:dyDescent="0.25">
      <c r="A16" s="126" t="s">
        <v>9</v>
      </c>
      <c r="C16" s="119">
        <f>+C18*C19</f>
        <v>27600</v>
      </c>
      <c r="E16" s="134"/>
      <c r="F16" s="118"/>
      <c r="G16" s="118"/>
      <c r="H16" s="118"/>
      <c r="I16" s="118"/>
      <c r="J16" s="135"/>
      <c r="K16" s="131"/>
      <c r="L16" s="132"/>
      <c r="M16" s="132"/>
      <c r="N16" s="133"/>
      <c r="Q16" s="127">
        <v>25</v>
      </c>
      <c r="R16" s="117" t="s">
        <v>58</v>
      </c>
      <c r="W16" s="123"/>
      <c r="X16" s="123"/>
      <c r="Y16" s="118"/>
      <c r="Z16" s="123"/>
      <c r="AA16" s="123"/>
      <c r="AB16" s="118"/>
      <c r="AC16" s="123"/>
      <c r="AD16" s="123"/>
      <c r="AE16" s="118"/>
      <c r="AF16" s="118"/>
      <c r="AG16" s="161"/>
      <c r="AH16" s="161"/>
      <c r="AI16" s="161"/>
      <c r="AJ16" s="118"/>
      <c r="AK16" s="154"/>
      <c r="AL16" s="155"/>
    </row>
    <row r="17" spans="1:38" x14ac:dyDescent="0.25">
      <c r="A17" s="153" t="s">
        <v>206</v>
      </c>
      <c r="B17" s="153"/>
      <c r="C17" s="119">
        <f>+C18*C19*3+2500</f>
        <v>85300</v>
      </c>
      <c r="E17" s="134"/>
      <c r="F17" s="118"/>
      <c r="G17" s="118"/>
      <c r="H17" s="118"/>
      <c r="I17" s="118"/>
      <c r="J17" s="135"/>
      <c r="K17" s="134"/>
      <c r="L17" s="118"/>
      <c r="M17" s="118"/>
      <c r="N17" s="135"/>
      <c r="Q17" s="117">
        <v>3113.73</v>
      </c>
      <c r="R17" s="117" t="s">
        <v>57</v>
      </c>
      <c r="W17" s="123"/>
      <c r="X17" s="123"/>
      <c r="Y17" s="118"/>
      <c r="Z17" s="123"/>
      <c r="AA17" s="123"/>
      <c r="AB17" s="118"/>
      <c r="AC17" s="123"/>
      <c r="AD17" s="123"/>
      <c r="AE17" s="118"/>
      <c r="AF17" s="118"/>
      <c r="AG17" s="161"/>
      <c r="AH17" s="161"/>
      <c r="AI17" s="161"/>
      <c r="AJ17" s="118"/>
      <c r="AK17" s="154"/>
      <c r="AL17" s="155"/>
    </row>
    <row r="18" spans="1:38" x14ac:dyDescent="0.25">
      <c r="A18" s="156" t="s">
        <v>8</v>
      </c>
      <c r="B18" s="156"/>
      <c r="C18" s="119">
        <v>1150</v>
      </c>
      <c r="E18" s="134"/>
      <c r="F18" s="118"/>
      <c r="G18" s="118"/>
      <c r="H18" s="118"/>
      <c r="I18" s="118"/>
      <c r="J18" s="135"/>
      <c r="K18" s="134"/>
      <c r="L18" s="118"/>
      <c r="M18" s="118"/>
      <c r="N18" s="135"/>
      <c r="W18" s="123"/>
      <c r="X18" s="123"/>
      <c r="Y18" s="118"/>
      <c r="Z18" s="123"/>
      <c r="AA18" s="123"/>
      <c r="AB18" s="118"/>
      <c r="AC18" s="123"/>
      <c r="AD18" s="123"/>
      <c r="AE18" s="118"/>
      <c r="AF18" s="118"/>
      <c r="AG18" s="161"/>
      <c r="AH18" s="161"/>
      <c r="AI18" s="161"/>
      <c r="AJ18" s="118"/>
    </row>
    <row r="19" spans="1:38" x14ac:dyDescent="0.25">
      <c r="A19" s="156" t="s">
        <v>7</v>
      </c>
      <c r="B19" s="156"/>
      <c r="C19" s="128">
        <v>24</v>
      </c>
      <c r="E19" s="134"/>
      <c r="F19" s="118"/>
      <c r="G19" s="118"/>
      <c r="H19" s="118"/>
      <c r="I19" s="118"/>
      <c r="J19" s="135"/>
      <c r="K19" s="134"/>
      <c r="L19" s="118"/>
      <c r="M19" s="118"/>
      <c r="N19" s="135"/>
      <c r="P19" s="165" t="s">
        <v>142</v>
      </c>
      <c r="Q19" s="125" t="s">
        <v>72</v>
      </c>
      <c r="R19" s="125"/>
      <c r="W19" s="123"/>
      <c r="X19" s="123"/>
      <c r="Y19" s="118"/>
      <c r="Z19" s="123"/>
      <c r="AA19" s="123"/>
      <c r="AB19" s="118"/>
      <c r="AC19" s="123"/>
      <c r="AD19" s="123"/>
      <c r="AE19" s="118"/>
      <c r="AF19" s="118"/>
      <c r="AG19" s="161"/>
      <c r="AH19" s="161"/>
      <c r="AI19" s="161"/>
      <c r="AJ19" s="118"/>
    </row>
    <row r="20" spans="1:38" x14ac:dyDescent="0.25">
      <c r="A20" s="117" t="s">
        <v>10</v>
      </c>
      <c r="C20" s="117">
        <v>3</v>
      </c>
      <c r="E20" s="134"/>
      <c r="F20" s="118"/>
      <c r="G20" s="118"/>
      <c r="H20" s="118"/>
      <c r="I20" s="118"/>
      <c r="J20" s="135"/>
      <c r="K20" s="134"/>
      <c r="L20" s="118"/>
      <c r="M20" s="118"/>
      <c r="N20" s="135"/>
      <c r="P20" s="165"/>
      <c r="Q20" s="129">
        <v>99.07</v>
      </c>
      <c r="R20" s="117" t="s">
        <v>70</v>
      </c>
      <c r="W20" s="118"/>
      <c r="X20" s="118"/>
      <c r="Y20" s="118"/>
      <c r="Z20" s="152"/>
      <c r="AA20" s="152"/>
      <c r="AB20" s="118"/>
      <c r="AC20" s="118"/>
      <c r="AD20" s="118"/>
      <c r="AE20" s="118"/>
      <c r="AF20" s="118"/>
      <c r="AG20" s="152"/>
      <c r="AH20" s="152"/>
      <c r="AI20" s="152"/>
      <c r="AJ20" s="118"/>
    </row>
    <row r="21" spans="1:38" ht="33" customHeight="1" x14ac:dyDescent="0.25">
      <c r="B21" s="141" t="s">
        <v>11</v>
      </c>
      <c r="C21" s="141">
        <f>+ROUND(C20*C19,0)</f>
        <v>72</v>
      </c>
      <c r="E21" s="134"/>
      <c r="F21" s="118"/>
      <c r="G21" s="118"/>
      <c r="H21" s="118"/>
      <c r="I21" s="118"/>
      <c r="J21" s="135"/>
      <c r="K21" s="134"/>
      <c r="L21" s="118"/>
      <c r="M21" s="118"/>
      <c r="N21" s="135"/>
      <c r="Q21" s="119">
        <f>72*1150+2500</f>
        <v>85300</v>
      </c>
      <c r="R21" s="117" t="s">
        <v>74</v>
      </c>
    </row>
    <row r="22" spans="1:38" x14ac:dyDescent="0.25">
      <c r="E22" s="134"/>
      <c r="F22" s="118"/>
      <c r="G22" s="118"/>
      <c r="H22" s="118"/>
      <c r="I22" s="118"/>
      <c r="J22" s="135"/>
      <c r="K22" s="134"/>
      <c r="L22" s="118"/>
      <c r="M22" s="118"/>
      <c r="N22" s="135"/>
      <c r="W22" s="155"/>
      <c r="X22" s="155"/>
    </row>
    <row r="23" spans="1:38" ht="27" customHeight="1" thickBot="1" x14ac:dyDescent="0.3">
      <c r="B23" s="117">
        <f>72*1150</f>
        <v>82800</v>
      </c>
      <c r="E23" s="136"/>
      <c r="F23" s="137"/>
      <c r="G23" s="137"/>
      <c r="H23" s="137"/>
      <c r="I23" s="137"/>
      <c r="J23" s="138"/>
      <c r="K23" s="136"/>
      <c r="L23" s="137"/>
      <c r="M23" s="137"/>
      <c r="N23" s="138"/>
      <c r="Q23" s="125" t="s">
        <v>77</v>
      </c>
      <c r="W23" s="155"/>
      <c r="X23" s="155"/>
    </row>
    <row r="24" spans="1:38" x14ac:dyDescent="0.25">
      <c r="B24" s="117">
        <f>B23*99</f>
        <v>8197200</v>
      </c>
      <c r="Q24" s="116">
        <v>41400</v>
      </c>
      <c r="R24" s="117" t="s">
        <v>79</v>
      </c>
    </row>
    <row r="25" spans="1:38" x14ac:dyDescent="0.25">
      <c r="Q25" s="116">
        <v>2</v>
      </c>
      <c r="R25" s="117" t="s">
        <v>78</v>
      </c>
      <c r="AA25" s="166"/>
      <c r="AB25" s="166"/>
      <c r="AC25" s="166"/>
      <c r="AD25" s="166"/>
    </row>
    <row r="26" spans="1:38" x14ac:dyDescent="0.25">
      <c r="J26" s="139" t="s">
        <v>140</v>
      </c>
      <c r="AA26" s="166"/>
      <c r="AB26" s="166"/>
      <c r="AC26" s="166"/>
      <c r="AD26" s="166"/>
    </row>
    <row r="27" spans="1:38" x14ac:dyDescent="0.25">
      <c r="A27" s="167" t="s">
        <v>3</v>
      </c>
      <c r="B27" s="167"/>
      <c r="E27" s="167" t="s">
        <v>4</v>
      </c>
      <c r="F27" s="167"/>
      <c r="G27" s="167"/>
      <c r="H27" s="167"/>
      <c r="R27" s="125" t="s">
        <v>80</v>
      </c>
      <c r="S27" s="125"/>
    </row>
    <row r="28" spans="1:38" x14ac:dyDescent="0.25">
      <c r="A28" s="117">
        <v>84</v>
      </c>
      <c r="B28" s="117" t="s">
        <v>12</v>
      </c>
      <c r="F28" s="117">
        <v>72</v>
      </c>
      <c r="G28" s="117" t="s">
        <v>12</v>
      </c>
      <c r="I28" s="117">
        <f>+F28*F31</f>
        <v>432</v>
      </c>
      <c r="R28" s="129">
        <v>4109.7</v>
      </c>
      <c r="S28" s="117" t="s">
        <v>81</v>
      </c>
    </row>
    <row r="29" spans="1:38" x14ac:dyDescent="0.25">
      <c r="A29" s="127">
        <v>575</v>
      </c>
      <c r="B29" s="117" t="s">
        <v>5</v>
      </c>
      <c r="F29" s="127">
        <v>1300</v>
      </c>
      <c r="G29" s="117" t="s">
        <v>13</v>
      </c>
      <c r="Q29" s="120"/>
      <c r="R29" s="129">
        <v>2.21</v>
      </c>
      <c r="S29" s="117" t="s">
        <v>82</v>
      </c>
    </row>
    <row r="30" spans="1:38" x14ac:dyDescent="0.25">
      <c r="A30" s="117">
        <v>12</v>
      </c>
      <c r="B30" s="117" t="s">
        <v>6</v>
      </c>
      <c r="F30" s="117">
        <v>3</v>
      </c>
      <c r="G30" s="117" t="s">
        <v>13</v>
      </c>
      <c r="Q30" s="120"/>
      <c r="R30" s="117">
        <f>+O40/1000</f>
        <v>8450.6710000000003</v>
      </c>
    </row>
    <row r="31" spans="1:38" x14ac:dyDescent="0.25">
      <c r="A31" s="130">
        <f>+A30*A29*A28</f>
        <v>579600</v>
      </c>
      <c r="B31" s="59" t="s">
        <v>15</v>
      </c>
      <c r="C31" s="59"/>
      <c r="F31" s="117">
        <v>6</v>
      </c>
      <c r="G31" s="117" t="s">
        <v>14</v>
      </c>
      <c r="Q31" s="120"/>
      <c r="R31" s="129">
        <f>+R30*R29+R28</f>
        <v>22785.68291</v>
      </c>
      <c r="S31" s="117" t="s">
        <v>83</v>
      </c>
    </row>
    <row r="32" spans="1:38" x14ac:dyDescent="0.25">
      <c r="F32" s="130">
        <f>+F30*F29*F28*F31</f>
        <v>1684800</v>
      </c>
      <c r="G32" s="59" t="s">
        <v>15</v>
      </c>
      <c r="H32" s="59"/>
      <c r="I32" s="59"/>
      <c r="Q32" s="120"/>
      <c r="R32" s="120">
        <v>2424.9499999999998</v>
      </c>
      <c r="S32" s="117" t="s">
        <v>84</v>
      </c>
    </row>
    <row r="33" spans="6:40" x14ac:dyDescent="0.25">
      <c r="Q33" s="120"/>
      <c r="R33" s="120">
        <v>1299.98</v>
      </c>
      <c r="S33" s="117" t="s">
        <v>85</v>
      </c>
    </row>
    <row r="34" spans="6:40" x14ac:dyDescent="0.25">
      <c r="J34" s="157" t="s">
        <v>51</v>
      </c>
      <c r="K34" s="157"/>
      <c r="L34" s="157"/>
      <c r="M34" s="157"/>
      <c r="N34" s="157"/>
      <c r="Q34" s="120"/>
      <c r="R34" s="129">
        <f>SUM(R31:R33)</f>
        <v>26510.61291</v>
      </c>
      <c r="S34" s="117" t="s">
        <v>86</v>
      </c>
    </row>
    <row r="35" spans="6:40" x14ac:dyDescent="0.25">
      <c r="Q35" s="120"/>
    </row>
    <row r="36" spans="6:40" x14ac:dyDescent="0.25">
      <c r="F36" s="117">
        <f>360-90-150</f>
        <v>120</v>
      </c>
      <c r="J36" s="117" t="s">
        <v>52</v>
      </c>
      <c r="O36" s="116">
        <v>300000</v>
      </c>
      <c r="AN36" s="120"/>
    </row>
    <row r="37" spans="6:40" x14ac:dyDescent="0.25">
      <c r="F37" s="117">
        <f>+F36*345</f>
        <v>41400</v>
      </c>
      <c r="J37" s="117" t="s">
        <v>53</v>
      </c>
      <c r="O37" s="116">
        <v>55000</v>
      </c>
      <c r="AN37" s="120"/>
    </row>
    <row r="38" spans="6:40" x14ac:dyDescent="0.25">
      <c r="F38" s="117" t="s">
        <v>76</v>
      </c>
      <c r="J38" s="117" t="s">
        <v>56</v>
      </c>
      <c r="O38" s="116">
        <f>989*7</f>
        <v>6923</v>
      </c>
      <c r="AN38" s="120"/>
    </row>
    <row r="39" spans="6:40" x14ac:dyDescent="0.25">
      <c r="J39" s="117" t="s">
        <v>59</v>
      </c>
      <c r="O39" s="116">
        <f>+Q17*Q16</f>
        <v>77843.25</v>
      </c>
    </row>
    <row r="40" spans="6:40" x14ac:dyDescent="0.25">
      <c r="J40" s="117" t="s">
        <v>75</v>
      </c>
      <c r="O40" s="116">
        <f>+Q21*Q20</f>
        <v>8450671</v>
      </c>
    </row>
    <row r="41" spans="6:40" x14ac:dyDescent="0.25">
      <c r="J41" s="117" t="s">
        <v>77</v>
      </c>
      <c r="O41" s="116">
        <f>+Q24*Q25</f>
        <v>82800</v>
      </c>
    </row>
    <row r="42" spans="6:40" x14ac:dyDescent="0.25">
      <c r="J42" s="117" t="s">
        <v>80</v>
      </c>
      <c r="O42" s="121">
        <f>R34</f>
        <v>26510.61291</v>
      </c>
    </row>
    <row r="43" spans="6:40" x14ac:dyDescent="0.25">
      <c r="O43" s="120">
        <f>+SUM(O36:O42)</f>
        <v>8999747.8629100006</v>
      </c>
    </row>
    <row r="44" spans="6:40" x14ac:dyDescent="0.25">
      <c r="O44" s="120"/>
    </row>
    <row r="45" spans="6:40" x14ac:dyDescent="0.25">
      <c r="J45" s="117" t="s">
        <v>87</v>
      </c>
      <c r="O45" s="120">
        <f>+(O40+O41)/30</f>
        <v>284449.03333333333</v>
      </c>
    </row>
  </sheetData>
  <mergeCells count="18">
    <mergeCell ref="J34:N34"/>
    <mergeCell ref="C1:N1"/>
    <mergeCell ref="AG14:AI19"/>
    <mergeCell ref="G3:I3"/>
    <mergeCell ref="K10:L11"/>
    <mergeCell ref="R6:S6"/>
    <mergeCell ref="B14:C15"/>
    <mergeCell ref="P19:P20"/>
    <mergeCell ref="Z20:AA20"/>
    <mergeCell ref="W22:X23"/>
    <mergeCell ref="AA25:AD26"/>
    <mergeCell ref="A27:B27"/>
    <mergeCell ref="E27:H27"/>
    <mergeCell ref="AG20:AI20"/>
    <mergeCell ref="A17:B17"/>
    <mergeCell ref="AK16:AL17"/>
    <mergeCell ref="A18:B18"/>
    <mergeCell ref="A19:B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F23" sqref="F23"/>
    </sheetView>
  </sheetViews>
  <sheetFormatPr defaultRowHeight="15" x14ac:dyDescent="0.25"/>
  <cols>
    <col min="1" max="1" width="20.7109375" bestFit="1" customWidth="1"/>
    <col min="9" max="9" width="14.28515625" customWidth="1"/>
    <col min="10" max="10" width="15" customWidth="1"/>
    <col min="11" max="11" width="13.140625" customWidth="1"/>
    <col min="12" max="12" width="13.5703125" customWidth="1"/>
  </cols>
  <sheetData>
    <row r="1" spans="1:15" x14ac:dyDescent="0.25">
      <c r="A1" t="s">
        <v>22</v>
      </c>
      <c r="D1" s="168" t="s">
        <v>23</v>
      </c>
      <c r="E1" s="169"/>
    </row>
    <row r="2" spans="1:15" x14ac:dyDescent="0.25">
      <c r="A2" t="s">
        <v>24</v>
      </c>
      <c r="B2" t="s">
        <v>25</v>
      </c>
      <c r="D2" s="170"/>
      <c r="E2" s="171"/>
    </row>
    <row r="3" spans="1:15" x14ac:dyDescent="0.25">
      <c r="A3" t="s">
        <v>26</v>
      </c>
      <c r="B3" t="s">
        <v>27</v>
      </c>
      <c r="D3" s="170"/>
      <c r="E3" s="171"/>
    </row>
    <row r="4" spans="1:15" x14ac:dyDescent="0.25">
      <c r="A4" t="s">
        <v>28</v>
      </c>
      <c r="B4" t="s">
        <v>29</v>
      </c>
      <c r="D4" s="170"/>
      <c r="E4" s="171"/>
    </row>
    <row r="5" spans="1:15" x14ac:dyDescent="0.25">
      <c r="A5" s="20" t="s">
        <v>30</v>
      </c>
      <c r="D5" s="170"/>
      <c r="E5" s="171"/>
      <c r="F5" s="168" t="s">
        <v>31</v>
      </c>
      <c r="G5" s="169"/>
    </row>
    <row r="6" spans="1:15" x14ac:dyDescent="0.25">
      <c r="A6" s="21">
        <f>60*1300*6</f>
        <v>468000</v>
      </c>
      <c r="B6" t="s">
        <v>32</v>
      </c>
      <c r="D6" s="170"/>
      <c r="E6" s="171"/>
      <c r="F6" s="170"/>
      <c r="G6" s="171"/>
      <c r="H6" t="s">
        <v>33</v>
      </c>
    </row>
    <row r="7" spans="1:15" x14ac:dyDescent="0.25">
      <c r="A7" s="21">
        <f>+A6*3</f>
        <v>1404000</v>
      </c>
      <c r="B7" t="s">
        <v>34</v>
      </c>
      <c r="D7" s="172"/>
      <c r="E7" s="173"/>
      <c r="F7" s="172"/>
      <c r="G7" s="173"/>
    </row>
    <row r="8" spans="1:15" x14ac:dyDescent="0.25">
      <c r="D8" t="s">
        <v>35</v>
      </c>
    </row>
    <row r="9" spans="1:15" x14ac:dyDescent="0.25">
      <c r="D9" t="s">
        <v>36</v>
      </c>
    </row>
    <row r="10" spans="1:15" x14ac:dyDescent="0.25">
      <c r="D10" t="s">
        <v>37</v>
      </c>
    </row>
    <row r="11" spans="1:15" ht="18" x14ac:dyDescent="0.25">
      <c r="D11" t="s">
        <v>38</v>
      </c>
      <c r="I11" s="174"/>
      <c r="J11" s="174"/>
      <c r="K11" s="174"/>
      <c r="L11" s="174"/>
      <c r="M11" s="174"/>
      <c r="N11" s="174"/>
      <c r="O11" s="174"/>
    </row>
    <row r="12" spans="1:15" ht="18" x14ac:dyDescent="0.25">
      <c r="E12" t="s">
        <v>39</v>
      </c>
      <c r="I12" s="34" t="s">
        <v>60</v>
      </c>
    </row>
    <row r="13" spans="1:15" x14ac:dyDescent="0.25">
      <c r="E13" t="s">
        <v>40</v>
      </c>
    </row>
    <row r="14" spans="1:15" ht="30" x14ac:dyDescent="0.25">
      <c r="E14" t="s">
        <v>41</v>
      </c>
      <c r="I14" s="35" t="s">
        <v>61</v>
      </c>
      <c r="J14" s="35" t="s">
        <v>62</v>
      </c>
      <c r="K14" s="35" t="s">
        <v>63</v>
      </c>
      <c r="L14" s="35" t="s">
        <v>64</v>
      </c>
    </row>
    <row r="15" spans="1:15" x14ac:dyDescent="0.25">
      <c r="E15" t="s">
        <v>42</v>
      </c>
      <c r="I15" s="35" t="s">
        <v>65</v>
      </c>
      <c r="J15" s="35"/>
      <c r="K15" s="36">
        <v>75.62</v>
      </c>
      <c r="L15" s="37">
        <v>1701500</v>
      </c>
    </row>
    <row r="16" spans="1:15" ht="60" x14ac:dyDescent="0.25">
      <c r="E16" t="s">
        <v>43</v>
      </c>
      <c r="I16" s="35" t="s">
        <v>66</v>
      </c>
      <c r="J16" s="38">
        <v>0.25</v>
      </c>
      <c r="K16" s="36">
        <v>18.91</v>
      </c>
      <c r="L16" s="37">
        <v>425375</v>
      </c>
    </row>
    <row r="17" spans="5:12" ht="30" x14ac:dyDescent="0.25">
      <c r="E17" t="s">
        <v>44</v>
      </c>
      <c r="I17" s="35" t="s">
        <v>67</v>
      </c>
      <c r="J17" s="38">
        <v>0.06</v>
      </c>
      <c r="K17" s="36">
        <v>4.54</v>
      </c>
      <c r="L17" s="37">
        <v>102090</v>
      </c>
    </row>
    <row r="18" spans="5:12" ht="15" customHeight="1" x14ac:dyDescent="0.25">
      <c r="E18" t="s">
        <v>45</v>
      </c>
      <c r="I18" s="35" t="s">
        <v>68</v>
      </c>
      <c r="J18" s="38">
        <v>0</v>
      </c>
      <c r="K18" s="37">
        <v>0</v>
      </c>
      <c r="L18" s="37">
        <v>0</v>
      </c>
    </row>
    <row r="19" spans="5:12" ht="15" customHeight="1" x14ac:dyDescent="0.25">
      <c r="E19" t="s">
        <v>46</v>
      </c>
      <c r="I19" s="175" t="s">
        <v>69</v>
      </c>
      <c r="J19" s="175"/>
      <c r="K19" s="36">
        <v>99.07</v>
      </c>
      <c r="L19" s="37">
        <v>2228965</v>
      </c>
    </row>
    <row r="20" spans="5:12" x14ac:dyDescent="0.25">
      <c r="E20" t="s">
        <v>47</v>
      </c>
    </row>
    <row r="21" spans="5:12" x14ac:dyDescent="0.25">
      <c r="E21" s="22" t="s">
        <v>48</v>
      </c>
    </row>
  </sheetData>
  <mergeCells count="4">
    <mergeCell ref="D1:E7"/>
    <mergeCell ref="F5:G7"/>
    <mergeCell ref="I11:O11"/>
    <mergeCell ref="I19:J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7"/>
  <sheetViews>
    <sheetView workbookViewId="0">
      <pane ySplit="7" topLeftCell="A113" activePane="bottomLeft" state="frozen"/>
      <selection pane="bottomLeft" activeCell="B3" sqref="B3"/>
    </sheetView>
  </sheetViews>
  <sheetFormatPr defaultRowHeight="15" x14ac:dyDescent="0.25"/>
  <cols>
    <col min="1" max="1" width="16.28515625" bestFit="1" customWidth="1"/>
    <col min="2" max="2" width="15.28515625" bestFit="1" customWidth="1"/>
    <col min="3" max="4" width="12.5703125" bestFit="1" customWidth="1"/>
    <col min="5" max="5" width="13.140625" customWidth="1"/>
    <col min="6" max="6" width="16.7109375" customWidth="1"/>
    <col min="7" max="7" width="15.28515625" customWidth="1"/>
    <col min="8" max="8" width="13.85546875" customWidth="1"/>
    <col min="9" max="9" width="14.28515625" bestFit="1" customWidth="1"/>
    <col min="10" max="10" width="16.28515625" bestFit="1" customWidth="1"/>
    <col min="11" max="11" width="13.42578125" bestFit="1" customWidth="1"/>
    <col min="12" max="12" width="12.140625" bestFit="1" customWidth="1"/>
  </cols>
  <sheetData>
    <row r="1" spans="1:25" x14ac:dyDescent="0.25">
      <c r="A1" s="43" t="s">
        <v>124</v>
      </c>
      <c r="B1" s="21">
        <f>+J10</f>
        <v>6613837.4598713517</v>
      </c>
      <c r="F1" t="s">
        <v>125</v>
      </c>
      <c r="G1" s="42">
        <f>B2/12</f>
        <v>5.8333333333333336E-3</v>
      </c>
    </row>
    <row r="2" spans="1:25" x14ac:dyDescent="0.25">
      <c r="A2" s="43" t="s">
        <v>126</v>
      </c>
      <c r="B2" s="42">
        <v>7.0000000000000007E-2</v>
      </c>
      <c r="F2" t="s">
        <v>127</v>
      </c>
      <c r="G2">
        <f>B3*12</f>
        <v>120</v>
      </c>
    </row>
    <row r="3" spans="1:25" x14ac:dyDescent="0.25">
      <c r="A3" s="43" t="s">
        <v>128</v>
      </c>
      <c r="B3">
        <v>10</v>
      </c>
      <c r="F3" t="s">
        <v>129</v>
      </c>
      <c r="G3" s="44">
        <f>PMT($G$1,$G$2,$B$1,0)</f>
        <v>-76792.26092648301</v>
      </c>
      <c r="J3" s="120"/>
    </row>
    <row r="4" spans="1:25" x14ac:dyDescent="0.25">
      <c r="A4" s="43"/>
      <c r="D4" s="44"/>
      <c r="E4" s="44"/>
    </row>
    <row r="7" spans="1:25" x14ac:dyDescent="0.25">
      <c r="A7" s="45" t="s">
        <v>130</v>
      </c>
      <c r="B7" s="46" t="s">
        <v>129</v>
      </c>
      <c r="C7" s="46" t="s">
        <v>131</v>
      </c>
      <c r="D7" s="46" t="s">
        <v>132</v>
      </c>
      <c r="E7" s="46" t="s">
        <v>133</v>
      </c>
      <c r="F7" s="46" t="s">
        <v>134</v>
      </c>
      <c r="G7" s="46" t="s">
        <v>135</v>
      </c>
      <c r="H7" s="47" t="s">
        <v>136</v>
      </c>
    </row>
    <row r="8" spans="1:25" x14ac:dyDescent="0.25">
      <c r="A8">
        <v>1</v>
      </c>
      <c r="B8" s="44">
        <f>$G$3</f>
        <v>-76792.26092648301</v>
      </c>
      <c r="C8" s="48">
        <f>-B8-D8</f>
        <v>38211.542410566792</v>
      </c>
      <c r="D8" s="48">
        <f>B1*G1</f>
        <v>38580.718515916218</v>
      </c>
      <c r="E8" s="48"/>
      <c r="F8" s="48">
        <f>$B$1-C8</f>
        <v>6575625.9174607852</v>
      </c>
      <c r="G8" s="48">
        <f>C8</f>
        <v>38211.542410566792</v>
      </c>
      <c r="H8" s="48">
        <f>D8</f>
        <v>38580.718515916218</v>
      </c>
    </row>
    <row r="9" spans="1:25" x14ac:dyDescent="0.25">
      <c r="A9">
        <f>A8+1</f>
        <v>2</v>
      </c>
      <c r="B9" s="44">
        <f>$G$3</f>
        <v>-76792.26092648301</v>
      </c>
      <c r="C9" s="48">
        <f>-B9-D9+E9</f>
        <v>38434.443074628427</v>
      </c>
      <c r="D9" s="48">
        <f>F8*$G$1</f>
        <v>38357.817851854583</v>
      </c>
      <c r="E9" s="48"/>
      <c r="F9" s="48">
        <f>F8-C9</f>
        <v>6537191.4743861565</v>
      </c>
      <c r="G9" s="48">
        <f>G8+C9</f>
        <v>76645.985485195211</v>
      </c>
      <c r="H9" s="48">
        <f>H8+D9</f>
        <v>76938.536367770808</v>
      </c>
      <c r="J9" s="46" t="s">
        <v>134</v>
      </c>
      <c r="K9" s="46" t="s">
        <v>135</v>
      </c>
      <c r="L9" s="47" t="s">
        <v>136</v>
      </c>
      <c r="N9">
        <v>69997.478629100005</v>
      </c>
      <c r="O9">
        <v>139690.67158002034</v>
      </c>
      <c r="P9">
        <v>209076.53599597918</v>
      </c>
      <c r="Q9">
        <v>278151.99859162694</v>
      </c>
      <c r="R9">
        <v>346913.95534876047</v>
      </c>
      <c r="S9">
        <v>415359.27120899467</v>
      </c>
      <c r="T9">
        <v>483484.77976336051</v>
      </c>
      <c r="U9">
        <v>551287.28293879936</v>
      </c>
      <c r="V9">
        <v>618763.55068152188</v>
      </c>
      <c r="W9">
        <v>685910.32063720096</v>
      </c>
      <c r="X9">
        <v>752724.29782796616</v>
      </c>
      <c r="Y9">
        <v>819202.15432616835</v>
      </c>
    </row>
    <row r="10" spans="1:25" x14ac:dyDescent="0.25">
      <c r="A10">
        <f>IF(OR(F9&lt;0.01,A9=""), "",A9+1)</f>
        <v>3</v>
      </c>
      <c r="B10" s="44">
        <f>IF(OR(F9&lt;0.01,A10=""),"",$G$3)</f>
        <v>-76792.26092648301</v>
      </c>
      <c r="C10" s="48">
        <f t="shared" ref="C10:C19" si="0">-B10-D10+E10</f>
        <v>38658.643992563761</v>
      </c>
      <c r="D10" s="48">
        <f>IF(A10="", "",F9*$G$1)</f>
        <v>38133.616933919249</v>
      </c>
      <c r="E10" s="48"/>
      <c r="F10" s="48">
        <f t="shared" ref="F10:F19" si="1">F9-C10</f>
        <v>6498532.8303935928</v>
      </c>
      <c r="G10" s="48">
        <f t="shared" ref="G10:G19" si="2">G9+C10</f>
        <v>115304.62947775898</v>
      </c>
      <c r="H10" s="48">
        <f>IF(A10="", "", H9+D10)</f>
        <v>115072.15330169006</v>
      </c>
      <c r="I10" s="20" t="s">
        <v>208</v>
      </c>
      <c r="J10" s="142">
        <v>6613837.4598713517</v>
      </c>
      <c r="K10" s="142">
        <v>385910.40303864994</v>
      </c>
      <c r="L10" s="142">
        <v>819202.15432616835</v>
      </c>
      <c r="N10">
        <v>69997.478629100005</v>
      </c>
      <c r="O10">
        <f>+O9-N9</f>
        <v>69693.192950920333</v>
      </c>
      <c r="P10">
        <f>+P9-O9</f>
        <v>69385.864415958844</v>
      </c>
      <c r="Q10">
        <f t="shared" ref="Q10:Y10" si="3">+Q9-P9</f>
        <v>69075.462595647754</v>
      </c>
      <c r="R10">
        <f t="shared" si="3"/>
        <v>68761.956757133536</v>
      </c>
      <c r="S10">
        <f t="shared" si="3"/>
        <v>68445.315860234201</v>
      </c>
      <c r="T10">
        <f t="shared" si="3"/>
        <v>68125.508554365835</v>
      </c>
      <c r="U10">
        <f t="shared" si="3"/>
        <v>67802.503175438847</v>
      </c>
      <c r="V10">
        <f t="shared" si="3"/>
        <v>67476.267742722528</v>
      </c>
      <c r="W10">
        <f t="shared" si="3"/>
        <v>67146.769955679076</v>
      </c>
      <c r="X10">
        <f t="shared" si="3"/>
        <v>66813.977190765203</v>
      </c>
      <c r="Y10">
        <f t="shared" si="3"/>
        <v>66477.856498202193</v>
      </c>
    </row>
    <row r="11" spans="1:25" x14ac:dyDescent="0.25">
      <c r="A11">
        <f t="shared" ref="A11:A74" si="4">IF(OR(F10&lt;0.01,A10=""), "",A10+1)</f>
        <v>4</v>
      </c>
      <c r="B11" s="44">
        <f t="shared" ref="B11:B18" si="5">IF(OR(F10&lt;0.01,A11=""),"",$G$3)</f>
        <v>-76792.26092648301</v>
      </c>
      <c r="C11" s="48">
        <f t="shared" si="0"/>
        <v>38884.152749187051</v>
      </c>
      <c r="D11" s="48">
        <f t="shared" ref="D11:D74" si="6">IF(A11="", "",F10*$G$1)</f>
        <v>37908.108177295959</v>
      </c>
      <c r="E11" s="48"/>
      <c r="F11" s="48">
        <f t="shared" si="1"/>
        <v>6459648.6776444055</v>
      </c>
      <c r="G11" s="48">
        <f t="shared" si="2"/>
        <v>154188.78222694603</v>
      </c>
      <c r="H11" s="48">
        <f t="shared" ref="H11:H74" si="7">IF(A11="", "", H10+D11)</f>
        <v>152980.26147898601</v>
      </c>
    </row>
    <row r="12" spans="1:25" x14ac:dyDescent="0.25">
      <c r="A12">
        <f t="shared" si="4"/>
        <v>5</v>
      </c>
      <c r="B12" s="44">
        <f t="shared" si="5"/>
        <v>-76792.26092648301</v>
      </c>
      <c r="C12" s="48">
        <f t="shared" si="0"/>
        <v>39110.976973557306</v>
      </c>
      <c r="D12" s="48">
        <f t="shared" si="6"/>
        <v>37681.283952925703</v>
      </c>
      <c r="E12" s="48"/>
      <c r="F12" s="48">
        <f t="shared" si="1"/>
        <v>6420537.7006708486</v>
      </c>
      <c r="G12" s="48">
        <f t="shared" si="2"/>
        <v>193299.75920050335</v>
      </c>
      <c r="H12" s="48">
        <f t="shared" si="7"/>
        <v>190661.54543191171</v>
      </c>
    </row>
    <row r="13" spans="1:25" x14ac:dyDescent="0.25">
      <c r="A13">
        <f t="shared" si="4"/>
        <v>6</v>
      </c>
      <c r="B13" s="44">
        <f t="shared" si="5"/>
        <v>-76792.26092648301</v>
      </c>
      <c r="C13" s="48">
        <f t="shared" si="0"/>
        <v>39339.12433923639</v>
      </c>
      <c r="D13" s="48">
        <f t="shared" si="6"/>
        <v>37453.136587246619</v>
      </c>
      <c r="E13" s="48"/>
      <c r="F13" s="48">
        <f t="shared" si="1"/>
        <v>6381198.5763316127</v>
      </c>
      <c r="G13" s="48">
        <f t="shared" si="2"/>
        <v>232638.88353973973</v>
      </c>
      <c r="H13" s="48">
        <f t="shared" si="7"/>
        <v>228114.68201915832</v>
      </c>
    </row>
    <row r="14" spans="1:25" x14ac:dyDescent="0.25">
      <c r="A14">
        <f t="shared" si="4"/>
        <v>7</v>
      </c>
      <c r="B14" s="44">
        <f t="shared" si="5"/>
        <v>-76792.26092648301</v>
      </c>
      <c r="C14" s="48">
        <f t="shared" si="0"/>
        <v>39568.602564548601</v>
      </c>
      <c r="D14" s="48">
        <f t="shared" si="6"/>
        <v>37223.658361934409</v>
      </c>
      <c r="E14" s="48"/>
      <c r="F14" s="48">
        <f t="shared" si="1"/>
        <v>6341629.9737670645</v>
      </c>
      <c r="G14" s="48">
        <f t="shared" si="2"/>
        <v>272207.48610428831</v>
      </c>
      <c r="H14" s="48">
        <f t="shared" si="7"/>
        <v>265338.34038109274</v>
      </c>
    </row>
    <row r="15" spans="1:25" x14ac:dyDescent="0.25">
      <c r="A15">
        <f t="shared" si="4"/>
        <v>8</v>
      </c>
      <c r="B15" s="44">
        <f t="shared" si="5"/>
        <v>-76792.26092648301</v>
      </c>
      <c r="C15" s="48">
        <f t="shared" si="0"/>
        <v>39799.419412841802</v>
      </c>
      <c r="D15" s="48">
        <f t="shared" si="6"/>
        <v>36992.841513641208</v>
      </c>
      <c r="E15" s="48"/>
      <c r="F15" s="48">
        <f t="shared" si="1"/>
        <v>6301830.5543542225</v>
      </c>
      <c r="G15" s="48">
        <f t="shared" si="2"/>
        <v>312006.9055171301</v>
      </c>
      <c r="H15" s="48">
        <f t="shared" si="7"/>
        <v>302331.18189473392</v>
      </c>
    </row>
    <row r="16" spans="1:25" x14ac:dyDescent="0.25">
      <c r="A16">
        <f t="shared" si="4"/>
        <v>9</v>
      </c>
      <c r="B16" s="44">
        <f t="shared" si="5"/>
        <v>-76792.26092648301</v>
      </c>
      <c r="C16" s="48">
        <f t="shared" si="0"/>
        <v>40031.582692750046</v>
      </c>
      <c r="D16" s="48">
        <f t="shared" si="6"/>
        <v>36760.678233732964</v>
      </c>
      <c r="E16" s="48"/>
      <c r="F16" s="48">
        <f t="shared" si="1"/>
        <v>6261798.9716614727</v>
      </c>
      <c r="G16" s="48">
        <f t="shared" si="2"/>
        <v>352038.48820988013</v>
      </c>
      <c r="H16" s="48">
        <f t="shared" si="7"/>
        <v>339091.86012846685</v>
      </c>
    </row>
    <row r="17" spans="1:10" x14ac:dyDescent="0.25">
      <c r="A17">
        <f t="shared" si="4"/>
        <v>10</v>
      </c>
      <c r="B17" s="44">
        <f t="shared" si="5"/>
        <v>-76792.26092648301</v>
      </c>
      <c r="C17" s="48">
        <f t="shared" si="0"/>
        <v>40265.100258457751</v>
      </c>
      <c r="D17" s="48">
        <f t="shared" si="6"/>
        <v>36527.160668025259</v>
      </c>
      <c r="E17" s="48"/>
      <c r="F17" s="48">
        <f t="shared" si="1"/>
        <v>6221533.8714030152</v>
      </c>
      <c r="G17" s="48">
        <f t="shared" si="2"/>
        <v>392303.5884683379</v>
      </c>
      <c r="H17" s="48">
        <f t="shared" si="7"/>
        <v>375619.02079649211</v>
      </c>
    </row>
    <row r="18" spans="1:10" x14ac:dyDescent="0.25">
      <c r="A18">
        <f t="shared" si="4"/>
        <v>11</v>
      </c>
      <c r="B18" s="44">
        <f t="shared" si="5"/>
        <v>-76792.26092648301</v>
      </c>
      <c r="C18" s="48">
        <f t="shared" si="0"/>
        <v>40499.980009965417</v>
      </c>
      <c r="D18" s="48">
        <f t="shared" si="6"/>
        <v>36292.280916517593</v>
      </c>
      <c r="E18" s="48"/>
      <c r="F18" s="48">
        <f t="shared" si="1"/>
        <v>6181033.8913930496</v>
      </c>
      <c r="G18" s="48">
        <f t="shared" si="2"/>
        <v>432803.56847830332</v>
      </c>
      <c r="H18" s="48">
        <f t="shared" si="7"/>
        <v>411911.30171300971</v>
      </c>
    </row>
    <row r="19" spans="1:10" x14ac:dyDescent="0.25">
      <c r="A19">
        <f t="shared" si="4"/>
        <v>12</v>
      </c>
      <c r="B19" s="44">
        <f>IF(OR(F18&lt;0.01,A19=""),"",IF(F18&lt;-$G$3,PMT($G$1,1,F18,0),$G$3))</f>
        <v>-76792.26092648301</v>
      </c>
      <c r="C19" s="48">
        <f t="shared" si="0"/>
        <v>40736.229893356882</v>
      </c>
      <c r="D19" s="48">
        <f t="shared" si="6"/>
        <v>36056.031033126128</v>
      </c>
      <c r="E19" s="48"/>
      <c r="F19" s="48">
        <f t="shared" si="1"/>
        <v>6140297.6614996931</v>
      </c>
      <c r="G19" s="48">
        <f t="shared" si="2"/>
        <v>473539.79837166017</v>
      </c>
      <c r="H19" s="48">
        <f t="shared" si="7"/>
        <v>447967.33274613583</v>
      </c>
      <c r="I19" s="48">
        <f>+H19</f>
        <v>447967.33274613583</v>
      </c>
      <c r="J19" s="48">
        <f>+G19</f>
        <v>473539.79837166017</v>
      </c>
    </row>
    <row r="20" spans="1:10" x14ac:dyDescent="0.25">
      <c r="A20">
        <f t="shared" si="4"/>
        <v>13</v>
      </c>
      <c r="B20" s="44">
        <f t="shared" ref="B20:B83" si="8">IF(OR(F19&lt;0.01,A20=""),"",IF(F19&lt;-$G$3,PMT($G$1,1,F19,0),$G$3))</f>
        <v>-76792.26092648301</v>
      </c>
      <c r="C20" s="48">
        <f>IF(A20="", "",-B20-D20+E20)</f>
        <v>40973.857901068135</v>
      </c>
      <c r="D20" s="48">
        <f t="shared" si="6"/>
        <v>35818.403025414875</v>
      </c>
      <c r="E20" s="48"/>
      <c r="F20" s="48">
        <f>IF(A20="", "", F19-C20)</f>
        <v>6099323.8035986247</v>
      </c>
      <c r="G20" s="48">
        <f>IF(A20="", "", G19+C20)</f>
        <v>514513.65627272829</v>
      </c>
      <c r="H20" s="48">
        <f t="shared" si="7"/>
        <v>483785.73577155068</v>
      </c>
    </row>
    <row r="21" spans="1:10" x14ac:dyDescent="0.25">
      <c r="A21">
        <f t="shared" si="4"/>
        <v>14</v>
      </c>
      <c r="B21" s="44">
        <f t="shared" si="8"/>
        <v>-76792.26092648301</v>
      </c>
      <c r="C21" s="48">
        <f t="shared" ref="C21:C84" si="9">IF(A21="", "",-B21-D21+E21)</f>
        <v>41212.872072157697</v>
      </c>
      <c r="D21" s="48">
        <f t="shared" si="6"/>
        <v>35579.388854325312</v>
      </c>
      <c r="E21" s="48"/>
      <c r="F21" s="48">
        <f t="shared" ref="F21:F84" si="10">IF(A21="", "", F20-C21)</f>
        <v>6058110.9315264672</v>
      </c>
      <c r="G21" s="48">
        <f t="shared" ref="G21:G84" si="11">IF(A21="", "", G20+C21)</f>
        <v>555726.52834488603</v>
      </c>
      <c r="H21" s="48">
        <f t="shared" si="7"/>
        <v>519365.12462587596</v>
      </c>
    </row>
    <row r="22" spans="1:10" x14ac:dyDescent="0.25">
      <c r="A22">
        <f t="shared" si="4"/>
        <v>15</v>
      </c>
      <c r="B22" s="44">
        <f t="shared" si="8"/>
        <v>-76792.26092648301</v>
      </c>
      <c r="C22" s="48">
        <f t="shared" si="9"/>
        <v>41453.280492578619</v>
      </c>
      <c r="D22" s="48">
        <f t="shared" si="6"/>
        <v>35338.980433904391</v>
      </c>
      <c r="E22" s="48"/>
      <c r="F22" s="48">
        <f t="shared" si="10"/>
        <v>6016657.6510338886</v>
      </c>
      <c r="G22" s="48">
        <f t="shared" si="11"/>
        <v>597179.80883746466</v>
      </c>
      <c r="H22" s="48">
        <f t="shared" si="7"/>
        <v>554704.10505978041</v>
      </c>
    </row>
    <row r="23" spans="1:10" x14ac:dyDescent="0.25">
      <c r="A23">
        <f t="shared" si="4"/>
        <v>16</v>
      </c>
      <c r="B23" s="44">
        <f t="shared" si="8"/>
        <v>-76792.26092648301</v>
      </c>
      <c r="C23" s="48">
        <f t="shared" si="9"/>
        <v>41695.091295451988</v>
      </c>
      <c r="D23" s="48">
        <f t="shared" si="6"/>
        <v>35097.169631031022</v>
      </c>
      <c r="E23" s="48"/>
      <c r="F23" s="48">
        <f t="shared" si="10"/>
        <v>5974962.5597384367</v>
      </c>
      <c r="G23" s="48">
        <f t="shared" si="11"/>
        <v>638874.90013291663</v>
      </c>
      <c r="H23" s="48">
        <f t="shared" si="7"/>
        <v>589801.27469081141</v>
      </c>
    </row>
    <row r="24" spans="1:10" x14ac:dyDescent="0.25">
      <c r="A24">
        <f t="shared" si="4"/>
        <v>17</v>
      </c>
      <c r="B24" s="44">
        <f t="shared" si="8"/>
        <v>-76792.26092648301</v>
      </c>
      <c r="C24" s="48">
        <f t="shared" si="9"/>
        <v>41938.312661342126</v>
      </c>
      <c r="D24" s="48">
        <f t="shared" si="6"/>
        <v>34853.948265140883</v>
      </c>
      <c r="E24" s="48"/>
      <c r="F24" s="48">
        <f t="shared" si="10"/>
        <v>5933024.2470770944</v>
      </c>
      <c r="G24" s="48">
        <f t="shared" si="11"/>
        <v>680813.21279425872</v>
      </c>
      <c r="H24" s="48">
        <f t="shared" si="7"/>
        <v>624655.22295595228</v>
      </c>
    </row>
    <row r="25" spans="1:10" x14ac:dyDescent="0.25">
      <c r="A25">
        <f t="shared" si="4"/>
        <v>18</v>
      </c>
      <c r="B25" s="44">
        <f t="shared" si="8"/>
        <v>-76792.26092648301</v>
      </c>
      <c r="C25" s="48">
        <f t="shared" si="9"/>
        <v>42182.952818533289</v>
      </c>
      <c r="D25" s="48">
        <f t="shared" si="6"/>
        <v>34609.308107949721</v>
      </c>
      <c r="E25" s="48"/>
      <c r="F25" s="48">
        <f t="shared" si="10"/>
        <v>5890841.294258561</v>
      </c>
      <c r="G25" s="48">
        <f t="shared" si="11"/>
        <v>722996.16561279201</v>
      </c>
      <c r="H25" s="48">
        <f t="shared" si="7"/>
        <v>659264.53106390196</v>
      </c>
    </row>
    <row r="26" spans="1:10" x14ac:dyDescent="0.25">
      <c r="A26">
        <f t="shared" si="4"/>
        <v>19</v>
      </c>
      <c r="B26" s="44">
        <f t="shared" si="8"/>
        <v>-76792.26092648301</v>
      </c>
      <c r="C26" s="48">
        <f t="shared" si="9"/>
        <v>42429.020043308068</v>
      </c>
      <c r="D26" s="48">
        <f t="shared" si="6"/>
        <v>34363.240883174942</v>
      </c>
      <c r="E26" s="48"/>
      <c r="F26" s="48">
        <f t="shared" si="10"/>
        <v>5848412.2742152531</v>
      </c>
      <c r="G26" s="48">
        <f t="shared" si="11"/>
        <v>765425.18565610005</v>
      </c>
      <c r="H26" s="48">
        <f t="shared" si="7"/>
        <v>693627.77194707689</v>
      </c>
    </row>
    <row r="27" spans="1:10" x14ac:dyDescent="0.25">
      <c r="A27">
        <f t="shared" si="4"/>
        <v>20</v>
      </c>
      <c r="B27" s="44">
        <f t="shared" si="8"/>
        <v>-76792.26092648301</v>
      </c>
      <c r="C27" s="48">
        <f t="shared" si="9"/>
        <v>42676.522660227369</v>
      </c>
      <c r="D27" s="48">
        <f t="shared" si="6"/>
        <v>34115.738266255641</v>
      </c>
      <c r="E27" s="48"/>
      <c r="F27" s="48">
        <f t="shared" si="10"/>
        <v>5805735.7515550256</v>
      </c>
      <c r="G27" s="48">
        <f t="shared" si="11"/>
        <v>808101.70831632742</v>
      </c>
      <c r="H27" s="48">
        <f t="shared" si="7"/>
        <v>727743.51021333248</v>
      </c>
    </row>
    <row r="28" spans="1:10" x14ac:dyDescent="0.25">
      <c r="A28">
        <f t="shared" si="4"/>
        <v>21</v>
      </c>
      <c r="B28" s="44">
        <f t="shared" si="8"/>
        <v>-76792.26092648301</v>
      </c>
      <c r="C28" s="48">
        <f t="shared" si="9"/>
        <v>42925.469042412027</v>
      </c>
      <c r="D28" s="48">
        <f t="shared" si="6"/>
        <v>33866.791884070983</v>
      </c>
      <c r="E28" s="48"/>
      <c r="F28" s="48">
        <f t="shared" si="10"/>
        <v>5762810.2825126136</v>
      </c>
      <c r="G28" s="48">
        <f t="shared" si="11"/>
        <v>851027.17735873943</v>
      </c>
      <c r="H28" s="48">
        <f t="shared" si="7"/>
        <v>761610.30209740344</v>
      </c>
    </row>
    <row r="29" spans="1:10" x14ac:dyDescent="0.25">
      <c r="A29">
        <f t="shared" si="4"/>
        <v>22</v>
      </c>
      <c r="B29" s="44">
        <f t="shared" si="8"/>
        <v>-76792.26092648301</v>
      </c>
      <c r="C29" s="48">
        <f t="shared" si="9"/>
        <v>43175.867611826099</v>
      </c>
      <c r="D29" s="48">
        <f t="shared" si="6"/>
        <v>33616.393314656911</v>
      </c>
      <c r="E29" s="48"/>
      <c r="F29" s="48">
        <f t="shared" si="10"/>
        <v>5719634.4149007872</v>
      </c>
      <c r="G29" s="48">
        <f t="shared" si="11"/>
        <v>894203.04497056548</v>
      </c>
      <c r="H29" s="48">
        <f t="shared" si="7"/>
        <v>795226.69541206036</v>
      </c>
    </row>
    <row r="30" spans="1:10" x14ac:dyDescent="0.25">
      <c r="A30">
        <f t="shared" si="4"/>
        <v>23</v>
      </c>
      <c r="B30" s="44">
        <f t="shared" si="8"/>
        <v>-76792.26092648301</v>
      </c>
      <c r="C30" s="48">
        <f t="shared" si="9"/>
        <v>43427.72683956175</v>
      </c>
      <c r="D30" s="48">
        <f t="shared" si="6"/>
        <v>33364.53408692126</v>
      </c>
      <c r="E30" s="48"/>
      <c r="F30" s="48">
        <f t="shared" si="10"/>
        <v>5676206.6880612252</v>
      </c>
      <c r="G30" s="48">
        <f t="shared" si="11"/>
        <v>937630.77181012719</v>
      </c>
      <c r="H30" s="48">
        <f t="shared" si="7"/>
        <v>828591.22949898161</v>
      </c>
    </row>
    <row r="31" spans="1:10" x14ac:dyDescent="0.25">
      <c r="A31">
        <f t="shared" si="4"/>
        <v>24</v>
      </c>
      <c r="B31" s="44">
        <f t="shared" si="8"/>
        <v>-76792.26092648301</v>
      </c>
      <c r="C31" s="48">
        <f t="shared" si="9"/>
        <v>43681.055246125863</v>
      </c>
      <c r="D31" s="48">
        <f t="shared" si="6"/>
        <v>33111.205680357147</v>
      </c>
      <c r="E31" s="48"/>
      <c r="F31" s="48">
        <f t="shared" si="10"/>
        <v>5632525.6328150993</v>
      </c>
      <c r="G31" s="48">
        <f t="shared" si="11"/>
        <v>981311.8270562531</v>
      </c>
      <c r="H31" s="48">
        <f t="shared" si="7"/>
        <v>861702.43517933879</v>
      </c>
      <c r="I31" s="48">
        <f>+H31-H19</f>
        <v>413735.10243320296</v>
      </c>
      <c r="J31" s="48">
        <f>+G31-G19</f>
        <v>507772.02868459292</v>
      </c>
    </row>
    <row r="32" spans="1:10" x14ac:dyDescent="0.25">
      <c r="A32">
        <f t="shared" si="4"/>
        <v>25</v>
      </c>
      <c r="B32" s="44">
        <f t="shared" si="8"/>
        <v>-76792.26092648301</v>
      </c>
      <c r="C32" s="48">
        <f t="shared" si="9"/>
        <v>43935.86140172826</v>
      </c>
      <c r="D32" s="48">
        <f t="shared" si="6"/>
        <v>32856.39952475475</v>
      </c>
      <c r="E32" s="48"/>
      <c r="F32" s="48">
        <f t="shared" si="10"/>
        <v>5588589.771413371</v>
      </c>
      <c r="G32" s="48">
        <f t="shared" si="11"/>
        <v>1025247.6884579813</v>
      </c>
      <c r="H32" s="48">
        <f t="shared" si="7"/>
        <v>894558.83470409352</v>
      </c>
    </row>
    <row r="33" spans="1:10" x14ac:dyDescent="0.25">
      <c r="A33">
        <f t="shared" si="4"/>
        <v>26</v>
      </c>
      <c r="B33" s="44">
        <f t="shared" si="8"/>
        <v>-76792.26092648301</v>
      </c>
      <c r="C33" s="48">
        <f t="shared" si="9"/>
        <v>44192.153926571678</v>
      </c>
      <c r="D33" s="48">
        <f t="shared" si="6"/>
        <v>32600.106999911332</v>
      </c>
      <c r="E33" s="48"/>
      <c r="F33" s="48">
        <f t="shared" si="10"/>
        <v>5544397.6174867991</v>
      </c>
      <c r="G33" s="48">
        <f t="shared" si="11"/>
        <v>1069439.842384553</v>
      </c>
      <c r="H33" s="48">
        <f t="shared" si="7"/>
        <v>927158.94170400489</v>
      </c>
    </row>
    <row r="34" spans="1:10" x14ac:dyDescent="0.25">
      <c r="A34">
        <f t="shared" si="4"/>
        <v>27</v>
      </c>
      <c r="B34" s="44">
        <f t="shared" si="8"/>
        <v>-76792.26092648301</v>
      </c>
      <c r="C34" s="48">
        <f t="shared" si="9"/>
        <v>44449.941491143341</v>
      </c>
      <c r="D34" s="48">
        <f t="shared" si="6"/>
        <v>32342.319435339665</v>
      </c>
      <c r="E34" s="48"/>
      <c r="F34" s="48">
        <f t="shared" si="10"/>
        <v>5499947.6759956554</v>
      </c>
      <c r="G34" s="48">
        <f t="shared" si="11"/>
        <v>1113889.7838756964</v>
      </c>
      <c r="H34" s="48">
        <f t="shared" si="7"/>
        <v>959501.26113934454</v>
      </c>
    </row>
    <row r="35" spans="1:10" x14ac:dyDescent="0.25">
      <c r="A35">
        <f t="shared" si="4"/>
        <v>28</v>
      </c>
      <c r="B35" s="44">
        <f t="shared" si="8"/>
        <v>-76792.26092648301</v>
      </c>
      <c r="C35" s="48">
        <f t="shared" si="9"/>
        <v>44709.232816508353</v>
      </c>
      <c r="D35" s="48">
        <f t="shared" si="6"/>
        <v>32083.028109974657</v>
      </c>
      <c r="E35" s="48"/>
      <c r="F35" s="48">
        <f t="shared" si="10"/>
        <v>5455238.4431791473</v>
      </c>
      <c r="G35" s="48">
        <f t="shared" si="11"/>
        <v>1158599.0166922046</v>
      </c>
      <c r="H35" s="48">
        <f t="shared" si="7"/>
        <v>991584.28924931923</v>
      </c>
    </row>
    <row r="36" spans="1:10" x14ac:dyDescent="0.25">
      <c r="A36">
        <f t="shared" si="4"/>
        <v>29</v>
      </c>
      <c r="B36" s="44">
        <f t="shared" si="8"/>
        <v>-76792.26092648301</v>
      </c>
      <c r="C36" s="48">
        <f t="shared" si="9"/>
        <v>44970.036674604649</v>
      </c>
      <c r="D36" s="48">
        <f t="shared" si="6"/>
        <v>31822.224251878361</v>
      </c>
      <c r="E36" s="48"/>
      <c r="F36" s="48">
        <f t="shared" si="10"/>
        <v>5410268.4065045426</v>
      </c>
      <c r="G36" s="48">
        <f t="shared" si="11"/>
        <v>1203569.0533668094</v>
      </c>
      <c r="H36" s="48">
        <f t="shared" si="7"/>
        <v>1023406.5135011976</v>
      </c>
    </row>
    <row r="37" spans="1:10" x14ac:dyDescent="0.25">
      <c r="A37">
        <f t="shared" si="4"/>
        <v>30</v>
      </c>
      <c r="B37" s="44">
        <f t="shared" si="8"/>
        <v>-76792.26092648301</v>
      </c>
      <c r="C37" s="48">
        <f t="shared" si="9"/>
        <v>45232.361888539846</v>
      </c>
      <c r="D37" s="48">
        <f t="shared" si="6"/>
        <v>31559.899037943167</v>
      </c>
      <c r="E37" s="48"/>
      <c r="F37" s="48">
        <f t="shared" si="10"/>
        <v>5365036.0446160026</v>
      </c>
      <c r="G37" s="48">
        <f t="shared" si="11"/>
        <v>1248801.4152553491</v>
      </c>
      <c r="H37" s="48">
        <f t="shared" si="7"/>
        <v>1054966.4125391408</v>
      </c>
    </row>
    <row r="38" spans="1:10" x14ac:dyDescent="0.25">
      <c r="A38">
        <f t="shared" si="4"/>
        <v>31</v>
      </c>
      <c r="B38" s="44">
        <f t="shared" si="8"/>
        <v>-76792.26092648301</v>
      </c>
      <c r="C38" s="48">
        <f t="shared" si="9"/>
        <v>45496.217332889661</v>
      </c>
      <c r="D38" s="48">
        <f t="shared" si="6"/>
        <v>31296.043593593349</v>
      </c>
      <c r="E38" s="48"/>
      <c r="F38" s="48">
        <f t="shared" si="10"/>
        <v>5319539.8272831133</v>
      </c>
      <c r="G38" s="48">
        <f t="shared" si="11"/>
        <v>1294297.6325882387</v>
      </c>
      <c r="H38" s="48">
        <f t="shared" si="7"/>
        <v>1086262.4561327342</v>
      </c>
    </row>
    <row r="39" spans="1:10" x14ac:dyDescent="0.25">
      <c r="A39">
        <f t="shared" si="4"/>
        <v>32</v>
      </c>
      <c r="B39" s="44">
        <f t="shared" si="8"/>
        <v>-76792.26092648301</v>
      </c>
      <c r="C39" s="48">
        <f t="shared" si="9"/>
        <v>45761.611933998181</v>
      </c>
      <c r="D39" s="48">
        <f t="shared" si="6"/>
        <v>31030.648992484828</v>
      </c>
      <c r="E39" s="48"/>
      <c r="F39" s="48">
        <f t="shared" si="10"/>
        <v>5273778.2153491154</v>
      </c>
      <c r="G39" s="48">
        <f t="shared" si="11"/>
        <v>1340059.2445222368</v>
      </c>
      <c r="H39" s="48">
        <f t="shared" si="7"/>
        <v>1117293.1051252191</v>
      </c>
    </row>
    <row r="40" spans="1:10" x14ac:dyDescent="0.25">
      <c r="A40">
        <f t="shared" si="4"/>
        <v>33</v>
      </c>
      <c r="B40" s="44">
        <f t="shared" si="8"/>
        <v>-76792.26092648301</v>
      </c>
      <c r="C40" s="48">
        <f t="shared" si="9"/>
        <v>46028.554670279831</v>
      </c>
      <c r="D40" s="48">
        <f t="shared" si="6"/>
        <v>30763.706256203175</v>
      </c>
      <c r="E40" s="48"/>
      <c r="F40" s="48">
        <f t="shared" si="10"/>
        <v>5227749.6606788356</v>
      </c>
      <c r="G40" s="48">
        <f t="shared" si="11"/>
        <v>1386087.7991925166</v>
      </c>
      <c r="H40" s="48">
        <f t="shared" si="7"/>
        <v>1148056.8113814222</v>
      </c>
    </row>
    <row r="41" spans="1:10" x14ac:dyDescent="0.25">
      <c r="A41">
        <f t="shared" si="4"/>
        <v>34</v>
      </c>
      <c r="B41" s="44">
        <f t="shared" si="8"/>
        <v>-76792.26092648301</v>
      </c>
      <c r="C41" s="48">
        <f t="shared" si="9"/>
        <v>46297.054572523135</v>
      </c>
      <c r="D41" s="48">
        <f t="shared" si="6"/>
        <v>30495.206353959875</v>
      </c>
      <c r="E41" s="48"/>
      <c r="F41" s="48">
        <f t="shared" si="10"/>
        <v>5181452.606106312</v>
      </c>
      <c r="G41" s="48">
        <f t="shared" si="11"/>
        <v>1432384.8537650397</v>
      </c>
      <c r="H41" s="48">
        <f t="shared" si="7"/>
        <v>1178552.0177353821</v>
      </c>
    </row>
    <row r="42" spans="1:10" x14ac:dyDescent="0.25">
      <c r="A42">
        <f t="shared" si="4"/>
        <v>35</v>
      </c>
      <c r="B42" s="44">
        <f t="shared" si="8"/>
        <v>-76792.26092648301</v>
      </c>
      <c r="C42" s="48">
        <f t="shared" si="9"/>
        <v>46567.120724196189</v>
      </c>
      <c r="D42" s="48">
        <f t="shared" si="6"/>
        <v>30225.140202286821</v>
      </c>
      <c r="E42" s="48"/>
      <c r="F42" s="48">
        <f t="shared" si="10"/>
        <v>5134885.4853821155</v>
      </c>
      <c r="G42" s="48">
        <f t="shared" si="11"/>
        <v>1478951.9744892358</v>
      </c>
      <c r="H42" s="48">
        <f t="shared" si="7"/>
        <v>1208777.157937669</v>
      </c>
    </row>
    <row r="43" spans="1:10" x14ac:dyDescent="0.25">
      <c r="A43">
        <f t="shared" si="4"/>
        <v>36</v>
      </c>
      <c r="B43" s="44">
        <f t="shared" si="8"/>
        <v>-76792.26092648301</v>
      </c>
      <c r="C43" s="48">
        <f t="shared" si="9"/>
        <v>46838.762261754004</v>
      </c>
      <c r="D43" s="48">
        <f t="shared" si="6"/>
        <v>29953.49866472901</v>
      </c>
      <c r="E43" s="48"/>
      <c r="F43" s="48">
        <f t="shared" si="10"/>
        <v>5088046.7231203616</v>
      </c>
      <c r="G43" s="48">
        <f t="shared" si="11"/>
        <v>1525790.7367509897</v>
      </c>
      <c r="H43" s="48">
        <f t="shared" si="7"/>
        <v>1238730.656602398</v>
      </c>
      <c r="I43" s="48">
        <f>+H43-I31-I19</f>
        <v>377028.22142305918</v>
      </c>
      <c r="J43" s="48">
        <f>+G43-G31</f>
        <v>544478.90969473659</v>
      </c>
    </row>
    <row r="44" spans="1:10" x14ac:dyDescent="0.25">
      <c r="A44">
        <f t="shared" si="4"/>
        <v>37</v>
      </c>
      <c r="B44" s="44">
        <f t="shared" si="8"/>
        <v>-76792.26092648301</v>
      </c>
      <c r="C44" s="48">
        <f t="shared" si="9"/>
        <v>47111.98837494757</v>
      </c>
      <c r="D44" s="48">
        <f t="shared" si="6"/>
        <v>29680.272551535443</v>
      </c>
      <c r="E44" s="48"/>
      <c r="F44" s="48">
        <f t="shared" si="10"/>
        <v>5040934.734745414</v>
      </c>
      <c r="G44" s="48">
        <f t="shared" si="11"/>
        <v>1572902.7251259373</v>
      </c>
      <c r="H44" s="48">
        <f t="shared" si="7"/>
        <v>1268410.9291539334</v>
      </c>
    </row>
    <row r="45" spans="1:10" x14ac:dyDescent="0.25">
      <c r="A45">
        <f t="shared" si="4"/>
        <v>38</v>
      </c>
      <c r="B45" s="44">
        <f t="shared" si="8"/>
        <v>-76792.26092648301</v>
      </c>
      <c r="C45" s="48">
        <f t="shared" si="9"/>
        <v>47386.808307134765</v>
      </c>
      <c r="D45" s="48">
        <f t="shared" si="6"/>
        <v>29405.452619348249</v>
      </c>
      <c r="E45" s="48"/>
      <c r="F45" s="48">
        <f t="shared" si="10"/>
        <v>4993547.9264382794</v>
      </c>
      <c r="G45" s="48">
        <f t="shared" si="11"/>
        <v>1620289.533433072</v>
      </c>
      <c r="H45" s="48">
        <f t="shared" si="7"/>
        <v>1297816.3817732816</v>
      </c>
    </row>
    <row r="46" spans="1:10" x14ac:dyDescent="0.25">
      <c r="A46">
        <f t="shared" si="4"/>
        <v>39</v>
      </c>
      <c r="B46" s="44">
        <f t="shared" si="8"/>
        <v>-76792.26092648301</v>
      </c>
      <c r="C46" s="48">
        <f t="shared" si="9"/>
        <v>47663.231355593045</v>
      </c>
      <c r="D46" s="48">
        <f t="shared" si="6"/>
        <v>29129.029570889965</v>
      </c>
      <c r="E46" s="48"/>
      <c r="F46" s="48">
        <f t="shared" si="10"/>
        <v>4945884.6950826868</v>
      </c>
      <c r="G46" s="48">
        <f t="shared" si="11"/>
        <v>1667952.7647886651</v>
      </c>
      <c r="H46" s="48">
        <f t="shared" si="7"/>
        <v>1326945.4113441715</v>
      </c>
    </row>
    <row r="47" spans="1:10" x14ac:dyDescent="0.25">
      <c r="A47">
        <f t="shared" si="4"/>
        <v>40</v>
      </c>
      <c r="B47" s="44">
        <f t="shared" si="8"/>
        <v>-76792.26092648301</v>
      </c>
      <c r="C47" s="48">
        <f t="shared" si="9"/>
        <v>47941.266871833999</v>
      </c>
      <c r="D47" s="48">
        <f t="shared" si="6"/>
        <v>28850.994054649007</v>
      </c>
      <c r="E47" s="48"/>
      <c r="F47" s="48">
        <f t="shared" si="10"/>
        <v>4897943.4282108527</v>
      </c>
      <c r="G47" s="48">
        <f t="shared" si="11"/>
        <v>1715894.0316604991</v>
      </c>
      <c r="H47" s="48">
        <f t="shared" si="7"/>
        <v>1355796.4053988205</v>
      </c>
    </row>
    <row r="48" spans="1:10" x14ac:dyDescent="0.25">
      <c r="A48">
        <f t="shared" si="4"/>
        <v>41</v>
      </c>
      <c r="B48" s="44">
        <f t="shared" si="8"/>
        <v>-76792.26092648301</v>
      </c>
      <c r="C48" s="48">
        <f t="shared" si="9"/>
        <v>48220.924261919703</v>
      </c>
      <c r="D48" s="48">
        <f t="shared" si="6"/>
        <v>28571.336664563307</v>
      </c>
      <c r="E48" s="48"/>
      <c r="F48" s="48">
        <f t="shared" si="10"/>
        <v>4849722.5039489325</v>
      </c>
      <c r="G48" s="48">
        <f t="shared" si="11"/>
        <v>1764114.9559224187</v>
      </c>
      <c r="H48" s="48">
        <f t="shared" si="7"/>
        <v>1384367.7420633838</v>
      </c>
    </row>
    <row r="49" spans="1:10" x14ac:dyDescent="0.25">
      <c r="A49">
        <f t="shared" si="4"/>
        <v>42</v>
      </c>
      <c r="B49" s="44">
        <f t="shared" si="8"/>
        <v>-76792.26092648301</v>
      </c>
      <c r="C49" s="48">
        <f t="shared" si="9"/>
        <v>48502.212986780898</v>
      </c>
      <c r="D49" s="48">
        <f t="shared" si="6"/>
        <v>28290.047939702108</v>
      </c>
      <c r="E49" s="48"/>
      <c r="F49" s="48">
        <f t="shared" si="10"/>
        <v>4801220.2909621513</v>
      </c>
      <c r="G49" s="48">
        <f t="shared" si="11"/>
        <v>1812617.1689091995</v>
      </c>
      <c r="H49" s="48">
        <f t="shared" si="7"/>
        <v>1412657.790003086</v>
      </c>
    </row>
    <row r="50" spans="1:10" x14ac:dyDescent="0.25">
      <c r="A50">
        <f t="shared" si="4"/>
        <v>43</v>
      </c>
      <c r="B50" s="44">
        <f t="shared" si="8"/>
        <v>-76792.26092648301</v>
      </c>
      <c r="C50" s="48">
        <f t="shared" si="9"/>
        <v>48785.142562537127</v>
      </c>
      <c r="D50" s="48">
        <f t="shared" si="6"/>
        <v>28007.118363945883</v>
      </c>
      <c r="E50" s="48"/>
      <c r="F50" s="48">
        <f t="shared" si="10"/>
        <v>4752435.1483996138</v>
      </c>
      <c r="G50" s="48">
        <f t="shared" si="11"/>
        <v>1861402.3114717368</v>
      </c>
      <c r="H50" s="48">
        <f t="shared" si="7"/>
        <v>1440664.908367032</v>
      </c>
    </row>
    <row r="51" spans="1:10" x14ac:dyDescent="0.25">
      <c r="A51">
        <f t="shared" si="4"/>
        <v>44</v>
      </c>
      <c r="B51" s="44">
        <f t="shared" si="8"/>
        <v>-76792.26092648301</v>
      </c>
      <c r="C51" s="48">
        <f t="shared" si="9"/>
        <v>49069.722560818598</v>
      </c>
      <c r="D51" s="48">
        <f t="shared" si="6"/>
        <v>27722.538365664415</v>
      </c>
      <c r="E51" s="48"/>
      <c r="F51" s="48">
        <f t="shared" si="10"/>
        <v>4703365.4258387955</v>
      </c>
      <c r="G51" s="48">
        <f t="shared" si="11"/>
        <v>1910472.0340325553</v>
      </c>
      <c r="H51" s="48">
        <f t="shared" si="7"/>
        <v>1468387.4467326964</v>
      </c>
    </row>
    <row r="52" spans="1:10" x14ac:dyDescent="0.25">
      <c r="A52">
        <f t="shared" si="4"/>
        <v>45</v>
      </c>
      <c r="B52" s="44">
        <f t="shared" si="8"/>
        <v>-76792.26092648301</v>
      </c>
      <c r="C52" s="48">
        <f t="shared" si="9"/>
        <v>49355.962609090035</v>
      </c>
      <c r="D52" s="48">
        <f t="shared" si="6"/>
        <v>27436.298317392975</v>
      </c>
      <c r="E52" s="48"/>
      <c r="F52" s="48">
        <f t="shared" si="10"/>
        <v>4654009.4632297056</v>
      </c>
      <c r="G52" s="48">
        <f t="shared" si="11"/>
        <v>1959827.9966416454</v>
      </c>
      <c r="H52" s="48">
        <f t="shared" si="7"/>
        <v>1495823.7450500894</v>
      </c>
    </row>
    <row r="53" spans="1:10" x14ac:dyDescent="0.25">
      <c r="A53">
        <f t="shared" si="4"/>
        <v>46</v>
      </c>
      <c r="B53" s="44">
        <f t="shared" si="8"/>
        <v>-76792.26092648301</v>
      </c>
      <c r="C53" s="48">
        <f t="shared" si="9"/>
        <v>49643.872390976394</v>
      </c>
      <c r="D53" s="48">
        <f t="shared" si="6"/>
        <v>27148.388535506616</v>
      </c>
      <c r="E53" s="48"/>
      <c r="F53" s="48">
        <f t="shared" si="10"/>
        <v>4604365.5908387294</v>
      </c>
      <c r="G53" s="48">
        <f t="shared" si="11"/>
        <v>2009471.8690326218</v>
      </c>
      <c r="H53" s="48">
        <f t="shared" si="7"/>
        <v>1522972.133585596</v>
      </c>
    </row>
    <row r="54" spans="1:10" x14ac:dyDescent="0.25">
      <c r="A54">
        <f t="shared" si="4"/>
        <v>47</v>
      </c>
      <c r="B54" s="44">
        <f t="shared" si="8"/>
        <v>-76792.26092648301</v>
      </c>
      <c r="C54" s="48">
        <f t="shared" si="9"/>
        <v>49933.461646590426</v>
      </c>
      <c r="D54" s="48">
        <f t="shared" si="6"/>
        <v>26858.799279892588</v>
      </c>
      <c r="E54" s="48"/>
      <c r="F54" s="48">
        <f t="shared" si="10"/>
        <v>4554432.129192139</v>
      </c>
      <c r="G54" s="48">
        <f t="shared" si="11"/>
        <v>2059405.3306792122</v>
      </c>
      <c r="H54" s="48">
        <f t="shared" si="7"/>
        <v>1549830.9328654886</v>
      </c>
    </row>
    <row r="55" spans="1:10" x14ac:dyDescent="0.25">
      <c r="A55">
        <f t="shared" si="4"/>
        <v>48</v>
      </c>
      <c r="B55" s="44">
        <f t="shared" si="8"/>
        <v>-76792.26092648301</v>
      </c>
      <c r="C55" s="48">
        <f t="shared" si="9"/>
        <v>50224.740172862199</v>
      </c>
      <c r="D55" s="48">
        <f t="shared" si="6"/>
        <v>26567.520753620811</v>
      </c>
      <c r="E55" s="48"/>
      <c r="F55" s="48">
        <f t="shared" si="10"/>
        <v>4504207.3890192769</v>
      </c>
      <c r="G55" s="48">
        <f t="shared" si="11"/>
        <v>2109630.0708520743</v>
      </c>
      <c r="H55" s="48">
        <f t="shared" si="7"/>
        <v>1576398.4536191095</v>
      </c>
      <c r="I55" s="48">
        <f>+H55-H43</f>
        <v>337667.79701671144</v>
      </c>
      <c r="J55" s="48">
        <f>+G55-G43</f>
        <v>583839.33410108462</v>
      </c>
    </row>
    <row r="56" spans="1:10" x14ac:dyDescent="0.25">
      <c r="A56">
        <f t="shared" si="4"/>
        <v>49</v>
      </c>
      <c r="B56" s="44">
        <f t="shared" si="8"/>
        <v>-76792.26092648301</v>
      </c>
      <c r="C56" s="48">
        <f t="shared" si="9"/>
        <v>50517.71782387056</v>
      </c>
      <c r="D56" s="48">
        <f t="shared" si="6"/>
        <v>26274.54310261245</v>
      </c>
      <c r="E56" s="48"/>
      <c r="F56" s="48">
        <f t="shared" si="10"/>
        <v>4453689.6711954065</v>
      </c>
      <c r="G56" s="48">
        <f t="shared" si="11"/>
        <v>2160147.7886759448</v>
      </c>
      <c r="H56" s="48">
        <f t="shared" si="7"/>
        <v>1602672.996721722</v>
      </c>
    </row>
    <row r="57" spans="1:10" x14ac:dyDescent="0.25">
      <c r="A57">
        <f t="shared" si="4"/>
        <v>50</v>
      </c>
      <c r="B57" s="44">
        <f t="shared" si="8"/>
        <v>-76792.26092648301</v>
      </c>
      <c r="C57" s="48">
        <f t="shared" si="9"/>
        <v>50812.404511176472</v>
      </c>
      <c r="D57" s="48">
        <f t="shared" si="6"/>
        <v>25979.856415306538</v>
      </c>
      <c r="E57" s="48"/>
      <c r="F57" s="48">
        <f t="shared" si="10"/>
        <v>4402877.2666842304</v>
      </c>
      <c r="G57" s="48">
        <f t="shared" si="11"/>
        <v>2210960.1931871213</v>
      </c>
      <c r="H57" s="48">
        <f t="shared" si="7"/>
        <v>1628652.8531370284</v>
      </c>
    </row>
    <row r="58" spans="1:10" x14ac:dyDescent="0.25">
      <c r="A58">
        <f t="shared" si="4"/>
        <v>51</v>
      </c>
      <c r="B58" s="44">
        <f t="shared" si="8"/>
        <v>-76792.26092648301</v>
      </c>
      <c r="C58" s="48">
        <f t="shared" si="9"/>
        <v>51108.810204158333</v>
      </c>
      <c r="D58" s="48">
        <f t="shared" si="6"/>
        <v>25683.45072232468</v>
      </c>
      <c r="E58" s="48"/>
      <c r="F58" s="48">
        <f t="shared" si="10"/>
        <v>4351768.4564800719</v>
      </c>
      <c r="G58" s="48">
        <f t="shared" si="11"/>
        <v>2262069.0033912798</v>
      </c>
      <c r="H58" s="48">
        <f t="shared" si="7"/>
        <v>1654336.3038593531</v>
      </c>
    </row>
    <row r="59" spans="1:10" x14ac:dyDescent="0.25">
      <c r="A59">
        <f t="shared" si="4"/>
        <v>52</v>
      </c>
      <c r="B59" s="44">
        <f t="shared" si="8"/>
        <v>-76792.26092648301</v>
      </c>
      <c r="C59" s="48">
        <f t="shared" si="9"/>
        <v>51406.944930349258</v>
      </c>
      <c r="D59" s="48">
        <f t="shared" si="6"/>
        <v>25385.315996133755</v>
      </c>
      <c r="E59" s="48"/>
      <c r="F59" s="48">
        <f t="shared" si="10"/>
        <v>4300361.5115497224</v>
      </c>
      <c r="G59" s="48">
        <f t="shared" si="11"/>
        <v>2313475.9483216293</v>
      </c>
      <c r="H59" s="48">
        <f t="shared" si="7"/>
        <v>1679721.6198554868</v>
      </c>
    </row>
    <row r="60" spans="1:10" x14ac:dyDescent="0.25">
      <c r="A60">
        <f t="shared" si="4"/>
        <v>53</v>
      </c>
      <c r="B60" s="44">
        <f t="shared" si="8"/>
        <v>-76792.26092648301</v>
      </c>
      <c r="C60" s="48">
        <f t="shared" si="9"/>
        <v>51706.818775776293</v>
      </c>
      <c r="D60" s="48">
        <f t="shared" si="6"/>
        <v>25085.442150706716</v>
      </c>
      <c r="E60" s="48"/>
      <c r="F60" s="48">
        <f t="shared" si="10"/>
        <v>4248654.6927739466</v>
      </c>
      <c r="G60" s="48">
        <f t="shared" si="11"/>
        <v>2365182.7670974056</v>
      </c>
      <c r="H60" s="48">
        <f t="shared" si="7"/>
        <v>1704807.0620061934</v>
      </c>
    </row>
    <row r="61" spans="1:10" x14ac:dyDescent="0.25">
      <c r="A61">
        <f t="shared" si="4"/>
        <v>54</v>
      </c>
      <c r="B61" s="44">
        <f t="shared" si="8"/>
        <v>-76792.26092648301</v>
      </c>
      <c r="C61" s="48">
        <f t="shared" si="9"/>
        <v>52008.441885301654</v>
      </c>
      <c r="D61" s="48">
        <f t="shared" si="6"/>
        <v>24783.819041181356</v>
      </c>
      <c r="E61" s="48"/>
      <c r="F61" s="48">
        <f t="shared" si="10"/>
        <v>4196646.2508886447</v>
      </c>
      <c r="G61" s="48">
        <f t="shared" si="11"/>
        <v>2417191.2089827075</v>
      </c>
      <c r="H61" s="48">
        <f t="shared" si="7"/>
        <v>1729590.8810473748</v>
      </c>
    </row>
    <row r="62" spans="1:10" x14ac:dyDescent="0.25">
      <c r="A62">
        <f t="shared" si="4"/>
        <v>55</v>
      </c>
      <c r="B62" s="44">
        <f t="shared" si="8"/>
        <v>-76792.26092648301</v>
      </c>
      <c r="C62" s="48">
        <f t="shared" si="9"/>
        <v>52311.824462965917</v>
      </c>
      <c r="D62" s="48">
        <f t="shared" si="6"/>
        <v>24480.436463517097</v>
      </c>
      <c r="E62" s="48"/>
      <c r="F62" s="48">
        <f t="shared" si="10"/>
        <v>4144334.4264256787</v>
      </c>
      <c r="G62" s="48">
        <f t="shared" si="11"/>
        <v>2469503.0334456735</v>
      </c>
      <c r="H62" s="48">
        <f t="shared" si="7"/>
        <v>1754071.3175108919</v>
      </c>
    </row>
    <row r="63" spans="1:10" x14ac:dyDescent="0.25">
      <c r="A63">
        <f t="shared" si="4"/>
        <v>56</v>
      </c>
      <c r="B63" s="44">
        <f t="shared" si="8"/>
        <v>-76792.26092648301</v>
      </c>
      <c r="C63" s="48">
        <f t="shared" si="9"/>
        <v>52616.976772333219</v>
      </c>
      <c r="D63" s="48">
        <f t="shared" si="6"/>
        <v>24175.284154149795</v>
      </c>
      <c r="E63" s="48"/>
      <c r="F63" s="48">
        <f t="shared" si="10"/>
        <v>4091717.4496533456</v>
      </c>
      <c r="G63" s="48">
        <f t="shared" si="11"/>
        <v>2522120.0102180066</v>
      </c>
      <c r="H63" s="48">
        <f t="shared" si="7"/>
        <v>1778246.6016650416</v>
      </c>
    </row>
    <row r="64" spans="1:10" x14ac:dyDescent="0.25">
      <c r="A64">
        <f t="shared" si="4"/>
        <v>57</v>
      </c>
      <c r="B64" s="44">
        <f t="shared" si="8"/>
        <v>-76792.26092648301</v>
      </c>
      <c r="C64" s="48">
        <f t="shared" si="9"/>
        <v>52923.909136838498</v>
      </c>
      <c r="D64" s="48">
        <f t="shared" si="6"/>
        <v>23868.351789644516</v>
      </c>
      <c r="E64" s="48"/>
      <c r="F64" s="48">
        <f t="shared" si="10"/>
        <v>4038793.5405165073</v>
      </c>
      <c r="G64" s="48">
        <f t="shared" si="11"/>
        <v>2575043.9193548448</v>
      </c>
      <c r="H64" s="48">
        <f t="shared" si="7"/>
        <v>1802114.9534546861</v>
      </c>
    </row>
    <row r="65" spans="1:10" x14ac:dyDescent="0.25">
      <c r="A65">
        <f t="shared" si="4"/>
        <v>58</v>
      </c>
      <c r="B65" s="44">
        <f t="shared" si="8"/>
        <v>-76792.26092648301</v>
      </c>
      <c r="C65" s="48">
        <f t="shared" si="9"/>
        <v>53232.631940136715</v>
      </c>
      <c r="D65" s="48">
        <f t="shared" si="6"/>
        <v>23559.628986346295</v>
      </c>
      <c r="E65" s="48"/>
      <c r="F65" s="48">
        <f t="shared" si="10"/>
        <v>3985560.9085763707</v>
      </c>
      <c r="G65" s="48">
        <f t="shared" si="11"/>
        <v>2628276.5512949815</v>
      </c>
      <c r="H65" s="48">
        <f t="shared" si="7"/>
        <v>1825674.5824410324</v>
      </c>
    </row>
    <row r="66" spans="1:10" x14ac:dyDescent="0.25">
      <c r="A66">
        <f t="shared" si="4"/>
        <v>59</v>
      </c>
      <c r="B66" s="44">
        <f t="shared" si="8"/>
        <v>-76792.26092648301</v>
      </c>
      <c r="C66" s="48">
        <f t="shared" si="9"/>
        <v>53543.15562645418</v>
      </c>
      <c r="D66" s="48">
        <f t="shared" si="6"/>
        <v>23249.10530002883</v>
      </c>
      <c r="E66" s="48"/>
      <c r="F66" s="48">
        <f t="shared" si="10"/>
        <v>3932017.7529499163</v>
      </c>
      <c r="G66" s="48">
        <f t="shared" si="11"/>
        <v>2681819.7069214359</v>
      </c>
      <c r="H66" s="48">
        <f t="shared" si="7"/>
        <v>1848923.6877410612</v>
      </c>
    </row>
    <row r="67" spans="1:10" x14ac:dyDescent="0.25">
      <c r="A67">
        <f t="shared" si="4"/>
        <v>60</v>
      </c>
      <c r="B67" s="44">
        <f t="shared" si="8"/>
        <v>-76792.26092648301</v>
      </c>
      <c r="C67" s="48">
        <f t="shared" si="9"/>
        <v>53855.490700941831</v>
      </c>
      <c r="D67" s="48">
        <f t="shared" si="6"/>
        <v>22936.770225541179</v>
      </c>
      <c r="E67" s="48"/>
      <c r="F67" s="48">
        <f t="shared" si="10"/>
        <v>3878162.2622489743</v>
      </c>
      <c r="G67" s="48">
        <f t="shared" si="11"/>
        <v>2735675.1976223779</v>
      </c>
      <c r="H67" s="48">
        <f t="shared" si="7"/>
        <v>1871860.4579666024</v>
      </c>
      <c r="I67" s="48">
        <f>+H67-H55</f>
        <v>295462.00434749294</v>
      </c>
      <c r="J67" s="48">
        <f>+G67-G55</f>
        <v>626045.12677030358</v>
      </c>
    </row>
    <row r="68" spans="1:10" x14ac:dyDescent="0.25">
      <c r="A68">
        <f t="shared" si="4"/>
        <v>61</v>
      </c>
      <c r="B68" s="44">
        <f t="shared" si="8"/>
        <v>-76792.26092648301</v>
      </c>
      <c r="C68" s="48">
        <f t="shared" si="9"/>
        <v>54169.647730030658</v>
      </c>
      <c r="D68" s="48">
        <f t="shared" si="6"/>
        <v>22622.613196452352</v>
      </c>
      <c r="E68" s="48"/>
      <c r="F68" s="48">
        <f t="shared" si="10"/>
        <v>3823992.6145189437</v>
      </c>
      <c r="G68" s="48">
        <f t="shared" si="11"/>
        <v>2789844.8453524085</v>
      </c>
      <c r="H68" s="48">
        <f t="shared" si="7"/>
        <v>1894483.0711630548</v>
      </c>
    </row>
    <row r="69" spans="1:10" x14ac:dyDescent="0.25">
      <c r="A69">
        <f t="shared" si="4"/>
        <v>62</v>
      </c>
      <c r="B69" s="44">
        <f t="shared" si="8"/>
        <v>-76792.26092648301</v>
      </c>
      <c r="C69" s="48">
        <f t="shared" si="9"/>
        <v>54485.637341789174</v>
      </c>
      <c r="D69" s="48">
        <f t="shared" si="6"/>
        <v>22306.62358469384</v>
      </c>
      <c r="E69" s="48"/>
      <c r="F69" s="48">
        <f t="shared" si="10"/>
        <v>3769506.9771771547</v>
      </c>
      <c r="G69" s="48">
        <f t="shared" si="11"/>
        <v>2844330.4826941974</v>
      </c>
      <c r="H69" s="48">
        <f t="shared" si="7"/>
        <v>1916789.6947477486</v>
      </c>
    </row>
    <row r="70" spans="1:10" x14ac:dyDescent="0.25">
      <c r="A70">
        <f t="shared" si="4"/>
        <v>63</v>
      </c>
      <c r="B70" s="44">
        <f t="shared" si="8"/>
        <v>-76792.26092648301</v>
      </c>
      <c r="C70" s="48">
        <f t="shared" si="9"/>
        <v>54803.470226282938</v>
      </c>
      <c r="D70" s="48">
        <f t="shared" si="6"/>
        <v>21988.790700200072</v>
      </c>
      <c r="E70" s="48"/>
      <c r="F70" s="48">
        <f t="shared" si="10"/>
        <v>3714703.506950872</v>
      </c>
      <c r="G70" s="48">
        <f t="shared" si="11"/>
        <v>2899133.9529204802</v>
      </c>
      <c r="H70" s="48">
        <f t="shared" si="7"/>
        <v>1938778.4854479486</v>
      </c>
    </row>
    <row r="71" spans="1:10" x14ac:dyDescent="0.25">
      <c r="A71">
        <f t="shared" si="4"/>
        <v>64</v>
      </c>
      <c r="B71" s="44">
        <f t="shared" si="8"/>
        <v>-76792.26092648301</v>
      </c>
      <c r="C71" s="48">
        <f t="shared" si="9"/>
        <v>55123.157135936257</v>
      </c>
      <c r="D71" s="48">
        <f t="shared" si="6"/>
        <v>21669.103790546753</v>
      </c>
      <c r="E71" s="48"/>
      <c r="F71" s="48">
        <f t="shared" si="10"/>
        <v>3659580.3498149356</v>
      </c>
      <c r="G71" s="48">
        <f t="shared" si="11"/>
        <v>2954257.1100564166</v>
      </c>
      <c r="H71" s="48">
        <f t="shared" si="7"/>
        <v>1960447.5892384953</v>
      </c>
    </row>
    <row r="72" spans="1:10" x14ac:dyDescent="0.25">
      <c r="A72">
        <f t="shared" si="4"/>
        <v>65</v>
      </c>
      <c r="B72" s="44">
        <f t="shared" si="8"/>
        <v>-76792.26092648301</v>
      </c>
      <c r="C72" s="48">
        <f t="shared" si="9"/>
        <v>55444.708885895889</v>
      </c>
      <c r="D72" s="48">
        <f t="shared" si="6"/>
        <v>21347.552040587125</v>
      </c>
      <c r="E72" s="48"/>
      <c r="F72" s="48">
        <f t="shared" si="10"/>
        <v>3604135.6409290396</v>
      </c>
      <c r="G72" s="48">
        <f t="shared" si="11"/>
        <v>3009701.8189423126</v>
      </c>
      <c r="H72" s="48">
        <f t="shared" si="7"/>
        <v>1981795.1412790825</v>
      </c>
    </row>
    <row r="73" spans="1:10" x14ac:dyDescent="0.25">
      <c r="A73">
        <f t="shared" si="4"/>
        <v>66</v>
      </c>
      <c r="B73" s="44">
        <f t="shared" si="8"/>
        <v>-76792.26092648301</v>
      </c>
      <c r="C73" s="48">
        <f t="shared" si="9"/>
        <v>55768.136354396949</v>
      </c>
      <c r="D73" s="48">
        <f t="shared" si="6"/>
        <v>21024.124572086064</v>
      </c>
      <c r="E73" s="48"/>
      <c r="F73" s="48">
        <f t="shared" si="10"/>
        <v>3548367.5045746425</v>
      </c>
      <c r="G73" s="48">
        <f t="shared" si="11"/>
        <v>3065469.9552967097</v>
      </c>
      <c r="H73" s="48">
        <f t="shared" si="7"/>
        <v>2002819.2658511687</v>
      </c>
    </row>
    <row r="74" spans="1:10" x14ac:dyDescent="0.25">
      <c r="A74">
        <f t="shared" si="4"/>
        <v>67</v>
      </c>
      <c r="B74" s="44">
        <f t="shared" si="8"/>
        <v>-76792.26092648301</v>
      </c>
      <c r="C74" s="48">
        <f t="shared" si="9"/>
        <v>56093.450483130931</v>
      </c>
      <c r="D74" s="48">
        <f t="shared" si="6"/>
        <v>20698.810443352082</v>
      </c>
      <c r="E74" s="48"/>
      <c r="F74" s="48">
        <f t="shared" si="10"/>
        <v>3492274.0540915118</v>
      </c>
      <c r="G74" s="48">
        <f t="shared" si="11"/>
        <v>3121563.4057798404</v>
      </c>
      <c r="H74" s="48">
        <f t="shared" si="7"/>
        <v>2023518.0762945206</v>
      </c>
    </row>
    <row r="75" spans="1:10" x14ac:dyDescent="0.25">
      <c r="A75">
        <f t="shared" ref="A75:A138" si="12">IF(OR(F74&lt;0.01,A74=""), "",A74+1)</f>
        <v>68</v>
      </c>
      <c r="B75" s="44">
        <f t="shared" si="8"/>
        <v>-76792.26092648301</v>
      </c>
      <c r="C75" s="48">
        <f t="shared" si="9"/>
        <v>56420.662277615862</v>
      </c>
      <c r="D75" s="48">
        <f t="shared" ref="D75:D138" si="13">IF(A75="", "",F74*$G$1)</f>
        <v>20371.598648867151</v>
      </c>
      <c r="E75" s="48"/>
      <c r="F75" s="48">
        <f t="shared" si="10"/>
        <v>3435853.3918138957</v>
      </c>
      <c r="G75" s="48">
        <f t="shared" si="11"/>
        <v>3177984.0680574561</v>
      </c>
      <c r="H75" s="48">
        <f t="shared" ref="H75:H138" si="14">IF(A75="", "", H74+D75)</f>
        <v>2043889.6749433877</v>
      </c>
    </row>
    <row r="76" spans="1:10" x14ac:dyDescent="0.25">
      <c r="A76">
        <f t="shared" si="12"/>
        <v>69</v>
      </c>
      <c r="B76" s="44">
        <f t="shared" si="8"/>
        <v>-76792.26092648301</v>
      </c>
      <c r="C76" s="48">
        <f t="shared" si="9"/>
        <v>56749.782807568619</v>
      </c>
      <c r="D76" s="48">
        <f t="shared" si="13"/>
        <v>20042.478118914391</v>
      </c>
      <c r="E76" s="48"/>
      <c r="F76" s="48">
        <f t="shared" si="10"/>
        <v>3379103.6090063271</v>
      </c>
      <c r="G76" s="48">
        <f t="shared" si="11"/>
        <v>3234733.8508650246</v>
      </c>
      <c r="H76" s="48">
        <f t="shared" si="14"/>
        <v>2063932.1530623022</v>
      </c>
    </row>
    <row r="77" spans="1:10" x14ac:dyDescent="0.25">
      <c r="A77">
        <f t="shared" si="12"/>
        <v>70</v>
      </c>
      <c r="B77" s="44">
        <f t="shared" si="8"/>
        <v>-76792.26092648301</v>
      </c>
      <c r="C77" s="48">
        <f t="shared" si="9"/>
        <v>57080.823207279434</v>
      </c>
      <c r="D77" s="48">
        <f t="shared" si="13"/>
        <v>19711.437719203575</v>
      </c>
      <c r="E77" s="48"/>
      <c r="F77" s="48">
        <f t="shared" si="10"/>
        <v>3322022.7857990479</v>
      </c>
      <c r="G77" s="48">
        <f t="shared" si="11"/>
        <v>3291814.6740723038</v>
      </c>
      <c r="H77" s="48">
        <f t="shared" si="14"/>
        <v>2083643.5907815057</v>
      </c>
    </row>
    <row r="78" spans="1:10" x14ac:dyDescent="0.25">
      <c r="A78">
        <f t="shared" si="12"/>
        <v>71</v>
      </c>
      <c r="B78" s="44">
        <f t="shared" si="8"/>
        <v>-76792.26092648301</v>
      </c>
      <c r="C78" s="48">
        <f t="shared" si="9"/>
        <v>57413.794675988567</v>
      </c>
      <c r="D78" s="48">
        <f t="shared" si="13"/>
        <v>19378.466250494446</v>
      </c>
      <c r="E78" s="48"/>
      <c r="F78" s="48">
        <f t="shared" si="10"/>
        <v>3264608.9911230593</v>
      </c>
      <c r="G78" s="48">
        <f t="shared" si="11"/>
        <v>3349228.4687482924</v>
      </c>
      <c r="H78" s="48">
        <f t="shared" si="14"/>
        <v>2103022.0570320003</v>
      </c>
    </row>
    <row r="79" spans="1:10" x14ac:dyDescent="0.25">
      <c r="A79">
        <f t="shared" si="12"/>
        <v>72</v>
      </c>
      <c r="B79" s="44">
        <f t="shared" si="8"/>
        <v>-76792.26092648301</v>
      </c>
      <c r="C79" s="48">
        <f t="shared" si="9"/>
        <v>57748.708478265165</v>
      </c>
      <c r="D79" s="48">
        <f t="shared" si="13"/>
        <v>19043.552448217848</v>
      </c>
      <c r="E79" s="48"/>
      <c r="F79" s="48">
        <f t="shared" si="10"/>
        <v>3206860.2826447943</v>
      </c>
      <c r="G79" s="48">
        <f t="shared" si="11"/>
        <v>3406977.1772265574</v>
      </c>
      <c r="H79" s="48">
        <f t="shared" si="14"/>
        <v>2122065.609480218</v>
      </c>
      <c r="I79" s="48">
        <f>+SUM(D68:D79)</f>
        <v>250205.15151361568</v>
      </c>
      <c r="J79" s="48">
        <f>+G79-G67</f>
        <v>671301.97960417951</v>
      </c>
    </row>
    <row r="80" spans="1:10" x14ac:dyDescent="0.25">
      <c r="A80">
        <f t="shared" si="12"/>
        <v>73</v>
      </c>
      <c r="B80" s="44">
        <f t="shared" si="8"/>
        <v>-76792.26092648301</v>
      </c>
      <c r="C80" s="48">
        <f t="shared" si="9"/>
        <v>58085.575944388373</v>
      </c>
      <c r="D80" s="48">
        <f t="shared" si="13"/>
        <v>18706.684982094634</v>
      </c>
      <c r="E80" s="48"/>
      <c r="F80" s="48">
        <f t="shared" si="10"/>
        <v>3148774.706700406</v>
      </c>
      <c r="G80" s="48">
        <f t="shared" si="11"/>
        <v>3465062.7531709457</v>
      </c>
      <c r="H80" s="48">
        <f t="shared" si="14"/>
        <v>2140772.2944623125</v>
      </c>
    </row>
    <row r="81" spans="1:10" x14ac:dyDescent="0.25">
      <c r="A81">
        <f t="shared" si="12"/>
        <v>74</v>
      </c>
      <c r="B81" s="44">
        <f t="shared" si="8"/>
        <v>-76792.26092648301</v>
      </c>
      <c r="C81" s="48">
        <f t="shared" si="9"/>
        <v>58424.408470730639</v>
      </c>
      <c r="D81" s="48">
        <f t="shared" si="13"/>
        <v>18367.852455752371</v>
      </c>
      <c r="E81" s="48"/>
      <c r="F81" s="48">
        <f t="shared" si="10"/>
        <v>3090350.2982296753</v>
      </c>
      <c r="G81" s="48">
        <f t="shared" si="11"/>
        <v>3523487.1616416764</v>
      </c>
      <c r="H81" s="48">
        <f t="shared" si="14"/>
        <v>2159140.1469180649</v>
      </c>
    </row>
    <row r="82" spans="1:10" x14ac:dyDescent="0.25">
      <c r="A82">
        <f t="shared" si="12"/>
        <v>75</v>
      </c>
      <c r="B82" s="44">
        <f t="shared" si="8"/>
        <v>-76792.26092648301</v>
      </c>
      <c r="C82" s="48">
        <f t="shared" si="9"/>
        <v>58765.21752014324</v>
      </c>
      <c r="D82" s="48">
        <f t="shared" si="13"/>
        <v>18027.043406339773</v>
      </c>
      <c r="E82" s="48"/>
      <c r="F82" s="48">
        <f t="shared" si="10"/>
        <v>3031585.0807095319</v>
      </c>
      <c r="G82" s="48">
        <f t="shared" si="11"/>
        <v>3582252.3791618198</v>
      </c>
      <c r="H82" s="48">
        <f t="shared" si="14"/>
        <v>2177167.1903244047</v>
      </c>
    </row>
    <row r="83" spans="1:10" x14ac:dyDescent="0.25">
      <c r="A83">
        <f t="shared" si="12"/>
        <v>76</v>
      </c>
      <c r="B83" s="44">
        <f t="shared" si="8"/>
        <v>-76792.26092648301</v>
      </c>
      <c r="C83" s="48">
        <f t="shared" si="9"/>
        <v>59108.014622344068</v>
      </c>
      <c r="D83" s="48">
        <f t="shared" si="13"/>
        <v>17684.246304138938</v>
      </c>
      <c r="E83" s="48"/>
      <c r="F83" s="48">
        <f t="shared" si="10"/>
        <v>2972477.0660871877</v>
      </c>
      <c r="G83" s="48">
        <f t="shared" si="11"/>
        <v>3641360.393784164</v>
      </c>
      <c r="H83" s="48">
        <f t="shared" si="14"/>
        <v>2194851.4366285438</v>
      </c>
    </row>
    <row r="84" spans="1:10" x14ac:dyDescent="0.25">
      <c r="A84">
        <f t="shared" si="12"/>
        <v>77</v>
      </c>
      <c r="B84" s="44">
        <f t="shared" ref="B84:B147" si="15">IF(OR(F83&lt;0.01,A84=""),"",IF(F83&lt;-$G$3,PMT($G$1,1,F83,0),$G$3))</f>
        <v>-76792.26092648301</v>
      </c>
      <c r="C84" s="48">
        <f t="shared" si="9"/>
        <v>59452.811374307748</v>
      </c>
      <c r="D84" s="48">
        <f t="shared" si="13"/>
        <v>17339.449552175261</v>
      </c>
      <c r="E84" s="48"/>
      <c r="F84" s="48">
        <f t="shared" si="10"/>
        <v>2913024.2547128801</v>
      </c>
      <c r="G84" s="48">
        <f t="shared" si="11"/>
        <v>3700813.2051584716</v>
      </c>
      <c r="H84" s="48">
        <f t="shared" si="14"/>
        <v>2212190.8861807189</v>
      </c>
    </row>
    <row r="85" spans="1:10" x14ac:dyDescent="0.25">
      <c r="A85">
        <f t="shared" si="12"/>
        <v>78</v>
      </c>
      <c r="B85" s="44">
        <f t="shared" si="15"/>
        <v>-76792.26092648301</v>
      </c>
      <c r="C85" s="48">
        <f t="shared" ref="C85:C148" si="16">IF(A85="", "",-B85-D85+E85)</f>
        <v>59799.619440657872</v>
      </c>
      <c r="D85" s="48">
        <f t="shared" si="13"/>
        <v>16992.641485825134</v>
      </c>
      <c r="E85" s="48"/>
      <c r="F85" s="48">
        <f t="shared" ref="F85:F148" si="17">IF(A85="", "", F84-C85)</f>
        <v>2853224.6352722221</v>
      </c>
      <c r="G85" s="48">
        <f t="shared" ref="G85:G148" si="18">IF(A85="", "", G84+C85)</f>
        <v>3760612.8245991296</v>
      </c>
      <c r="H85" s="48">
        <f t="shared" si="14"/>
        <v>2229183.5276665441</v>
      </c>
    </row>
    <row r="86" spans="1:10" x14ac:dyDescent="0.25">
      <c r="A86">
        <f t="shared" si="12"/>
        <v>79</v>
      </c>
      <c r="B86" s="44">
        <f t="shared" si="15"/>
        <v>-76792.26092648301</v>
      </c>
      <c r="C86" s="48">
        <f t="shared" si="16"/>
        <v>60148.45055406171</v>
      </c>
      <c r="D86" s="48">
        <f t="shared" si="13"/>
        <v>16643.810372421296</v>
      </c>
      <c r="E86" s="48"/>
      <c r="F86" s="48">
        <f t="shared" si="17"/>
        <v>2793076.1847181604</v>
      </c>
      <c r="G86" s="48">
        <f t="shared" si="18"/>
        <v>3820761.2751531913</v>
      </c>
      <c r="H86" s="48">
        <f t="shared" si="14"/>
        <v>2245827.3380389656</v>
      </c>
    </row>
    <row r="87" spans="1:10" x14ac:dyDescent="0.25">
      <c r="A87">
        <f t="shared" si="12"/>
        <v>80</v>
      </c>
      <c r="B87" s="44">
        <f t="shared" si="15"/>
        <v>-76792.26092648301</v>
      </c>
      <c r="C87" s="48">
        <f t="shared" si="16"/>
        <v>60499.31651562707</v>
      </c>
      <c r="D87" s="48">
        <f t="shared" si="13"/>
        <v>16292.944410855936</v>
      </c>
      <c r="E87" s="48"/>
      <c r="F87" s="48">
        <f t="shared" si="17"/>
        <v>2732576.8682025336</v>
      </c>
      <c r="G87" s="48">
        <f t="shared" si="18"/>
        <v>3881260.5916688181</v>
      </c>
      <c r="H87" s="48">
        <f t="shared" si="14"/>
        <v>2262120.2824498215</v>
      </c>
    </row>
    <row r="88" spans="1:10" x14ac:dyDescent="0.25">
      <c r="A88">
        <f t="shared" si="12"/>
        <v>81</v>
      </c>
      <c r="B88" s="44">
        <f t="shared" si="15"/>
        <v>-76792.26092648301</v>
      </c>
      <c r="C88" s="48">
        <f t="shared" si="16"/>
        <v>60852.229195301567</v>
      </c>
      <c r="D88" s="48">
        <f t="shared" si="13"/>
        <v>15940.031731181447</v>
      </c>
      <c r="E88" s="48"/>
      <c r="F88" s="48">
        <f t="shared" si="17"/>
        <v>2671724.6390072322</v>
      </c>
      <c r="G88" s="48">
        <f t="shared" si="18"/>
        <v>3942112.8208641196</v>
      </c>
      <c r="H88" s="48">
        <f t="shared" si="14"/>
        <v>2278060.3141810028</v>
      </c>
    </row>
    <row r="89" spans="1:10" x14ac:dyDescent="0.25">
      <c r="A89">
        <f t="shared" si="12"/>
        <v>82</v>
      </c>
      <c r="B89" s="44">
        <f t="shared" si="15"/>
        <v>-76792.26092648301</v>
      </c>
      <c r="C89" s="48">
        <f t="shared" si="16"/>
        <v>61207.200532274153</v>
      </c>
      <c r="D89" s="48">
        <f t="shared" si="13"/>
        <v>15585.060394208855</v>
      </c>
      <c r="E89" s="48"/>
      <c r="F89" s="48">
        <f t="shared" si="17"/>
        <v>2610517.4384749578</v>
      </c>
      <c r="G89" s="48">
        <f t="shared" si="18"/>
        <v>4003320.0213963939</v>
      </c>
      <c r="H89" s="48">
        <f t="shared" si="14"/>
        <v>2293645.3745752117</v>
      </c>
    </row>
    <row r="90" spans="1:10" x14ac:dyDescent="0.25">
      <c r="A90">
        <f t="shared" si="12"/>
        <v>83</v>
      </c>
      <c r="B90" s="44">
        <f t="shared" si="15"/>
        <v>-76792.26092648301</v>
      </c>
      <c r="C90" s="48">
        <f t="shared" si="16"/>
        <v>61564.24253537909</v>
      </c>
      <c r="D90" s="48">
        <f t="shared" si="13"/>
        <v>15228.018391103922</v>
      </c>
      <c r="E90" s="48"/>
      <c r="F90" s="48">
        <f t="shared" si="17"/>
        <v>2548953.1959395786</v>
      </c>
      <c r="G90" s="48">
        <f t="shared" si="18"/>
        <v>4064884.2639317731</v>
      </c>
      <c r="H90" s="48">
        <f t="shared" si="14"/>
        <v>2308873.3929663156</v>
      </c>
    </row>
    <row r="91" spans="1:10" x14ac:dyDescent="0.25">
      <c r="A91">
        <f t="shared" si="12"/>
        <v>84</v>
      </c>
      <c r="B91" s="44">
        <f t="shared" si="15"/>
        <v>-76792.26092648301</v>
      </c>
      <c r="C91" s="48">
        <f t="shared" si="16"/>
        <v>61923.367283502135</v>
      </c>
      <c r="D91" s="48">
        <f t="shared" si="13"/>
        <v>14868.893642980876</v>
      </c>
      <c r="E91" s="48"/>
      <c r="F91" s="48">
        <f t="shared" si="17"/>
        <v>2487029.8286560765</v>
      </c>
      <c r="G91" s="48">
        <f t="shared" si="18"/>
        <v>4126807.6312152753</v>
      </c>
      <c r="H91" s="48">
        <f t="shared" si="14"/>
        <v>2323742.2866092967</v>
      </c>
      <c r="I91" s="48">
        <f>SUM(D80:D91)</f>
        <v>201676.67712907845</v>
      </c>
      <c r="J91" s="48">
        <f>+G91-G79</f>
        <v>719830.45398871787</v>
      </c>
    </row>
    <row r="92" spans="1:10" x14ac:dyDescent="0.25">
      <c r="A92">
        <f t="shared" si="12"/>
        <v>85</v>
      </c>
      <c r="B92" s="44">
        <f t="shared" si="15"/>
        <v>-76792.26092648301</v>
      </c>
      <c r="C92" s="48">
        <f t="shared" si="16"/>
        <v>62284.586925989228</v>
      </c>
      <c r="D92" s="48">
        <f t="shared" si="13"/>
        <v>14507.67400049378</v>
      </c>
      <c r="E92" s="48"/>
      <c r="F92" s="48">
        <f t="shared" si="17"/>
        <v>2424745.2417300874</v>
      </c>
      <c r="G92" s="48">
        <f t="shared" si="18"/>
        <v>4189092.2181412643</v>
      </c>
      <c r="H92" s="48">
        <f t="shared" si="14"/>
        <v>2338249.9606097904</v>
      </c>
    </row>
    <row r="93" spans="1:10" x14ac:dyDescent="0.25">
      <c r="A93">
        <f t="shared" si="12"/>
        <v>86</v>
      </c>
      <c r="B93" s="44">
        <f t="shared" si="15"/>
        <v>-76792.26092648301</v>
      </c>
      <c r="C93" s="48">
        <f t="shared" si="16"/>
        <v>62647.913683057501</v>
      </c>
      <c r="D93" s="48">
        <f t="shared" si="13"/>
        <v>14144.347243425511</v>
      </c>
      <c r="E93" s="48"/>
      <c r="F93" s="48">
        <f t="shared" si="17"/>
        <v>2362097.3280470301</v>
      </c>
      <c r="G93" s="48">
        <f t="shared" si="18"/>
        <v>4251740.131824322</v>
      </c>
      <c r="H93" s="48">
        <f t="shared" si="14"/>
        <v>2352394.3078532158</v>
      </c>
    </row>
    <row r="94" spans="1:10" x14ac:dyDescent="0.25">
      <c r="A94">
        <f t="shared" si="12"/>
        <v>87</v>
      </c>
      <c r="B94" s="44">
        <f t="shared" si="15"/>
        <v>-76792.26092648301</v>
      </c>
      <c r="C94" s="48">
        <f t="shared" si="16"/>
        <v>63013.359846208667</v>
      </c>
      <c r="D94" s="48">
        <f t="shared" si="13"/>
        <v>13778.901080274343</v>
      </c>
      <c r="E94" s="48"/>
      <c r="F94" s="48">
        <f t="shared" si="17"/>
        <v>2299083.9682008214</v>
      </c>
      <c r="G94" s="48">
        <f t="shared" si="18"/>
        <v>4314753.4916705303</v>
      </c>
      <c r="H94" s="48">
        <f t="shared" si="14"/>
        <v>2366173.2089334903</v>
      </c>
    </row>
    <row r="95" spans="1:10" x14ac:dyDescent="0.25">
      <c r="A95">
        <f t="shared" si="12"/>
        <v>88</v>
      </c>
      <c r="B95" s="44">
        <f t="shared" si="15"/>
        <v>-76792.26092648301</v>
      </c>
      <c r="C95" s="48">
        <f t="shared" si="16"/>
        <v>63380.937778644882</v>
      </c>
      <c r="D95" s="48">
        <f t="shared" si="13"/>
        <v>13411.323147838126</v>
      </c>
      <c r="E95" s="48"/>
      <c r="F95" s="48">
        <f t="shared" si="17"/>
        <v>2235703.0304221767</v>
      </c>
      <c r="G95" s="48">
        <f t="shared" si="18"/>
        <v>4378134.4294491755</v>
      </c>
      <c r="H95" s="48">
        <f t="shared" si="14"/>
        <v>2379584.5320813283</v>
      </c>
    </row>
    <row r="96" spans="1:10" x14ac:dyDescent="0.25">
      <c r="A96">
        <f t="shared" si="12"/>
        <v>89</v>
      </c>
      <c r="B96" s="44">
        <f t="shared" si="15"/>
        <v>-76792.26092648301</v>
      </c>
      <c r="C96" s="48">
        <f t="shared" si="16"/>
        <v>63750.659915686978</v>
      </c>
      <c r="D96" s="48">
        <f t="shared" si="13"/>
        <v>13041.601010796032</v>
      </c>
      <c r="E96" s="48"/>
      <c r="F96" s="48">
        <f t="shared" si="17"/>
        <v>2171952.3705064896</v>
      </c>
      <c r="G96" s="48">
        <f t="shared" si="18"/>
        <v>4441885.0893648621</v>
      </c>
      <c r="H96" s="48">
        <f t="shared" si="14"/>
        <v>2392626.1330921245</v>
      </c>
    </row>
    <row r="97" spans="1:10" x14ac:dyDescent="0.25">
      <c r="A97">
        <f t="shared" si="12"/>
        <v>90</v>
      </c>
      <c r="B97" s="44">
        <f t="shared" si="15"/>
        <v>-76792.26092648301</v>
      </c>
      <c r="C97" s="48">
        <f t="shared" si="16"/>
        <v>64122.538765195153</v>
      </c>
      <c r="D97" s="48">
        <f t="shared" si="13"/>
        <v>12669.722161287857</v>
      </c>
      <c r="E97" s="48"/>
      <c r="F97" s="48">
        <f t="shared" si="17"/>
        <v>2107829.8317412944</v>
      </c>
      <c r="G97" s="48">
        <f t="shared" si="18"/>
        <v>4506007.6281300569</v>
      </c>
      <c r="H97" s="48">
        <f t="shared" si="14"/>
        <v>2405295.8552534124</v>
      </c>
    </row>
    <row r="98" spans="1:10" x14ac:dyDescent="0.25">
      <c r="A98">
        <f t="shared" si="12"/>
        <v>91</v>
      </c>
      <c r="B98" s="44">
        <f t="shared" si="15"/>
        <v>-76792.26092648301</v>
      </c>
      <c r="C98" s="48">
        <f t="shared" si="16"/>
        <v>64496.586907992125</v>
      </c>
      <c r="D98" s="48">
        <f t="shared" si="13"/>
        <v>12295.674018490885</v>
      </c>
      <c r="E98" s="48"/>
      <c r="F98" s="48">
        <f t="shared" si="17"/>
        <v>2043333.2448333022</v>
      </c>
      <c r="G98" s="48">
        <f t="shared" si="18"/>
        <v>4570504.215038049</v>
      </c>
      <c r="H98" s="48">
        <f t="shared" si="14"/>
        <v>2417591.5292719034</v>
      </c>
    </row>
    <row r="99" spans="1:10" x14ac:dyDescent="0.25">
      <c r="A99">
        <f t="shared" si="12"/>
        <v>92</v>
      </c>
      <c r="B99" s="44">
        <f t="shared" si="15"/>
        <v>-76792.26092648301</v>
      </c>
      <c r="C99" s="48">
        <f t="shared" si="16"/>
        <v>64872.816998288748</v>
      </c>
      <c r="D99" s="48">
        <f t="shared" si="13"/>
        <v>11919.443928194263</v>
      </c>
      <c r="E99" s="48"/>
      <c r="F99" s="48">
        <f t="shared" si="17"/>
        <v>1978460.4278350135</v>
      </c>
      <c r="G99" s="48">
        <f t="shared" si="18"/>
        <v>4635377.032036338</v>
      </c>
      <c r="H99" s="48">
        <f t="shared" si="14"/>
        <v>2429510.9732000977</v>
      </c>
    </row>
    <row r="100" spans="1:10" x14ac:dyDescent="0.25">
      <c r="A100">
        <f t="shared" si="12"/>
        <v>93</v>
      </c>
      <c r="B100" s="44">
        <f t="shared" si="15"/>
        <v>-76792.26092648301</v>
      </c>
      <c r="C100" s="48">
        <f t="shared" si="16"/>
        <v>65251.241764112099</v>
      </c>
      <c r="D100" s="48">
        <f t="shared" si="13"/>
        <v>11541.019162370912</v>
      </c>
      <c r="E100" s="48"/>
      <c r="F100" s="48">
        <f t="shared" si="17"/>
        <v>1913209.1860709013</v>
      </c>
      <c r="G100" s="48">
        <f t="shared" si="18"/>
        <v>4700628.2738004504</v>
      </c>
      <c r="H100" s="48">
        <f t="shared" si="14"/>
        <v>2441051.9923624685</v>
      </c>
    </row>
    <row r="101" spans="1:10" x14ac:dyDescent="0.25">
      <c r="A101">
        <f t="shared" si="12"/>
        <v>94</v>
      </c>
      <c r="B101" s="44">
        <f t="shared" si="15"/>
        <v>-76792.26092648301</v>
      </c>
      <c r="C101" s="48">
        <f t="shared" si="16"/>
        <v>65631.874007736085</v>
      </c>
      <c r="D101" s="48">
        <f t="shared" si="13"/>
        <v>11160.386918746924</v>
      </c>
      <c r="E101" s="48"/>
      <c r="F101" s="48">
        <f t="shared" si="17"/>
        <v>1847577.3120631652</v>
      </c>
      <c r="G101" s="48">
        <f t="shared" si="18"/>
        <v>4766260.1478081867</v>
      </c>
      <c r="H101" s="48">
        <f t="shared" si="14"/>
        <v>2452212.3792812154</v>
      </c>
    </row>
    <row r="102" spans="1:10" x14ac:dyDescent="0.25">
      <c r="A102">
        <f t="shared" si="12"/>
        <v>95</v>
      </c>
      <c r="B102" s="44">
        <f t="shared" si="15"/>
        <v>-76792.26092648301</v>
      </c>
      <c r="C102" s="48">
        <f t="shared" si="16"/>
        <v>66014.726606114549</v>
      </c>
      <c r="D102" s="48">
        <f t="shared" si="13"/>
        <v>10777.534320368464</v>
      </c>
      <c r="E102" s="48"/>
      <c r="F102" s="48">
        <f t="shared" si="17"/>
        <v>1781562.5854570507</v>
      </c>
      <c r="G102" s="48">
        <f t="shared" si="18"/>
        <v>4832274.8744143015</v>
      </c>
      <c r="H102" s="48">
        <f t="shared" si="14"/>
        <v>2462989.9136015838</v>
      </c>
    </row>
    <row r="103" spans="1:10" x14ac:dyDescent="0.25">
      <c r="A103">
        <f t="shared" si="12"/>
        <v>96</v>
      </c>
      <c r="B103" s="44">
        <f t="shared" si="15"/>
        <v>-76792.26092648301</v>
      </c>
      <c r="C103" s="48">
        <f t="shared" si="16"/>
        <v>66399.812511316879</v>
      </c>
      <c r="D103" s="48">
        <f t="shared" si="13"/>
        <v>10392.448415166129</v>
      </c>
      <c r="E103" s="48"/>
      <c r="F103" s="48">
        <f t="shared" si="17"/>
        <v>1715162.7729457337</v>
      </c>
      <c r="G103" s="48">
        <f t="shared" si="18"/>
        <v>4898674.686925618</v>
      </c>
      <c r="H103" s="48">
        <f t="shared" si="14"/>
        <v>2473382.36201675</v>
      </c>
      <c r="I103" s="48">
        <f>+SUM(D92:D103)</f>
        <v>149640.0754074532</v>
      </c>
      <c r="J103" s="48">
        <f>+G103-G91</f>
        <v>771867.05571034271</v>
      </c>
    </row>
    <row r="104" spans="1:10" x14ac:dyDescent="0.25">
      <c r="A104">
        <f t="shared" si="12"/>
        <v>97</v>
      </c>
      <c r="B104" s="44">
        <f t="shared" si="15"/>
        <v>-76792.26092648301</v>
      </c>
      <c r="C104" s="48">
        <f t="shared" si="16"/>
        <v>66787.144750966225</v>
      </c>
      <c r="D104" s="48">
        <f t="shared" si="13"/>
        <v>10005.116175516781</v>
      </c>
      <c r="E104" s="48"/>
      <c r="F104" s="48">
        <f t="shared" si="17"/>
        <v>1648375.6281947675</v>
      </c>
      <c r="G104" s="48">
        <f t="shared" si="18"/>
        <v>4965461.8316765837</v>
      </c>
      <c r="H104" s="48">
        <f t="shared" si="14"/>
        <v>2483387.478192267</v>
      </c>
    </row>
    <row r="105" spans="1:10" x14ac:dyDescent="0.25">
      <c r="A105">
        <f t="shared" si="12"/>
        <v>98</v>
      </c>
      <c r="B105" s="44">
        <f t="shared" si="15"/>
        <v>-76792.26092648301</v>
      </c>
      <c r="C105" s="48">
        <f t="shared" si="16"/>
        <v>67176.736428680204</v>
      </c>
      <c r="D105" s="48">
        <f t="shared" si="13"/>
        <v>9615.5244978028113</v>
      </c>
      <c r="E105" s="48"/>
      <c r="F105" s="48">
        <f t="shared" si="17"/>
        <v>1581198.8917660874</v>
      </c>
      <c r="G105" s="48">
        <f t="shared" si="18"/>
        <v>5032638.5681052636</v>
      </c>
      <c r="H105" s="48">
        <f t="shared" si="14"/>
        <v>2493003.0026900698</v>
      </c>
    </row>
    <row r="106" spans="1:10" x14ac:dyDescent="0.25">
      <c r="A106">
        <f t="shared" si="12"/>
        <v>99</v>
      </c>
      <c r="B106" s="44">
        <f t="shared" si="15"/>
        <v>-76792.26092648301</v>
      </c>
      <c r="C106" s="48">
        <f t="shared" si="16"/>
        <v>67568.600724514166</v>
      </c>
      <c r="D106" s="48">
        <f t="shared" si="13"/>
        <v>9223.6602019688435</v>
      </c>
      <c r="E106" s="48"/>
      <c r="F106" s="48">
        <f t="shared" si="17"/>
        <v>1513630.2910415733</v>
      </c>
      <c r="G106" s="48">
        <f t="shared" si="18"/>
        <v>5100207.1688297782</v>
      </c>
      <c r="H106" s="48">
        <f t="shared" si="14"/>
        <v>2502226.6628920385</v>
      </c>
    </row>
    <row r="107" spans="1:10" x14ac:dyDescent="0.25">
      <c r="A107">
        <f t="shared" si="12"/>
        <v>100</v>
      </c>
      <c r="B107" s="44">
        <f t="shared" si="15"/>
        <v>-76792.26092648301</v>
      </c>
      <c r="C107" s="48">
        <f t="shared" si="16"/>
        <v>67962.750895407167</v>
      </c>
      <c r="D107" s="48">
        <f t="shared" si="13"/>
        <v>8829.5100310758444</v>
      </c>
      <c r="E107" s="48"/>
      <c r="F107" s="48">
        <f t="shared" si="17"/>
        <v>1445667.540146166</v>
      </c>
      <c r="G107" s="48">
        <f t="shared" si="18"/>
        <v>5168169.9197251853</v>
      </c>
      <c r="H107" s="48">
        <f t="shared" si="14"/>
        <v>2511056.1729231142</v>
      </c>
    </row>
    <row r="108" spans="1:10" x14ac:dyDescent="0.25">
      <c r="A108">
        <f t="shared" si="12"/>
        <v>101</v>
      </c>
      <c r="B108" s="44">
        <f t="shared" si="15"/>
        <v>-76792.26092648301</v>
      </c>
      <c r="C108" s="48">
        <f t="shared" si="16"/>
        <v>68359.20027563037</v>
      </c>
      <c r="D108" s="48">
        <f t="shared" si="13"/>
        <v>8433.0606508526362</v>
      </c>
      <c r="E108" s="48"/>
      <c r="F108" s="48">
        <f t="shared" si="17"/>
        <v>1377308.3398705355</v>
      </c>
      <c r="G108" s="48">
        <f t="shared" si="18"/>
        <v>5236529.120000816</v>
      </c>
      <c r="H108" s="48">
        <f t="shared" si="14"/>
        <v>2519489.2335739667</v>
      </c>
    </row>
    <row r="109" spans="1:10" x14ac:dyDescent="0.25">
      <c r="A109">
        <f t="shared" si="12"/>
        <v>102</v>
      </c>
      <c r="B109" s="44">
        <f t="shared" si="15"/>
        <v>-76792.26092648301</v>
      </c>
      <c r="C109" s="48">
        <f t="shared" si="16"/>
        <v>68757.962277238214</v>
      </c>
      <c r="D109" s="48">
        <f t="shared" si="13"/>
        <v>8034.2986492447908</v>
      </c>
      <c r="E109" s="48"/>
      <c r="F109" s="48">
        <f t="shared" si="17"/>
        <v>1308550.3775932973</v>
      </c>
      <c r="G109" s="48">
        <f t="shared" si="18"/>
        <v>5305287.0822780542</v>
      </c>
      <c r="H109" s="48">
        <f t="shared" si="14"/>
        <v>2527523.5322232116</v>
      </c>
    </row>
    <row r="110" spans="1:10" x14ac:dyDescent="0.25">
      <c r="A110">
        <f t="shared" si="12"/>
        <v>103</v>
      </c>
      <c r="B110" s="44">
        <f t="shared" si="15"/>
        <v>-76792.26092648301</v>
      </c>
      <c r="C110" s="48">
        <f t="shared" si="16"/>
        <v>69159.050390522112</v>
      </c>
      <c r="D110" s="48">
        <f t="shared" si="13"/>
        <v>7633.2105359609013</v>
      </c>
      <c r="E110" s="48"/>
      <c r="F110" s="48">
        <f t="shared" si="17"/>
        <v>1239391.327202775</v>
      </c>
      <c r="G110" s="48">
        <f t="shared" si="18"/>
        <v>5374446.1326685762</v>
      </c>
      <c r="H110" s="48">
        <f t="shared" si="14"/>
        <v>2535156.7427591723</v>
      </c>
    </row>
    <row r="111" spans="1:10" x14ac:dyDescent="0.25">
      <c r="A111">
        <f t="shared" si="12"/>
        <v>104</v>
      </c>
      <c r="B111" s="44">
        <f t="shared" si="15"/>
        <v>-76792.26092648301</v>
      </c>
      <c r="C111" s="48">
        <f t="shared" si="16"/>
        <v>69562.478184466818</v>
      </c>
      <c r="D111" s="48">
        <f t="shared" si="13"/>
        <v>7229.7827420161884</v>
      </c>
      <c r="E111" s="48"/>
      <c r="F111" s="48">
        <f t="shared" si="17"/>
        <v>1169828.8490183083</v>
      </c>
      <c r="G111" s="48">
        <f t="shared" si="18"/>
        <v>5444008.6108530434</v>
      </c>
      <c r="H111" s="48">
        <f t="shared" si="14"/>
        <v>2542386.5255011884</v>
      </c>
    </row>
    <row r="112" spans="1:10" x14ac:dyDescent="0.25">
      <c r="A112">
        <f t="shared" si="12"/>
        <v>105</v>
      </c>
      <c r="B112" s="44">
        <f t="shared" si="15"/>
        <v>-76792.26092648301</v>
      </c>
      <c r="C112" s="48">
        <f t="shared" si="16"/>
        <v>69968.259307209548</v>
      </c>
      <c r="D112" s="48">
        <f t="shared" si="13"/>
        <v>6824.0016192734656</v>
      </c>
      <c r="E112" s="48"/>
      <c r="F112" s="48">
        <f t="shared" si="17"/>
        <v>1099860.5897110987</v>
      </c>
      <c r="G112" s="48">
        <f t="shared" si="18"/>
        <v>5513976.8701602528</v>
      </c>
      <c r="H112" s="48">
        <f t="shared" si="14"/>
        <v>2549210.5271204617</v>
      </c>
    </row>
    <row r="113" spans="1:10" x14ac:dyDescent="0.25">
      <c r="A113">
        <f t="shared" si="12"/>
        <v>106</v>
      </c>
      <c r="B113" s="44">
        <f t="shared" si="15"/>
        <v>-76792.26092648301</v>
      </c>
      <c r="C113" s="48">
        <f t="shared" si="16"/>
        <v>70376.407486501601</v>
      </c>
      <c r="D113" s="48">
        <f t="shared" si="13"/>
        <v>6415.8534399814098</v>
      </c>
      <c r="E113" s="48"/>
      <c r="F113" s="48">
        <f t="shared" si="17"/>
        <v>1029484.1822245971</v>
      </c>
      <c r="G113" s="48">
        <f t="shared" si="18"/>
        <v>5584353.2776467539</v>
      </c>
      <c r="H113" s="48">
        <f t="shared" si="14"/>
        <v>2555626.3805604433</v>
      </c>
    </row>
    <row r="114" spans="1:10" x14ac:dyDescent="0.25">
      <c r="A114">
        <f t="shared" si="12"/>
        <v>107</v>
      </c>
      <c r="B114" s="44">
        <f t="shared" si="15"/>
        <v>-76792.26092648301</v>
      </c>
      <c r="C114" s="48">
        <f t="shared" si="16"/>
        <v>70786.936530172854</v>
      </c>
      <c r="D114" s="48">
        <f t="shared" si="13"/>
        <v>6005.3243963101495</v>
      </c>
      <c r="E114" s="48"/>
      <c r="F114" s="48">
        <f t="shared" si="17"/>
        <v>958697.24569442426</v>
      </c>
      <c r="G114" s="48">
        <f t="shared" si="18"/>
        <v>5655140.2141769268</v>
      </c>
      <c r="H114" s="48">
        <f t="shared" si="14"/>
        <v>2561631.7049567536</v>
      </c>
    </row>
    <row r="115" spans="1:10" x14ac:dyDescent="0.25">
      <c r="A115">
        <f t="shared" si="12"/>
        <v>108</v>
      </c>
      <c r="B115" s="44">
        <f t="shared" si="15"/>
        <v>-76792.26092648301</v>
      </c>
      <c r="C115" s="48">
        <f t="shared" si="16"/>
        <v>71199.860326598864</v>
      </c>
      <c r="D115" s="48">
        <f t="shared" si="13"/>
        <v>5592.4005998841421</v>
      </c>
      <c r="E115" s="48"/>
      <c r="F115" s="48">
        <f t="shared" si="17"/>
        <v>887497.38536782539</v>
      </c>
      <c r="G115" s="48">
        <f t="shared" si="18"/>
        <v>5726340.0745035261</v>
      </c>
      <c r="H115" s="48">
        <f t="shared" si="14"/>
        <v>2567224.105556638</v>
      </c>
      <c r="I115" s="48">
        <f>SUM(D104:D115)</f>
        <v>93841.743539887975</v>
      </c>
      <c r="J115" s="48">
        <f>+G115-G103</f>
        <v>827665.38757790811</v>
      </c>
    </row>
    <row r="116" spans="1:10" x14ac:dyDescent="0.25">
      <c r="A116">
        <f t="shared" si="12"/>
        <v>109</v>
      </c>
      <c r="B116" s="44">
        <f t="shared" si="15"/>
        <v>-76792.26092648301</v>
      </c>
      <c r="C116" s="48">
        <f t="shared" si="16"/>
        <v>71615.192845170692</v>
      </c>
      <c r="D116" s="48">
        <f t="shared" si="13"/>
        <v>5177.0680813123154</v>
      </c>
      <c r="E116" s="48"/>
      <c r="F116" s="48">
        <f t="shared" si="17"/>
        <v>815882.19252265466</v>
      </c>
      <c r="G116" s="48">
        <f t="shared" si="18"/>
        <v>5797955.2673486965</v>
      </c>
      <c r="H116" s="48">
        <f t="shared" si="14"/>
        <v>2572401.1736379503</v>
      </c>
    </row>
    <row r="117" spans="1:10" x14ac:dyDescent="0.25">
      <c r="A117">
        <f t="shared" si="12"/>
        <v>110</v>
      </c>
      <c r="B117" s="44">
        <f t="shared" si="15"/>
        <v>-76792.26092648301</v>
      </c>
      <c r="C117" s="48">
        <f t="shared" si="16"/>
        <v>72032.948136767518</v>
      </c>
      <c r="D117" s="48">
        <f t="shared" si="13"/>
        <v>4759.3127897154855</v>
      </c>
      <c r="E117" s="48"/>
      <c r="F117" s="48">
        <f t="shared" si="17"/>
        <v>743849.24438588717</v>
      </c>
      <c r="G117" s="48">
        <f t="shared" si="18"/>
        <v>5869988.2154854639</v>
      </c>
      <c r="H117" s="48">
        <f t="shared" si="14"/>
        <v>2577160.4864276657</v>
      </c>
    </row>
    <row r="118" spans="1:10" x14ac:dyDescent="0.25">
      <c r="A118">
        <f t="shared" si="12"/>
        <v>111</v>
      </c>
      <c r="B118" s="44">
        <f t="shared" si="15"/>
        <v>-76792.26092648301</v>
      </c>
      <c r="C118" s="48">
        <f t="shared" si="16"/>
        <v>72453.140334231997</v>
      </c>
      <c r="D118" s="48">
        <f t="shared" si="13"/>
        <v>4339.1205922510089</v>
      </c>
      <c r="E118" s="48"/>
      <c r="F118" s="48">
        <f t="shared" si="17"/>
        <v>671396.10405165516</v>
      </c>
      <c r="G118" s="48">
        <f t="shared" si="18"/>
        <v>5942441.3558196956</v>
      </c>
      <c r="H118" s="48">
        <f t="shared" si="14"/>
        <v>2581499.6070199166</v>
      </c>
    </row>
    <row r="119" spans="1:10" x14ac:dyDescent="0.25">
      <c r="A119">
        <f t="shared" si="12"/>
        <v>112</v>
      </c>
      <c r="B119" s="44">
        <f t="shared" si="15"/>
        <v>-76792.26092648301</v>
      </c>
      <c r="C119" s="48">
        <f t="shared" si="16"/>
        <v>72875.78365284836</v>
      </c>
      <c r="D119" s="48">
        <f t="shared" si="13"/>
        <v>3916.4772736346554</v>
      </c>
      <c r="E119" s="48"/>
      <c r="F119" s="48">
        <f t="shared" si="17"/>
        <v>598520.32039880683</v>
      </c>
      <c r="G119" s="48">
        <f t="shared" si="18"/>
        <v>6015317.1394725442</v>
      </c>
      <c r="H119" s="48">
        <f t="shared" si="14"/>
        <v>2585416.0842935513</v>
      </c>
    </row>
    <row r="120" spans="1:10" x14ac:dyDescent="0.25">
      <c r="A120">
        <f t="shared" si="12"/>
        <v>113</v>
      </c>
      <c r="B120" s="44">
        <f t="shared" si="15"/>
        <v>-76792.26092648301</v>
      </c>
      <c r="C120" s="48">
        <f t="shared" si="16"/>
        <v>73300.892390823297</v>
      </c>
      <c r="D120" s="48">
        <f t="shared" si="13"/>
        <v>3491.3685356597066</v>
      </c>
      <c r="E120" s="48"/>
      <c r="F120" s="48">
        <f t="shared" si="17"/>
        <v>525219.42800798349</v>
      </c>
      <c r="G120" s="48">
        <f t="shared" si="18"/>
        <v>6088618.0318633672</v>
      </c>
      <c r="H120" s="48">
        <f t="shared" si="14"/>
        <v>2588907.452829211</v>
      </c>
    </row>
    <row r="121" spans="1:10" x14ac:dyDescent="0.25">
      <c r="A121">
        <f t="shared" si="12"/>
        <v>114</v>
      </c>
      <c r="B121" s="44">
        <f t="shared" si="15"/>
        <v>-76792.26092648301</v>
      </c>
      <c r="C121" s="48">
        <f t="shared" si="16"/>
        <v>73728.480929769779</v>
      </c>
      <c r="D121" s="48">
        <f t="shared" si="13"/>
        <v>3063.7799967132373</v>
      </c>
      <c r="E121" s="48"/>
      <c r="F121" s="48">
        <f t="shared" si="17"/>
        <v>451490.94707821368</v>
      </c>
      <c r="G121" s="48">
        <f t="shared" si="18"/>
        <v>6162346.5127931368</v>
      </c>
      <c r="H121" s="48">
        <f t="shared" si="14"/>
        <v>2591971.2328259242</v>
      </c>
    </row>
    <row r="122" spans="1:10" x14ac:dyDescent="0.25">
      <c r="A122">
        <f t="shared" si="12"/>
        <v>115</v>
      </c>
      <c r="B122" s="44">
        <f t="shared" si="15"/>
        <v>-76792.26092648301</v>
      </c>
      <c r="C122" s="48">
        <f t="shared" si="16"/>
        <v>74158.563735193427</v>
      </c>
      <c r="D122" s="48">
        <f t="shared" si="13"/>
        <v>2633.6971912895801</v>
      </c>
      <c r="E122" s="48"/>
      <c r="F122" s="48">
        <f t="shared" si="17"/>
        <v>377332.38334302022</v>
      </c>
      <c r="G122" s="48">
        <f t="shared" si="18"/>
        <v>6236505.0765283303</v>
      </c>
      <c r="H122" s="48">
        <f t="shared" si="14"/>
        <v>2594604.9300172138</v>
      </c>
    </row>
    <row r="123" spans="1:10" x14ac:dyDescent="0.25">
      <c r="A123">
        <f t="shared" si="12"/>
        <v>116</v>
      </c>
      <c r="B123" s="44">
        <f t="shared" si="15"/>
        <v>-76792.26092648301</v>
      </c>
      <c r="C123" s="48">
        <f t="shared" si="16"/>
        <v>74591.155356982053</v>
      </c>
      <c r="D123" s="48">
        <f t="shared" si="13"/>
        <v>2201.1055695009513</v>
      </c>
      <c r="E123" s="48"/>
      <c r="F123" s="48">
        <f t="shared" si="17"/>
        <v>302741.2279860382</v>
      </c>
      <c r="G123" s="48">
        <f t="shared" si="18"/>
        <v>6311096.2318853121</v>
      </c>
      <c r="H123" s="48">
        <f t="shared" si="14"/>
        <v>2596806.0355867147</v>
      </c>
    </row>
    <row r="124" spans="1:10" x14ac:dyDescent="0.25">
      <c r="A124">
        <f t="shared" si="12"/>
        <v>117</v>
      </c>
      <c r="B124" s="44">
        <f t="shared" si="15"/>
        <v>-76792.26092648301</v>
      </c>
      <c r="C124" s="48">
        <f t="shared" si="16"/>
        <v>75026.270429897791</v>
      </c>
      <c r="D124" s="48">
        <f t="shared" si="13"/>
        <v>1765.9904965852229</v>
      </c>
      <c r="E124" s="48"/>
      <c r="F124" s="48">
        <f t="shared" si="17"/>
        <v>227714.95755614041</v>
      </c>
      <c r="G124" s="48">
        <f t="shared" si="18"/>
        <v>6386122.5023152102</v>
      </c>
      <c r="H124" s="48">
        <f t="shared" si="14"/>
        <v>2598572.0260832999</v>
      </c>
    </row>
    <row r="125" spans="1:10" x14ac:dyDescent="0.25">
      <c r="A125">
        <f t="shared" si="12"/>
        <v>118</v>
      </c>
      <c r="B125" s="44">
        <f t="shared" si="15"/>
        <v>-76792.26092648301</v>
      </c>
      <c r="C125" s="48">
        <f t="shared" si="16"/>
        <v>75463.923674072197</v>
      </c>
      <c r="D125" s="48">
        <f t="shared" si="13"/>
        <v>1328.337252410819</v>
      </c>
      <c r="E125" s="48"/>
      <c r="F125" s="48">
        <f t="shared" si="17"/>
        <v>152251.03388206821</v>
      </c>
      <c r="G125" s="48">
        <f t="shared" si="18"/>
        <v>6461586.4259892823</v>
      </c>
      <c r="H125" s="48">
        <f t="shared" si="14"/>
        <v>2599900.3633357105</v>
      </c>
    </row>
    <row r="126" spans="1:10" x14ac:dyDescent="0.25">
      <c r="A126">
        <f t="shared" si="12"/>
        <v>119</v>
      </c>
      <c r="B126" s="44">
        <f t="shared" si="15"/>
        <v>-76792.26092648301</v>
      </c>
      <c r="C126" s="48">
        <f t="shared" si="16"/>
        <v>75904.129895504273</v>
      </c>
      <c r="D126" s="48">
        <f t="shared" si="13"/>
        <v>888.13103097873125</v>
      </c>
      <c r="E126" s="48"/>
      <c r="F126" s="48">
        <f t="shared" si="17"/>
        <v>76346.903986563935</v>
      </c>
      <c r="G126" s="48">
        <f t="shared" si="18"/>
        <v>6537490.5558847869</v>
      </c>
      <c r="H126" s="48">
        <f t="shared" si="14"/>
        <v>2600788.4943666891</v>
      </c>
    </row>
    <row r="127" spans="1:10" x14ac:dyDescent="0.25">
      <c r="A127">
        <f t="shared" si="12"/>
        <v>120</v>
      </c>
      <c r="B127" s="44">
        <f t="shared" si="15"/>
        <v>-76792.260926485542</v>
      </c>
      <c r="C127" s="48">
        <f t="shared" si="16"/>
        <v>76346.903986563921</v>
      </c>
      <c r="D127" s="48">
        <f t="shared" si="13"/>
        <v>445.356939921623</v>
      </c>
      <c r="E127" s="48"/>
      <c r="F127" s="48">
        <f t="shared" si="17"/>
        <v>1.4551915228366852E-11</v>
      </c>
      <c r="G127" s="48">
        <f t="shared" si="18"/>
        <v>6613837.4598713508</v>
      </c>
      <c r="H127" s="48">
        <f t="shared" si="14"/>
        <v>2601233.8513066107</v>
      </c>
      <c r="I127" s="48">
        <f>SUM(D116:D127)</f>
        <v>34009.745749973335</v>
      </c>
      <c r="J127" s="48">
        <f>+G127-G115</f>
        <v>887497.3853678247</v>
      </c>
    </row>
    <row r="128" spans="1:10" x14ac:dyDescent="0.25">
      <c r="A128" t="str">
        <f t="shared" si="12"/>
        <v/>
      </c>
      <c r="B128" s="44" t="str">
        <f t="shared" si="15"/>
        <v/>
      </c>
      <c r="C128" s="48" t="str">
        <f t="shared" si="16"/>
        <v/>
      </c>
      <c r="D128" s="48" t="str">
        <f t="shared" si="13"/>
        <v/>
      </c>
      <c r="E128" s="48"/>
      <c r="F128" s="48" t="str">
        <f t="shared" si="17"/>
        <v/>
      </c>
      <c r="G128" s="48" t="str">
        <f t="shared" si="18"/>
        <v/>
      </c>
      <c r="H128" s="48" t="str">
        <f t="shared" si="14"/>
        <v/>
      </c>
    </row>
    <row r="129" spans="1:8" x14ac:dyDescent="0.25">
      <c r="A129" t="str">
        <f t="shared" si="12"/>
        <v/>
      </c>
      <c r="B129" s="44" t="str">
        <f t="shared" si="15"/>
        <v/>
      </c>
      <c r="C129" s="48" t="str">
        <f t="shared" si="16"/>
        <v/>
      </c>
      <c r="D129" s="48" t="str">
        <f t="shared" si="13"/>
        <v/>
      </c>
      <c r="E129" s="48"/>
      <c r="F129" s="48" t="str">
        <f t="shared" si="17"/>
        <v/>
      </c>
      <c r="G129" s="48" t="str">
        <f t="shared" si="18"/>
        <v/>
      </c>
      <c r="H129" s="48" t="str">
        <f t="shared" si="14"/>
        <v/>
      </c>
    </row>
    <row r="130" spans="1:8" x14ac:dyDescent="0.25">
      <c r="A130" t="str">
        <f t="shared" si="12"/>
        <v/>
      </c>
      <c r="B130" s="44" t="str">
        <f t="shared" si="15"/>
        <v/>
      </c>
      <c r="C130" s="48" t="str">
        <f t="shared" si="16"/>
        <v/>
      </c>
      <c r="D130" s="48" t="str">
        <f t="shared" si="13"/>
        <v/>
      </c>
      <c r="E130" s="48"/>
      <c r="F130" s="48" t="str">
        <f t="shared" si="17"/>
        <v/>
      </c>
      <c r="G130" s="48" t="str">
        <f t="shared" si="18"/>
        <v/>
      </c>
      <c r="H130" s="48" t="str">
        <f t="shared" si="14"/>
        <v/>
      </c>
    </row>
    <row r="131" spans="1:8" x14ac:dyDescent="0.25">
      <c r="A131" t="str">
        <f t="shared" si="12"/>
        <v/>
      </c>
      <c r="B131" s="44" t="str">
        <f t="shared" si="15"/>
        <v/>
      </c>
      <c r="C131" s="48" t="str">
        <f t="shared" si="16"/>
        <v/>
      </c>
      <c r="D131" s="48" t="str">
        <f t="shared" si="13"/>
        <v/>
      </c>
      <c r="E131" s="48"/>
      <c r="F131" s="48" t="str">
        <f t="shared" si="17"/>
        <v/>
      </c>
      <c r="G131" s="48" t="str">
        <f t="shared" si="18"/>
        <v/>
      </c>
      <c r="H131" s="48" t="str">
        <f t="shared" si="14"/>
        <v/>
      </c>
    </row>
    <row r="132" spans="1:8" x14ac:dyDescent="0.25">
      <c r="A132" t="str">
        <f t="shared" si="12"/>
        <v/>
      </c>
      <c r="B132" s="44" t="str">
        <f t="shared" si="15"/>
        <v/>
      </c>
      <c r="C132" s="48" t="str">
        <f t="shared" si="16"/>
        <v/>
      </c>
      <c r="D132" s="48" t="str">
        <f t="shared" si="13"/>
        <v/>
      </c>
      <c r="E132" s="48"/>
      <c r="F132" s="48" t="str">
        <f t="shared" si="17"/>
        <v/>
      </c>
      <c r="G132" s="48" t="str">
        <f t="shared" si="18"/>
        <v/>
      </c>
      <c r="H132" s="48" t="str">
        <f t="shared" si="14"/>
        <v/>
      </c>
    </row>
    <row r="133" spans="1:8" x14ac:dyDescent="0.25">
      <c r="A133" t="str">
        <f t="shared" si="12"/>
        <v/>
      </c>
      <c r="B133" s="44" t="str">
        <f t="shared" si="15"/>
        <v/>
      </c>
      <c r="C133" s="48" t="str">
        <f t="shared" si="16"/>
        <v/>
      </c>
      <c r="D133" s="48" t="str">
        <f t="shared" si="13"/>
        <v/>
      </c>
      <c r="E133" s="48"/>
      <c r="F133" s="48" t="str">
        <f t="shared" si="17"/>
        <v/>
      </c>
      <c r="G133" s="48" t="str">
        <f t="shared" si="18"/>
        <v/>
      </c>
      <c r="H133" s="48" t="str">
        <f t="shared" si="14"/>
        <v/>
      </c>
    </row>
    <row r="134" spans="1:8" x14ac:dyDescent="0.25">
      <c r="A134" t="str">
        <f t="shared" si="12"/>
        <v/>
      </c>
      <c r="B134" s="44" t="str">
        <f t="shared" si="15"/>
        <v/>
      </c>
      <c r="C134" s="48" t="str">
        <f t="shared" si="16"/>
        <v/>
      </c>
      <c r="D134" s="48" t="str">
        <f t="shared" si="13"/>
        <v/>
      </c>
      <c r="E134" s="48"/>
      <c r="F134" s="48" t="str">
        <f t="shared" si="17"/>
        <v/>
      </c>
      <c r="G134" s="48" t="str">
        <f t="shared" si="18"/>
        <v/>
      </c>
      <c r="H134" s="48" t="str">
        <f t="shared" si="14"/>
        <v/>
      </c>
    </row>
    <row r="135" spans="1:8" x14ac:dyDescent="0.25">
      <c r="A135" t="str">
        <f t="shared" si="12"/>
        <v/>
      </c>
      <c r="B135" s="44" t="str">
        <f t="shared" si="15"/>
        <v/>
      </c>
      <c r="C135" s="48" t="str">
        <f t="shared" si="16"/>
        <v/>
      </c>
      <c r="D135" s="48" t="str">
        <f t="shared" si="13"/>
        <v/>
      </c>
      <c r="E135" s="48"/>
      <c r="F135" s="48" t="str">
        <f t="shared" si="17"/>
        <v/>
      </c>
      <c r="G135" s="48" t="str">
        <f t="shared" si="18"/>
        <v/>
      </c>
      <c r="H135" s="48" t="str">
        <f t="shared" si="14"/>
        <v/>
      </c>
    </row>
    <row r="136" spans="1:8" x14ac:dyDescent="0.25">
      <c r="A136" t="str">
        <f t="shared" si="12"/>
        <v/>
      </c>
      <c r="B136" s="44" t="str">
        <f t="shared" si="15"/>
        <v/>
      </c>
      <c r="C136" s="48" t="str">
        <f t="shared" si="16"/>
        <v/>
      </c>
      <c r="D136" s="48" t="str">
        <f t="shared" si="13"/>
        <v/>
      </c>
      <c r="E136" s="48"/>
      <c r="F136" s="48" t="str">
        <f t="shared" si="17"/>
        <v/>
      </c>
      <c r="G136" s="48" t="str">
        <f t="shared" si="18"/>
        <v/>
      </c>
      <c r="H136" s="48" t="str">
        <f t="shared" si="14"/>
        <v/>
      </c>
    </row>
    <row r="137" spans="1:8" x14ac:dyDescent="0.25">
      <c r="A137" t="str">
        <f t="shared" si="12"/>
        <v/>
      </c>
      <c r="B137" s="44" t="str">
        <f t="shared" si="15"/>
        <v/>
      </c>
      <c r="C137" s="48" t="str">
        <f t="shared" si="16"/>
        <v/>
      </c>
      <c r="D137" s="48" t="str">
        <f t="shared" si="13"/>
        <v/>
      </c>
      <c r="E137" s="48"/>
      <c r="F137" s="48" t="str">
        <f t="shared" si="17"/>
        <v/>
      </c>
      <c r="G137" s="48" t="str">
        <f t="shared" si="18"/>
        <v/>
      </c>
      <c r="H137" s="48" t="str">
        <f t="shared" si="14"/>
        <v/>
      </c>
    </row>
    <row r="138" spans="1:8" x14ac:dyDescent="0.25">
      <c r="A138" t="str">
        <f t="shared" si="12"/>
        <v/>
      </c>
      <c r="B138" s="44" t="str">
        <f t="shared" si="15"/>
        <v/>
      </c>
      <c r="C138" s="48" t="str">
        <f t="shared" si="16"/>
        <v/>
      </c>
      <c r="D138" s="48" t="str">
        <f t="shared" si="13"/>
        <v/>
      </c>
      <c r="E138" s="48"/>
      <c r="F138" s="48" t="str">
        <f t="shared" si="17"/>
        <v/>
      </c>
      <c r="G138" s="48" t="str">
        <f t="shared" si="18"/>
        <v/>
      </c>
      <c r="H138" s="48" t="str">
        <f t="shared" si="14"/>
        <v/>
      </c>
    </row>
    <row r="139" spans="1:8" x14ac:dyDescent="0.25">
      <c r="A139" t="str">
        <f t="shared" ref="A139:A202" si="19">IF(OR(F138&lt;0.01,A138=""), "",A138+1)</f>
        <v/>
      </c>
      <c r="B139" s="44" t="str">
        <f t="shared" si="15"/>
        <v/>
      </c>
      <c r="C139" s="48" t="str">
        <f t="shared" si="16"/>
        <v/>
      </c>
      <c r="D139" s="48" t="str">
        <f t="shared" ref="D139:D202" si="20">IF(A139="", "",F138*$G$1)</f>
        <v/>
      </c>
      <c r="E139" s="48"/>
      <c r="F139" s="48" t="str">
        <f t="shared" si="17"/>
        <v/>
      </c>
      <c r="G139" s="48" t="str">
        <f t="shared" si="18"/>
        <v/>
      </c>
      <c r="H139" s="48" t="str">
        <f t="shared" ref="H139:H202" si="21">IF(A139="", "", H138+D139)</f>
        <v/>
      </c>
    </row>
    <row r="140" spans="1:8" x14ac:dyDescent="0.25">
      <c r="A140" t="str">
        <f t="shared" si="19"/>
        <v/>
      </c>
      <c r="B140" s="44" t="str">
        <f t="shared" si="15"/>
        <v/>
      </c>
      <c r="C140" s="48" t="str">
        <f t="shared" si="16"/>
        <v/>
      </c>
      <c r="D140" s="48" t="str">
        <f t="shared" si="20"/>
        <v/>
      </c>
      <c r="E140" s="48"/>
      <c r="F140" s="48" t="str">
        <f t="shared" si="17"/>
        <v/>
      </c>
      <c r="G140" s="48" t="str">
        <f t="shared" si="18"/>
        <v/>
      </c>
      <c r="H140" s="48" t="str">
        <f t="shared" si="21"/>
        <v/>
      </c>
    </row>
    <row r="141" spans="1:8" x14ac:dyDescent="0.25">
      <c r="A141" t="str">
        <f t="shared" si="19"/>
        <v/>
      </c>
      <c r="B141" s="44" t="str">
        <f t="shared" si="15"/>
        <v/>
      </c>
      <c r="C141" s="48" t="str">
        <f t="shared" si="16"/>
        <v/>
      </c>
      <c r="D141" s="48" t="str">
        <f t="shared" si="20"/>
        <v/>
      </c>
      <c r="E141" s="48"/>
      <c r="F141" s="48" t="str">
        <f t="shared" si="17"/>
        <v/>
      </c>
      <c r="G141" s="48" t="str">
        <f t="shared" si="18"/>
        <v/>
      </c>
      <c r="H141" s="48" t="str">
        <f t="shared" si="21"/>
        <v/>
      </c>
    </row>
    <row r="142" spans="1:8" x14ac:dyDescent="0.25">
      <c r="A142" t="str">
        <f t="shared" si="19"/>
        <v/>
      </c>
      <c r="B142" s="44" t="str">
        <f t="shared" si="15"/>
        <v/>
      </c>
      <c r="C142" s="48" t="str">
        <f t="shared" si="16"/>
        <v/>
      </c>
      <c r="D142" s="48" t="str">
        <f t="shared" si="20"/>
        <v/>
      </c>
      <c r="E142" s="48"/>
      <c r="F142" s="48" t="str">
        <f t="shared" si="17"/>
        <v/>
      </c>
      <c r="G142" s="48" t="str">
        <f t="shared" si="18"/>
        <v/>
      </c>
      <c r="H142" s="48" t="str">
        <f t="shared" si="21"/>
        <v/>
      </c>
    </row>
    <row r="143" spans="1:8" x14ac:dyDescent="0.25">
      <c r="A143" t="str">
        <f t="shared" si="19"/>
        <v/>
      </c>
      <c r="B143" s="44" t="str">
        <f t="shared" si="15"/>
        <v/>
      </c>
      <c r="C143" s="48" t="str">
        <f t="shared" si="16"/>
        <v/>
      </c>
      <c r="D143" s="48" t="str">
        <f t="shared" si="20"/>
        <v/>
      </c>
      <c r="E143" s="48"/>
      <c r="F143" s="48" t="str">
        <f t="shared" si="17"/>
        <v/>
      </c>
      <c r="G143" s="48" t="str">
        <f t="shared" si="18"/>
        <v/>
      </c>
      <c r="H143" s="48" t="str">
        <f t="shared" si="21"/>
        <v/>
      </c>
    </row>
    <row r="144" spans="1:8" x14ac:dyDescent="0.25">
      <c r="A144" t="str">
        <f t="shared" si="19"/>
        <v/>
      </c>
      <c r="B144" s="44" t="str">
        <f t="shared" si="15"/>
        <v/>
      </c>
      <c r="C144" s="48" t="str">
        <f t="shared" si="16"/>
        <v/>
      </c>
      <c r="D144" s="48" t="str">
        <f t="shared" si="20"/>
        <v/>
      </c>
      <c r="E144" s="48"/>
      <c r="F144" s="48" t="str">
        <f t="shared" si="17"/>
        <v/>
      </c>
      <c r="G144" s="48" t="str">
        <f t="shared" si="18"/>
        <v/>
      </c>
      <c r="H144" s="48" t="str">
        <f t="shared" si="21"/>
        <v/>
      </c>
    </row>
    <row r="145" spans="1:8" x14ac:dyDescent="0.25">
      <c r="A145" t="str">
        <f t="shared" si="19"/>
        <v/>
      </c>
      <c r="B145" s="44" t="str">
        <f t="shared" si="15"/>
        <v/>
      </c>
      <c r="C145" s="48" t="str">
        <f t="shared" si="16"/>
        <v/>
      </c>
      <c r="D145" s="48" t="str">
        <f t="shared" si="20"/>
        <v/>
      </c>
      <c r="E145" s="48"/>
      <c r="F145" s="48" t="str">
        <f t="shared" si="17"/>
        <v/>
      </c>
      <c r="G145" s="48" t="str">
        <f t="shared" si="18"/>
        <v/>
      </c>
      <c r="H145" s="48" t="str">
        <f t="shared" si="21"/>
        <v/>
      </c>
    </row>
    <row r="146" spans="1:8" x14ac:dyDescent="0.25">
      <c r="A146" t="str">
        <f t="shared" si="19"/>
        <v/>
      </c>
      <c r="B146" s="44" t="str">
        <f t="shared" si="15"/>
        <v/>
      </c>
      <c r="C146" s="48" t="str">
        <f t="shared" si="16"/>
        <v/>
      </c>
      <c r="D146" s="48" t="str">
        <f t="shared" si="20"/>
        <v/>
      </c>
      <c r="E146" s="48"/>
      <c r="F146" s="48" t="str">
        <f t="shared" si="17"/>
        <v/>
      </c>
      <c r="G146" s="48" t="str">
        <f t="shared" si="18"/>
        <v/>
      </c>
      <c r="H146" s="48" t="str">
        <f t="shared" si="21"/>
        <v/>
      </c>
    </row>
    <row r="147" spans="1:8" x14ac:dyDescent="0.25">
      <c r="A147" t="str">
        <f t="shared" si="19"/>
        <v/>
      </c>
      <c r="B147" s="44" t="str">
        <f t="shared" si="15"/>
        <v/>
      </c>
      <c r="C147" s="48" t="str">
        <f t="shared" si="16"/>
        <v/>
      </c>
      <c r="D147" s="48" t="str">
        <f t="shared" si="20"/>
        <v/>
      </c>
      <c r="E147" s="48"/>
      <c r="F147" s="48" t="str">
        <f t="shared" si="17"/>
        <v/>
      </c>
      <c r="G147" s="48" t="str">
        <f t="shared" si="18"/>
        <v/>
      </c>
      <c r="H147" s="48" t="str">
        <f t="shared" si="21"/>
        <v/>
      </c>
    </row>
    <row r="148" spans="1:8" x14ac:dyDescent="0.25">
      <c r="A148" t="str">
        <f t="shared" si="19"/>
        <v/>
      </c>
      <c r="B148" s="44" t="str">
        <f t="shared" ref="B148:B211" si="22">IF(OR(F147&lt;0.01,A148=""),"",IF(F147&lt;-$G$3,PMT($G$1,1,F147,0),$G$3))</f>
        <v/>
      </c>
      <c r="C148" s="48" t="str">
        <f t="shared" si="16"/>
        <v/>
      </c>
      <c r="D148" s="48" t="str">
        <f t="shared" si="20"/>
        <v/>
      </c>
      <c r="E148" s="48"/>
      <c r="F148" s="48" t="str">
        <f t="shared" si="17"/>
        <v/>
      </c>
      <c r="G148" s="48" t="str">
        <f t="shared" si="18"/>
        <v/>
      </c>
      <c r="H148" s="48" t="str">
        <f t="shared" si="21"/>
        <v/>
      </c>
    </row>
    <row r="149" spans="1:8" x14ac:dyDescent="0.25">
      <c r="A149" t="str">
        <f t="shared" si="19"/>
        <v/>
      </c>
      <c r="B149" s="44" t="str">
        <f t="shared" si="22"/>
        <v/>
      </c>
      <c r="C149" s="48" t="str">
        <f t="shared" ref="C149:C212" si="23">IF(A149="", "",-B149-D149+E149)</f>
        <v/>
      </c>
      <c r="D149" s="48" t="str">
        <f t="shared" si="20"/>
        <v/>
      </c>
      <c r="E149" s="48"/>
      <c r="F149" s="48" t="str">
        <f t="shared" ref="F149:F212" si="24">IF(A149="", "", F148-C149)</f>
        <v/>
      </c>
      <c r="G149" s="48" t="str">
        <f t="shared" ref="G149:G212" si="25">IF(A149="", "", G148+C149)</f>
        <v/>
      </c>
      <c r="H149" s="48" t="str">
        <f t="shared" si="21"/>
        <v/>
      </c>
    </row>
    <row r="150" spans="1:8" x14ac:dyDescent="0.25">
      <c r="A150" t="str">
        <f t="shared" si="19"/>
        <v/>
      </c>
      <c r="B150" s="44" t="str">
        <f t="shared" si="22"/>
        <v/>
      </c>
      <c r="C150" s="48" t="str">
        <f t="shared" si="23"/>
        <v/>
      </c>
      <c r="D150" s="48" t="str">
        <f t="shared" si="20"/>
        <v/>
      </c>
      <c r="E150" s="48"/>
      <c r="F150" s="48" t="str">
        <f t="shared" si="24"/>
        <v/>
      </c>
      <c r="G150" s="48" t="str">
        <f t="shared" si="25"/>
        <v/>
      </c>
      <c r="H150" s="48" t="str">
        <f t="shared" si="21"/>
        <v/>
      </c>
    </row>
    <row r="151" spans="1:8" x14ac:dyDescent="0.25">
      <c r="A151" t="str">
        <f t="shared" si="19"/>
        <v/>
      </c>
      <c r="B151" s="44" t="str">
        <f t="shared" si="22"/>
        <v/>
      </c>
      <c r="C151" s="48" t="str">
        <f t="shared" si="23"/>
        <v/>
      </c>
      <c r="D151" s="48" t="str">
        <f t="shared" si="20"/>
        <v/>
      </c>
      <c r="E151" s="48"/>
      <c r="F151" s="48" t="str">
        <f t="shared" si="24"/>
        <v/>
      </c>
      <c r="G151" s="48" t="str">
        <f t="shared" si="25"/>
        <v/>
      </c>
      <c r="H151" s="48" t="str">
        <f t="shared" si="21"/>
        <v/>
      </c>
    </row>
    <row r="152" spans="1:8" x14ac:dyDescent="0.25">
      <c r="A152" t="str">
        <f t="shared" si="19"/>
        <v/>
      </c>
      <c r="B152" s="44" t="str">
        <f t="shared" si="22"/>
        <v/>
      </c>
      <c r="C152" s="48" t="str">
        <f t="shared" si="23"/>
        <v/>
      </c>
      <c r="D152" s="48" t="str">
        <f t="shared" si="20"/>
        <v/>
      </c>
      <c r="E152" s="48"/>
      <c r="F152" s="48" t="str">
        <f t="shared" si="24"/>
        <v/>
      </c>
      <c r="G152" s="48" t="str">
        <f t="shared" si="25"/>
        <v/>
      </c>
      <c r="H152" s="48" t="str">
        <f t="shared" si="21"/>
        <v/>
      </c>
    </row>
    <row r="153" spans="1:8" x14ac:dyDescent="0.25">
      <c r="A153" t="str">
        <f t="shared" si="19"/>
        <v/>
      </c>
      <c r="B153" s="44" t="str">
        <f t="shared" si="22"/>
        <v/>
      </c>
      <c r="C153" s="48" t="str">
        <f t="shared" si="23"/>
        <v/>
      </c>
      <c r="D153" s="48" t="str">
        <f t="shared" si="20"/>
        <v/>
      </c>
      <c r="E153" s="48"/>
      <c r="F153" s="48" t="str">
        <f t="shared" si="24"/>
        <v/>
      </c>
      <c r="G153" s="48" t="str">
        <f t="shared" si="25"/>
        <v/>
      </c>
      <c r="H153" s="48" t="str">
        <f t="shared" si="21"/>
        <v/>
      </c>
    </row>
    <row r="154" spans="1:8" x14ac:dyDescent="0.25">
      <c r="A154" t="str">
        <f t="shared" si="19"/>
        <v/>
      </c>
      <c r="B154" s="44" t="str">
        <f t="shared" si="22"/>
        <v/>
      </c>
      <c r="C154" s="48" t="str">
        <f t="shared" si="23"/>
        <v/>
      </c>
      <c r="D154" s="48" t="str">
        <f t="shared" si="20"/>
        <v/>
      </c>
      <c r="E154" s="48"/>
      <c r="F154" s="48" t="str">
        <f t="shared" si="24"/>
        <v/>
      </c>
      <c r="G154" s="48" t="str">
        <f t="shared" si="25"/>
        <v/>
      </c>
      <c r="H154" s="48" t="str">
        <f t="shared" si="21"/>
        <v/>
      </c>
    </row>
    <row r="155" spans="1:8" x14ac:dyDescent="0.25">
      <c r="A155" t="str">
        <f t="shared" si="19"/>
        <v/>
      </c>
      <c r="B155" s="44" t="str">
        <f t="shared" si="22"/>
        <v/>
      </c>
      <c r="C155" s="48" t="str">
        <f t="shared" si="23"/>
        <v/>
      </c>
      <c r="D155" s="48" t="str">
        <f t="shared" si="20"/>
        <v/>
      </c>
      <c r="E155" s="48"/>
      <c r="F155" s="48" t="str">
        <f t="shared" si="24"/>
        <v/>
      </c>
      <c r="G155" s="48" t="str">
        <f t="shared" si="25"/>
        <v/>
      </c>
      <c r="H155" s="48" t="str">
        <f t="shared" si="21"/>
        <v/>
      </c>
    </row>
    <row r="156" spans="1:8" x14ac:dyDescent="0.25">
      <c r="A156" t="str">
        <f t="shared" si="19"/>
        <v/>
      </c>
      <c r="B156" s="44" t="str">
        <f t="shared" si="22"/>
        <v/>
      </c>
      <c r="C156" s="48" t="str">
        <f t="shared" si="23"/>
        <v/>
      </c>
      <c r="D156" s="48" t="str">
        <f t="shared" si="20"/>
        <v/>
      </c>
      <c r="E156" s="48"/>
      <c r="F156" s="48" t="str">
        <f t="shared" si="24"/>
        <v/>
      </c>
      <c r="G156" s="48" t="str">
        <f t="shared" si="25"/>
        <v/>
      </c>
      <c r="H156" s="48" t="str">
        <f t="shared" si="21"/>
        <v/>
      </c>
    </row>
    <row r="157" spans="1:8" x14ac:dyDescent="0.25">
      <c r="A157" t="str">
        <f t="shared" si="19"/>
        <v/>
      </c>
      <c r="B157" s="44" t="str">
        <f t="shared" si="22"/>
        <v/>
      </c>
      <c r="C157" s="48" t="str">
        <f t="shared" si="23"/>
        <v/>
      </c>
      <c r="D157" s="48" t="str">
        <f t="shared" si="20"/>
        <v/>
      </c>
      <c r="E157" s="48"/>
      <c r="F157" s="48" t="str">
        <f t="shared" si="24"/>
        <v/>
      </c>
      <c r="G157" s="48" t="str">
        <f t="shared" si="25"/>
        <v/>
      </c>
      <c r="H157" s="48" t="str">
        <f t="shared" si="21"/>
        <v/>
      </c>
    </row>
    <row r="158" spans="1:8" x14ac:dyDescent="0.25">
      <c r="A158" t="str">
        <f t="shared" si="19"/>
        <v/>
      </c>
      <c r="B158" s="44" t="str">
        <f t="shared" si="22"/>
        <v/>
      </c>
      <c r="C158" s="48" t="str">
        <f t="shared" si="23"/>
        <v/>
      </c>
      <c r="D158" s="48" t="str">
        <f t="shared" si="20"/>
        <v/>
      </c>
      <c r="E158" s="48"/>
      <c r="F158" s="48" t="str">
        <f t="shared" si="24"/>
        <v/>
      </c>
      <c r="G158" s="48" t="str">
        <f t="shared" si="25"/>
        <v/>
      </c>
      <c r="H158" s="48" t="str">
        <f t="shared" si="21"/>
        <v/>
      </c>
    </row>
    <row r="159" spans="1:8" x14ac:dyDescent="0.25">
      <c r="A159" t="str">
        <f t="shared" si="19"/>
        <v/>
      </c>
      <c r="B159" s="44" t="str">
        <f t="shared" si="22"/>
        <v/>
      </c>
      <c r="C159" s="48" t="str">
        <f t="shared" si="23"/>
        <v/>
      </c>
      <c r="D159" s="48" t="str">
        <f t="shared" si="20"/>
        <v/>
      </c>
      <c r="E159" s="48"/>
      <c r="F159" s="48" t="str">
        <f t="shared" si="24"/>
        <v/>
      </c>
      <c r="G159" s="48" t="str">
        <f t="shared" si="25"/>
        <v/>
      </c>
      <c r="H159" s="48" t="str">
        <f t="shared" si="21"/>
        <v/>
      </c>
    </row>
    <row r="160" spans="1:8" x14ac:dyDescent="0.25">
      <c r="A160" t="str">
        <f t="shared" si="19"/>
        <v/>
      </c>
      <c r="B160" s="44" t="str">
        <f t="shared" si="22"/>
        <v/>
      </c>
      <c r="C160" s="48" t="str">
        <f t="shared" si="23"/>
        <v/>
      </c>
      <c r="D160" s="48" t="str">
        <f t="shared" si="20"/>
        <v/>
      </c>
      <c r="E160" s="48"/>
      <c r="F160" s="48" t="str">
        <f t="shared" si="24"/>
        <v/>
      </c>
      <c r="G160" s="48" t="str">
        <f t="shared" si="25"/>
        <v/>
      </c>
      <c r="H160" s="48" t="str">
        <f t="shared" si="21"/>
        <v/>
      </c>
    </row>
    <row r="161" spans="1:8" x14ac:dyDescent="0.25">
      <c r="A161" t="str">
        <f t="shared" si="19"/>
        <v/>
      </c>
      <c r="B161" s="44" t="str">
        <f t="shared" si="22"/>
        <v/>
      </c>
      <c r="C161" s="48" t="str">
        <f t="shared" si="23"/>
        <v/>
      </c>
      <c r="D161" s="48" t="str">
        <f t="shared" si="20"/>
        <v/>
      </c>
      <c r="E161" s="48"/>
      <c r="F161" s="48" t="str">
        <f t="shared" si="24"/>
        <v/>
      </c>
      <c r="G161" s="48" t="str">
        <f t="shared" si="25"/>
        <v/>
      </c>
      <c r="H161" s="48" t="str">
        <f t="shared" si="21"/>
        <v/>
      </c>
    </row>
    <row r="162" spans="1:8" x14ac:dyDescent="0.25">
      <c r="A162" t="str">
        <f t="shared" si="19"/>
        <v/>
      </c>
      <c r="B162" s="44" t="str">
        <f t="shared" si="22"/>
        <v/>
      </c>
      <c r="C162" s="48" t="str">
        <f t="shared" si="23"/>
        <v/>
      </c>
      <c r="D162" s="48" t="str">
        <f t="shared" si="20"/>
        <v/>
      </c>
      <c r="E162" s="48"/>
      <c r="F162" s="48" t="str">
        <f t="shared" si="24"/>
        <v/>
      </c>
      <c r="G162" s="48" t="str">
        <f t="shared" si="25"/>
        <v/>
      </c>
      <c r="H162" s="48" t="str">
        <f t="shared" si="21"/>
        <v/>
      </c>
    </row>
    <row r="163" spans="1:8" x14ac:dyDescent="0.25">
      <c r="A163" t="str">
        <f t="shared" si="19"/>
        <v/>
      </c>
      <c r="B163" s="44" t="str">
        <f t="shared" si="22"/>
        <v/>
      </c>
      <c r="C163" s="48" t="str">
        <f t="shared" si="23"/>
        <v/>
      </c>
      <c r="D163" s="48" t="str">
        <f t="shared" si="20"/>
        <v/>
      </c>
      <c r="E163" s="48"/>
      <c r="F163" s="48" t="str">
        <f t="shared" si="24"/>
        <v/>
      </c>
      <c r="G163" s="48" t="str">
        <f t="shared" si="25"/>
        <v/>
      </c>
      <c r="H163" s="48" t="str">
        <f t="shared" si="21"/>
        <v/>
      </c>
    </row>
    <row r="164" spans="1:8" x14ac:dyDescent="0.25">
      <c r="A164" t="str">
        <f t="shared" si="19"/>
        <v/>
      </c>
      <c r="B164" s="44" t="str">
        <f t="shared" si="22"/>
        <v/>
      </c>
      <c r="C164" s="48" t="str">
        <f t="shared" si="23"/>
        <v/>
      </c>
      <c r="D164" s="48" t="str">
        <f t="shared" si="20"/>
        <v/>
      </c>
      <c r="E164" s="48"/>
      <c r="F164" s="48" t="str">
        <f t="shared" si="24"/>
        <v/>
      </c>
      <c r="G164" s="48" t="str">
        <f t="shared" si="25"/>
        <v/>
      </c>
      <c r="H164" s="48" t="str">
        <f t="shared" si="21"/>
        <v/>
      </c>
    </row>
    <row r="165" spans="1:8" x14ac:dyDescent="0.25">
      <c r="A165" t="str">
        <f t="shared" si="19"/>
        <v/>
      </c>
      <c r="B165" s="44" t="str">
        <f t="shared" si="22"/>
        <v/>
      </c>
      <c r="C165" s="48" t="str">
        <f t="shared" si="23"/>
        <v/>
      </c>
      <c r="D165" s="48" t="str">
        <f t="shared" si="20"/>
        <v/>
      </c>
      <c r="E165" s="48"/>
      <c r="F165" s="48" t="str">
        <f t="shared" si="24"/>
        <v/>
      </c>
      <c r="G165" s="48" t="str">
        <f t="shared" si="25"/>
        <v/>
      </c>
      <c r="H165" s="48" t="str">
        <f t="shared" si="21"/>
        <v/>
      </c>
    </row>
    <row r="166" spans="1:8" x14ac:dyDescent="0.25">
      <c r="A166" t="str">
        <f t="shared" si="19"/>
        <v/>
      </c>
      <c r="B166" s="44" t="str">
        <f t="shared" si="22"/>
        <v/>
      </c>
      <c r="C166" s="48" t="str">
        <f t="shared" si="23"/>
        <v/>
      </c>
      <c r="D166" s="48" t="str">
        <f t="shared" si="20"/>
        <v/>
      </c>
      <c r="E166" s="48"/>
      <c r="F166" s="48" t="str">
        <f t="shared" si="24"/>
        <v/>
      </c>
      <c r="G166" s="48" t="str">
        <f t="shared" si="25"/>
        <v/>
      </c>
      <c r="H166" s="48" t="str">
        <f t="shared" si="21"/>
        <v/>
      </c>
    </row>
    <row r="167" spans="1:8" x14ac:dyDescent="0.25">
      <c r="A167" t="str">
        <f t="shared" si="19"/>
        <v/>
      </c>
      <c r="B167" s="44" t="str">
        <f t="shared" si="22"/>
        <v/>
      </c>
      <c r="C167" s="48" t="str">
        <f t="shared" si="23"/>
        <v/>
      </c>
      <c r="D167" s="48" t="str">
        <f t="shared" si="20"/>
        <v/>
      </c>
      <c r="E167" s="48"/>
      <c r="F167" s="48" t="str">
        <f t="shared" si="24"/>
        <v/>
      </c>
      <c r="G167" s="48" t="str">
        <f t="shared" si="25"/>
        <v/>
      </c>
      <c r="H167" s="48" t="str">
        <f t="shared" si="21"/>
        <v/>
      </c>
    </row>
    <row r="168" spans="1:8" x14ac:dyDescent="0.25">
      <c r="A168" t="str">
        <f t="shared" si="19"/>
        <v/>
      </c>
      <c r="B168" s="44" t="str">
        <f t="shared" si="22"/>
        <v/>
      </c>
      <c r="C168" s="48" t="str">
        <f t="shared" si="23"/>
        <v/>
      </c>
      <c r="D168" s="48" t="str">
        <f t="shared" si="20"/>
        <v/>
      </c>
      <c r="E168" s="48"/>
      <c r="F168" s="48" t="str">
        <f t="shared" si="24"/>
        <v/>
      </c>
      <c r="G168" s="48" t="str">
        <f t="shared" si="25"/>
        <v/>
      </c>
      <c r="H168" s="48" t="str">
        <f t="shared" si="21"/>
        <v/>
      </c>
    </row>
    <row r="169" spans="1:8" x14ac:dyDescent="0.25">
      <c r="A169" t="str">
        <f t="shared" si="19"/>
        <v/>
      </c>
      <c r="B169" s="44" t="str">
        <f t="shared" si="22"/>
        <v/>
      </c>
      <c r="C169" s="48" t="str">
        <f t="shared" si="23"/>
        <v/>
      </c>
      <c r="D169" s="48" t="str">
        <f t="shared" si="20"/>
        <v/>
      </c>
      <c r="E169" s="48"/>
      <c r="F169" s="48" t="str">
        <f t="shared" si="24"/>
        <v/>
      </c>
      <c r="G169" s="48" t="str">
        <f t="shared" si="25"/>
        <v/>
      </c>
      <c r="H169" s="48" t="str">
        <f t="shared" si="21"/>
        <v/>
      </c>
    </row>
    <row r="170" spans="1:8" x14ac:dyDescent="0.25">
      <c r="A170" t="str">
        <f t="shared" si="19"/>
        <v/>
      </c>
      <c r="B170" s="44" t="str">
        <f t="shared" si="22"/>
        <v/>
      </c>
      <c r="C170" s="48" t="str">
        <f t="shared" si="23"/>
        <v/>
      </c>
      <c r="D170" s="48" t="str">
        <f t="shared" si="20"/>
        <v/>
      </c>
      <c r="E170" s="48"/>
      <c r="F170" s="48" t="str">
        <f t="shared" si="24"/>
        <v/>
      </c>
      <c r="G170" s="48" t="str">
        <f t="shared" si="25"/>
        <v/>
      </c>
      <c r="H170" s="48" t="str">
        <f t="shared" si="21"/>
        <v/>
      </c>
    </row>
    <row r="171" spans="1:8" x14ac:dyDescent="0.25">
      <c r="A171" t="str">
        <f t="shared" si="19"/>
        <v/>
      </c>
      <c r="B171" s="44" t="str">
        <f t="shared" si="22"/>
        <v/>
      </c>
      <c r="C171" s="48" t="str">
        <f t="shared" si="23"/>
        <v/>
      </c>
      <c r="D171" s="48" t="str">
        <f t="shared" si="20"/>
        <v/>
      </c>
      <c r="E171" s="48"/>
      <c r="F171" s="48" t="str">
        <f t="shared" si="24"/>
        <v/>
      </c>
      <c r="G171" s="48" t="str">
        <f t="shared" si="25"/>
        <v/>
      </c>
      <c r="H171" s="48" t="str">
        <f t="shared" si="21"/>
        <v/>
      </c>
    </row>
    <row r="172" spans="1:8" x14ac:dyDescent="0.25">
      <c r="A172" t="str">
        <f t="shared" si="19"/>
        <v/>
      </c>
      <c r="B172" s="44" t="str">
        <f t="shared" si="22"/>
        <v/>
      </c>
      <c r="C172" s="48" t="str">
        <f t="shared" si="23"/>
        <v/>
      </c>
      <c r="D172" s="48" t="str">
        <f t="shared" si="20"/>
        <v/>
      </c>
      <c r="E172" s="48"/>
      <c r="F172" s="48" t="str">
        <f t="shared" si="24"/>
        <v/>
      </c>
      <c r="G172" s="48" t="str">
        <f t="shared" si="25"/>
        <v/>
      </c>
      <c r="H172" s="48" t="str">
        <f t="shared" si="21"/>
        <v/>
      </c>
    </row>
    <row r="173" spans="1:8" x14ac:dyDescent="0.25">
      <c r="A173" t="str">
        <f t="shared" si="19"/>
        <v/>
      </c>
      <c r="B173" s="44" t="str">
        <f t="shared" si="22"/>
        <v/>
      </c>
      <c r="C173" s="48" t="str">
        <f t="shared" si="23"/>
        <v/>
      </c>
      <c r="D173" s="48" t="str">
        <f t="shared" si="20"/>
        <v/>
      </c>
      <c r="E173" s="48"/>
      <c r="F173" s="48" t="str">
        <f t="shared" si="24"/>
        <v/>
      </c>
      <c r="G173" s="48" t="str">
        <f t="shared" si="25"/>
        <v/>
      </c>
      <c r="H173" s="48" t="str">
        <f t="shared" si="21"/>
        <v/>
      </c>
    </row>
    <row r="174" spans="1:8" x14ac:dyDescent="0.25">
      <c r="A174" t="str">
        <f t="shared" si="19"/>
        <v/>
      </c>
      <c r="B174" s="44" t="str">
        <f t="shared" si="22"/>
        <v/>
      </c>
      <c r="C174" s="48" t="str">
        <f t="shared" si="23"/>
        <v/>
      </c>
      <c r="D174" s="48" t="str">
        <f t="shared" si="20"/>
        <v/>
      </c>
      <c r="E174" s="48"/>
      <c r="F174" s="48" t="str">
        <f t="shared" si="24"/>
        <v/>
      </c>
      <c r="G174" s="48" t="str">
        <f t="shared" si="25"/>
        <v/>
      </c>
      <c r="H174" s="48" t="str">
        <f t="shared" si="21"/>
        <v/>
      </c>
    </row>
    <row r="175" spans="1:8" x14ac:dyDescent="0.25">
      <c r="A175" t="str">
        <f t="shared" si="19"/>
        <v/>
      </c>
      <c r="B175" s="44" t="str">
        <f t="shared" si="22"/>
        <v/>
      </c>
      <c r="C175" s="48" t="str">
        <f t="shared" si="23"/>
        <v/>
      </c>
      <c r="D175" s="48" t="str">
        <f t="shared" si="20"/>
        <v/>
      </c>
      <c r="E175" s="48"/>
      <c r="F175" s="48" t="str">
        <f t="shared" si="24"/>
        <v/>
      </c>
      <c r="G175" s="48" t="str">
        <f t="shared" si="25"/>
        <v/>
      </c>
      <c r="H175" s="48" t="str">
        <f t="shared" si="21"/>
        <v/>
      </c>
    </row>
    <row r="176" spans="1:8" x14ac:dyDescent="0.25">
      <c r="A176" t="str">
        <f t="shared" si="19"/>
        <v/>
      </c>
      <c r="B176" s="44" t="str">
        <f t="shared" si="22"/>
        <v/>
      </c>
      <c r="C176" s="48" t="str">
        <f t="shared" si="23"/>
        <v/>
      </c>
      <c r="D176" s="48" t="str">
        <f t="shared" si="20"/>
        <v/>
      </c>
      <c r="E176" s="48"/>
      <c r="F176" s="48" t="str">
        <f t="shared" si="24"/>
        <v/>
      </c>
      <c r="G176" s="48" t="str">
        <f t="shared" si="25"/>
        <v/>
      </c>
      <c r="H176" s="48" t="str">
        <f t="shared" si="21"/>
        <v/>
      </c>
    </row>
    <row r="177" spans="1:8" x14ac:dyDescent="0.25">
      <c r="A177" t="str">
        <f t="shared" si="19"/>
        <v/>
      </c>
      <c r="B177" s="44" t="str">
        <f t="shared" si="22"/>
        <v/>
      </c>
      <c r="C177" s="48" t="str">
        <f t="shared" si="23"/>
        <v/>
      </c>
      <c r="D177" s="48" t="str">
        <f t="shared" si="20"/>
        <v/>
      </c>
      <c r="E177" s="48"/>
      <c r="F177" s="48" t="str">
        <f t="shared" si="24"/>
        <v/>
      </c>
      <c r="G177" s="48" t="str">
        <f t="shared" si="25"/>
        <v/>
      </c>
      <c r="H177" s="48" t="str">
        <f t="shared" si="21"/>
        <v/>
      </c>
    </row>
    <row r="178" spans="1:8" x14ac:dyDescent="0.25">
      <c r="A178" t="str">
        <f t="shared" si="19"/>
        <v/>
      </c>
      <c r="B178" s="44" t="str">
        <f t="shared" si="22"/>
        <v/>
      </c>
      <c r="C178" s="48" t="str">
        <f t="shared" si="23"/>
        <v/>
      </c>
      <c r="D178" s="48" t="str">
        <f t="shared" si="20"/>
        <v/>
      </c>
      <c r="E178" s="48"/>
      <c r="F178" s="48" t="str">
        <f t="shared" si="24"/>
        <v/>
      </c>
      <c r="G178" s="48" t="str">
        <f t="shared" si="25"/>
        <v/>
      </c>
      <c r="H178" s="48" t="str">
        <f t="shared" si="21"/>
        <v/>
      </c>
    </row>
    <row r="179" spans="1:8" x14ac:dyDescent="0.25">
      <c r="A179" t="str">
        <f t="shared" si="19"/>
        <v/>
      </c>
      <c r="B179" s="44" t="str">
        <f t="shared" si="22"/>
        <v/>
      </c>
      <c r="C179" s="48" t="str">
        <f t="shared" si="23"/>
        <v/>
      </c>
      <c r="D179" s="48" t="str">
        <f t="shared" si="20"/>
        <v/>
      </c>
      <c r="E179" s="48"/>
      <c r="F179" s="48" t="str">
        <f t="shared" si="24"/>
        <v/>
      </c>
      <c r="G179" s="48" t="str">
        <f t="shared" si="25"/>
        <v/>
      </c>
      <c r="H179" s="48" t="str">
        <f t="shared" si="21"/>
        <v/>
      </c>
    </row>
    <row r="180" spans="1:8" x14ac:dyDescent="0.25">
      <c r="A180" t="str">
        <f t="shared" si="19"/>
        <v/>
      </c>
      <c r="B180" s="44" t="str">
        <f t="shared" si="22"/>
        <v/>
      </c>
      <c r="C180" s="48" t="str">
        <f t="shared" si="23"/>
        <v/>
      </c>
      <c r="D180" s="48" t="str">
        <f t="shared" si="20"/>
        <v/>
      </c>
      <c r="E180" s="48"/>
      <c r="F180" s="48" t="str">
        <f t="shared" si="24"/>
        <v/>
      </c>
      <c r="G180" s="48" t="str">
        <f t="shared" si="25"/>
        <v/>
      </c>
      <c r="H180" s="48" t="str">
        <f t="shared" si="21"/>
        <v/>
      </c>
    </row>
    <row r="181" spans="1:8" x14ac:dyDescent="0.25">
      <c r="A181" t="str">
        <f t="shared" si="19"/>
        <v/>
      </c>
      <c r="B181" s="44" t="str">
        <f t="shared" si="22"/>
        <v/>
      </c>
      <c r="C181" s="48" t="str">
        <f t="shared" si="23"/>
        <v/>
      </c>
      <c r="D181" s="48" t="str">
        <f t="shared" si="20"/>
        <v/>
      </c>
      <c r="E181" s="48"/>
      <c r="F181" s="48" t="str">
        <f t="shared" si="24"/>
        <v/>
      </c>
      <c r="G181" s="48" t="str">
        <f t="shared" si="25"/>
        <v/>
      </c>
      <c r="H181" s="48" t="str">
        <f t="shared" si="21"/>
        <v/>
      </c>
    </row>
    <row r="182" spans="1:8" x14ac:dyDescent="0.25">
      <c r="A182" t="str">
        <f t="shared" si="19"/>
        <v/>
      </c>
      <c r="B182" s="44" t="str">
        <f t="shared" si="22"/>
        <v/>
      </c>
      <c r="C182" s="48" t="str">
        <f t="shared" si="23"/>
        <v/>
      </c>
      <c r="D182" s="48" t="str">
        <f t="shared" si="20"/>
        <v/>
      </c>
      <c r="E182" s="48"/>
      <c r="F182" s="48" t="str">
        <f t="shared" si="24"/>
        <v/>
      </c>
      <c r="G182" s="48" t="str">
        <f t="shared" si="25"/>
        <v/>
      </c>
      <c r="H182" s="48" t="str">
        <f t="shared" si="21"/>
        <v/>
      </c>
    </row>
    <row r="183" spans="1:8" x14ac:dyDescent="0.25">
      <c r="A183" t="str">
        <f t="shared" si="19"/>
        <v/>
      </c>
      <c r="B183" s="44" t="str">
        <f t="shared" si="22"/>
        <v/>
      </c>
      <c r="C183" s="48" t="str">
        <f t="shared" si="23"/>
        <v/>
      </c>
      <c r="D183" s="48" t="str">
        <f t="shared" si="20"/>
        <v/>
      </c>
      <c r="E183" s="48"/>
      <c r="F183" s="48" t="str">
        <f t="shared" si="24"/>
        <v/>
      </c>
      <c r="G183" s="48" t="str">
        <f t="shared" si="25"/>
        <v/>
      </c>
      <c r="H183" s="48" t="str">
        <f t="shared" si="21"/>
        <v/>
      </c>
    </row>
    <row r="184" spans="1:8" x14ac:dyDescent="0.25">
      <c r="A184" t="str">
        <f t="shared" si="19"/>
        <v/>
      </c>
      <c r="B184" s="44" t="str">
        <f t="shared" si="22"/>
        <v/>
      </c>
      <c r="C184" s="48" t="str">
        <f t="shared" si="23"/>
        <v/>
      </c>
      <c r="D184" s="48" t="str">
        <f t="shared" si="20"/>
        <v/>
      </c>
      <c r="E184" s="48"/>
      <c r="F184" s="48" t="str">
        <f t="shared" si="24"/>
        <v/>
      </c>
      <c r="G184" s="48" t="str">
        <f t="shared" si="25"/>
        <v/>
      </c>
      <c r="H184" s="48" t="str">
        <f t="shared" si="21"/>
        <v/>
      </c>
    </row>
    <row r="185" spans="1:8" x14ac:dyDescent="0.25">
      <c r="A185" t="str">
        <f t="shared" si="19"/>
        <v/>
      </c>
      <c r="B185" s="44" t="str">
        <f t="shared" si="22"/>
        <v/>
      </c>
      <c r="C185" s="48" t="str">
        <f t="shared" si="23"/>
        <v/>
      </c>
      <c r="D185" s="48" t="str">
        <f t="shared" si="20"/>
        <v/>
      </c>
      <c r="E185" s="48"/>
      <c r="F185" s="48" t="str">
        <f t="shared" si="24"/>
        <v/>
      </c>
      <c r="G185" s="48" t="str">
        <f t="shared" si="25"/>
        <v/>
      </c>
      <c r="H185" s="48" t="str">
        <f t="shared" si="21"/>
        <v/>
      </c>
    </row>
    <row r="186" spans="1:8" x14ac:dyDescent="0.25">
      <c r="A186" t="str">
        <f t="shared" si="19"/>
        <v/>
      </c>
      <c r="B186" s="44" t="str">
        <f t="shared" si="22"/>
        <v/>
      </c>
      <c r="C186" s="48" t="str">
        <f t="shared" si="23"/>
        <v/>
      </c>
      <c r="D186" s="48" t="str">
        <f t="shared" si="20"/>
        <v/>
      </c>
      <c r="E186" s="48"/>
      <c r="F186" s="48" t="str">
        <f t="shared" si="24"/>
        <v/>
      </c>
      <c r="G186" s="48" t="str">
        <f t="shared" si="25"/>
        <v/>
      </c>
      <c r="H186" s="48" t="str">
        <f t="shared" si="21"/>
        <v/>
      </c>
    </row>
    <row r="187" spans="1:8" x14ac:dyDescent="0.25">
      <c r="A187" t="str">
        <f t="shared" si="19"/>
        <v/>
      </c>
      <c r="B187" s="44" t="str">
        <f t="shared" si="22"/>
        <v/>
      </c>
      <c r="C187" s="48" t="str">
        <f t="shared" si="23"/>
        <v/>
      </c>
      <c r="D187" s="48" t="str">
        <f t="shared" si="20"/>
        <v/>
      </c>
      <c r="E187" s="48"/>
      <c r="F187" s="48" t="str">
        <f t="shared" si="24"/>
        <v/>
      </c>
      <c r="G187" s="48" t="str">
        <f t="shared" si="25"/>
        <v/>
      </c>
      <c r="H187" s="48" t="str">
        <f t="shared" si="21"/>
        <v/>
      </c>
    </row>
    <row r="188" spans="1:8" x14ac:dyDescent="0.25">
      <c r="A188" t="str">
        <f t="shared" si="19"/>
        <v/>
      </c>
      <c r="B188" s="44" t="str">
        <f t="shared" si="22"/>
        <v/>
      </c>
      <c r="C188" s="48" t="str">
        <f t="shared" si="23"/>
        <v/>
      </c>
      <c r="D188" s="48" t="str">
        <f t="shared" si="20"/>
        <v/>
      </c>
      <c r="E188" s="48"/>
      <c r="F188" s="48" t="str">
        <f t="shared" si="24"/>
        <v/>
      </c>
      <c r="G188" s="48" t="str">
        <f t="shared" si="25"/>
        <v/>
      </c>
      <c r="H188" s="48" t="str">
        <f t="shared" si="21"/>
        <v/>
      </c>
    </row>
    <row r="189" spans="1:8" x14ac:dyDescent="0.25">
      <c r="A189" t="str">
        <f t="shared" si="19"/>
        <v/>
      </c>
      <c r="B189" s="44" t="str">
        <f t="shared" si="22"/>
        <v/>
      </c>
      <c r="C189" s="48" t="str">
        <f t="shared" si="23"/>
        <v/>
      </c>
      <c r="D189" s="48" t="str">
        <f t="shared" si="20"/>
        <v/>
      </c>
      <c r="E189" s="48"/>
      <c r="F189" s="48" t="str">
        <f t="shared" si="24"/>
        <v/>
      </c>
      <c r="G189" s="48" t="str">
        <f t="shared" si="25"/>
        <v/>
      </c>
      <c r="H189" s="48" t="str">
        <f t="shared" si="21"/>
        <v/>
      </c>
    </row>
    <row r="190" spans="1:8" x14ac:dyDescent="0.25">
      <c r="A190" t="str">
        <f t="shared" si="19"/>
        <v/>
      </c>
      <c r="B190" s="44" t="str">
        <f t="shared" si="22"/>
        <v/>
      </c>
      <c r="C190" s="48" t="str">
        <f t="shared" si="23"/>
        <v/>
      </c>
      <c r="D190" s="48" t="str">
        <f t="shared" si="20"/>
        <v/>
      </c>
      <c r="E190" s="48"/>
      <c r="F190" s="48" t="str">
        <f t="shared" si="24"/>
        <v/>
      </c>
      <c r="G190" s="48" t="str">
        <f t="shared" si="25"/>
        <v/>
      </c>
      <c r="H190" s="48" t="str">
        <f t="shared" si="21"/>
        <v/>
      </c>
    </row>
    <row r="191" spans="1:8" x14ac:dyDescent="0.25">
      <c r="A191" t="str">
        <f t="shared" si="19"/>
        <v/>
      </c>
      <c r="B191" s="44" t="str">
        <f t="shared" si="22"/>
        <v/>
      </c>
      <c r="C191" s="48" t="str">
        <f t="shared" si="23"/>
        <v/>
      </c>
      <c r="D191" s="48" t="str">
        <f t="shared" si="20"/>
        <v/>
      </c>
      <c r="E191" s="48"/>
      <c r="F191" s="48" t="str">
        <f t="shared" si="24"/>
        <v/>
      </c>
      <c r="G191" s="48" t="str">
        <f t="shared" si="25"/>
        <v/>
      </c>
      <c r="H191" s="48" t="str">
        <f t="shared" si="21"/>
        <v/>
      </c>
    </row>
    <row r="192" spans="1:8" x14ac:dyDescent="0.25">
      <c r="A192" t="str">
        <f t="shared" si="19"/>
        <v/>
      </c>
      <c r="B192" s="44" t="str">
        <f t="shared" si="22"/>
        <v/>
      </c>
      <c r="C192" s="48" t="str">
        <f t="shared" si="23"/>
        <v/>
      </c>
      <c r="D192" s="48" t="str">
        <f t="shared" si="20"/>
        <v/>
      </c>
      <c r="E192" s="48"/>
      <c r="F192" s="48" t="str">
        <f t="shared" si="24"/>
        <v/>
      </c>
      <c r="G192" s="48" t="str">
        <f t="shared" si="25"/>
        <v/>
      </c>
      <c r="H192" s="48" t="str">
        <f t="shared" si="21"/>
        <v/>
      </c>
    </row>
    <row r="193" spans="1:8" x14ac:dyDescent="0.25">
      <c r="A193" t="str">
        <f t="shared" si="19"/>
        <v/>
      </c>
      <c r="B193" s="44" t="str">
        <f t="shared" si="22"/>
        <v/>
      </c>
      <c r="C193" s="48" t="str">
        <f t="shared" si="23"/>
        <v/>
      </c>
      <c r="D193" s="48" t="str">
        <f t="shared" si="20"/>
        <v/>
      </c>
      <c r="E193" s="48"/>
      <c r="F193" s="48" t="str">
        <f t="shared" si="24"/>
        <v/>
      </c>
      <c r="G193" s="48" t="str">
        <f t="shared" si="25"/>
        <v/>
      </c>
      <c r="H193" s="48" t="str">
        <f t="shared" si="21"/>
        <v/>
      </c>
    </row>
    <row r="194" spans="1:8" x14ac:dyDescent="0.25">
      <c r="A194" t="str">
        <f t="shared" si="19"/>
        <v/>
      </c>
      <c r="B194" s="44" t="str">
        <f t="shared" si="22"/>
        <v/>
      </c>
      <c r="C194" s="48" t="str">
        <f t="shared" si="23"/>
        <v/>
      </c>
      <c r="D194" s="48" t="str">
        <f t="shared" si="20"/>
        <v/>
      </c>
      <c r="E194" s="48"/>
      <c r="F194" s="48" t="str">
        <f t="shared" si="24"/>
        <v/>
      </c>
      <c r="G194" s="48" t="str">
        <f t="shared" si="25"/>
        <v/>
      </c>
      <c r="H194" s="48" t="str">
        <f t="shared" si="21"/>
        <v/>
      </c>
    </row>
    <row r="195" spans="1:8" x14ac:dyDescent="0.25">
      <c r="A195" t="str">
        <f t="shared" si="19"/>
        <v/>
      </c>
      <c r="B195" s="44" t="str">
        <f t="shared" si="22"/>
        <v/>
      </c>
      <c r="C195" s="48" t="str">
        <f t="shared" si="23"/>
        <v/>
      </c>
      <c r="D195" s="48" t="str">
        <f t="shared" si="20"/>
        <v/>
      </c>
      <c r="E195" s="48"/>
      <c r="F195" s="48" t="str">
        <f t="shared" si="24"/>
        <v/>
      </c>
      <c r="G195" s="48" t="str">
        <f t="shared" si="25"/>
        <v/>
      </c>
      <c r="H195" s="48" t="str">
        <f t="shared" si="21"/>
        <v/>
      </c>
    </row>
    <row r="196" spans="1:8" x14ac:dyDescent="0.25">
      <c r="A196" t="str">
        <f t="shared" si="19"/>
        <v/>
      </c>
      <c r="B196" s="44" t="str">
        <f t="shared" si="22"/>
        <v/>
      </c>
      <c r="C196" s="48" t="str">
        <f t="shared" si="23"/>
        <v/>
      </c>
      <c r="D196" s="48" t="str">
        <f t="shared" si="20"/>
        <v/>
      </c>
      <c r="E196" s="48"/>
      <c r="F196" s="48" t="str">
        <f t="shared" si="24"/>
        <v/>
      </c>
      <c r="G196" s="48" t="str">
        <f t="shared" si="25"/>
        <v/>
      </c>
      <c r="H196" s="48" t="str">
        <f t="shared" si="21"/>
        <v/>
      </c>
    </row>
    <row r="197" spans="1:8" x14ac:dyDescent="0.25">
      <c r="A197" t="str">
        <f t="shared" si="19"/>
        <v/>
      </c>
      <c r="B197" s="44" t="str">
        <f t="shared" si="22"/>
        <v/>
      </c>
      <c r="C197" s="48" t="str">
        <f t="shared" si="23"/>
        <v/>
      </c>
      <c r="D197" s="48" t="str">
        <f t="shared" si="20"/>
        <v/>
      </c>
      <c r="E197" s="48"/>
      <c r="F197" s="48" t="str">
        <f t="shared" si="24"/>
        <v/>
      </c>
      <c r="G197" s="48" t="str">
        <f t="shared" si="25"/>
        <v/>
      </c>
      <c r="H197" s="48" t="str">
        <f t="shared" si="21"/>
        <v/>
      </c>
    </row>
    <row r="198" spans="1:8" x14ac:dyDescent="0.25">
      <c r="A198" t="str">
        <f t="shared" si="19"/>
        <v/>
      </c>
      <c r="B198" s="44" t="str">
        <f t="shared" si="22"/>
        <v/>
      </c>
      <c r="C198" s="48" t="str">
        <f t="shared" si="23"/>
        <v/>
      </c>
      <c r="D198" s="48" t="str">
        <f t="shared" si="20"/>
        <v/>
      </c>
      <c r="E198" s="48"/>
      <c r="F198" s="48" t="str">
        <f t="shared" si="24"/>
        <v/>
      </c>
      <c r="G198" s="48" t="str">
        <f t="shared" si="25"/>
        <v/>
      </c>
      <c r="H198" s="48" t="str">
        <f t="shared" si="21"/>
        <v/>
      </c>
    </row>
    <row r="199" spans="1:8" x14ac:dyDescent="0.25">
      <c r="A199" t="str">
        <f t="shared" si="19"/>
        <v/>
      </c>
      <c r="B199" s="44" t="str">
        <f t="shared" si="22"/>
        <v/>
      </c>
      <c r="C199" s="48" t="str">
        <f t="shared" si="23"/>
        <v/>
      </c>
      <c r="D199" s="48" t="str">
        <f t="shared" si="20"/>
        <v/>
      </c>
      <c r="E199" s="48"/>
      <c r="F199" s="48" t="str">
        <f t="shared" si="24"/>
        <v/>
      </c>
      <c r="G199" s="48" t="str">
        <f t="shared" si="25"/>
        <v/>
      </c>
      <c r="H199" s="48" t="str">
        <f t="shared" si="21"/>
        <v/>
      </c>
    </row>
    <row r="200" spans="1:8" x14ac:dyDescent="0.25">
      <c r="A200" t="str">
        <f t="shared" si="19"/>
        <v/>
      </c>
      <c r="B200" s="44" t="str">
        <f t="shared" si="22"/>
        <v/>
      </c>
      <c r="C200" s="48" t="str">
        <f t="shared" si="23"/>
        <v/>
      </c>
      <c r="D200" s="48" t="str">
        <f t="shared" si="20"/>
        <v/>
      </c>
      <c r="E200" s="48"/>
      <c r="F200" s="48" t="str">
        <f t="shared" si="24"/>
        <v/>
      </c>
      <c r="G200" s="48" t="str">
        <f t="shared" si="25"/>
        <v/>
      </c>
      <c r="H200" s="48" t="str">
        <f t="shared" si="21"/>
        <v/>
      </c>
    </row>
    <row r="201" spans="1:8" x14ac:dyDescent="0.25">
      <c r="A201" t="str">
        <f t="shared" si="19"/>
        <v/>
      </c>
      <c r="B201" s="44" t="str">
        <f t="shared" si="22"/>
        <v/>
      </c>
      <c r="C201" s="48" t="str">
        <f t="shared" si="23"/>
        <v/>
      </c>
      <c r="D201" s="48" t="str">
        <f t="shared" si="20"/>
        <v/>
      </c>
      <c r="E201" s="48"/>
      <c r="F201" s="48" t="str">
        <f t="shared" si="24"/>
        <v/>
      </c>
      <c r="G201" s="48" t="str">
        <f t="shared" si="25"/>
        <v/>
      </c>
      <c r="H201" s="48" t="str">
        <f t="shared" si="21"/>
        <v/>
      </c>
    </row>
    <row r="202" spans="1:8" x14ac:dyDescent="0.25">
      <c r="A202" t="str">
        <f t="shared" si="19"/>
        <v/>
      </c>
      <c r="B202" s="44" t="str">
        <f t="shared" si="22"/>
        <v/>
      </c>
      <c r="C202" s="48" t="str">
        <f t="shared" si="23"/>
        <v/>
      </c>
      <c r="D202" s="48" t="str">
        <f t="shared" si="20"/>
        <v/>
      </c>
      <c r="E202" s="48"/>
      <c r="F202" s="48" t="str">
        <f t="shared" si="24"/>
        <v/>
      </c>
      <c r="G202" s="48" t="str">
        <f t="shared" si="25"/>
        <v/>
      </c>
      <c r="H202" s="48" t="str">
        <f t="shared" si="21"/>
        <v/>
      </c>
    </row>
    <row r="203" spans="1:8" x14ac:dyDescent="0.25">
      <c r="A203" t="str">
        <f t="shared" ref="A203:A266" si="26">IF(OR(F202&lt;0.01,A202=""), "",A202+1)</f>
        <v/>
      </c>
      <c r="B203" s="44" t="str">
        <f t="shared" si="22"/>
        <v/>
      </c>
      <c r="C203" s="48" t="str">
        <f t="shared" si="23"/>
        <v/>
      </c>
      <c r="D203" s="48" t="str">
        <f t="shared" ref="D203:D266" si="27">IF(A203="", "",F202*$G$1)</f>
        <v/>
      </c>
      <c r="E203" s="48"/>
      <c r="F203" s="48" t="str">
        <f t="shared" si="24"/>
        <v/>
      </c>
      <c r="G203" s="48" t="str">
        <f t="shared" si="25"/>
        <v/>
      </c>
      <c r="H203" s="48" t="str">
        <f t="shared" ref="H203:H266" si="28">IF(A203="", "", H202+D203)</f>
        <v/>
      </c>
    </row>
    <row r="204" spans="1:8" x14ac:dyDescent="0.25">
      <c r="A204" t="str">
        <f t="shared" si="26"/>
        <v/>
      </c>
      <c r="B204" s="44" t="str">
        <f t="shared" si="22"/>
        <v/>
      </c>
      <c r="C204" s="48" t="str">
        <f t="shared" si="23"/>
        <v/>
      </c>
      <c r="D204" s="48" t="str">
        <f t="shared" si="27"/>
        <v/>
      </c>
      <c r="E204" s="48"/>
      <c r="F204" s="48" t="str">
        <f t="shared" si="24"/>
        <v/>
      </c>
      <c r="G204" s="48" t="str">
        <f t="shared" si="25"/>
        <v/>
      </c>
      <c r="H204" s="48" t="str">
        <f t="shared" si="28"/>
        <v/>
      </c>
    </row>
    <row r="205" spans="1:8" x14ac:dyDescent="0.25">
      <c r="A205" t="str">
        <f t="shared" si="26"/>
        <v/>
      </c>
      <c r="B205" s="44" t="str">
        <f t="shared" si="22"/>
        <v/>
      </c>
      <c r="C205" s="48" t="str">
        <f t="shared" si="23"/>
        <v/>
      </c>
      <c r="D205" s="48" t="str">
        <f t="shared" si="27"/>
        <v/>
      </c>
      <c r="E205" s="48"/>
      <c r="F205" s="48" t="str">
        <f t="shared" si="24"/>
        <v/>
      </c>
      <c r="G205" s="48" t="str">
        <f t="shared" si="25"/>
        <v/>
      </c>
      <c r="H205" s="48" t="str">
        <f t="shared" si="28"/>
        <v/>
      </c>
    </row>
    <row r="206" spans="1:8" x14ac:dyDescent="0.25">
      <c r="A206" t="str">
        <f t="shared" si="26"/>
        <v/>
      </c>
      <c r="B206" s="44" t="str">
        <f t="shared" si="22"/>
        <v/>
      </c>
      <c r="C206" s="48" t="str">
        <f t="shared" si="23"/>
        <v/>
      </c>
      <c r="D206" s="48" t="str">
        <f t="shared" si="27"/>
        <v/>
      </c>
      <c r="E206" s="48"/>
      <c r="F206" s="48" t="str">
        <f t="shared" si="24"/>
        <v/>
      </c>
      <c r="G206" s="48" t="str">
        <f t="shared" si="25"/>
        <v/>
      </c>
      <c r="H206" s="48" t="str">
        <f t="shared" si="28"/>
        <v/>
      </c>
    </row>
    <row r="207" spans="1:8" x14ac:dyDescent="0.25">
      <c r="A207" t="str">
        <f t="shared" si="26"/>
        <v/>
      </c>
      <c r="B207" s="44" t="str">
        <f t="shared" si="22"/>
        <v/>
      </c>
      <c r="C207" s="48" t="str">
        <f t="shared" si="23"/>
        <v/>
      </c>
      <c r="D207" s="48" t="str">
        <f t="shared" si="27"/>
        <v/>
      </c>
      <c r="E207" s="48"/>
      <c r="F207" s="48" t="str">
        <f t="shared" si="24"/>
        <v/>
      </c>
      <c r="G207" s="48" t="str">
        <f t="shared" si="25"/>
        <v/>
      </c>
      <c r="H207" s="48" t="str">
        <f t="shared" si="28"/>
        <v/>
      </c>
    </row>
    <row r="208" spans="1:8" x14ac:dyDescent="0.25">
      <c r="A208" t="str">
        <f t="shared" si="26"/>
        <v/>
      </c>
      <c r="B208" s="44" t="str">
        <f t="shared" si="22"/>
        <v/>
      </c>
      <c r="C208" s="48" t="str">
        <f t="shared" si="23"/>
        <v/>
      </c>
      <c r="D208" s="48" t="str">
        <f t="shared" si="27"/>
        <v/>
      </c>
      <c r="E208" s="48"/>
      <c r="F208" s="48" t="str">
        <f t="shared" si="24"/>
        <v/>
      </c>
      <c r="G208" s="48" t="str">
        <f t="shared" si="25"/>
        <v/>
      </c>
      <c r="H208" s="48" t="str">
        <f t="shared" si="28"/>
        <v/>
      </c>
    </row>
    <row r="209" spans="1:8" x14ac:dyDescent="0.25">
      <c r="A209" t="str">
        <f t="shared" si="26"/>
        <v/>
      </c>
      <c r="B209" s="44" t="str">
        <f t="shared" si="22"/>
        <v/>
      </c>
      <c r="C209" s="48" t="str">
        <f t="shared" si="23"/>
        <v/>
      </c>
      <c r="D209" s="48" t="str">
        <f t="shared" si="27"/>
        <v/>
      </c>
      <c r="E209" s="48"/>
      <c r="F209" s="48" t="str">
        <f t="shared" si="24"/>
        <v/>
      </c>
      <c r="G209" s="48" t="str">
        <f t="shared" si="25"/>
        <v/>
      </c>
      <c r="H209" s="48" t="str">
        <f t="shared" si="28"/>
        <v/>
      </c>
    </row>
    <row r="210" spans="1:8" x14ac:dyDescent="0.25">
      <c r="A210" t="str">
        <f t="shared" si="26"/>
        <v/>
      </c>
      <c r="B210" s="44" t="str">
        <f t="shared" si="22"/>
        <v/>
      </c>
      <c r="C210" s="48" t="str">
        <f t="shared" si="23"/>
        <v/>
      </c>
      <c r="D210" s="48" t="str">
        <f t="shared" si="27"/>
        <v/>
      </c>
      <c r="E210" s="48"/>
      <c r="F210" s="48" t="str">
        <f t="shared" si="24"/>
        <v/>
      </c>
      <c r="G210" s="48" t="str">
        <f t="shared" si="25"/>
        <v/>
      </c>
      <c r="H210" s="48" t="str">
        <f t="shared" si="28"/>
        <v/>
      </c>
    </row>
    <row r="211" spans="1:8" x14ac:dyDescent="0.25">
      <c r="A211" t="str">
        <f t="shared" si="26"/>
        <v/>
      </c>
      <c r="B211" s="44" t="str">
        <f t="shared" si="22"/>
        <v/>
      </c>
      <c r="C211" s="48" t="str">
        <f t="shared" si="23"/>
        <v/>
      </c>
      <c r="D211" s="48" t="str">
        <f t="shared" si="27"/>
        <v/>
      </c>
      <c r="E211" s="48"/>
      <c r="F211" s="48" t="str">
        <f t="shared" si="24"/>
        <v/>
      </c>
      <c r="G211" s="48" t="str">
        <f t="shared" si="25"/>
        <v/>
      </c>
      <c r="H211" s="48" t="str">
        <f t="shared" si="28"/>
        <v/>
      </c>
    </row>
    <row r="212" spans="1:8" x14ac:dyDescent="0.25">
      <c r="A212" t="str">
        <f t="shared" si="26"/>
        <v/>
      </c>
      <c r="B212" s="44" t="str">
        <f t="shared" ref="B212:B275" si="29">IF(OR(F211&lt;0.01,A212=""),"",IF(F211&lt;-$G$3,PMT($G$1,1,F211,0),$G$3))</f>
        <v/>
      </c>
      <c r="C212" s="48" t="str">
        <f t="shared" si="23"/>
        <v/>
      </c>
      <c r="D212" s="48" t="str">
        <f t="shared" si="27"/>
        <v/>
      </c>
      <c r="E212" s="48"/>
      <c r="F212" s="48" t="str">
        <f t="shared" si="24"/>
        <v/>
      </c>
      <c r="G212" s="48" t="str">
        <f t="shared" si="25"/>
        <v/>
      </c>
      <c r="H212" s="48" t="str">
        <f t="shared" si="28"/>
        <v/>
      </c>
    </row>
    <row r="213" spans="1:8" x14ac:dyDescent="0.25">
      <c r="A213" t="str">
        <f t="shared" si="26"/>
        <v/>
      </c>
      <c r="B213" s="44" t="str">
        <f t="shared" si="29"/>
        <v/>
      </c>
      <c r="C213" s="48" t="str">
        <f t="shared" ref="C213:C276" si="30">IF(A213="", "",-B213-D213+E213)</f>
        <v/>
      </c>
      <c r="D213" s="48" t="str">
        <f t="shared" si="27"/>
        <v/>
      </c>
      <c r="E213" s="48"/>
      <c r="F213" s="48" t="str">
        <f t="shared" ref="F213:F276" si="31">IF(A213="", "", F212-C213)</f>
        <v/>
      </c>
      <c r="G213" s="48" t="str">
        <f t="shared" ref="G213:G276" si="32">IF(A213="", "", G212+C213)</f>
        <v/>
      </c>
      <c r="H213" s="48" t="str">
        <f t="shared" si="28"/>
        <v/>
      </c>
    </row>
    <row r="214" spans="1:8" x14ac:dyDescent="0.25">
      <c r="A214" t="str">
        <f t="shared" si="26"/>
        <v/>
      </c>
      <c r="B214" s="44" t="str">
        <f t="shared" si="29"/>
        <v/>
      </c>
      <c r="C214" s="48" t="str">
        <f t="shared" si="30"/>
        <v/>
      </c>
      <c r="D214" s="48" t="str">
        <f t="shared" si="27"/>
        <v/>
      </c>
      <c r="E214" s="48"/>
      <c r="F214" s="48" t="str">
        <f t="shared" si="31"/>
        <v/>
      </c>
      <c r="G214" s="48" t="str">
        <f t="shared" si="32"/>
        <v/>
      </c>
      <c r="H214" s="48" t="str">
        <f t="shared" si="28"/>
        <v/>
      </c>
    </row>
    <row r="215" spans="1:8" x14ac:dyDescent="0.25">
      <c r="A215" t="str">
        <f t="shared" si="26"/>
        <v/>
      </c>
      <c r="B215" s="44" t="str">
        <f t="shared" si="29"/>
        <v/>
      </c>
      <c r="C215" s="48" t="str">
        <f t="shared" si="30"/>
        <v/>
      </c>
      <c r="D215" s="48" t="str">
        <f t="shared" si="27"/>
        <v/>
      </c>
      <c r="E215" s="48"/>
      <c r="F215" s="48" t="str">
        <f t="shared" si="31"/>
        <v/>
      </c>
      <c r="G215" s="48" t="str">
        <f t="shared" si="32"/>
        <v/>
      </c>
      <c r="H215" s="48" t="str">
        <f t="shared" si="28"/>
        <v/>
      </c>
    </row>
    <row r="216" spans="1:8" x14ac:dyDescent="0.25">
      <c r="A216" t="str">
        <f t="shared" si="26"/>
        <v/>
      </c>
      <c r="B216" s="44" t="str">
        <f t="shared" si="29"/>
        <v/>
      </c>
      <c r="C216" s="48" t="str">
        <f t="shared" si="30"/>
        <v/>
      </c>
      <c r="D216" s="48" t="str">
        <f t="shared" si="27"/>
        <v/>
      </c>
      <c r="E216" s="48"/>
      <c r="F216" s="48" t="str">
        <f t="shared" si="31"/>
        <v/>
      </c>
      <c r="G216" s="48" t="str">
        <f t="shared" si="32"/>
        <v/>
      </c>
      <c r="H216" s="48" t="str">
        <f t="shared" si="28"/>
        <v/>
      </c>
    </row>
    <row r="217" spans="1:8" x14ac:dyDescent="0.25">
      <c r="A217" t="str">
        <f t="shared" si="26"/>
        <v/>
      </c>
      <c r="B217" s="44" t="str">
        <f t="shared" si="29"/>
        <v/>
      </c>
      <c r="C217" s="48" t="str">
        <f t="shared" si="30"/>
        <v/>
      </c>
      <c r="D217" s="48" t="str">
        <f t="shared" si="27"/>
        <v/>
      </c>
      <c r="E217" s="48"/>
      <c r="F217" s="48" t="str">
        <f t="shared" si="31"/>
        <v/>
      </c>
      <c r="G217" s="48" t="str">
        <f t="shared" si="32"/>
        <v/>
      </c>
      <c r="H217" s="48" t="str">
        <f t="shared" si="28"/>
        <v/>
      </c>
    </row>
    <row r="218" spans="1:8" x14ac:dyDescent="0.25">
      <c r="A218" t="str">
        <f t="shared" si="26"/>
        <v/>
      </c>
      <c r="B218" s="44" t="str">
        <f t="shared" si="29"/>
        <v/>
      </c>
      <c r="C218" s="48" t="str">
        <f t="shared" si="30"/>
        <v/>
      </c>
      <c r="D218" s="48" t="str">
        <f t="shared" si="27"/>
        <v/>
      </c>
      <c r="E218" s="48"/>
      <c r="F218" s="48" t="str">
        <f t="shared" si="31"/>
        <v/>
      </c>
      <c r="G218" s="48" t="str">
        <f t="shared" si="32"/>
        <v/>
      </c>
      <c r="H218" s="48" t="str">
        <f t="shared" si="28"/>
        <v/>
      </c>
    </row>
    <row r="219" spans="1:8" x14ac:dyDescent="0.25">
      <c r="A219" t="str">
        <f t="shared" si="26"/>
        <v/>
      </c>
      <c r="B219" s="44" t="str">
        <f t="shared" si="29"/>
        <v/>
      </c>
      <c r="C219" s="48" t="str">
        <f t="shared" si="30"/>
        <v/>
      </c>
      <c r="D219" s="48" t="str">
        <f t="shared" si="27"/>
        <v/>
      </c>
      <c r="E219" s="48"/>
      <c r="F219" s="48" t="str">
        <f t="shared" si="31"/>
        <v/>
      </c>
      <c r="G219" s="48" t="str">
        <f t="shared" si="32"/>
        <v/>
      </c>
      <c r="H219" s="48" t="str">
        <f t="shared" si="28"/>
        <v/>
      </c>
    </row>
    <row r="220" spans="1:8" x14ac:dyDescent="0.25">
      <c r="A220" t="str">
        <f t="shared" si="26"/>
        <v/>
      </c>
      <c r="B220" s="44" t="str">
        <f t="shared" si="29"/>
        <v/>
      </c>
      <c r="C220" s="48" t="str">
        <f t="shared" si="30"/>
        <v/>
      </c>
      <c r="D220" s="48" t="str">
        <f t="shared" si="27"/>
        <v/>
      </c>
      <c r="E220" s="48"/>
      <c r="F220" s="48" t="str">
        <f t="shared" si="31"/>
        <v/>
      </c>
      <c r="G220" s="48" t="str">
        <f t="shared" si="32"/>
        <v/>
      </c>
      <c r="H220" s="48" t="str">
        <f t="shared" si="28"/>
        <v/>
      </c>
    </row>
    <row r="221" spans="1:8" x14ac:dyDescent="0.25">
      <c r="A221" t="str">
        <f t="shared" si="26"/>
        <v/>
      </c>
      <c r="B221" s="44" t="str">
        <f t="shared" si="29"/>
        <v/>
      </c>
      <c r="C221" s="48" t="str">
        <f t="shared" si="30"/>
        <v/>
      </c>
      <c r="D221" s="48" t="str">
        <f t="shared" si="27"/>
        <v/>
      </c>
      <c r="E221" s="48"/>
      <c r="F221" s="48" t="str">
        <f t="shared" si="31"/>
        <v/>
      </c>
      <c r="G221" s="48" t="str">
        <f t="shared" si="32"/>
        <v/>
      </c>
      <c r="H221" s="48" t="str">
        <f t="shared" si="28"/>
        <v/>
      </c>
    </row>
    <row r="222" spans="1:8" x14ac:dyDescent="0.25">
      <c r="A222" t="str">
        <f t="shared" si="26"/>
        <v/>
      </c>
      <c r="B222" s="44" t="str">
        <f t="shared" si="29"/>
        <v/>
      </c>
      <c r="C222" s="48" t="str">
        <f t="shared" si="30"/>
        <v/>
      </c>
      <c r="D222" s="48" t="str">
        <f t="shared" si="27"/>
        <v/>
      </c>
      <c r="E222" s="48"/>
      <c r="F222" s="48" t="str">
        <f t="shared" si="31"/>
        <v/>
      </c>
      <c r="G222" s="48" t="str">
        <f t="shared" si="32"/>
        <v/>
      </c>
      <c r="H222" s="48" t="str">
        <f t="shared" si="28"/>
        <v/>
      </c>
    </row>
    <row r="223" spans="1:8" x14ac:dyDescent="0.25">
      <c r="A223" t="str">
        <f t="shared" si="26"/>
        <v/>
      </c>
      <c r="B223" s="44" t="str">
        <f t="shared" si="29"/>
        <v/>
      </c>
      <c r="C223" s="48" t="str">
        <f t="shared" si="30"/>
        <v/>
      </c>
      <c r="D223" s="48" t="str">
        <f t="shared" si="27"/>
        <v/>
      </c>
      <c r="E223" s="48"/>
      <c r="F223" s="48" t="str">
        <f t="shared" si="31"/>
        <v/>
      </c>
      <c r="G223" s="48" t="str">
        <f t="shared" si="32"/>
        <v/>
      </c>
      <c r="H223" s="48" t="str">
        <f t="shared" si="28"/>
        <v/>
      </c>
    </row>
    <row r="224" spans="1:8" x14ac:dyDescent="0.25">
      <c r="A224" t="str">
        <f t="shared" si="26"/>
        <v/>
      </c>
      <c r="B224" s="44" t="str">
        <f t="shared" si="29"/>
        <v/>
      </c>
      <c r="C224" s="48" t="str">
        <f t="shared" si="30"/>
        <v/>
      </c>
      <c r="D224" s="48" t="str">
        <f t="shared" si="27"/>
        <v/>
      </c>
      <c r="E224" s="48"/>
      <c r="F224" s="48" t="str">
        <f t="shared" si="31"/>
        <v/>
      </c>
      <c r="G224" s="48" t="str">
        <f t="shared" si="32"/>
        <v/>
      </c>
      <c r="H224" s="48" t="str">
        <f t="shared" si="28"/>
        <v/>
      </c>
    </row>
    <row r="225" spans="1:8" x14ac:dyDescent="0.25">
      <c r="A225" t="str">
        <f t="shared" si="26"/>
        <v/>
      </c>
      <c r="B225" s="44" t="str">
        <f t="shared" si="29"/>
        <v/>
      </c>
      <c r="C225" s="48" t="str">
        <f t="shared" si="30"/>
        <v/>
      </c>
      <c r="D225" s="48" t="str">
        <f t="shared" si="27"/>
        <v/>
      </c>
      <c r="E225" s="48"/>
      <c r="F225" s="48" t="str">
        <f t="shared" si="31"/>
        <v/>
      </c>
      <c r="G225" s="48" t="str">
        <f t="shared" si="32"/>
        <v/>
      </c>
      <c r="H225" s="48" t="str">
        <f t="shared" si="28"/>
        <v/>
      </c>
    </row>
    <row r="226" spans="1:8" x14ac:dyDescent="0.25">
      <c r="A226" t="str">
        <f t="shared" si="26"/>
        <v/>
      </c>
      <c r="B226" s="44" t="str">
        <f t="shared" si="29"/>
        <v/>
      </c>
      <c r="C226" s="48" t="str">
        <f t="shared" si="30"/>
        <v/>
      </c>
      <c r="D226" s="48" t="str">
        <f t="shared" si="27"/>
        <v/>
      </c>
      <c r="E226" s="48"/>
      <c r="F226" s="48" t="str">
        <f t="shared" si="31"/>
        <v/>
      </c>
      <c r="G226" s="48" t="str">
        <f t="shared" si="32"/>
        <v/>
      </c>
      <c r="H226" s="48" t="str">
        <f t="shared" si="28"/>
        <v/>
      </c>
    </row>
    <row r="227" spans="1:8" x14ac:dyDescent="0.25">
      <c r="A227" t="str">
        <f t="shared" si="26"/>
        <v/>
      </c>
      <c r="B227" s="44" t="str">
        <f t="shared" si="29"/>
        <v/>
      </c>
      <c r="C227" s="48" t="str">
        <f t="shared" si="30"/>
        <v/>
      </c>
      <c r="D227" s="48" t="str">
        <f t="shared" si="27"/>
        <v/>
      </c>
      <c r="E227" s="48"/>
      <c r="F227" s="48" t="str">
        <f t="shared" si="31"/>
        <v/>
      </c>
      <c r="G227" s="48" t="str">
        <f t="shared" si="32"/>
        <v/>
      </c>
      <c r="H227" s="48" t="str">
        <f t="shared" si="28"/>
        <v/>
      </c>
    </row>
    <row r="228" spans="1:8" x14ac:dyDescent="0.25">
      <c r="A228" t="str">
        <f t="shared" si="26"/>
        <v/>
      </c>
      <c r="B228" s="44" t="str">
        <f t="shared" si="29"/>
        <v/>
      </c>
      <c r="C228" s="48" t="str">
        <f t="shared" si="30"/>
        <v/>
      </c>
      <c r="D228" s="48" t="str">
        <f t="shared" si="27"/>
        <v/>
      </c>
      <c r="E228" s="48"/>
      <c r="F228" s="48" t="str">
        <f t="shared" si="31"/>
        <v/>
      </c>
      <c r="G228" s="48" t="str">
        <f t="shared" si="32"/>
        <v/>
      </c>
      <c r="H228" s="48" t="str">
        <f t="shared" si="28"/>
        <v/>
      </c>
    </row>
    <row r="229" spans="1:8" x14ac:dyDescent="0.25">
      <c r="A229" t="str">
        <f t="shared" si="26"/>
        <v/>
      </c>
      <c r="B229" s="44" t="str">
        <f t="shared" si="29"/>
        <v/>
      </c>
      <c r="C229" s="48" t="str">
        <f t="shared" si="30"/>
        <v/>
      </c>
      <c r="D229" s="48" t="str">
        <f t="shared" si="27"/>
        <v/>
      </c>
      <c r="E229" s="48"/>
      <c r="F229" s="48" t="str">
        <f t="shared" si="31"/>
        <v/>
      </c>
      <c r="G229" s="48" t="str">
        <f t="shared" si="32"/>
        <v/>
      </c>
      <c r="H229" s="48" t="str">
        <f t="shared" si="28"/>
        <v/>
      </c>
    </row>
    <row r="230" spans="1:8" x14ac:dyDescent="0.25">
      <c r="A230" t="str">
        <f t="shared" si="26"/>
        <v/>
      </c>
      <c r="B230" s="44" t="str">
        <f t="shared" si="29"/>
        <v/>
      </c>
      <c r="C230" s="48" t="str">
        <f t="shared" si="30"/>
        <v/>
      </c>
      <c r="D230" s="48" t="str">
        <f t="shared" si="27"/>
        <v/>
      </c>
      <c r="E230" s="48"/>
      <c r="F230" s="48" t="str">
        <f t="shared" si="31"/>
        <v/>
      </c>
      <c r="G230" s="48" t="str">
        <f t="shared" si="32"/>
        <v/>
      </c>
      <c r="H230" s="48" t="str">
        <f t="shared" si="28"/>
        <v/>
      </c>
    </row>
    <row r="231" spans="1:8" x14ac:dyDescent="0.25">
      <c r="A231" t="str">
        <f t="shared" si="26"/>
        <v/>
      </c>
      <c r="B231" s="44" t="str">
        <f t="shared" si="29"/>
        <v/>
      </c>
      <c r="C231" s="48" t="str">
        <f t="shared" si="30"/>
        <v/>
      </c>
      <c r="D231" s="48" t="str">
        <f t="shared" si="27"/>
        <v/>
      </c>
      <c r="E231" s="48"/>
      <c r="F231" s="48" t="str">
        <f t="shared" si="31"/>
        <v/>
      </c>
      <c r="G231" s="48" t="str">
        <f t="shared" si="32"/>
        <v/>
      </c>
      <c r="H231" s="48" t="str">
        <f t="shared" si="28"/>
        <v/>
      </c>
    </row>
    <row r="232" spans="1:8" x14ac:dyDescent="0.25">
      <c r="A232" t="str">
        <f t="shared" si="26"/>
        <v/>
      </c>
      <c r="B232" s="44" t="str">
        <f t="shared" si="29"/>
        <v/>
      </c>
      <c r="C232" s="48" t="str">
        <f t="shared" si="30"/>
        <v/>
      </c>
      <c r="D232" s="48" t="str">
        <f t="shared" si="27"/>
        <v/>
      </c>
      <c r="E232" s="48"/>
      <c r="F232" s="48" t="str">
        <f t="shared" si="31"/>
        <v/>
      </c>
      <c r="G232" s="48" t="str">
        <f t="shared" si="32"/>
        <v/>
      </c>
      <c r="H232" s="48" t="str">
        <f t="shared" si="28"/>
        <v/>
      </c>
    </row>
    <row r="233" spans="1:8" x14ac:dyDescent="0.25">
      <c r="A233" t="str">
        <f t="shared" si="26"/>
        <v/>
      </c>
      <c r="B233" s="44" t="str">
        <f t="shared" si="29"/>
        <v/>
      </c>
      <c r="C233" s="48" t="str">
        <f t="shared" si="30"/>
        <v/>
      </c>
      <c r="D233" s="48" t="str">
        <f t="shared" si="27"/>
        <v/>
      </c>
      <c r="E233" s="48"/>
      <c r="F233" s="48" t="str">
        <f t="shared" si="31"/>
        <v/>
      </c>
      <c r="G233" s="48" t="str">
        <f t="shared" si="32"/>
        <v/>
      </c>
      <c r="H233" s="48" t="str">
        <f t="shared" si="28"/>
        <v/>
      </c>
    </row>
    <row r="234" spans="1:8" x14ac:dyDescent="0.25">
      <c r="A234" t="str">
        <f t="shared" si="26"/>
        <v/>
      </c>
      <c r="B234" s="44" t="str">
        <f t="shared" si="29"/>
        <v/>
      </c>
      <c r="C234" s="48" t="str">
        <f t="shared" si="30"/>
        <v/>
      </c>
      <c r="D234" s="48" t="str">
        <f t="shared" si="27"/>
        <v/>
      </c>
      <c r="E234" s="48"/>
      <c r="F234" s="48" t="str">
        <f t="shared" si="31"/>
        <v/>
      </c>
      <c r="G234" s="48" t="str">
        <f t="shared" si="32"/>
        <v/>
      </c>
      <c r="H234" s="48" t="str">
        <f t="shared" si="28"/>
        <v/>
      </c>
    </row>
    <row r="235" spans="1:8" x14ac:dyDescent="0.25">
      <c r="A235" t="str">
        <f t="shared" si="26"/>
        <v/>
      </c>
      <c r="B235" s="44" t="str">
        <f t="shared" si="29"/>
        <v/>
      </c>
      <c r="C235" s="48" t="str">
        <f t="shared" si="30"/>
        <v/>
      </c>
      <c r="D235" s="48" t="str">
        <f t="shared" si="27"/>
        <v/>
      </c>
      <c r="E235" s="48"/>
      <c r="F235" s="48" t="str">
        <f t="shared" si="31"/>
        <v/>
      </c>
      <c r="G235" s="48" t="str">
        <f t="shared" si="32"/>
        <v/>
      </c>
      <c r="H235" s="48" t="str">
        <f t="shared" si="28"/>
        <v/>
      </c>
    </row>
    <row r="236" spans="1:8" x14ac:dyDescent="0.25">
      <c r="A236" t="str">
        <f t="shared" si="26"/>
        <v/>
      </c>
      <c r="B236" s="44" t="str">
        <f t="shared" si="29"/>
        <v/>
      </c>
      <c r="C236" s="48" t="str">
        <f t="shared" si="30"/>
        <v/>
      </c>
      <c r="D236" s="48" t="str">
        <f t="shared" si="27"/>
        <v/>
      </c>
      <c r="E236" s="48"/>
      <c r="F236" s="48" t="str">
        <f t="shared" si="31"/>
        <v/>
      </c>
      <c r="G236" s="48" t="str">
        <f t="shared" si="32"/>
        <v/>
      </c>
      <c r="H236" s="48" t="str">
        <f t="shared" si="28"/>
        <v/>
      </c>
    </row>
    <row r="237" spans="1:8" x14ac:dyDescent="0.25">
      <c r="A237" t="str">
        <f t="shared" si="26"/>
        <v/>
      </c>
      <c r="B237" s="44" t="str">
        <f t="shared" si="29"/>
        <v/>
      </c>
      <c r="C237" s="48" t="str">
        <f t="shared" si="30"/>
        <v/>
      </c>
      <c r="D237" s="48" t="str">
        <f t="shared" si="27"/>
        <v/>
      </c>
      <c r="E237" s="48"/>
      <c r="F237" s="48" t="str">
        <f t="shared" si="31"/>
        <v/>
      </c>
      <c r="G237" s="48" t="str">
        <f t="shared" si="32"/>
        <v/>
      </c>
      <c r="H237" s="48" t="str">
        <f t="shared" si="28"/>
        <v/>
      </c>
    </row>
    <row r="238" spans="1:8" x14ac:dyDescent="0.25">
      <c r="A238" t="str">
        <f t="shared" si="26"/>
        <v/>
      </c>
      <c r="B238" s="44" t="str">
        <f t="shared" si="29"/>
        <v/>
      </c>
      <c r="C238" s="48" t="str">
        <f t="shared" si="30"/>
        <v/>
      </c>
      <c r="D238" s="48" t="str">
        <f t="shared" si="27"/>
        <v/>
      </c>
      <c r="E238" s="48"/>
      <c r="F238" s="48" t="str">
        <f t="shared" si="31"/>
        <v/>
      </c>
      <c r="G238" s="48" t="str">
        <f t="shared" si="32"/>
        <v/>
      </c>
      <c r="H238" s="48" t="str">
        <f t="shared" si="28"/>
        <v/>
      </c>
    </row>
    <row r="239" spans="1:8" x14ac:dyDescent="0.25">
      <c r="A239" t="str">
        <f t="shared" si="26"/>
        <v/>
      </c>
      <c r="B239" s="44" t="str">
        <f t="shared" si="29"/>
        <v/>
      </c>
      <c r="C239" s="48" t="str">
        <f t="shared" si="30"/>
        <v/>
      </c>
      <c r="D239" s="48" t="str">
        <f t="shared" si="27"/>
        <v/>
      </c>
      <c r="E239" s="48"/>
      <c r="F239" s="48" t="str">
        <f t="shared" si="31"/>
        <v/>
      </c>
      <c r="G239" s="48" t="str">
        <f t="shared" si="32"/>
        <v/>
      </c>
      <c r="H239" s="48" t="str">
        <f t="shared" si="28"/>
        <v/>
      </c>
    </row>
    <row r="240" spans="1:8" x14ac:dyDescent="0.25">
      <c r="A240" t="str">
        <f t="shared" si="26"/>
        <v/>
      </c>
      <c r="B240" s="44" t="str">
        <f t="shared" si="29"/>
        <v/>
      </c>
      <c r="C240" s="48" t="str">
        <f t="shared" si="30"/>
        <v/>
      </c>
      <c r="D240" s="48" t="str">
        <f t="shared" si="27"/>
        <v/>
      </c>
      <c r="E240" s="48"/>
      <c r="F240" s="48" t="str">
        <f t="shared" si="31"/>
        <v/>
      </c>
      <c r="G240" s="48" t="str">
        <f t="shared" si="32"/>
        <v/>
      </c>
      <c r="H240" s="48" t="str">
        <f t="shared" si="28"/>
        <v/>
      </c>
    </row>
    <row r="241" spans="1:8" x14ac:dyDescent="0.25">
      <c r="A241" t="str">
        <f t="shared" si="26"/>
        <v/>
      </c>
      <c r="B241" s="44" t="str">
        <f t="shared" si="29"/>
        <v/>
      </c>
      <c r="C241" s="48" t="str">
        <f t="shared" si="30"/>
        <v/>
      </c>
      <c r="D241" s="48" t="str">
        <f t="shared" si="27"/>
        <v/>
      </c>
      <c r="E241" s="48"/>
      <c r="F241" s="48" t="str">
        <f t="shared" si="31"/>
        <v/>
      </c>
      <c r="G241" s="48" t="str">
        <f t="shared" si="32"/>
        <v/>
      </c>
      <c r="H241" s="48" t="str">
        <f t="shared" si="28"/>
        <v/>
      </c>
    </row>
    <row r="242" spans="1:8" x14ac:dyDescent="0.25">
      <c r="A242" t="str">
        <f t="shared" si="26"/>
        <v/>
      </c>
      <c r="B242" s="44" t="str">
        <f t="shared" si="29"/>
        <v/>
      </c>
      <c r="C242" s="48" t="str">
        <f t="shared" si="30"/>
        <v/>
      </c>
      <c r="D242" s="48" t="str">
        <f t="shared" si="27"/>
        <v/>
      </c>
      <c r="E242" s="48"/>
      <c r="F242" s="48" t="str">
        <f t="shared" si="31"/>
        <v/>
      </c>
      <c r="G242" s="48" t="str">
        <f t="shared" si="32"/>
        <v/>
      </c>
      <c r="H242" s="48" t="str">
        <f t="shared" si="28"/>
        <v/>
      </c>
    </row>
    <row r="243" spans="1:8" x14ac:dyDescent="0.25">
      <c r="A243" t="str">
        <f t="shared" si="26"/>
        <v/>
      </c>
      <c r="B243" s="44" t="str">
        <f t="shared" si="29"/>
        <v/>
      </c>
      <c r="C243" s="48" t="str">
        <f t="shared" si="30"/>
        <v/>
      </c>
      <c r="D243" s="48" t="str">
        <f t="shared" si="27"/>
        <v/>
      </c>
      <c r="E243" s="48"/>
      <c r="F243" s="48" t="str">
        <f t="shared" si="31"/>
        <v/>
      </c>
      <c r="G243" s="48" t="str">
        <f t="shared" si="32"/>
        <v/>
      </c>
      <c r="H243" s="48" t="str">
        <f t="shared" si="28"/>
        <v/>
      </c>
    </row>
    <row r="244" spans="1:8" x14ac:dyDescent="0.25">
      <c r="A244" t="str">
        <f t="shared" si="26"/>
        <v/>
      </c>
      <c r="B244" s="44" t="str">
        <f t="shared" si="29"/>
        <v/>
      </c>
      <c r="C244" s="48" t="str">
        <f t="shared" si="30"/>
        <v/>
      </c>
      <c r="D244" s="48" t="str">
        <f t="shared" si="27"/>
        <v/>
      </c>
      <c r="E244" s="48"/>
      <c r="F244" s="48" t="str">
        <f t="shared" si="31"/>
        <v/>
      </c>
      <c r="G244" s="48" t="str">
        <f t="shared" si="32"/>
        <v/>
      </c>
      <c r="H244" s="48" t="str">
        <f t="shared" si="28"/>
        <v/>
      </c>
    </row>
    <row r="245" spans="1:8" x14ac:dyDescent="0.25">
      <c r="A245" t="str">
        <f t="shared" si="26"/>
        <v/>
      </c>
      <c r="B245" s="44" t="str">
        <f t="shared" si="29"/>
        <v/>
      </c>
      <c r="C245" s="48" t="str">
        <f t="shared" si="30"/>
        <v/>
      </c>
      <c r="D245" s="48" t="str">
        <f t="shared" si="27"/>
        <v/>
      </c>
      <c r="E245" s="48"/>
      <c r="F245" s="48" t="str">
        <f t="shared" si="31"/>
        <v/>
      </c>
      <c r="G245" s="48" t="str">
        <f t="shared" si="32"/>
        <v/>
      </c>
      <c r="H245" s="48" t="str">
        <f t="shared" si="28"/>
        <v/>
      </c>
    </row>
    <row r="246" spans="1:8" x14ac:dyDescent="0.25">
      <c r="A246" t="str">
        <f t="shared" si="26"/>
        <v/>
      </c>
      <c r="B246" s="44" t="str">
        <f t="shared" si="29"/>
        <v/>
      </c>
      <c r="C246" s="48" t="str">
        <f t="shared" si="30"/>
        <v/>
      </c>
      <c r="D246" s="48" t="str">
        <f t="shared" si="27"/>
        <v/>
      </c>
      <c r="E246" s="48"/>
      <c r="F246" s="48" t="str">
        <f t="shared" si="31"/>
        <v/>
      </c>
      <c r="G246" s="48" t="str">
        <f t="shared" si="32"/>
        <v/>
      </c>
      <c r="H246" s="48" t="str">
        <f t="shared" si="28"/>
        <v/>
      </c>
    </row>
    <row r="247" spans="1:8" x14ac:dyDescent="0.25">
      <c r="A247" t="str">
        <f t="shared" si="26"/>
        <v/>
      </c>
      <c r="B247" s="44" t="str">
        <f t="shared" si="29"/>
        <v/>
      </c>
      <c r="C247" s="48" t="str">
        <f t="shared" si="30"/>
        <v/>
      </c>
      <c r="D247" s="48" t="str">
        <f t="shared" si="27"/>
        <v/>
      </c>
      <c r="E247" s="48"/>
      <c r="F247" s="48" t="str">
        <f t="shared" si="31"/>
        <v/>
      </c>
      <c r="G247" s="48" t="str">
        <f t="shared" si="32"/>
        <v/>
      </c>
      <c r="H247" s="48" t="str">
        <f t="shared" si="28"/>
        <v/>
      </c>
    </row>
    <row r="248" spans="1:8" x14ac:dyDescent="0.25">
      <c r="A248" t="str">
        <f t="shared" si="26"/>
        <v/>
      </c>
      <c r="B248" s="44" t="str">
        <f t="shared" si="29"/>
        <v/>
      </c>
      <c r="C248" s="48" t="str">
        <f t="shared" si="30"/>
        <v/>
      </c>
      <c r="D248" s="48" t="str">
        <f t="shared" si="27"/>
        <v/>
      </c>
      <c r="E248" s="48"/>
      <c r="F248" s="48" t="str">
        <f t="shared" si="31"/>
        <v/>
      </c>
      <c r="G248" s="48" t="str">
        <f t="shared" si="32"/>
        <v/>
      </c>
      <c r="H248" s="48" t="str">
        <f t="shared" si="28"/>
        <v/>
      </c>
    </row>
    <row r="249" spans="1:8" x14ac:dyDescent="0.25">
      <c r="A249" t="str">
        <f t="shared" si="26"/>
        <v/>
      </c>
      <c r="B249" s="44" t="str">
        <f t="shared" si="29"/>
        <v/>
      </c>
      <c r="C249" s="48" t="str">
        <f t="shared" si="30"/>
        <v/>
      </c>
      <c r="D249" s="48" t="str">
        <f t="shared" si="27"/>
        <v/>
      </c>
      <c r="E249" s="48"/>
      <c r="F249" s="48" t="str">
        <f t="shared" si="31"/>
        <v/>
      </c>
      <c r="G249" s="48" t="str">
        <f t="shared" si="32"/>
        <v/>
      </c>
      <c r="H249" s="48" t="str">
        <f t="shared" si="28"/>
        <v/>
      </c>
    </row>
    <row r="250" spans="1:8" x14ac:dyDescent="0.25">
      <c r="A250" t="str">
        <f t="shared" si="26"/>
        <v/>
      </c>
      <c r="B250" s="44" t="str">
        <f t="shared" si="29"/>
        <v/>
      </c>
      <c r="C250" s="48" t="str">
        <f t="shared" si="30"/>
        <v/>
      </c>
      <c r="D250" s="48" t="str">
        <f t="shared" si="27"/>
        <v/>
      </c>
      <c r="E250" s="48"/>
      <c r="F250" s="48" t="str">
        <f t="shared" si="31"/>
        <v/>
      </c>
      <c r="G250" s="48" t="str">
        <f t="shared" si="32"/>
        <v/>
      </c>
      <c r="H250" s="48" t="str">
        <f t="shared" si="28"/>
        <v/>
      </c>
    </row>
    <row r="251" spans="1:8" x14ac:dyDescent="0.25">
      <c r="A251" t="str">
        <f t="shared" si="26"/>
        <v/>
      </c>
      <c r="B251" s="44" t="str">
        <f t="shared" si="29"/>
        <v/>
      </c>
      <c r="C251" s="48" t="str">
        <f t="shared" si="30"/>
        <v/>
      </c>
      <c r="D251" s="48" t="str">
        <f t="shared" si="27"/>
        <v/>
      </c>
      <c r="E251" s="48"/>
      <c r="F251" s="48" t="str">
        <f t="shared" si="31"/>
        <v/>
      </c>
      <c r="G251" s="48" t="str">
        <f t="shared" si="32"/>
        <v/>
      </c>
      <c r="H251" s="48" t="str">
        <f t="shared" si="28"/>
        <v/>
      </c>
    </row>
    <row r="252" spans="1:8" x14ac:dyDescent="0.25">
      <c r="A252" t="str">
        <f t="shared" si="26"/>
        <v/>
      </c>
      <c r="B252" s="44" t="str">
        <f t="shared" si="29"/>
        <v/>
      </c>
      <c r="C252" s="48" t="str">
        <f t="shared" si="30"/>
        <v/>
      </c>
      <c r="D252" s="48" t="str">
        <f t="shared" si="27"/>
        <v/>
      </c>
      <c r="E252" s="48"/>
      <c r="F252" s="48" t="str">
        <f t="shared" si="31"/>
        <v/>
      </c>
      <c r="G252" s="48" t="str">
        <f t="shared" si="32"/>
        <v/>
      </c>
      <c r="H252" s="48" t="str">
        <f t="shared" si="28"/>
        <v/>
      </c>
    </row>
    <row r="253" spans="1:8" x14ac:dyDescent="0.25">
      <c r="A253" t="str">
        <f t="shared" si="26"/>
        <v/>
      </c>
      <c r="B253" s="44" t="str">
        <f t="shared" si="29"/>
        <v/>
      </c>
      <c r="C253" s="48" t="str">
        <f t="shared" si="30"/>
        <v/>
      </c>
      <c r="D253" s="48" t="str">
        <f t="shared" si="27"/>
        <v/>
      </c>
      <c r="E253" s="48"/>
      <c r="F253" s="48" t="str">
        <f t="shared" si="31"/>
        <v/>
      </c>
      <c r="G253" s="48" t="str">
        <f t="shared" si="32"/>
        <v/>
      </c>
      <c r="H253" s="48" t="str">
        <f t="shared" si="28"/>
        <v/>
      </c>
    </row>
    <row r="254" spans="1:8" x14ac:dyDescent="0.25">
      <c r="A254" t="str">
        <f t="shared" si="26"/>
        <v/>
      </c>
      <c r="B254" s="44" t="str">
        <f t="shared" si="29"/>
        <v/>
      </c>
      <c r="C254" s="48" t="str">
        <f t="shared" si="30"/>
        <v/>
      </c>
      <c r="D254" s="48" t="str">
        <f t="shared" si="27"/>
        <v/>
      </c>
      <c r="E254" s="48"/>
      <c r="F254" s="48" t="str">
        <f t="shared" si="31"/>
        <v/>
      </c>
      <c r="G254" s="48" t="str">
        <f t="shared" si="32"/>
        <v/>
      </c>
      <c r="H254" s="48" t="str">
        <f t="shared" si="28"/>
        <v/>
      </c>
    </row>
    <row r="255" spans="1:8" x14ac:dyDescent="0.25">
      <c r="A255" t="str">
        <f t="shared" si="26"/>
        <v/>
      </c>
      <c r="B255" s="44" t="str">
        <f t="shared" si="29"/>
        <v/>
      </c>
      <c r="C255" s="48" t="str">
        <f t="shared" si="30"/>
        <v/>
      </c>
      <c r="D255" s="48" t="str">
        <f t="shared" si="27"/>
        <v/>
      </c>
      <c r="E255" s="48"/>
      <c r="F255" s="48" t="str">
        <f t="shared" si="31"/>
        <v/>
      </c>
      <c r="G255" s="48" t="str">
        <f t="shared" si="32"/>
        <v/>
      </c>
      <c r="H255" s="48" t="str">
        <f t="shared" si="28"/>
        <v/>
      </c>
    </row>
    <row r="256" spans="1:8" x14ac:dyDescent="0.25">
      <c r="A256" t="str">
        <f t="shared" si="26"/>
        <v/>
      </c>
      <c r="B256" s="44" t="str">
        <f t="shared" si="29"/>
        <v/>
      </c>
      <c r="C256" s="48" t="str">
        <f t="shared" si="30"/>
        <v/>
      </c>
      <c r="D256" s="48" t="str">
        <f t="shared" si="27"/>
        <v/>
      </c>
      <c r="E256" s="48"/>
      <c r="F256" s="48" t="str">
        <f t="shared" si="31"/>
        <v/>
      </c>
      <c r="G256" s="48" t="str">
        <f t="shared" si="32"/>
        <v/>
      </c>
      <c r="H256" s="48" t="str">
        <f t="shared" si="28"/>
        <v/>
      </c>
    </row>
    <row r="257" spans="1:8" x14ac:dyDescent="0.25">
      <c r="A257" t="str">
        <f t="shared" si="26"/>
        <v/>
      </c>
      <c r="B257" s="44" t="str">
        <f t="shared" si="29"/>
        <v/>
      </c>
      <c r="C257" s="48" t="str">
        <f t="shared" si="30"/>
        <v/>
      </c>
      <c r="D257" s="48" t="str">
        <f t="shared" si="27"/>
        <v/>
      </c>
      <c r="E257" s="48"/>
      <c r="F257" s="48" t="str">
        <f t="shared" si="31"/>
        <v/>
      </c>
      <c r="G257" s="48" t="str">
        <f t="shared" si="32"/>
        <v/>
      </c>
      <c r="H257" s="48" t="str">
        <f t="shared" si="28"/>
        <v/>
      </c>
    </row>
    <row r="258" spans="1:8" x14ac:dyDescent="0.25">
      <c r="A258" t="str">
        <f t="shared" si="26"/>
        <v/>
      </c>
      <c r="B258" s="44" t="str">
        <f t="shared" si="29"/>
        <v/>
      </c>
      <c r="C258" s="48" t="str">
        <f t="shared" si="30"/>
        <v/>
      </c>
      <c r="D258" s="48" t="str">
        <f t="shared" si="27"/>
        <v/>
      </c>
      <c r="E258" s="48"/>
      <c r="F258" s="48" t="str">
        <f t="shared" si="31"/>
        <v/>
      </c>
      <c r="G258" s="48" t="str">
        <f t="shared" si="32"/>
        <v/>
      </c>
      <c r="H258" s="48" t="str">
        <f t="shared" si="28"/>
        <v/>
      </c>
    </row>
    <row r="259" spans="1:8" x14ac:dyDescent="0.25">
      <c r="A259" t="str">
        <f t="shared" si="26"/>
        <v/>
      </c>
      <c r="B259" s="44" t="str">
        <f t="shared" si="29"/>
        <v/>
      </c>
      <c r="C259" s="48" t="str">
        <f t="shared" si="30"/>
        <v/>
      </c>
      <c r="D259" s="48" t="str">
        <f t="shared" si="27"/>
        <v/>
      </c>
      <c r="E259" s="48"/>
      <c r="F259" s="48" t="str">
        <f t="shared" si="31"/>
        <v/>
      </c>
      <c r="G259" s="48" t="str">
        <f t="shared" si="32"/>
        <v/>
      </c>
      <c r="H259" s="48" t="str">
        <f t="shared" si="28"/>
        <v/>
      </c>
    </row>
    <row r="260" spans="1:8" x14ac:dyDescent="0.25">
      <c r="A260" t="str">
        <f t="shared" si="26"/>
        <v/>
      </c>
      <c r="B260" s="44" t="str">
        <f t="shared" si="29"/>
        <v/>
      </c>
      <c r="C260" s="48" t="str">
        <f t="shared" si="30"/>
        <v/>
      </c>
      <c r="D260" s="48" t="str">
        <f t="shared" si="27"/>
        <v/>
      </c>
      <c r="E260" s="48"/>
      <c r="F260" s="48" t="str">
        <f t="shared" si="31"/>
        <v/>
      </c>
      <c r="G260" s="48" t="str">
        <f t="shared" si="32"/>
        <v/>
      </c>
      <c r="H260" s="48" t="str">
        <f t="shared" si="28"/>
        <v/>
      </c>
    </row>
    <row r="261" spans="1:8" x14ac:dyDescent="0.25">
      <c r="A261" t="str">
        <f t="shared" si="26"/>
        <v/>
      </c>
      <c r="B261" s="44" t="str">
        <f t="shared" si="29"/>
        <v/>
      </c>
      <c r="C261" s="48" t="str">
        <f t="shared" si="30"/>
        <v/>
      </c>
      <c r="D261" s="48" t="str">
        <f t="shared" si="27"/>
        <v/>
      </c>
      <c r="E261" s="48"/>
      <c r="F261" s="48" t="str">
        <f t="shared" si="31"/>
        <v/>
      </c>
      <c r="G261" s="48" t="str">
        <f t="shared" si="32"/>
        <v/>
      </c>
      <c r="H261" s="48" t="str">
        <f t="shared" si="28"/>
        <v/>
      </c>
    </row>
    <row r="262" spans="1:8" x14ac:dyDescent="0.25">
      <c r="A262" t="str">
        <f t="shared" si="26"/>
        <v/>
      </c>
      <c r="B262" s="44" t="str">
        <f t="shared" si="29"/>
        <v/>
      </c>
      <c r="C262" s="48" t="str">
        <f t="shared" si="30"/>
        <v/>
      </c>
      <c r="D262" s="48" t="str">
        <f t="shared" si="27"/>
        <v/>
      </c>
      <c r="E262" s="48"/>
      <c r="F262" s="48" t="str">
        <f t="shared" si="31"/>
        <v/>
      </c>
      <c r="G262" s="48" t="str">
        <f t="shared" si="32"/>
        <v/>
      </c>
      <c r="H262" s="48" t="str">
        <f t="shared" si="28"/>
        <v/>
      </c>
    </row>
    <row r="263" spans="1:8" x14ac:dyDescent="0.25">
      <c r="A263" t="str">
        <f t="shared" si="26"/>
        <v/>
      </c>
      <c r="B263" s="44" t="str">
        <f t="shared" si="29"/>
        <v/>
      </c>
      <c r="C263" s="48" t="str">
        <f t="shared" si="30"/>
        <v/>
      </c>
      <c r="D263" s="48" t="str">
        <f t="shared" si="27"/>
        <v/>
      </c>
      <c r="E263" s="48"/>
      <c r="F263" s="48" t="str">
        <f t="shared" si="31"/>
        <v/>
      </c>
      <c r="G263" s="48" t="str">
        <f t="shared" si="32"/>
        <v/>
      </c>
      <c r="H263" s="48" t="str">
        <f t="shared" si="28"/>
        <v/>
      </c>
    </row>
    <row r="264" spans="1:8" x14ac:dyDescent="0.25">
      <c r="A264" t="str">
        <f t="shared" si="26"/>
        <v/>
      </c>
      <c r="B264" s="44" t="str">
        <f t="shared" si="29"/>
        <v/>
      </c>
      <c r="C264" s="48" t="str">
        <f t="shared" si="30"/>
        <v/>
      </c>
      <c r="D264" s="48" t="str">
        <f t="shared" si="27"/>
        <v/>
      </c>
      <c r="E264" s="48"/>
      <c r="F264" s="48" t="str">
        <f t="shared" si="31"/>
        <v/>
      </c>
      <c r="G264" s="48" t="str">
        <f t="shared" si="32"/>
        <v/>
      </c>
      <c r="H264" s="48" t="str">
        <f t="shared" si="28"/>
        <v/>
      </c>
    </row>
    <row r="265" spans="1:8" x14ac:dyDescent="0.25">
      <c r="A265" t="str">
        <f t="shared" si="26"/>
        <v/>
      </c>
      <c r="B265" s="44" t="str">
        <f t="shared" si="29"/>
        <v/>
      </c>
      <c r="C265" s="48" t="str">
        <f t="shared" si="30"/>
        <v/>
      </c>
      <c r="D265" s="48" t="str">
        <f t="shared" si="27"/>
        <v/>
      </c>
      <c r="E265" s="48"/>
      <c r="F265" s="48" t="str">
        <f t="shared" si="31"/>
        <v/>
      </c>
      <c r="G265" s="48" t="str">
        <f t="shared" si="32"/>
        <v/>
      </c>
      <c r="H265" s="48" t="str">
        <f t="shared" si="28"/>
        <v/>
      </c>
    </row>
    <row r="266" spans="1:8" x14ac:dyDescent="0.25">
      <c r="A266" t="str">
        <f t="shared" si="26"/>
        <v/>
      </c>
      <c r="B266" s="44" t="str">
        <f t="shared" si="29"/>
        <v/>
      </c>
      <c r="C266" s="48" t="str">
        <f t="shared" si="30"/>
        <v/>
      </c>
      <c r="D266" s="48" t="str">
        <f t="shared" si="27"/>
        <v/>
      </c>
      <c r="E266" s="48"/>
      <c r="F266" s="48" t="str">
        <f t="shared" si="31"/>
        <v/>
      </c>
      <c r="G266" s="48" t="str">
        <f t="shared" si="32"/>
        <v/>
      </c>
      <c r="H266" s="48" t="str">
        <f t="shared" si="28"/>
        <v/>
      </c>
    </row>
    <row r="267" spans="1:8" x14ac:dyDescent="0.25">
      <c r="A267" t="str">
        <f t="shared" ref="A267:A330" si="33">IF(OR(F266&lt;0.01,A266=""), "",A266+1)</f>
        <v/>
      </c>
      <c r="B267" s="44" t="str">
        <f t="shared" si="29"/>
        <v/>
      </c>
      <c r="C267" s="48" t="str">
        <f t="shared" si="30"/>
        <v/>
      </c>
      <c r="D267" s="48" t="str">
        <f t="shared" ref="D267:D330" si="34">IF(A267="", "",F266*$G$1)</f>
        <v/>
      </c>
      <c r="E267" s="48"/>
      <c r="F267" s="48" t="str">
        <f t="shared" si="31"/>
        <v/>
      </c>
      <c r="G267" s="48" t="str">
        <f t="shared" si="32"/>
        <v/>
      </c>
      <c r="H267" s="48" t="str">
        <f t="shared" ref="H267:H330" si="35">IF(A267="", "", H266+D267)</f>
        <v/>
      </c>
    </row>
    <row r="268" spans="1:8" x14ac:dyDescent="0.25">
      <c r="A268" t="str">
        <f t="shared" si="33"/>
        <v/>
      </c>
      <c r="B268" s="44" t="str">
        <f t="shared" si="29"/>
        <v/>
      </c>
      <c r="C268" s="48" t="str">
        <f t="shared" si="30"/>
        <v/>
      </c>
      <c r="D268" s="48" t="str">
        <f t="shared" si="34"/>
        <v/>
      </c>
      <c r="E268" s="48"/>
      <c r="F268" s="48" t="str">
        <f t="shared" si="31"/>
        <v/>
      </c>
      <c r="G268" s="48" t="str">
        <f t="shared" si="32"/>
        <v/>
      </c>
      <c r="H268" s="48" t="str">
        <f t="shared" si="35"/>
        <v/>
      </c>
    </row>
    <row r="269" spans="1:8" x14ac:dyDescent="0.25">
      <c r="A269" t="str">
        <f t="shared" si="33"/>
        <v/>
      </c>
      <c r="B269" s="44" t="str">
        <f t="shared" si="29"/>
        <v/>
      </c>
      <c r="C269" s="48" t="str">
        <f t="shared" si="30"/>
        <v/>
      </c>
      <c r="D269" s="48" t="str">
        <f t="shared" si="34"/>
        <v/>
      </c>
      <c r="E269" s="48"/>
      <c r="F269" s="48" t="str">
        <f t="shared" si="31"/>
        <v/>
      </c>
      <c r="G269" s="48" t="str">
        <f t="shared" si="32"/>
        <v/>
      </c>
      <c r="H269" s="48" t="str">
        <f t="shared" si="35"/>
        <v/>
      </c>
    </row>
    <row r="270" spans="1:8" x14ac:dyDescent="0.25">
      <c r="A270" t="str">
        <f t="shared" si="33"/>
        <v/>
      </c>
      <c r="B270" s="44" t="str">
        <f t="shared" si="29"/>
        <v/>
      </c>
      <c r="C270" s="48" t="str">
        <f t="shared" si="30"/>
        <v/>
      </c>
      <c r="D270" s="48" t="str">
        <f t="shared" si="34"/>
        <v/>
      </c>
      <c r="E270" s="48"/>
      <c r="F270" s="48" t="str">
        <f t="shared" si="31"/>
        <v/>
      </c>
      <c r="G270" s="48" t="str">
        <f t="shared" si="32"/>
        <v/>
      </c>
      <c r="H270" s="48" t="str">
        <f t="shared" si="35"/>
        <v/>
      </c>
    </row>
    <row r="271" spans="1:8" x14ac:dyDescent="0.25">
      <c r="A271" t="str">
        <f t="shared" si="33"/>
        <v/>
      </c>
      <c r="B271" s="44" t="str">
        <f t="shared" si="29"/>
        <v/>
      </c>
      <c r="C271" s="48" t="str">
        <f t="shared" si="30"/>
        <v/>
      </c>
      <c r="D271" s="48" t="str">
        <f t="shared" si="34"/>
        <v/>
      </c>
      <c r="E271" s="48"/>
      <c r="F271" s="48" t="str">
        <f t="shared" si="31"/>
        <v/>
      </c>
      <c r="G271" s="48" t="str">
        <f t="shared" si="32"/>
        <v/>
      </c>
      <c r="H271" s="48" t="str">
        <f t="shared" si="35"/>
        <v/>
      </c>
    </row>
    <row r="272" spans="1:8" x14ac:dyDescent="0.25">
      <c r="A272" t="str">
        <f t="shared" si="33"/>
        <v/>
      </c>
      <c r="B272" s="44" t="str">
        <f t="shared" si="29"/>
        <v/>
      </c>
      <c r="C272" s="48" t="str">
        <f t="shared" si="30"/>
        <v/>
      </c>
      <c r="D272" s="48" t="str">
        <f t="shared" si="34"/>
        <v/>
      </c>
      <c r="E272" s="48"/>
      <c r="F272" s="48" t="str">
        <f t="shared" si="31"/>
        <v/>
      </c>
      <c r="G272" s="48" t="str">
        <f t="shared" si="32"/>
        <v/>
      </c>
      <c r="H272" s="48" t="str">
        <f t="shared" si="35"/>
        <v/>
      </c>
    </row>
    <row r="273" spans="1:8" x14ac:dyDescent="0.25">
      <c r="A273" t="str">
        <f t="shared" si="33"/>
        <v/>
      </c>
      <c r="B273" s="44" t="str">
        <f t="shared" si="29"/>
        <v/>
      </c>
      <c r="C273" s="48" t="str">
        <f t="shared" si="30"/>
        <v/>
      </c>
      <c r="D273" s="48" t="str">
        <f t="shared" si="34"/>
        <v/>
      </c>
      <c r="E273" s="48"/>
      <c r="F273" s="48" t="str">
        <f t="shared" si="31"/>
        <v/>
      </c>
      <c r="G273" s="48" t="str">
        <f t="shared" si="32"/>
        <v/>
      </c>
      <c r="H273" s="48" t="str">
        <f t="shared" si="35"/>
        <v/>
      </c>
    </row>
    <row r="274" spans="1:8" x14ac:dyDescent="0.25">
      <c r="A274" t="str">
        <f t="shared" si="33"/>
        <v/>
      </c>
      <c r="B274" s="44" t="str">
        <f t="shared" si="29"/>
        <v/>
      </c>
      <c r="C274" s="48" t="str">
        <f t="shared" si="30"/>
        <v/>
      </c>
      <c r="D274" s="48" t="str">
        <f t="shared" si="34"/>
        <v/>
      </c>
      <c r="E274" s="48"/>
      <c r="F274" s="48" t="str">
        <f t="shared" si="31"/>
        <v/>
      </c>
      <c r="G274" s="48" t="str">
        <f t="shared" si="32"/>
        <v/>
      </c>
      <c r="H274" s="48" t="str">
        <f t="shared" si="35"/>
        <v/>
      </c>
    </row>
    <row r="275" spans="1:8" x14ac:dyDescent="0.25">
      <c r="A275" t="str">
        <f t="shared" si="33"/>
        <v/>
      </c>
      <c r="B275" s="44" t="str">
        <f t="shared" si="29"/>
        <v/>
      </c>
      <c r="C275" s="48" t="str">
        <f t="shared" si="30"/>
        <v/>
      </c>
      <c r="D275" s="48" t="str">
        <f t="shared" si="34"/>
        <v/>
      </c>
      <c r="E275" s="48"/>
      <c r="F275" s="48" t="str">
        <f t="shared" si="31"/>
        <v/>
      </c>
      <c r="G275" s="48" t="str">
        <f t="shared" si="32"/>
        <v/>
      </c>
      <c r="H275" s="48" t="str">
        <f t="shared" si="35"/>
        <v/>
      </c>
    </row>
    <row r="276" spans="1:8" x14ac:dyDescent="0.25">
      <c r="A276" t="str">
        <f t="shared" si="33"/>
        <v/>
      </c>
      <c r="B276" s="44" t="str">
        <f t="shared" ref="B276:B339" si="36">IF(OR(F275&lt;0.01,A276=""),"",IF(F275&lt;-$G$3,PMT($G$1,1,F275,0),$G$3))</f>
        <v/>
      </c>
      <c r="C276" s="48" t="str">
        <f t="shared" si="30"/>
        <v/>
      </c>
      <c r="D276" s="48" t="str">
        <f t="shared" si="34"/>
        <v/>
      </c>
      <c r="E276" s="48"/>
      <c r="F276" s="48" t="str">
        <f t="shared" si="31"/>
        <v/>
      </c>
      <c r="G276" s="48" t="str">
        <f t="shared" si="32"/>
        <v/>
      </c>
      <c r="H276" s="48" t="str">
        <f t="shared" si="35"/>
        <v/>
      </c>
    </row>
    <row r="277" spans="1:8" x14ac:dyDescent="0.25">
      <c r="A277" t="str">
        <f t="shared" si="33"/>
        <v/>
      </c>
      <c r="B277" s="44" t="str">
        <f t="shared" si="36"/>
        <v/>
      </c>
      <c r="C277" s="48" t="str">
        <f t="shared" ref="C277:C340" si="37">IF(A277="", "",-B277-D277+E277)</f>
        <v/>
      </c>
      <c r="D277" s="48" t="str">
        <f t="shared" si="34"/>
        <v/>
      </c>
      <c r="E277" s="48"/>
      <c r="F277" s="48" t="str">
        <f t="shared" ref="F277:F340" si="38">IF(A277="", "", F276-C277)</f>
        <v/>
      </c>
      <c r="G277" s="48" t="str">
        <f t="shared" ref="G277:G340" si="39">IF(A277="", "", G276+C277)</f>
        <v/>
      </c>
      <c r="H277" s="48" t="str">
        <f t="shared" si="35"/>
        <v/>
      </c>
    </row>
    <row r="278" spans="1:8" x14ac:dyDescent="0.25">
      <c r="A278" t="str">
        <f t="shared" si="33"/>
        <v/>
      </c>
      <c r="B278" s="44" t="str">
        <f t="shared" si="36"/>
        <v/>
      </c>
      <c r="C278" s="48" t="str">
        <f t="shared" si="37"/>
        <v/>
      </c>
      <c r="D278" s="48" t="str">
        <f t="shared" si="34"/>
        <v/>
      </c>
      <c r="E278" s="48"/>
      <c r="F278" s="48" t="str">
        <f t="shared" si="38"/>
        <v/>
      </c>
      <c r="G278" s="48" t="str">
        <f t="shared" si="39"/>
        <v/>
      </c>
      <c r="H278" s="48" t="str">
        <f t="shared" si="35"/>
        <v/>
      </c>
    </row>
    <row r="279" spans="1:8" x14ac:dyDescent="0.25">
      <c r="A279" t="str">
        <f t="shared" si="33"/>
        <v/>
      </c>
      <c r="B279" s="44" t="str">
        <f t="shared" si="36"/>
        <v/>
      </c>
      <c r="C279" s="48" t="str">
        <f t="shared" si="37"/>
        <v/>
      </c>
      <c r="D279" s="48" t="str">
        <f t="shared" si="34"/>
        <v/>
      </c>
      <c r="E279" s="48"/>
      <c r="F279" s="48" t="str">
        <f t="shared" si="38"/>
        <v/>
      </c>
      <c r="G279" s="48" t="str">
        <f t="shared" si="39"/>
        <v/>
      </c>
      <c r="H279" s="48" t="str">
        <f t="shared" si="35"/>
        <v/>
      </c>
    </row>
    <row r="280" spans="1:8" x14ac:dyDescent="0.25">
      <c r="A280" t="str">
        <f t="shared" si="33"/>
        <v/>
      </c>
      <c r="B280" s="44" t="str">
        <f t="shared" si="36"/>
        <v/>
      </c>
      <c r="C280" s="48" t="str">
        <f t="shared" si="37"/>
        <v/>
      </c>
      <c r="D280" s="48" t="str">
        <f t="shared" si="34"/>
        <v/>
      </c>
      <c r="E280" s="48"/>
      <c r="F280" s="48" t="str">
        <f t="shared" si="38"/>
        <v/>
      </c>
      <c r="G280" s="48" t="str">
        <f t="shared" si="39"/>
        <v/>
      </c>
      <c r="H280" s="48" t="str">
        <f t="shared" si="35"/>
        <v/>
      </c>
    </row>
    <row r="281" spans="1:8" x14ac:dyDescent="0.25">
      <c r="A281" t="str">
        <f t="shared" si="33"/>
        <v/>
      </c>
      <c r="B281" s="44" t="str">
        <f t="shared" si="36"/>
        <v/>
      </c>
      <c r="C281" s="48" t="str">
        <f t="shared" si="37"/>
        <v/>
      </c>
      <c r="D281" s="48" t="str">
        <f t="shared" si="34"/>
        <v/>
      </c>
      <c r="E281" s="48"/>
      <c r="F281" s="48" t="str">
        <f t="shared" si="38"/>
        <v/>
      </c>
      <c r="G281" s="48" t="str">
        <f t="shared" si="39"/>
        <v/>
      </c>
      <c r="H281" s="48" t="str">
        <f t="shared" si="35"/>
        <v/>
      </c>
    </row>
    <row r="282" spans="1:8" x14ac:dyDescent="0.25">
      <c r="A282" t="str">
        <f t="shared" si="33"/>
        <v/>
      </c>
      <c r="B282" s="44" t="str">
        <f t="shared" si="36"/>
        <v/>
      </c>
      <c r="C282" s="48" t="str">
        <f t="shared" si="37"/>
        <v/>
      </c>
      <c r="D282" s="48" t="str">
        <f t="shared" si="34"/>
        <v/>
      </c>
      <c r="E282" s="48"/>
      <c r="F282" s="48" t="str">
        <f t="shared" si="38"/>
        <v/>
      </c>
      <c r="G282" s="48" t="str">
        <f t="shared" si="39"/>
        <v/>
      </c>
      <c r="H282" s="48" t="str">
        <f t="shared" si="35"/>
        <v/>
      </c>
    </row>
    <row r="283" spans="1:8" x14ac:dyDescent="0.25">
      <c r="A283" t="str">
        <f t="shared" si="33"/>
        <v/>
      </c>
      <c r="B283" s="44" t="str">
        <f t="shared" si="36"/>
        <v/>
      </c>
      <c r="C283" s="48" t="str">
        <f t="shared" si="37"/>
        <v/>
      </c>
      <c r="D283" s="48" t="str">
        <f t="shared" si="34"/>
        <v/>
      </c>
      <c r="E283" s="48"/>
      <c r="F283" s="48" t="str">
        <f t="shared" si="38"/>
        <v/>
      </c>
      <c r="G283" s="48" t="str">
        <f t="shared" si="39"/>
        <v/>
      </c>
      <c r="H283" s="48" t="str">
        <f t="shared" si="35"/>
        <v/>
      </c>
    </row>
    <row r="284" spans="1:8" x14ac:dyDescent="0.25">
      <c r="A284" t="str">
        <f t="shared" si="33"/>
        <v/>
      </c>
      <c r="B284" s="44" t="str">
        <f t="shared" si="36"/>
        <v/>
      </c>
      <c r="C284" s="48" t="str">
        <f t="shared" si="37"/>
        <v/>
      </c>
      <c r="D284" s="48" t="str">
        <f t="shared" si="34"/>
        <v/>
      </c>
      <c r="E284" s="48"/>
      <c r="F284" s="48" t="str">
        <f t="shared" si="38"/>
        <v/>
      </c>
      <c r="G284" s="48" t="str">
        <f t="shared" si="39"/>
        <v/>
      </c>
      <c r="H284" s="48" t="str">
        <f t="shared" si="35"/>
        <v/>
      </c>
    </row>
    <row r="285" spans="1:8" x14ac:dyDescent="0.25">
      <c r="A285" t="str">
        <f t="shared" si="33"/>
        <v/>
      </c>
      <c r="B285" s="44" t="str">
        <f t="shared" si="36"/>
        <v/>
      </c>
      <c r="C285" s="48" t="str">
        <f t="shared" si="37"/>
        <v/>
      </c>
      <c r="D285" s="48" t="str">
        <f t="shared" si="34"/>
        <v/>
      </c>
      <c r="E285" s="48"/>
      <c r="F285" s="48" t="str">
        <f t="shared" si="38"/>
        <v/>
      </c>
      <c r="G285" s="48" t="str">
        <f t="shared" si="39"/>
        <v/>
      </c>
      <c r="H285" s="48" t="str">
        <f t="shared" si="35"/>
        <v/>
      </c>
    </row>
    <row r="286" spans="1:8" x14ac:dyDescent="0.25">
      <c r="A286" t="str">
        <f t="shared" si="33"/>
        <v/>
      </c>
      <c r="B286" s="44" t="str">
        <f t="shared" si="36"/>
        <v/>
      </c>
      <c r="C286" s="48" t="str">
        <f t="shared" si="37"/>
        <v/>
      </c>
      <c r="D286" s="48" t="str">
        <f t="shared" si="34"/>
        <v/>
      </c>
      <c r="E286" s="48"/>
      <c r="F286" s="48" t="str">
        <f t="shared" si="38"/>
        <v/>
      </c>
      <c r="G286" s="48" t="str">
        <f t="shared" si="39"/>
        <v/>
      </c>
      <c r="H286" s="48" t="str">
        <f t="shared" si="35"/>
        <v/>
      </c>
    </row>
    <row r="287" spans="1:8" x14ac:dyDescent="0.25">
      <c r="A287" t="str">
        <f t="shared" si="33"/>
        <v/>
      </c>
      <c r="B287" s="44" t="str">
        <f t="shared" si="36"/>
        <v/>
      </c>
      <c r="C287" s="48" t="str">
        <f t="shared" si="37"/>
        <v/>
      </c>
      <c r="D287" s="48" t="str">
        <f t="shared" si="34"/>
        <v/>
      </c>
      <c r="E287" s="48"/>
      <c r="F287" s="48" t="str">
        <f t="shared" si="38"/>
        <v/>
      </c>
      <c r="G287" s="48" t="str">
        <f t="shared" si="39"/>
        <v/>
      </c>
      <c r="H287" s="48" t="str">
        <f t="shared" si="35"/>
        <v/>
      </c>
    </row>
    <row r="288" spans="1:8" x14ac:dyDescent="0.25">
      <c r="A288" t="str">
        <f t="shared" si="33"/>
        <v/>
      </c>
      <c r="B288" s="44" t="str">
        <f t="shared" si="36"/>
        <v/>
      </c>
      <c r="C288" s="48" t="str">
        <f t="shared" si="37"/>
        <v/>
      </c>
      <c r="D288" s="48" t="str">
        <f t="shared" si="34"/>
        <v/>
      </c>
      <c r="E288" s="48"/>
      <c r="F288" s="48" t="str">
        <f t="shared" si="38"/>
        <v/>
      </c>
      <c r="G288" s="48" t="str">
        <f t="shared" si="39"/>
        <v/>
      </c>
      <c r="H288" s="48" t="str">
        <f t="shared" si="35"/>
        <v/>
      </c>
    </row>
    <row r="289" spans="1:8" x14ac:dyDescent="0.25">
      <c r="A289" t="str">
        <f t="shared" si="33"/>
        <v/>
      </c>
      <c r="B289" s="44" t="str">
        <f t="shared" si="36"/>
        <v/>
      </c>
      <c r="C289" s="48" t="str">
        <f t="shared" si="37"/>
        <v/>
      </c>
      <c r="D289" s="48" t="str">
        <f t="shared" si="34"/>
        <v/>
      </c>
      <c r="E289" s="48"/>
      <c r="F289" s="48" t="str">
        <f t="shared" si="38"/>
        <v/>
      </c>
      <c r="G289" s="48" t="str">
        <f t="shared" si="39"/>
        <v/>
      </c>
      <c r="H289" s="48" t="str">
        <f t="shared" si="35"/>
        <v/>
      </c>
    </row>
    <row r="290" spans="1:8" x14ac:dyDescent="0.25">
      <c r="A290" t="str">
        <f t="shared" si="33"/>
        <v/>
      </c>
      <c r="B290" s="44" t="str">
        <f t="shared" si="36"/>
        <v/>
      </c>
      <c r="C290" s="48" t="str">
        <f t="shared" si="37"/>
        <v/>
      </c>
      <c r="D290" s="48" t="str">
        <f t="shared" si="34"/>
        <v/>
      </c>
      <c r="E290" s="48"/>
      <c r="F290" s="48" t="str">
        <f t="shared" si="38"/>
        <v/>
      </c>
      <c r="G290" s="48" t="str">
        <f t="shared" si="39"/>
        <v/>
      </c>
      <c r="H290" s="48" t="str">
        <f t="shared" si="35"/>
        <v/>
      </c>
    </row>
    <row r="291" spans="1:8" x14ac:dyDescent="0.25">
      <c r="A291" t="str">
        <f t="shared" si="33"/>
        <v/>
      </c>
      <c r="B291" s="44" t="str">
        <f t="shared" si="36"/>
        <v/>
      </c>
      <c r="C291" s="48" t="str">
        <f t="shared" si="37"/>
        <v/>
      </c>
      <c r="D291" s="48" t="str">
        <f t="shared" si="34"/>
        <v/>
      </c>
      <c r="E291" s="48"/>
      <c r="F291" s="48" t="str">
        <f t="shared" si="38"/>
        <v/>
      </c>
      <c r="G291" s="48" t="str">
        <f t="shared" si="39"/>
        <v/>
      </c>
      <c r="H291" s="48" t="str">
        <f t="shared" si="35"/>
        <v/>
      </c>
    </row>
    <row r="292" spans="1:8" x14ac:dyDescent="0.25">
      <c r="A292" t="str">
        <f t="shared" si="33"/>
        <v/>
      </c>
      <c r="B292" s="44" t="str">
        <f t="shared" si="36"/>
        <v/>
      </c>
      <c r="C292" s="48" t="str">
        <f t="shared" si="37"/>
        <v/>
      </c>
      <c r="D292" s="48" t="str">
        <f t="shared" si="34"/>
        <v/>
      </c>
      <c r="E292" s="48"/>
      <c r="F292" s="48" t="str">
        <f t="shared" si="38"/>
        <v/>
      </c>
      <c r="G292" s="48" t="str">
        <f t="shared" si="39"/>
        <v/>
      </c>
      <c r="H292" s="48" t="str">
        <f t="shared" si="35"/>
        <v/>
      </c>
    </row>
    <row r="293" spans="1:8" x14ac:dyDescent="0.25">
      <c r="A293" t="str">
        <f t="shared" si="33"/>
        <v/>
      </c>
      <c r="B293" s="44" t="str">
        <f t="shared" si="36"/>
        <v/>
      </c>
      <c r="C293" s="48" t="str">
        <f t="shared" si="37"/>
        <v/>
      </c>
      <c r="D293" s="48" t="str">
        <f t="shared" si="34"/>
        <v/>
      </c>
      <c r="E293" s="48"/>
      <c r="F293" s="48" t="str">
        <f t="shared" si="38"/>
        <v/>
      </c>
      <c r="G293" s="48" t="str">
        <f t="shared" si="39"/>
        <v/>
      </c>
      <c r="H293" s="48" t="str">
        <f t="shared" si="35"/>
        <v/>
      </c>
    </row>
    <row r="294" spans="1:8" x14ac:dyDescent="0.25">
      <c r="A294" t="str">
        <f t="shared" si="33"/>
        <v/>
      </c>
      <c r="B294" s="44" t="str">
        <f t="shared" si="36"/>
        <v/>
      </c>
      <c r="C294" s="48" t="str">
        <f t="shared" si="37"/>
        <v/>
      </c>
      <c r="D294" s="48" t="str">
        <f t="shared" si="34"/>
        <v/>
      </c>
      <c r="E294" s="48"/>
      <c r="F294" s="48" t="str">
        <f t="shared" si="38"/>
        <v/>
      </c>
      <c r="G294" s="48" t="str">
        <f t="shared" si="39"/>
        <v/>
      </c>
      <c r="H294" s="48" t="str">
        <f t="shared" si="35"/>
        <v/>
      </c>
    </row>
    <row r="295" spans="1:8" x14ac:dyDescent="0.25">
      <c r="A295" t="str">
        <f t="shared" si="33"/>
        <v/>
      </c>
      <c r="B295" s="44" t="str">
        <f t="shared" si="36"/>
        <v/>
      </c>
      <c r="C295" s="48" t="str">
        <f t="shared" si="37"/>
        <v/>
      </c>
      <c r="D295" s="48" t="str">
        <f t="shared" si="34"/>
        <v/>
      </c>
      <c r="E295" s="48"/>
      <c r="F295" s="48" t="str">
        <f t="shared" si="38"/>
        <v/>
      </c>
      <c r="G295" s="48" t="str">
        <f t="shared" si="39"/>
        <v/>
      </c>
      <c r="H295" s="48" t="str">
        <f t="shared" si="35"/>
        <v/>
      </c>
    </row>
    <row r="296" spans="1:8" x14ac:dyDescent="0.25">
      <c r="A296" t="str">
        <f t="shared" si="33"/>
        <v/>
      </c>
      <c r="B296" s="44" t="str">
        <f t="shared" si="36"/>
        <v/>
      </c>
      <c r="C296" s="48" t="str">
        <f t="shared" si="37"/>
        <v/>
      </c>
      <c r="D296" s="48" t="str">
        <f t="shared" si="34"/>
        <v/>
      </c>
      <c r="E296" s="48"/>
      <c r="F296" s="48" t="str">
        <f t="shared" si="38"/>
        <v/>
      </c>
      <c r="G296" s="48" t="str">
        <f t="shared" si="39"/>
        <v/>
      </c>
      <c r="H296" s="48" t="str">
        <f t="shared" si="35"/>
        <v/>
      </c>
    </row>
    <row r="297" spans="1:8" x14ac:dyDescent="0.25">
      <c r="A297" t="str">
        <f t="shared" si="33"/>
        <v/>
      </c>
      <c r="B297" s="44" t="str">
        <f t="shared" si="36"/>
        <v/>
      </c>
      <c r="C297" s="48" t="str">
        <f t="shared" si="37"/>
        <v/>
      </c>
      <c r="D297" s="48" t="str">
        <f t="shared" si="34"/>
        <v/>
      </c>
      <c r="E297" s="48"/>
      <c r="F297" s="48" t="str">
        <f t="shared" si="38"/>
        <v/>
      </c>
      <c r="G297" s="48" t="str">
        <f t="shared" si="39"/>
        <v/>
      </c>
      <c r="H297" s="48" t="str">
        <f t="shared" si="35"/>
        <v/>
      </c>
    </row>
    <row r="298" spans="1:8" x14ac:dyDescent="0.25">
      <c r="A298" t="str">
        <f t="shared" si="33"/>
        <v/>
      </c>
      <c r="B298" s="44" t="str">
        <f t="shared" si="36"/>
        <v/>
      </c>
      <c r="C298" s="48" t="str">
        <f t="shared" si="37"/>
        <v/>
      </c>
      <c r="D298" s="48" t="str">
        <f t="shared" si="34"/>
        <v/>
      </c>
      <c r="E298" s="48"/>
      <c r="F298" s="48" t="str">
        <f t="shared" si="38"/>
        <v/>
      </c>
      <c r="G298" s="48" t="str">
        <f t="shared" si="39"/>
        <v/>
      </c>
      <c r="H298" s="48" t="str">
        <f t="shared" si="35"/>
        <v/>
      </c>
    </row>
    <row r="299" spans="1:8" x14ac:dyDescent="0.25">
      <c r="A299" t="str">
        <f t="shared" si="33"/>
        <v/>
      </c>
      <c r="B299" s="44" t="str">
        <f t="shared" si="36"/>
        <v/>
      </c>
      <c r="C299" s="48" t="str">
        <f t="shared" si="37"/>
        <v/>
      </c>
      <c r="D299" s="48" t="str">
        <f t="shared" si="34"/>
        <v/>
      </c>
      <c r="E299" s="48"/>
      <c r="F299" s="48" t="str">
        <f t="shared" si="38"/>
        <v/>
      </c>
      <c r="G299" s="48" t="str">
        <f t="shared" si="39"/>
        <v/>
      </c>
      <c r="H299" s="48" t="str">
        <f t="shared" si="35"/>
        <v/>
      </c>
    </row>
    <row r="300" spans="1:8" x14ac:dyDescent="0.25">
      <c r="A300" t="str">
        <f t="shared" si="33"/>
        <v/>
      </c>
      <c r="B300" s="44" t="str">
        <f t="shared" si="36"/>
        <v/>
      </c>
      <c r="C300" s="48" t="str">
        <f t="shared" si="37"/>
        <v/>
      </c>
      <c r="D300" s="48" t="str">
        <f t="shared" si="34"/>
        <v/>
      </c>
      <c r="E300" s="48"/>
      <c r="F300" s="48" t="str">
        <f t="shared" si="38"/>
        <v/>
      </c>
      <c r="G300" s="48" t="str">
        <f t="shared" si="39"/>
        <v/>
      </c>
      <c r="H300" s="48" t="str">
        <f t="shared" si="35"/>
        <v/>
      </c>
    </row>
    <row r="301" spans="1:8" x14ac:dyDescent="0.25">
      <c r="A301" t="str">
        <f t="shared" si="33"/>
        <v/>
      </c>
      <c r="B301" s="44" t="str">
        <f t="shared" si="36"/>
        <v/>
      </c>
      <c r="C301" s="48" t="str">
        <f t="shared" si="37"/>
        <v/>
      </c>
      <c r="D301" s="48" t="str">
        <f t="shared" si="34"/>
        <v/>
      </c>
      <c r="E301" s="48"/>
      <c r="F301" s="48" t="str">
        <f t="shared" si="38"/>
        <v/>
      </c>
      <c r="G301" s="48" t="str">
        <f t="shared" si="39"/>
        <v/>
      </c>
      <c r="H301" s="48" t="str">
        <f t="shared" si="35"/>
        <v/>
      </c>
    </row>
    <row r="302" spans="1:8" x14ac:dyDescent="0.25">
      <c r="A302" t="str">
        <f t="shared" si="33"/>
        <v/>
      </c>
      <c r="B302" s="44" t="str">
        <f t="shared" si="36"/>
        <v/>
      </c>
      <c r="C302" s="48" t="str">
        <f t="shared" si="37"/>
        <v/>
      </c>
      <c r="D302" s="48" t="str">
        <f t="shared" si="34"/>
        <v/>
      </c>
      <c r="E302" s="48"/>
      <c r="F302" s="48" t="str">
        <f t="shared" si="38"/>
        <v/>
      </c>
      <c r="G302" s="48" t="str">
        <f t="shared" si="39"/>
        <v/>
      </c>
      <c r="H302" s="48" t="str">
        <f t="shared" si="35"/>
        <v/>
      </c>
    </row>
    <row r="303" spans="1:8" x14ac:dyDescent="0.25">
      <c r="A303" t="str">
        <f t="shared" si="33"/>
        <v/>
      </c>
      <c r="B303" s="44" t="str">
        <f t="shared" si="36"/>
        <v/>
      </c>
      <c r="C303" s="48" t="str">
        <f t="shared" si="37"/>
        <v/>
      </c>
      <c r="D303" s="48" t="str">
        <f t="shared" si="34"/>
        <v/>
      </c>
      <c r="E303" s="48"/>
      <c r="F303" s="48" t="str">
        <f t="shared" si="38"/>
        <v/>
      </c>
      <c r="G303" s="48" t="str">
        <f t="shared" si="39"/>
        <v/>
      </c>
      <c r="H303" s="48" t="str">
        <f t="shared" si="35"/>
        <v/>
      </c>
    </row>
    <row r="304" spans="1:8" x14ac:dyDescent="0.25">
      <c r="A304" t="str">
        <f t="shared" si="33"/>
        <v/>
      </c>
      <c r="B304" s="44" t="str">
        <f t="shared" si="36"/>
        <v/>
      </c>
      <c r="C304" s="48" t="str">
        <f t="shared" si="37"/>
        <v/>
      </c>
      <c r="D304" s="48" t="str">
        <f t="shared" si="34"/>
        <v/>
      </c>
      <c r="E304" s="48"/>
      <c r="F304" s="48" t="str">
        <f t="shared" si="38"/>
        <v/>
      </c>
      <c r="G304" s="48" t="str">
        <f t="shared" si="39"/>
        <v/>
      </c>
      <c r="H304" s="48" t="str">
        <f t="shared" si="35"/>
        <v/>
      </c>
    </row>
    <row r="305" spans="1:8" x14ac:dyDescent="0.25">
      <c r="A305" t="str">
        <f t="shared" si="33"/>
        <v/>
      </c>
      <c r="B305" s="44" t="str">
        <f t="shared" si="36"/>
        <v/>
      </c>
      <c r="C305" s="48" t="str">
        <f t="shared" si="37"/>
        <v/>
      </c>
      <c r="D305" s="48" t="str">
        <f t="shared" si="34"/>
        <v/>
      </c>
      <c r="E305" s="48"/>
      <c r="F305" s="48" t="str">
        <f t="shared" si="38"/>
        <v/>
      </c>
      <c r="G305" s="48" t="str">
        <f t="shared" si="39"/>
        <v/>
      </c>
      <c r="H305" s="48" t="str">
        <f t="shared" si="35"/>
        <v/>
      </c>
    </row>
    <row r="306" spans="1:8" x14ac:dyDescent="0.25">
      <c r="A306" t="str">
        <f t="shared" si="33"/>
        <v/>
      </c>
      <c r="B306" s="44" t="str">
        <f t="shared" si="36"/>
        <v/>
      </c>
      <c r="C306" s="48" t="str">
        <f t="shared" si="37"/>
        <v/>
      </c>
      <c r="D306" s="48" t="str">
        <f t="shared" si="34"/>
        <v/>
      </c>
      <c r="E306" s="48"/>
      <c r="F306" s="48" t="str">
        <f t="shared" si="38"/>
        <v/>
      </c>
      <c r="G306" s="48" t="str">
        <f t="shared" si="39"/>
        <v/>
      </c>
      <c r="H306" s="48" t="str">
        <f t="shared" si="35"/>
        <v/>
      </c>
    </row>
    <row r="307" spans="1:8" x14ac:dyDescent="0.25">
      <c r="A307" t="str">
        <f t="shared" si="33"/>
        <v/>
      </c>
      <c r="B307" s="44" t="str">
        <f t="shared" si="36"/>
        <v/>
      </c>
      <c r="C307" s="48" t="str">
        <f t="shared" si="37"/>
        <v/>
      </c>
      <c r="D307" s="48" t="str">
        <f t="shared" si="34"/>
        <v/>
      </c>
      <c r="E307" s="48"/>
      <c r="F307" s="48" t="str">
        <f t="shared" si="38"/>
        <v/>
      </c>
      <c r="G307" s="48" t="str">
        <f t="shared" si="39"/>
        <v/>
      </c>
      <c r="H307" s="48" t="str">
        <f t="shared" si="35"/>
        <v/>
      </c>
    </row>
    <row r="308" spans="1:8" x14ac:dyDescent="0.25">
      <c r="A308" t="str">
        <f t="shared" si="33"/>
        <v/>
      </c>
      <c r="B308" s="44" t="str">
        <f t="shared" si="36"/>
        <v/>
      </c>
      <c r="C308" s="48" t="str">
        <f t="shared" si="37"/>
        <v/>
      </c>
      <c r="D308" s="48" t="str">
        <f t="shared" si="34"/>
        <v/>
      </c>
      <c r="E308" s="48"/>
      <c r="F308" s="48" t="str">
        <f t="shared" si="38"/>
        <v/>
      </c>
      <c r="G308" s="48" t="str">
        <f t="shared" si="39"/>
        <v/>
      </c>
      <c r="H308" s="48" t="str">
        <f t="shared" si="35"/>
        <v/>
      </c>
    </row>
    <row r="309" spans="1:8" x14ac:dyDescent="0.25">
      <c r="A309" t="str">
        <f t="shared" si="33"/>
        <v/>
      </c>
      <c r="B309" s="44" t="str">
        <f t="shared" si="36"/>
        <v/>
      </c>
      <c r="C309" s="48" t="str">
        <f t="shared" si="37"/>
        <v/>
      </c>
      <c r="D309" s="48" t="str">
        <f t="shared" si="34"/>
        <v/>
      </c>
      <c r="E309" s="48"/>
      <c r="F309" s="48" t="str">
        <f t="shared" si="38"/>
        <v/>
      </c>
      <c r="G309" s="48" t="str">
        <f t="shared" si="39"/>
        <v/>
      </c>
      <c r="H309" s="48" t="str">
        <f t="shared" si="35"/>
        <v/>
      </c>
    </row>
    <row r="310" spans="1:8" x14ac:dyDescent="0.25">
      <c r="A310" t="str">
        <f t="shared" si="33"/>
        <v/>
      </c>
      <c r="B310" s="44" t="str">
        <f t="shared" si="36"/>
        <v/>
      </c>
      <c r="C310" s="48" t="str">
        <f t="shared" si="37"/>
        <v/>
      </c>
      <c r="D310" s="48" t="str">
        <f t="shared" si="34"/>
        <v/>
      </c>
      <c r="E310" s="48"/>
      <c r="F310" s="48" t="str">
        <f t="shared" si="38"/>
        <v/>
      </c>
      <c r="G310" s="48" t="str">
        <f t="shared" si="39"/>
        <v/>
      </c>
      <c r="H310" s="48" t="str">
        <f t="shared" si="35"/>
        <v/>
      </c>
    </row>
    <row r="311" spans="1:8" x14ac:dyDescent="0.25">
      <c r="A311" t="str">
        <f t="shared" si="33"/>
        <v/>
      </c>
      <c r="B311" s="44" t="str">
        <f t="shared" si="36"/>
        <v/>
      </c>
      <c r="C311" s="48" t="str">
        <f t="shared" si="37"/>
        <v/>
      </c>
      <c r="D311" s="48" t="str">
        <f t="shared" si="34"/>
        <v/>
      </c>
      <c r="E311" s="48"/>
      <c r="F311" s="48" t="str">
        <f t="shared" si="38"/>
        <v/>
      </c>
      <c r="G311" s="48" t="str">
        <f t="shared" si="39"/>
        <v/>
      </c>
      <c r="H311" s="48" t="str">
        <f t="shared" si="35"/>
        <v/>
      </c>
    </row>
    <row r="312" spans="1:8" x14ac:dyDescent="0.25">
      <c r="A312" t="str">
        <f t="shared" si="33"/>
        <v/>
      </c>
      <c r="B312" s="44" t="str">
        <f t="shared" si="36"/>
        <v/>
      </c>
      <c r="C312" s="48" t="str">
        <f t="shared" si="37"/>
        <v/>
      </c>
      <c r="D312" s="48" t="str">
        <f t="shared" si="34"/>
        <v/>
      </c>
      <c r="E312" s="48"/>
      <c r="F312" s="48" t="str">
        <f t="shared" si="38"/>
        <v/>
      </c>
      <c r="G312" s="48" t="str">
        <f t="shared" si="39"/>
        <v/>
      </c>
      <c r="H312" s="48" t="str">
        <f t="shared" si="35"/>
        <v/>
      </c>
    </row>
    <row r="313" spans="1:8" x14ac:dyDescent="0.25">
      <c r="A313" t="str">
        <f t="shared" si="33"/>
        <v/>
      </c>
      <c r="B313" s="44" t="str">
        <f t="shared" si="36"/>
        <v/>
      </c>
      <c r="C313" s="48" t="str">
        <f t="shared" si="37"/>
        <v/>
      </c>
      <c r="D313" s="48" t="str">
        <f t="shared" si="34"/>
        <v/>
      </c>
      <c r="E313" s="48"/>
      <c r="F313" s="48" t="str">
        <f t="shared" si="38"/>
        <v/>
      </c>
      <c r="G313" s="48" t="str">
        <f t="shared" si="39"/>
        <v/>
      </c>
      <c r="H313" s="48" t="str">
        <f t="shared" si="35"/>
        <v/>
      </c>
    </row>
    <row r="314" spans="1:8" x14ac:dyDescent="0.25">
      <c r="A314" t="str">
        <f t="shared" si="33"/>
        <v/>
      </c>
      <c r="B314" s="44" t="str">
        <f t="shared" si="36"/>
        <v/>
      </c>
      <c r="C314" s="48" t="str">
        <f t="shared" si="37"/>
        <v/>
      </c>
      <c r="D314" s="48" t="str">
        <f t="shared" si="34"/>
        <v/>
      </c>
      <c r="E314" s="48"/>
      <c r="F314" s="48" t="str">
        <f t="shared" si="38"/>
        <v/>
      </c>
      <c r="G314" s="48" t="str">
        <f t="shared" si="39"/>
        <v/>
      </c>
      <c r="H314" s="48" t="str">
        <f t="shared" si="35"/>
        <v/>
      </c>
    </row>
    <row r="315" spans="1:8" x14ac:dyDescent="0.25">
      <c r="A315" t="str">
        <f t="shared" si="33"/>
        <v/>
      </c>
      <c r="B315" s="44" t="str">
        <f t="shared" si="36"/>
        <v/>
      </c>
      <c r="C315" s="48" t="str">
        <f t="shared" si="37"/>
        <v/>
      </c>
      <c r="D315" s="48" t="str">
        <f t="shared" si="34"/>
        <v/>
      </c>
      <c r="E315" s="48"/>
      <c r="F315" s="48" t="str">
        <f t="shared" si="38"/>
        <v/>
      </c>
      <c r="G315" s="48" t="str">
        <f t="shared" si="39"/>
        <v/>
      </c>
      <c r="H315" s="48" t="str">
        <f t="shared" si="35"/>
        <v/>
      </c>
    </row>
    <row r="316" spans="1:8" x14ac:dyDescent="0.25">
      <c r="A316" t="str">
        <f t="shared" si="33"/>
        <v/>
      </c>
      <c r="B316" s="44" t="str">
        <f t="shared" si="36"/>
        <v/>
      </c>
      <c r="C316" s="48" t="str">
        <f t="shared" si="37"/>
        <v/>
      </c>
      <c r="D316" s="48" t="str">
        <f t="shared" si="34"/>
        <v/>
      </c>
      <c r="E316" s="48"/>
      <c r="F316" s="48" t="str">
        <f t="shared" si="38"/>
        <v/>
      </c>
      <c r="G316" s="48" t="str">
        <f t="shared" si="39"/>
        <v/>
      </c>
      <c r="H316" s="48" t="str">
        <f t="shared" si="35"/>
        <v/>
      </c>
    </row>
    <row r="317" spans="1:8" x14ac:dyDescent="0.25">
      <c r="A317" t="str">
        <f t="shared" si="33"/>
        <v/>
      </c>
      <c r="B317" s="44" t="str">
        <f t="shared" si="36"/>
        <v/>
      </c>
      <c r="C317" s="48" t="str">
        <f t="shared" si="37"/>
        <v/>
      </c>
      <c r="D317" s="48" t="str">
        <f t="shared" si="34"/>
        <v/>
      </c>
      <c r="E317" s="48"/>
      <c r="F317" s="48" t="str">
        <f t="shared" si="38"/>
        <v/>
      </c>
      <c r="G317" s="48" t="str">
        <f t="shared" si="39"/>
        <v/>
      </c>
      <c r="H317" s="48" t="str">
        <f t="shared" si="35"/>
        <v/>
      </c>
    </row>
    <row r="318" spans="1:8" x14ac:dyDescent="0.25">
      <c r="A318" t="str">
        <f t="shared" si="33"/>
        <v/>
      </c>
      <c r="B318" s="44" t="str">
        <f t="shared" si="36"/>
        <v/>
      </c>
      <c r="C318" s="48" t="str">
        <f t="shared" si="37"/>
        <v/>
      </c>
      <c r="D318" s="48" t="str">
        <f t="shared" si="34"/>
        <v/>
      </c>
      <c r="E318" s="48"/>
      <c r="F318" s="48" t="str">
        <f t="shared" si="38"/>
        <v/>
      </c>
      <c r="G318" s="48" t="str">
        <f t="shared" si="39"/>
        <v/>
      </c>
      <c r="H318" s="48" t="str">
        <f t="shared" si="35"/>
        <v/>
      </c>
    </row>
    <row r="319" spans="1:8" x14ac:dyDescent="0.25">
      <c r="A319" t="str">
        <f t="shared" si="33"/>
        <v/>
      </c>
      <c r="B319" s="44" t="str">
        <f t="shared" si="36"/>
        <v/>
      </c>
      <c r="C319" s="48" t="str">
        <f t="shared" si="37"/>
        <v/>
      </c>
      <c r="D319" s="48" t="str">
        <f t="shared" si="34"/>
        <v/>
      </c>
      <c r="E319" s="48"/>
      <c r="F319" s="48" t="str">
        <f t="shared" si="38"/>
        <v/>
      </c>
      <c r="G319" s="48" t="str">
        <f t="shared" si="39"/>
        <v/>
      </c>
      <c r="H319" s="48" t="str">
        <f t="shared" si="35"/>
        <v/>
      </c>
    </row>
    <row r="320" spans="1:8" x14ac:dyDescent="0.25">
      <c r="A320" t="str">
        <f t="shared" si="33"/>
        <v/>
      </c>
      <c r="B320" s="44" t="str">
        <f t="shared" si="36"/>
        <v/>
      </c>
      <c r="C320" s="48" t="str">
        <f t="shared" si="37"/>
        <v/>
      </c>
      <c r="D320" s="48" t="str">
        <f t="shared" si="34"/>
        <v/>
      </c>
      <c r="E320" s="48"/>
      <c r="F320" s="48" t="str">
        <f t="shared" si="38"/>
        <v/>
      </c>
      <c r="G320" s="48" t="str">
        <f t="shared" si="39"/>
        <v/>
      </c>
      <c r="H320" s="48" t="str">
        <f t="shared" si="35"/>
        <v/>
      </c>
    </row>
    <row r="321" spans="1:8" x14ac:dyDescent="0.25">
      <c r="A321" t="str">
        <f t="shared" si="33"/>
        <v/>
      </c>
      <c r="B321" s="44" t="str">
        <f t="shared" si="36"/>
        <v/>
      </c>
      <c r="C321" s="48" t="str">
        <f t="shared" si="37"/>
        <v/>
      </c>
      <c r="D321" s="48" t="str">
        <f t="shared" si="34"/>
        <v/>
      </c>
      <c r="E321" s="48"/>
      <c r="F321" s="48" t="str">
        <f t="shared" si="38"/>
        <v/>
      </c>
      <c r="G321" s="48" t="str">
        <f t="shared" si="39"/>
        <v/>
      </c>
      <c r="H321" s="48" t="str">
        <f t="shared" si="35"/>
        <v/>
      </c>
    </row>
    <row r="322" spans="1:8" x14ac:dyDescent="0.25">
      <c r="A322" t="str">
        <f t="shared" si="33"/>
        <v/>
      </c>
      <c r="B322" s="44" t="str">
        <f t="shared" si="36"/>
        <v/>
      </c>
      <c r="C322" s="48" t="str">
        <f t="shared" si="37"/>
        <v/>
      </c>
      <c r="D322" s="48" t="str">
        <f t="shared" si="34"/>
        <v/>
      </c>
      <c r="E322" s="48"/>
      <c r="F322" s="48" t="str">
        <f t="shared" si="38"/>
        <v/>
      </c>
      <c r="G322" s="48" t="str">
        <f t="shared" si="39"/>
        <v/>
      </c>
      <c r="H322" s="48" t="str">
        <f t="shared" si="35"/>
        <v/>
      </c>
    </row>
    <row r="323" spans="1:8" x14ac:dyDescent="0.25">
      <c r="A323" t="str">
        <f t="shared" si="33"/>
        <v/>
      </c>
      <c r="B323" s="44" t="str">
        <f t="shared" si="36"/>
        <v/>
      </c>
      <c r="C323" s="48" t="str">
        <f t="shared" si="37"/>
        <v/>
      </c>
      <c r="D323" s="48" t="str">
        <f t="shared" si="34"/>
        <v/>
      </c>
      <c r="E323" s="48"/>
      <c r="F323" s="48" t="str">
        <f t="shared" si="38"/>
        <v/>
      </c>
      <c r="G323" s="48" t="str">
        <f t="shared" si="39"/>
        <v/>
      </c>
      <c r="H323" s="48" t="str">
        <f t="shared" si="35"/>
        <v/>
      </c>
    </row>
    <row r="324" spans="1:8" x14ac:dyDescent="0.25">
      <c r="A324" t="str">
        <f t="shared" si="33"/>
        <v/>
      </c>
      <c r="B324" s="44" t="str">
        <f t="shared" si="36"/>
        <v/>
      </c>
      <c r="C324" s="48" t="str">
        <f t="shared" si="37"/>
        <v/>
      </c>
      <c r="D324" s="48" t="str">
        <f t="shared" si="34"/>
        <v/>
      </c>
      <c r="E324" s="48"/>
      <c r="F324" s="48" t="str">
        <f t="shared" si="38"/>
        <v/>
      </c>
      <c r="G324" s="48" t="str">
        <f t="shared" si="39"/>
        <v/>
      </c>
      <c r="H324" s="48" t="str">
        <f t="shared" si="35"/>
        <v/>
      </c>
    </row>
    <row r="325" spans="1:8" x14ac:dyDescent="0.25">
      <c r="A325" t="str">
        <f t="shared" si="33"/>
        <v/>
      </c>
      <c r="B325" s="44" t="str">
        <f t="shared" si="36"/>
        <v/>
      </c>
      <c r="C325" s="48" t="str">
        <f t="shared" si="37"/>
        <v/>
      </c>
      <c r="D325" s="48" t="str">
        <f t="shared" si="34"/>
        <v/>
      </c>
      <c r="E325" s="48"/>
      <c r="F325" s="48" t="str">
        <f t="shared" si="38"/>
        <v/>
      </c>
      <c r="G325" s="48" t="str">
        <f t="shared" si="39"/>
        <v/>
      </c>
      <c r="H325" s="48" t="str">
        <f t="shared" si="35"/>
        <v/>
      </c>
    </row>
    <row r="326" spans="1:8" x14ac:dyDescent="0.25">
      <c r="A326" t="str">
        <f t="shared" si="33"/>
        <v/>
      </c>
      <c r="B326" s="44" t="str">
        <f t="shared" si="36"/>
        <v/>
      </c>
      <c r="C326" s="48" t="str">
        <f t="shared" si="37"/>
        <v/>
      </c>
      <c r="D326" s="48" t="str">
        <f t="shared" si="34"/>
        <v/>
      </c>
      <c r="E326" s="48"/>
      <c r="F326" s="48" t="str">
        <f t="shared" si="38"/>
        <v/>
      </c>
      <c r="G326" s="48" t="str">
        <f t="shared" si="39"/>
        <v/>
      </c>
      <c r="H326" s="48" t="str">
        <f t="shared" si="35"/>
        <v/>
      </c>
    </row>
    <row r="327" spans="1:8" x14ac:dyDescent="0.25">
      <c r="A327" t="str">
        <f t="shared" si="33"/>
        <v/>
      </c>
      <c r="B327" s="44" t="str">
        <f t="shared" si="36"/>
        <v/>
      </c>
      <c r="C327" s="48" t="str">
        <f t="shared" si="37"/>
        <v/>
      </c>
      <c r="D327" s="48" t="str">
        <f t="shared" si="34"/>
        <v/>
      </c>
      <c r="E327" s="48"/>
      <c r="F327" s="48" t="str">
        <f t="shared" si="38"/>
        <v/>
      </c>
      <c r="G327" s="48" t="str">
        <f t="shared" si="39"/>
        <v/>
      </c>
      <c r="H327" s="48" t="str">
        <f t="shared" si="35"/>
        <v/>
      </c>
    </row>
    <row r="328" spans="1:8" x14ac:dyDescent="0.25">
      <c r="A328" t="str">
        <f t="shared" si="33"/>
        <v/>
      </c>
      <c r="B328" s="44" t="str">
        <f t="shared" si="36"/>
        <v/>
      </c>
      <c r="C328" s="48" t="str">
        <f t="shared" si="37"/>
        <v/>
      </c>
      <c r="D328" s="48" t="str">
        <f t="shared" si="34"/>
        <v/>
      </c>
      <c r="E328" s="48"/>
      <c r="F328" s="48" t="str">
        <f t="shared" si="38"/>
        <v/>
      </c>
      <c r="G328" s="48" t="str">
        <f t="shared" si="39"/>
        <v/>
      </c>
      <c r="H328" s="48" t="str">
        <f t="shared" si="35"/>
        <v/>
      </c>
    </row>
    <row r="329" spans="1:8" x14ac:dyDescent="0.25">
      <c r="A329" t="str">
        <f t="shared" si="33"/>
        <v/>
      </c>
      <c r="B329" s="44" t="str">
        <f t="shared" si="36"/>
        <v/>
      </c>
      <c r="C329" s="48" t="str">
        <f t="shared" si="37"/>
        <v/>
      </c>
      <c r="D329" s="48" t="str">
        <f t="shared" si="34"/>
        <v/>
      </c>
      <c r="E329" s="48"/>
      <c r="F329" s="48" t="str">
        <f t="shared" si="38"/>
        <v/>
      </c>
      <c r="G329" s="48" t="str">
        <f t="shared" si="39"/>
        <v/>
      </c>
      <c r="H329" s="48" t="str">
        <f t="shared" si="35"/>
        <v/>
      </c>
    </row>
    <row r="330" spans="1:8" x14ac:dyDescent="0.25">
      <c r="A330" t="str">
        <f t="shared" si="33"/>
        <v/>
      </c>
      <c r="B330" s="44" t="str">
        <f t="shared" si="36"/>
        <v/>
      </c>
      <c r="C330" s="48" t="str">
        <f t="shared" si="37"/>
        <v/>
      </c>
      <c r="D330" s="48" t="str">
        <f t="shared" si="34"/>
        <v/>
      </c>
      <c r="E330" s="48"/>
      <c r="F330" s="48" t="str">
        <f t="shared" si="38"/>
        <v/>
      </c>
      <c r="G330" s="48" t="str">
        <f t="shared" si="39"/>
        <v/>
      </c>
      <c r="H330" s="48" t="str">
        <f t="shared" si="35"/>
        <v/>
      </c>
    </row>
    <row r="331" spans="1:8" x14ac:dyDescent="0.25">
      <c r="A331" t="str">
        <f t="shared" ref="A331:A367" si="40">IF(OR(F330&lt;0.01,A330=""), "",A330+1)</f>
        <v/>
      </c>
      <c r="B331" s="44" t="str">
        <f t="shared" si="36"/>
        <v/>
      </c>
      <c r="C331" s="48" t="str">
        <f t="shared" si="37"/>
        <v/>
      </c>
      <c r="D331" s="48" t="str">
        <f t="shared" ref="D331:D367" si="41">IF(A331="", "",F330*$G$1)</f>
        <v/>
      </c>
      <c r="E331" s="48"/>
      <c r="F331" s="48" t="str">
        <f t="shared" si="38"/>
        <v/>
      </c>
      <c r="G331" s="48" t="str">
        <f t="shared" si="39"/>
        <v/>
      </c>
      <c r="H331" s="48" t="str">
        <f t="shared" ref="H331:H367" si="42">IF(A331="", "", H330+D331)</f>
        <v/>
      </c>
    </row>
    <row r="332" spans="1:8" x14ac:dyDescent="0.25">
      <c r="A332" t="str">
        <f t="shared" si="40"/>
        <v/>
      </c>
      <c r="B332" s="44" t="str">
        <f t="shared" si="36"/>
        <v/>
      </c>
      <c r="C332" s="48" t="str">
        <f t="shared" si="37"/>
        <v/>
      </c>
      <c r="D332" s="48" t="str">
        <f t="shared" si="41"/>
        <v/>
      </c>
      <c r="E332" s="48"/>
      <c r="F332" s="48" t="str">
        <f t="shared" si="38"/>
        <v/>
      </c>
      <c r="G332" s="48" t="str">
        <f t="shared" si="39"/>
        <v/>
      </c>
      <c r="H332" s="48" t="str">
        <f t="shared" si="42"/>
        <v/>
      </c>
    </row>
    <row r="333" spans="1:8" x14ac:dyDescent="0.25">
      <c r="A333" t="str">
        <f t="shared" si="40"/>
        <v/>
      </c>
      <c r="B333" s="44" t="str">
        <f t="shared" si="36"/>
        <v/>
      </c>
      <c r="C333" s="48" t="str">
        <f t="shared" si="37"/>
        <v/>
      </c>
      <c r="D333" s="48" t="str">
        <f t="shared" si="41"/>
        <v/>
      </c>
      <c r="E333" s="48"/>
      <c r="F333" s="48" t="str">
        <f t="shared" si="38"/>
        <v/>
      </c>
      <c r="G333" s="48" t="str">
        <f t="shared" si="39"/>
        <v/>
      </c>
      <c r="H333" s="48" t="str">
        <f t="shared" si="42"/>
        <v/>
      </c>
    </row>
    <row r="334" spans="1:8" x14ac:dyDescent="0.25">
      <c r="A334" t="str">
        <f t="shared" si="40"/>
        <v/>
      </c>
      <c r="B334" s="44" t="str">
        <f t="shared" si="36"/>
        <v/>
      </c>
      <c r="C334" s="48" t="str">
        <f t="shared" si="37"/>
        <v/>
      </c>
      <c r="D334" s="48" t="str">
        <f t="shared" si="41"/>
        <v/>
      </c>
      <c r="E334" s="48"/>
      <c r="F334" s="48" t="str">
        <f t="shared" si="38"/>
        <v/>
      </c>
      <c r="G334" s="48" t="str">
        <f t="shared" si="39"/>
        <v/>
      </c>
      <c r="H334" s="48" t="str">
        <f t="shared" si="42"/>
        <v/>
      </c>
    </row>
    <row r="335" spans="1:8" x14ac:dyDescent="0.25">
      <c r="A335" t="str">
        <f t="shared" si="40"/>
        <v/>
      </c>
      <c r="B335" s="44" t="str">
        <f t="shared" si="36"/>
        <v/>
      </c>
      <c r="C335" s="48" t="str">
        <f t="shared" si="37"/>
        <v/>
      </c>
      <c r="D335" s="48" t="str">
        <f t="shared" si="41"/>
        <v/>
      </c>
      <c r="E335" s="48"/>
      <c r="F335" s="48" t="str">
        <f t="shared" si="38"/>
        <v/>
      </c>
      <c r="G335" s="48" t="str">
        <f t="shared" si="39"/>
        <v/>
      </c>
      <c r="H335" s="48" t="str">
        <f t="shared" si="42"/>
        <v/>
      </c>
    </row>
    <row r="336" spans="1:8" x14ac:dyDescent="0.25">
      <c r="A336" t="str">
        <f t="shared" si="40"/>
        <v/>
      </c>
      <c r="B336" s="44" t="str">
        <f t="shared" si="36"/>
        <v/>
      </c>
      <c r="C336" s="48" t="str">
        <f t="shared" si="37"/>
        <v/>
      </c>
      <c r="D336" s="48" t="str">
        <f t="shared" si="41"/>
        <v/>
      </c>
      <c r="E336" s="48"/>
      <c r="F336" s="48" t="str">
        <f t="shared" si="38"/>
        <v/>
      </c>
      <c r="G336" s="48" t="str">
        <f t="shared" si="39"/>
        <v/>
      </c>
      <c r="H336" s="48" t="str">
        <f t="shared" si="42"/>
        <v/>
      </c>
    </row>
    <row r="337" spans="1:8" x14ac:dyDescent="0.25">
      <c r="A337" t="str">
        <f t="shared" si="40"/>
        <v/>
      </c>
      <c r="B337" s="44" t="str">
        <f t="shared" si="36"/>
        <v/>
      </c>
      <c r="C337" s="48" t="str">
        <f t="shared" si="37"/>
        <v/>
      </c>
      <c r="D337" s="48" t="str">
        <f t="shared" si="41"/>
        <v/>
      </c>
      <c r="E337" s="48"/>
      <c r="F337" s="48" t="str">
        <f t="shared" si="38"/>
        <v/>
      </c>
      <c r="G337" s="48" t="str">
        <f t="shared" si="39"/>
        <v/>
      </c>
      <c r="H337" s="48" t="str">
        <f t="shared" si="42"/>
        <v/>
      </c>
    </row>
    <row r="338" spans="1:8" x14ac:dyDescent="0.25">
      <c r="A338" t="str">
        <f t="shared" si="40"/>
        <v/>
      </c>
      <c r="B338" s="44" t="str">
        <f t="shared" si="36"/>
        <v/>
      </c>
      <c r="C338" s="48" t="str">
        <f t="shared" si="37"/>
        <v/>
      </c>
      <c r="D338" s="48" t="str">
        <f t="shared" si="41"/>
        <v/>
      </c>
      <c r="E338" s="48"/>
      <c r="F338" s="48" t="str">
        <f t="shared" si="38"/>
        <v/>
      </c>
      <c r="G338" s="48" t="str">
        <f t="shared" si="39"/>
        <v/>
      </c>
      <c r="H338" s="48" t="str">
        <f t="shared" si="42"/>
        <v/>
      </c>
    </row>
    <row r="339" spans="1:8" x14ac:dyDescent="0.25">
      <c r="A339" t="str">
        <f t="shared" si="40"/>
        <v/>
      </c>
      <c r="B339" s="44" t="str">
        <f t="shared" si="36"/>
        <v/>
      </c>
      <c r="C339" s="48" t="str">
        <f t="shared" si="37"/>
        <v/>
      </c>
      <c r="D339" s="48" t="str">
        <f t="shared" si="41"/>
        <v/>
      </c>
      <c r="E339" s="48"/>
      <c r="F339" s="48" t="str">
        <f t="shared" si="38"/>
        <v/>
      </c>
      <c r="G339" s="48" t="str">
        <f t="shared" si="39"/>
        <v/>
      </c>
      <c r="H339" s="48" t="str">
        <f t="shared" si="42"/>
        <v/>
      </c>
    </row>
    <row r="340" spans="1:8" x14ac:dyDescent="0.25">
      <c r="A340" t="str">
        <f t="shared" si="40"/>
        <v/>
      </c>
      <c r="B340" s="44" t="str">
        <f t="shared" ref="B340:B367" si="43">IF(OR(F339&lt;0.01,A340=""),"",IF(F339&lt;-$G$3,PMT($G$1,1,F339,0),$G$3))</f>
        <v/>
      </c>
      <c r="C340" s="48" t="str">
        <f t="shared" si="37"/>
        <v/>
      </c>
      <c r="D340" s="48" t="str">
        <f t="shared" si="41"/>
        <v/>
      </c>
      <c r="E340" s="48"/>
      <c r="F340" s="48" t="str">
        <f t="shared" si="38"/>
        <v/>
      </c>
      <c r="G340" s="48" t="str">
        <f t="shared" si="39"/>
        <v/>
      </c>
      <c r="H340" s="48" t="str">
        <f t="shared" si="42"/>
        <v/>
      </c>
    </row>
    <row r="341" spans="1:8" x14ac:dyDescent="0.25">
      <c r="A341" t="str">
        <f t="shared" si="40"/>
        <v/>
      </c>
      <c r="B341" s="44" t="str">
        <f t="shared" si="43"/>
        <v/>
      </c>
      <c r="C341" s="48" t="str">
        <f t="shared" ref="C341:C367" si="44">IF(A341="", "",-B341-D341+E341)</f>
        <v/>
      </c>
      <c r="D341" s="48" t="str">
        <f t="shared" si="41"/>
        <v/>
      </c>
      <c r="E341" s="48"/>
      <c r="F341" s="48" t="str">
        <f t="shared" ref="F341:F367" si="45">IF(A341="", "", F340-C341)</f>
        <v/>
      </c>
      <c r="G341" s="48" t="str">
        <f t="shared" ref="G341:G367" si="46">IF(A341="", "", G340+C341)</f>
        <v/>
      </c>
      <c r="H341" s="48" t="str">
        <f t="shared" si="42"/>
        <v/>
      </c>
    </row>
    <row r="342" spans="1:8" x14ac:dyDescent="0.25">
      <c r="A342" t="str">
        <f t="shared" si="40"/>
        <v/>
      </c>
      <c r="B342" s="44" t="str">
        <f t="shared" si="43"/>
        <v/>
      </c>
      <c r="C342" s="48" t="str">
        <f t="shared" si="44"/>
        <v/>
      </c>
      <c r="D342" s="48" t="str">
        <f t="shared" si="41"/>
        <v/>
      </c>
      <c r="E342" s="48"/>
      <c r="F342" s="48" t="str">
        <f t="shared" si="45"/>
        <v/>
      </c>
      <c r="G342" s="48" t="str">
        <f t="shared" si="46"/>
        <v/>
      </c>
      <c r="H342" s="48" t="str">
        <f t="shared" si="42"/>
        <v/>
      </c>
    </row>
    <row r="343" spans="1:8" x14ac:dyDescent="0.25">
      <c r="A343" t="str">
        <f t="shared" si="40"/>
        <v/>
      </c>
      <c r="B343" s="44" t="str">
        <f t="shared" si="43"/>
        <v/>
      </c>
      <c r="C343" s="48" t="str">
        <f t="shared" si="44"/>
        <v/>
      </c>
      <c r="D343" s="48" t="str">
        <f t="shared" si="41"/>
        <v/>
      </c>
      <c r="E343" s="48"/>
      <c r="F343" s="48" t="str">
        <f t="shared" si="45"/>
        <v/>
      </c>
      <c r="G343" s="48" t="str">
        <f t="shared" si="46"/>
        <v/>
      </c>
      <c r="H343" s="48" t="str">
        <f t="shared" si="42"/>
        <v/>
      </c>
    </row>
    <row r="344" spans="1:8" x14ac:dyDescent="0.25">
      <c r="A344" t="str">
        <f t="shared" si="40"/>
        <v/>
      </c>
      <c r="B344" s="44" t="str">
        <f t="shared" si="43"/>
        <v/>
      </c>
      <c r="C344" s="48" t="str">
        <f t="shared" si="44"/>
        <v/>
      </c>
      <c r="D344" s="48" t="str">
        <f t="shared" si="41"/>
        <v/>
      </c>
      <c r="E344" s="48"/>
      <c r="F344" s="48" t="str">
        <f t="shared" si="45"/>
        <v/>
      </c>
      <c r="G344" s="48" t="str">
        <f t="shared" si="46"/>
        <v/>
      </c>
      <c r="H344" s="48" t="str">
        <f t="shared" si="42"/>
        <v/>
      </c>
    </row>
    <row r="345" spans="1:8" x14ac:dyDescent="0.25">
      <c r="A345" t="str">
        <f t="shared" si="40"/>
        <v/>
      </c>
      <c r="B345" s="44" t="str">
        <f t="shared" si="43"/>
        <v/>
      </c>
      <c r="C345" s="48" t="str">
        <f t="shared" si="44"/>
        <v/>
      </c>
      <c r="D345" s="48" t="str">
        <f t="shared" si="41"/>
        <v/>
      </c>
      <c r="E345" s="48"/>
      <c r="F345" s="48" t="str">
        <f t="shared" si="45"/>
        <v/>
      </c>
      <c r="G345" s="48" t="str">
        <f t="shared" si="46"/>
        <v/>
      </c>
      <c r="H345" s="48" t="str">
        <f t="shared" si="42"/>
        <v/>
      </c>
    </row>
    <row r="346" spans="1:8" x14ac:dyDescent="0.25">
      <c r="A346" t="str">
        <f t="shared" si="40"/>
        <v/>
      </c>
      <c r="B346" s="44" t="str">
        <f t="shared" si="43"/>
        <v/>
      </c>
      <c r="C346" s="48" t="str">
        <f t="shared" si="44"/>
        <v/>
      </c>
      <c r="D346" s="48" t="str">
        <f t="shared" si="41"/>
        <v/>
      </c>
      <c r="E346" s="48"/>
      <c r="F346" s="48" t="str">
        <f t="shared" si="45"/>
        <v/>
      </c>
      <c r="G346" s="48" t="str">
        <f t="shared" si="46"/>
        <v/>
      </c>
      <c r="H346" s="48" t="str">
        <f t="shared" si="42"/>
        <v/>
      </c>
    </row>
    <row r="347" spans="1:8" x14ac:dyDescent="0.25">
      <c r="A347" t="str">
        <f t="shared" si="40"/>
        <v/>
      </c>
      <c r="B347" s="44" t="str">
        <f t="shared" si="43"/>
        <v/>
      </c>
      <c r="C347" s="48" t="str">
        <f t="shared" si="44"/>
        <v/>
      </c>
      <c r="D347" s="48" t="str">
        <f t="shared" si="41"/>
        <v/>
      </c>
      <c r="E347" s="48"/>
      <c r="F347" s="48" t="str">
        <f t="shared" si="45"/>
        <v/>
      </c>
      <c r="G347" s="48" t="str">
        <f t="shared" si="46"/>
        <v/>
      </c>
      <c r="H347" s="48" t="str">
        <f t="shared" si="42"/>
        <v/>
      </c>
    </row>
    <row r="348" spans="1:8" x14ac:dyDescent="0.25">
      <c r="A348" t="str">
        <f t="shared" si="40"/>
        <v/>
      </c>
      <c r="B348" s="44" t="str">
        <f t="shared" si="43"/>
        <v/>
      </c>
      <c r="C348" s="48" t="str">
        <f t="shared" si="44"/>
        <v/>
      </c>
      <c r="D348" s="48" t="str">
        <f t="shared" si="41"/>
        <v/>
      </c>
      <c r="E348" s="48"/>
      <c r="F348" s="48" t="str">
        <f t="shared" si="45"/>
        <v/>
      </c>
      <c r="G348" s="48" t="str">
        <f t="shared" si="46"/>
        <v/>
      </c>
      <c r="H348" s="48" t="str">
        <f t="shared" si="42"/>
        <v/>
      </c>
    </row>
    <row r="349" spans="1:8" x14ac:dyDescent="0.25">
      <c r="A349" t="str">
        <f t="shared" si="40"/>
        <v/>
      </c>
      <c r="B349" s="44" t="str">
        <f t="shared" si="43"/>
        <v/>
      </c>
      <c r="C349" s="48" t="str">
        <f t="shared" si="44"/>
        <v/>
      </c>
      <c r="D349" s="48" t="str">
        <f t="shared" si="41"/>
        <v/>
      </c>
      <c r="E349" s="48"/>
      <c r="F349" s="48" t="str">
        <f t="shared" si="45"/>
        <v/>
      </c>
      <c r="G349" s="48" t="str">
        <f t="shared" si="46"/>
        <v/>
      </c>
      <c r="H349" s="48" t="str">
        <f t="shared" si="42"/>
        <v/>
      </c>
    </row>
    <row r="350" spans="1:8" x14ac:dyDescent="0.25">
      <c r="A350" t="str">
        <f t="shared" si="40"/>
        <v/>
      </c>
      <c r="B350" s="44" t="str">
        <f t="shared" si="43"/>
        <v/>
      </c>
      <c r="C350" s="48" t="str">
        <f t="shared" si="44"/>
        <v/>
      </c>
      <c r="D350" s="48" t="str">
        <f t="shared" si="41"/>
        <v/>
      </c>
      <c r="E350" s="48"/>
      <c r="F350" s="48" t="str">
        <f t="shared" si="45"/>
        <v/>
      </c>
      <c r="G350" s="48" t="str">
        <f t="shared" si="46"/>
        <v/>
      </c>
      <c r="H350" s="48" t="str">
        <f t="shared" si="42"/>
        <v/>
      </c>
    </row>
    <row r="351" spans="1:8" x14ac:dyDescent="0.25">
      <c r="A351" t="str">
        <f t="shared" si="40"/>
        <v/>
      </c>
      <c r="B351" s="44" t="str">
        <f t="shared" si="43"/>
        <v/>
      </c>
      <c r="C351" s="48" t="str">
        <f t="shared" si="44"/>
        <v/>
      </c>
      <c r="D351" s="48" t="str">
        <f t="shared" si="41"/>
        <v/>
      </c>
      <c r="E351" s="48"/>
      <c r="F351" s="48" t="str">
        <f t="shared" si="45"/>
        <v/>
      </c>
      <c r="G351" s="48" t="str">
        <f t="shared" si="46"/>
        <v/>
      </c>
      <c r="H351" s="48" t="str">
        <f t="shared" si="42"/>
        <v/>
      </c>
    </row>
    <row r="352" spans="1:8" x14ac:dyDescent="0.25">
      <c r="A352" t="str">
        <f t="shared" si="40"/>
        <v/>
      </c>
      <c r="B352" s="44" t="str">
        <f t="shared" si="43"/>
        <v/>
      </c>
      <c r="C352" s="48" t="str">
        <f t="shared" si="44"/>
        <v/>
      </c>
      <c r="D352" s="48" t="str">
        <f t="shared" si="41"/>
        <v/>
      </c>
      <c r="E352" s="48"/>
      <c r="F352" s="48" t="str">
        <f t="shared" si="45"/>
        <v/>
      </c>
      <c r="G352" s="48" t="str">
        <f t="shared" si="46"/>
        <v/>
      </c>
      <c r="H352" s="48" t="str">
        <f t="shared" si="42"/>
        <v/>
      </c>
    </row>
    <row r="353" spans="1:8" x14ac:dyDescent="0.25">
      <c r="A353" t="str">
        <f t="shared" si="40"/>
        <v/>
      </c>
      <c r="B353" s="44" t="str">
        <f t="shared" si="43"/>
        <v/>
      </c>
      <c r="C353" s="48" t="str">
        <f t="shared" si="44"/>
        <v/>
      </c>
      <c r="D353" s="48" t="str">
        <f t="shared" si="41"/>
        <v/>
      </c>
      <c r="E353" s="48"/>
      <c r="F353" s="48" t="str">
        <f t="shared" si="45"/>
        <v/>
      </c>
      <c r="G353" s="48" t="str">
        <f t="shared" si="46"/>
        <v/>
      </c>
      <c r="H353" s="48" t="str">
        <f t="shared" si="42"/>
        <v/>
      </c>
    </row>
    <row r="354" spans="1:8" x14ac:dyDescent="0.25">
      <c r="A354" t="str">
        <f t="shared" si="40"/>
        <v/>
      </c>
      <c r="B354" s="44" t="str">
        <f t="shared" si="43"/>
        <v/>
      </c>
      <c r="C354" s="48" t="str">
        <f t="shared" si="44"/>
        <v/>
      </c>
      <c r="D354" s="48" t="str">
        <f t="shared" si="41"/>
        <v/>
      </c>
      <c r="E354" s="48"/>
      <c r="F354" s="48" t="str">
        <f t="shared" si="45"/>
        <v/>
      </c>
      <c r="G354" s="48" t="str">
        <f t="shared" si="46"/>
        <v/>
      </c>
      <c r="H354" s="48" t="str">
        <f t="shared" si="42"/>
        <v/>
      </c>
    </row>
    <row r="355" spans="1:8" x14ac:dyDescent="0.25">
      <c r="A355" t="str">
        <f t="shared" si="40"/>
        <v/>
      </c>
      <c r="B355" s="44" t="str">
        <f t="shared" si="43"/>
        <v/>
      </c>
      <c r="C355" s="48" t="str">
        <f t="shared" si="44"/>
        <v/>
      </c>
      <c r="D355" s="48" t="str">
        <f t="shared" si="41"/>
        <v/>
      </c>
      <c r="E355" s="48"/>
      <c r="F355" s="48" t="str">
        <f t="shared" si="45"/>
        <v/>
      </c>
      <c r="G355" s="48" t="str">
        <f t="shared" si="46"/>
        <v/>
      </c>
      <c r="H355" s="48" t="str">
        <f t="shared" si="42"/>
        <v/>
      </c>
    </row>
    <row r="356" spans="1:8" x14ac:dyDescent="0.25">
      <c r="A356" t="str">
        <f t="shared" si="40"/>
        <v/>
      </c>
      <c r="B356" s="44" t="str">
        <f t="shared" si="43"/>
        <v/>
      </c>
      <c r="C356" s="48" t="str">
        <f t="shared" si="44"/>
        <v/>
      </c>
      <c r="D356" s="48" t="str">
        <f t="shared" si="41"/>
        <v/>
      </c>
      <c r="E356" s="48"/>
      <c r="F356" s="48" t="str">
        <f t="shared" si="45"/>
        <v/>
      </c>
      <c r="G356" s="48" t="str">
        <f t="shared" si="46"/>
        <v/>
      </c>
      <c r="H356" s="48" t="str">
        <f t="shared" si="42"/>
        <v/>
      </c>
    </row>
    <row r="357" spans="1:8" x14ac:dyDescent="0.25">
      <c r="A357" t="str">
        <f t="shared" si="40"/>
        <v/>
      </c>
      <c r="B357" s="44" t="str">
        <f t="shared" si="43"/>
        <v/>
      </c>
      <c r="C357" s="48" t="str">
        <f t="shared" si="44"/>
        <v/>
      </c>
      <c r="D357" s="48" t="str">
        <f t="shared" si="41"/>
        <v/>
      </c>
      <c r="E357" s="48"/>
      <c r="F357" s="48" t="str">
        <f t="shared" si="45"/>
        <v/>
      </c>
      <c r="G357" s="48" t="str">
        <f t="shared" si="46"/>
        <v/>
      </c>
      <c r="H357" s="48" t="str">
        <f t="shared" si="42"/>
        <v/>
      </c>
    </row>
    <row r="358" spans="1:8" x14ac:dyDescent="0.25">
      <c r="A358" t="str">
        <f t="shared" si="40"/>
        <v/>
      </c>
      <c r="B358" s="44" t="str">
        <f t="shared" si="43"/>
        <v/>
      </c>
      <c r="C358" s="48" t="str">
        <f t="shared" si="44"/>
        <v/>
      </c>
      <c r="D358" s="48" t="str">
        <f t="shared" si="41"/>
        <v/>
      </c>
      <c r="E358" s="48"/>
      <c r="F358" s="48" t="str">
        <f t="shared" si="45"/>
        <v/>
      </c>
      <c r="G358" s="48" t="str">
        <f t="shared" si="46"/>
        <v/>
      </c>
      <c r="H358" s="48" t="str">
        <f t="shared" si="42"/>
        <v/>
      </c>
    </row>
    <row r="359" spans="1:8" x14ac:dyDescent="0.25">
      <c r="A359" t="str">
        <f t="shared" si="40"/>
        <v/>
      </c>
      <c r="B359" s="44" t="str">
        <f t="shared" si="43"/>
        <v/>
      </c>
      <c r="C359" s="48" t="str">
        <f t="shared" si="44"/>
        <v/>
      </c>
      <c r="D359" s="48" t="str">
        <f t="shared" si="41"/>
        <v/>
      </c>
      <c r="E359" s="48"/>
      <c r="F359" s="48" t="str">
        <f t="shared" si="45"/>
        <v/>
      </c>
      <c r="G359" s="48" t="str">
        <f t="shared" si="46"/>
        <v/>
      </c>
      <c r="H359" s="48" t="str">
        <f t="shared" si="42"/>
        <v/>
      </c>
    </row>
    <row r="360" spans="1:8" x14ac:dyDescent="0.25">
      <c r="A360" t="str">
        <f t="shared" si="40"/>
        <v/>
      </c>
      <c r="B360" s="44" t="str">
        <f t="shared" si="43"/>
        <v/>
      </c>
      <c r="C360" s="48" t="str">
        <f t="shared" si="44"/>
        <v/>
      </c>
      <c r="D360" s="48" t="str">
        <f t="shared" si="41"/>
        <v/>
      </c>
      <c r="E360" s="48"/>
      <c r="F360" s="48" t="str">
        <f t="shared" si="45"/>
        <v/>
      </c>
      <c r="G360" s="48" t="str">
        <f t="shared" si="46"/>
        <v/>
      </c>
      <c r="H360" s="48" t="str">
        <f t="shared" si="42"/>
        <v/>
      </c>
    </row>
    <row r="361" spans="1:8" x14ac:dyDescent="0.25">
      <c r="A361" t="str">
        <f t="shared" si="40"/>
        <v/>
      </c>
      <c r="B361" s="44" t="str">
        <f t="shared" si="43"/>
        <v/>
      </c>
      <c r="C361" s="48" t="str">
        <f t="shared" si="44"/>
        <v/>
      </c>
      <c r="D361" s="48" t="str">
        <f t="shared" si="41"/>
        <v/>
      </c>
      <c r="E361" s="48"/>
      <c r="F361" s="48" t="str">
        <f t="shared" si="45"/>
        <v/>
      </c>
      <c r="G361" s="48" t="str">
        <f t="shared" si="46"/>
        <v/>
      </c>
      <c r="H361" s="48" t="str">
        <f t="shared" si="42"/>
        <v/>
      </c>
    </row>
    <row r="362" spans="1:8" x14ac:dyDescent="0.25">
      <c r="A362" t="str">
        <f t="shared" si="40"/>
        <v/>
      </c>
      <c r="B362" s="44" t="str">
        <f t="shared" si="43"/>
        <v/>
      </c>
      <c r="C362" s="48" t="str">
        <f t="shared" si="44"/>
        <v/>
      </c>
      <c r="D362" s="48" t="str">
        <f t="shared" si="41"/>
        <v/>
      </c>
      <c r="E362" s="48"/>
      <c r="F362" s="48" t="str">
        <f t="shared" si="45"/>
        <v/>
      </c>
      <c r="G362" s="48" t="str">
        <f t="shared" si="46"/>
        <v/>
      </c>
      <c r="H362" s="48" t="str">
        <f t="shared" si="42"/>
        <v/>
      </c>
    </row>
    <row r="363" spans="1:8" x14ac:dyDescent="0.25">
      <c r="A363" t="str">
        <f t="shared" si="40"/>
        <v/>
      </c>
      <c r="B363" s="44" t="str">
        <f t="shared" si="43"/>
        <v/>
      </c>
      <c r="C363" s="48" t="str">
        <f t="shared" si="44"/>
        <v/>
      </c>
      <c r="D363" s="48" t="str">
        <f t="shared" si="41"/>
        <v/>
      </c>
      <c r="E363" s="48"/>
      <c r="F363" s="48" t="str">
        <f t="shared" si="45"/>
        <v/>
      </c>
      <c r="G363" s="48" t="str">
        <f t="shared" si="46"/>
        <v/>
      </c>
      <c r="H363" s="48" t="str">
        <f t="shared" si="42"/>
        <v/>
      </c>
    </row>
    <row r="364" spans="1:8" x14ac:dyDescent="0.25">
      <c r="A364" t="str">
        <f t="shared" si="40"/>
        <v/>
      </c>
      <c r="B364" s="44" t="str">
        <f t="shared" si="43"/>
        <v/>
      </c>
      <c r="C364" s="48" t="str">
        <f t="shared" si="44"/>
        <v/>
      </c>
      <c r="D364" s="48" t="str">
        <f t="shared" si="41"/>
        <v/>
      </c>
      <c r="E364" s="48"/>
      <c r="F364" s="48" t="str">
        <f t="shared" si="45"/>
        <v/>
      </c>
      <c r="G364" s="48" t="str">
        <f t="shared" si="46"/>
        <v/>
      </c>
      <c r="H364" s="48" t="str">
        <f t="shared" si="42"/>
        <v/>
      </c>
    </row>
    <row r="365" spans="1:8" x14ac:dyDescent="0.25">
      <c r="A365" t="str">
        <f t="shared" si="40"/>
        <v/>
      </c>
      <c r="B365" s="44" t="str">
        <f t="shared" si="43"/>
        <v/>
      </c>
      <c r="C365" s="48" t="str">
        <f t="shared" si="44"/>
        <v/>
      </c>
      <c r="D365" s="48" t="str">
        <f t="shared" si="41"/>
        <v/>
      </c>
      <c r="E365" s="48"/>
      <c r="F365" s="48" t="str">
        <f t="shared" si="45"/>
        <v/>
      </c>
      <c r="G365" s="48" t="str">
        <f t="shared" si="46"/>
        <v/>
      </c>
      <c r="H365" s="48" t="str">
        <f t="shared" si="42"/>
        <v/>
      </c>
    </row>
    <row r="366" spans="1:8" x14ac:dyDescent="0.25">
      <c r="A366" t="str">
        <f t="shared" si="40"/>
        <v/>
      </c>
      <c r="B366" s="44" t="str">
        <f t="shared" si="43"/>
        <v/>
      </c>
      <c r="C366" s="48" t="str">
        <f t="shared" si="44"/>
        <v/>
      </c>
      <c r="D366" s="48" t="str">
        <f t="shared" si="41"/>
        <v/>
      </c>
      <c r="E366" s="48"/>
      <c r="F366" s="48" t="str">
        <f t="shared" si="45"/>
        <v/>
      </c>
      <c r="G366" s="48" t="str">
        <f t="shared" si="46"/>
        <v/>
      </c>
      <c r="H366" s="48" t="str">
        <f t="shared" si="42"/>
        <v/>
      </c>
    </row>
    <row r="367" spans="1:8" x14ac:dyDescent="0.25">
      <c r="A367" t="str">
        <f t="shared" si="40"/>
        <v/>
      </c>
      <c r="B367" s="44" t="str">
        <f t="shared" si="43"/>
        <v/>
      </c>
      <c r="C367" s="48" t="str">
        <f t="shared" si="44"/>
        <v/>
      </c>
      <c r="D367" s="48" t="str">
        <f t="shared" si="41"/>
        <v/>
      </c>
      <c r="E367" s="48"/>
      <c r="F367" s="48" t="str">
        <f t="shared" si="45"/>
        <v/>
      </c>
      <c r="G367" s="48" t="str">
        <f t="shared" si="46"/>
        <v/>
      </c>
      <c r="H367" s="48" t="str">
        <f t="shared" si="42"/>
        <v/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K17" zoomScale="80" zoomScaleNormal="80" workbookViewId="0">
      <selection sqref="A1:AC36"/>
    </sheetView>
  </sheetViews>
  <sheetFormatPr defaultRowHeight="18.75" x14ac:dyDescent="0.3"/>
  <cols>
    <col min="1" max="1" width="11.85546875" style="4" bestFit="1" customWidth="1"/>
    <col min="2" max="2" width="9.140625" style="4"/>
    <col min="3" max="3" width="10.7109375" style="4" customWidth="1"/>
    <col min="4" max="4" width="9.140625" style="4" customWidth="1"/>
    <col min="5" max="5" width="3.7109375" style="4" customWidth="1"/>
    <col min="6" max="6" width="14" style="4" bestFit="1" customWidth="1"/>
    <col min="7" max="7" width="9" style="4" customWidth="1"/>
    <col min="8" max="8" width="3.28515625" style="4" customWidth="1"/>
    <col min="9" max="9" width="14.5703125" style="4" customWidth="1"/>
    <col min="10" max="10" width="15.42578125" style="4" customWidth="1"/>
    <col min="11" max="11" width="3.42578125" style="4" customWidth="1"/>
    <col min="12" max="12" width="14.42578125" style="4" customWidth="1"/>
    <col min="13" max="13" width="9.140625" style="4"/>
    <col min="14" max="14" width="4.5703125" style="4" customWidth="1"/>
    <col min="15" max="15" width="4.140625" style="4" customWidth="1"/>
    <col min="16" max="18" width="9.140625" style="4"/>
    <col min="19" max="19" width="3.42578125" style="4" customWidth="1"/>
    <col min="20" max="21" width="9.140625" style="4"/>
    <col min="22" max="22" width="18.28515625" style="4" bestFit="1" customWidth="1"/>
    <col min="23" max="23" width="18.7109375" style="4" bestFit="1" customWidth="1"/>
    <col min="24" max="24" width="14" style="4" bestFit="1" customWidth="1"/>
    <col min="25" max="16384" width="9.140625" style="4"/>
  </cols>
  <sheetData>
    <row r="1" spans="1:24" ht="22.5" x14ac:dyDescent="0.3">
      <c r="D1" s="199" t="s">
        <v>21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24" ht="19.5" thickBot="1" x14ac:dyDescent="0.35">
      <c r="E2" s="23"/>
      <c r="F2" s="24"/>
      <c r="G2" s="24"/>
      <c r="H2" s="24"/>
      <c r="I2" s="24"/>
      <c r="J2" s="24"/>
      <c r="K2" s="24"/>
      <c r="L2" s="24"/>
      <c r="M2" s="24"/>
      <c r="N2" s="25"/>
    </row>
    <row r="3" spans="1:24" x14ac:dyDescent="0.3">
      <c r="A3" s="6"/>
      <c r="B3" s="6"/>
      <c r="C3" s="6"/>
      <c r="E3" s="26"/>
      <c r="F3" s="187" t="s">
        <v>0</v>
      </c>
      <c r="G3" s="188"/>
      <c r="H3" s="27"/>
      <c r="I3" s="193" t="s">
        <v>2</v>
      </c>
      <c r="J3" s="193"/>
      <c r="K3" s="27"/>
      <c r="L3" s="187" t="s">
        <v>1</v>
      </c>
      <c r="M3" s="188"/>
      <c r="N3" s="28"/>
    </row>
    <row r="4" spans="1:24" x14ac:dyDescent="0.3">
      <c r="A4" s="194"/>
      <c r="B4" s="194"/>
      <c r="C4" s="6"/>
      <c r="E4" s="26"/>
      <c r="F4" s="189"/>
      <c r="G4" s="190"/>
      <c r="H4" s="27"/>
      <c r="I4" s="193"/>
      <c r="J4" s="193"/>
      <c r="K4" s="27"/>
      <c r="L4" s="189"/>
      <c r="M4" s="190"/>
      <c r="N4" s="28"/>
    </row>
    <row r="5" spans="1:24" x14ac:dyDescent="0.3">
      <c r="A5" s="19"/>
      <c r="B5" s="6"/>
      <c r="C5" s="6"/>
      <c r="E5" s="26"/>
      <c r="F5" s="189"/>
      <c r="G5" s="190"/>
      <c r="H5" s="27"/>
      <c r="I5" s="193"/>
      <c r="J5" s="193"/>
      <c r="K5" s="27"/>
      <c r="L5" s="189"/>
      <c r="M5" s="190"/>
      <c r="N5" s="28"/>
    </row>
    <row r="6" spans="1:24" x14ac:dyDescent="0.3">
      <c r="A6" s="19"/>
      <c r="B6" s="6"/>
      <c r="C6" s="6"/>
      <c r="E6" s="26"/>
      <c r="F6" s="189"/>
      <c r="G6" s="190"/>
      <c r="H6" s="27"/>
      <c r="I6" s="193"/>
      <c r="J6" s="193"/>
      <c r="K6" s="27"/>
      <c r="L6" s="189"/>
      <c r="M6" s="190"/>
      <c r="N6" s="28"/>
    </row>
    <row r="7" spans="1:24" x14ac:dyDescent="0.3">
      <c r="E7" s="26"/>
      <c r="F7" s="189"/>
      <c r="G7" s="190"/>
      <c r="H7" s="27"/>
      <c r="I7" s="193"/>
      <c r="J7" s="193"/>
      <c r="K7" s="27"/>
      <c r="L7" s="189"/>
      <c r="M7" s="190"/>
      <c r="N7" s="28"/>
    </row>
    <row r="8" spans="1:24" x14ac:dyDescent="0.3">
      <c r="E8" s="26"/>
      <c r="F8" s="189"/>
      <c r="G8" s="190"/>
      <c r="H8" s="27"/>
      <c r="I8" s="193"/>
      <c r="J8" s="193"/>
      <c r="K8" s="27"/>
      <c r="L8" s="189"/>
      <c r="M8" s="190"/>
      <c r="N8" s="28"/>
    </row>
    <row r="9" spans="1:24" x14ac:dyDescent="0.3">
      <c r="E9" s="26"/>
      <c r="F9" s="189"/>
      <c r="G9" s="190"/>
      <c r="H9" s="27"/>
      <c r="I9" s="193"/>
      <c r="J9" s="193"/>
      <c r="K9" s="27"/>
      <c r="L9" s="189"/>
      <c r="M9" s="190"/>
      <c r="N9" s="28"/>
      <c r="W9" s="4" t="s">
        <v>54</v>
      </c>
    </row>
    <row r="10" spans="1:24" x14ac:dyDescent="0.3">
      <c r="C10" s="195" t="s">
        <v>18</v>
      </c>
      <c r="D10" s="196"/>
      <c r="E10" s="26"/>
      <c r="F10" s="189"/>
      <c r="G10" s="190"/>
      <c r="H10" s="27"/>
      <c r="I10" s="193"/>
      <c r="J10" s="193"/>
      <c r="K10" s="27"/>
      <c r="L10" s="189"/>
      <c r="M10" s="190"/>
      <c r="N10" s="28"/>
      <c r="W10" s="4" t="s">
        <v>55</v>
      </c>
    </row>
    <row r="11" spans="1:24" ht="19.5" thickBot="1" x14ac:dyDescent="0.35">
      <c r="C11" s="197"/>
      <c r="D11" s="196"/>
      <c r="E11" s="26"/>
      <c r="F11" s="189"/>
      <c r="G11" s="190"/>
      <c r="H11" s="27"/>
      <c r="I11" s="193"/>
      <c r="J11" s="193"/>
      <c r="K11" s="27"/>
      <c r="L11" s="189"/>
      <c r="M11" s="190"/>
      <c r="N11" s="28"/>
      <c r="O11" s="1"/>
      <c r="P11" s="2"/>
      <c r="Q11" s="2"/>
      <c r="R11" s="2"/>
      <c r="S11" s="3"/>
    </row>
    <row r="12" spans="1:24" x14ac:dyDescent="0.3">
      <c r="C12" s="18">
        <f>115*3</f>
        <v>345</v>
      </c>
      <c r="E12" s="26"/>
      <c r="F12" s="189"/>
      <c r="G12" s="190"/>
      <c r="H12" s="27"/>
      <c r="I12" s="193"/>
      <c r="J12" s="193"/>
      <c r="K12" s="27"/>
      <c r="L12" s="189"/>
      <c r="M12" s="190"/>
      <c r="N12" s="28"/>
      <c r="O12" s="5"/>
      <c r="P12" s="178" t="s">
        <v>73</v>
      </c>
      <c r="Q12" s="179"/>
      <c r="R12" s="180"/>
      <c r="S12" s="7"/>
    </row>
    <row r="13" spans="1:24" ht="19.5" customHeight="1" x14ac:dyDescent="0.3">
      <c r="A13" s="12" t="s">
        <v>9</v>
      </c>
      <c r="C13" s="17">
        <f>+C12*45</f>
        <v>15525</v>
      </c>
      <c r="E13" s="26"/>
      <c r="F13" s="189"/>
      <c r="G13" s="190"/>
      <c r="H13" s="27"/>
      <c r="I13" s="193"/>
      <c r="J13" s="193"/>
      <c r="K13" s="27"/>
      <c r="L13" s="189"/>
      <c r="M13" s="190"/>
      <c r="N13" s="28"/>
      <c r="O13" s="5"/>
      <c r="P13" s="181"/>
      <c r="Q13" s="182"/>
      <c r="R13" s="183"/>
      <c r="S13" s="7"/>
      <c r="W13" s="40" t="s">
        <v>71</v>
      </c>
      <c r="X13" s="40"/>
    </row>
    <row r="14" spans="1:24" ht="23.25" customHeight="1" x14ac:dyDescent="0.3">
      <c r="A14" s="177" t="s">
        <v>16</v>
      </c>
      <c r="B14" s="177"/>
      <c r="C14" s="17">
        <f>+C13*C17</f>
        <v>46575</v>
      </c>
      <c r="E14" s="26"/>
      <c r="F14" s="189"/>
      <c r="G14" s="190"/>
      <c r="H14" s="27"/>
      <c r="I14" s="193"/>
      <c r="J14" s="193"/>
      <c r="K14" s="27"/>
      <c r="L14" s="189"/>
      <c r="M14" s="190"/>
      <c r="N14" s="28"/>
      <c r="O14" s="5"/>
      <c r="P14" s="181"/>
      <c r="Q14" s="182"/>
      <c r="R14" s="183"/>
      <c r="S14" s="7"/>
      <c r="T14" s="203" t="s">
        <v>20</v>
      </c>
      <c r="U14" s="200"/>
      <c r="W14" s="11">
        <v>25</v>
      </c>
      <c r="X14" s="4" t="s">
        <v>58</v>
      </c>
    </row>
    <row r="15" spans="1:24" x14ac:dyDescent="0.3">
      <c r="A15" s="176" t="s">
        <v>8</v>
      </c>
      <c r="B15" s="176"/>
      <c r="C15" s="17">
        <v>1280</v>
      </c>
      <c r="E15" s="26"/>
      <c r="F15" s="189"/>
      <c r="G15" s="190"/>
      <c r="H15" s="27"/>
      <c r="I15" s="193"/>
      <c r="J15" s="193"/>
      <c r="K15" s="27"/>
      <c r="L15" s="189"/>
      <c r="M15" s="190"/>
      <c r="N15" s="28"/>
      <c r="O15" s="5"/>
      <c r="P15" s="181"/>
      <c r="Q15" s="182"/>
      <c r="R15" s="183"/>
      <c r="S15" s="7"/>
      <c r="T15" s="203"/>
      <c r="U15" s="200"/>
      <c r="W15" s="4">
        <v>3113.73</v>
      </c>
      <c r="X15" s="4" t="s">
        <v>57</v>
      </c>
    </row>
    <row r="16" spans="1:24" x14ac:dyDescent="0.3">
      <c r="A16" s="176" t="s">
        <v>7</v>
      </c>
      <c r="B16" s="176"/>
      <c r="C16" s="4">
        <f>+C13/C15</f>
        <v>12.12890625</v>
      </c>
      <c r="E16" s="26"/>
      <c r="F16" s="189"/>
      <c r="G16" s="190"/>
      <c r="H16" s="27"/>
      <c r="I16" s="193"/>
      <c r="J16" s="193"/>
      <c r="K16" s="27"/>
      <c r="L16" s="189"/>
      <c r="M16" s="190"/>
      <c r="N16" s="28"/>
      <c r="O16" s="5"/>
      <c r="P16" s="181"/>
      <c r="Q16" s="182"/>
      <c r="R16" s="183"/>
      <c r="S16" s="7"/>
    </row>
    <row r="17" spans="1:25" ht="19.5" thickBot="1" x14ac:dyDescent="0.35">
      <c r="A17" s="13" t="s">
        <v>10</v>
      </c>
      <c r="C17" s="4">
        <v>3</v>
      </c>
      <c r="E17" s="26"/>
      <c r="F17" s="191"/>
      <c r="G17" s="192"/>
      <c r="H17" s="27"/>
      <c r="I17" s="193"/>
      <c r="J17" s="193"/>
      <c r="K17" s="27"/>
      <c r="L17" s="191"/>
      <c r="M17" s="192"/>
      <c r="N17" s="28"/>
      <c r="O17" s="5"/>
      <c r="P17" s="184"/>
      <c r="Q17" s="185"/>
      <c r="R17" s="186"/>
      <c r="S17" s="7"/>
      <c r="W17" s="40" t="s">
        <v>72</v>
      </c>
      <c r="X17" s="40"/>
    </row>
    <row r="18" spans="1:25" x14ac:dyDescent="0.3">
      <c r="B18" s="14" t="s">
        <v>11</v>
      </c>
      <c r="C18" s="4">
        <f>+ROUND(C17*C16,0)</f>
        <v>36</v>
      </c>
      <c r="E18" s="29"/>
      <c r="F18" s="30"/>
      <c r="G18" s="30"/>
      <c r="H18" s="30"/>
      <c r="I18" s="204" t="s">
        <v>49</v>
      </c>
      <c r="J18" s="204"/>
      <c r="K18" s="30"/>
      <c r="L18" s="30"/>
      <c r="M18" s="30"/>
      <c r="N18" s="31"/>
      <c r="O18" s="8"/>
      <c r="P18" s="205" t="s">
        <v>50</v>
      </c>
      <c r="Q18" s="205"/>
      <c r="R18" s="205"/>
      <c r="S18" s="10"/>
      <c r="W18" s="33">
        <v>99.07</v>
      </c>
      <c r="X18" s="4" t="s">
        <v>70</v>
      </c>
    </row>
    <row r="19" spans="1:25" x14ac:dyDescent="0.3">
      <c r="W19" s="17">
        <f>72*1150+2500</f>
        <v>85300</v>
      </c>
      <c r="X19" s="4" t="s">
        <v>74</v>
      </c>
    </row>
    <row r="20" spans="1:25" x14ac:dyDescent="0.3">
      <c r="F20" s="200" t="s">
        <v>17</v>
      </c>
      <c r="G20" s="201"/>
    </row>
    <row r="21" spans="1:25" x14ac:dyDescent="0.3">
      <c r="F21" s="201"/>
      <c r="G21" s="201"/>
      <c r="W21" s="40" t="s">
        <v>77</v>
      </c>
    </row>
    <row r="22" spans="1:25" x14ac:dyDescent="0.3">
      <c r="W22" s="39">
        <v>41400</v>
      </c>
      <c r="X22" s="4" t="s">
        <v>79</v>
      </c>
    </row>
    <row r="23" spans="1:25" x14ac:dyDescent="0.3">
      <c r="J23" s="202" t="s">
        <v>19</v>
      </c>
      <c r="K23" s="202"/>
      <c r="L23" s="202"/>
      <c r="M23" s="202"/>
      <c r="W23" s="39">
        <v>2</v>
      </c>
      <c r="X23" s="4" t="s">
        <v>78</v>
      </c>
    </row>
    <row r="24" spans="1:25" x14ac:dyDescent="0.3">
      <c r="J24" s="202"/>
      <c r="K24" s="202"/>
      <c r="L24" s="202"/>
      <c r="M24" s="202"/>
    </row>
    <row r="25" spans="1:25" x14ac:dyDescent="0.3">
      <c r="A25" s="9" t="s">
        <v>3</v>
      </c>
      <c r="B25" s="9"/>
      <c r="E25" s="9" t="s">
        <v>4</v>
      </c>
      <c r="F25" s="9"/>
      <c r="G25" s="9"/>
      <c r="H25" s="9"/>
      <c r="Q25" s="198" t="s">
        <v>51</v>
      </c>
      <c r="R25" s="198"/>
      <c r="S25" s="198"/>
      <c r="T25" s="198"/>
      <c r="U25" s="198"/>
      <c r="X25" s="40" t="s">
        <v>80</v>
      </c>
      <c r="Y25" s="40"/>
    </row>
    <row r="26" spans="1:25" x14ac:dyDescent="0.3">
      <c r="A26" s="4">
        <v>84</v>
      </c>
      <c r="B26" s="4" t="s">
        <v>12</v>
      </c>
      <c r="F26" s="4">
        <f>+C18*2</f>
        <v>72</v>
      </c>
      <c r="G26" s="4" t="s">
        <v>12</v>
      </c>
      <c r="I26" s="4">
        <f>+F26*F29</f>
        <v>432</v>
      </c>
      <c r="X26" s="33">
        <v>4109.7</v>
      </c>
      <c r="Y26" s="4" t="s">
        <v>81</v>
      </c>
    </row>
    <row r="27" spans="1:25" x14ac:dyDescent="0.3">
      <c r="A27" s="11">
        <v>575</v>
      </c>
      <c r="B27" s="4" t="s">
        <v>5</v>
      </c>
      <c r="F27" s="11">
        <v>1300</v>
      </c>
      <c r="G27" s="4" t="s">
        <v>13</v>
      </c>
      <c r="M27" s="4">
        <f>360-90-150</f>
        <v>120</v>
      </c>
      <c r="Q27" s="4" t="s">
        <v>52</v>
      </c>
      <c r="V27" s="39">
        <v>300000</v>
      </c>
      <c r="W27" s="32"/>
      <c r="X27" s="33">
        <v>2.21</v>
      </c>
      <c r="Y27" s="4" t="s">
        <v>82</v>
      </c>
    </row>
    <row r="28" spans="1:25" x14ac:dyDescent="0.3">
      <c r="A28" s="4">
        <v>12</v>
      </c>
      <c r="B28" s="4" t="s">
        <v>6</v>
      </c>
      <c r="F28" s="4">
        <v>3</v>
      </c>
      <c r="G28" s="4" t="s">
        <v>13</v>
      </c>
      <c r="M28" s="4">
        <f>+M27*345</f>
        <v>41400</v>
      </c>
      <c r="Q28" s="4" t="s">
        <v>53</v>
      </c>
      <c r="V28" s="39">
        <v>55000</v>
      </c>
      <c r="W28" s="32"/>
      <c r="X28" s="4">
        <f>+V31/1000</f>
        <v>8450.6710000000003</v>
      </c>
    </row>
    <row r="29" spans="1:25" x14ac:dyDescent="0.3">
      <c r="A29" s="16">
        <f>+A28*A27*A26</f>
        <v>579600</v>
      </c>
      <c r="B29" s="15" t="s">
        <v>15</v>
      </c>
      <c r="C29" s="15"/>
      <c r="F29" s="4">
        <v>6</v>
      </c>
      <c r="G29" s="4" t="s">
        <v>14</v>
      </c>
      <c r="M29" s="4" t="s">
        <v>76</v>
      </c>
      <c r="Q29" s="4" t="s">
        <v>56</v>
      </c>
      <c r="V29" s="39">
        <f>989*7</f>
        <v>6923</v>
      </c>
      <c r="W29" s="32"/>
      <c r="X29" s="33">
        <f>+X28*X27+X26</f>
        <v>22785.68291</v>
      </c>
      <c r="Y29" s="4" t="s">
        <v>83</v>
      </c>
    </row>
    <row r="30" spans="1:25" x14ac:dyDescent="0.3">
      <c r="F30" s="16">
        <f>+F28*F27*F26*F29</f>
        <v>1684800</v>
      </c>
      <c r="G30" s="15" t="s">
        <v>15</v>
      </c>
      <c r="H30" s="15"/>
      <c r="I30" s="15"/>
      <c r="Q30" s="4" t="s">
        <v>59</v>
      </c>
      <c r="V30" s="39">
        <f>+W15*W14</f>
        <v>77843.25</v>
      </c>
      <c r="W30" s="32"/>
      <c r="X30" s="32">
        <v>2424.9499999999998</v>
      </c>
      <c r="Y30" s="4" t="s">
        <v>84</v>
      </c>
    </row>
    <row r="31" spans="1:25" x14ac:dyDescent="0.3">
      <c r="Q31" s="4" t="s">
        <v>75</v>
      </c>
      <c r="V31" s="39">
        <f>+W19*W18</f>
        <v>8450671</v>
      </c>
      <c r="W31" s="32"/>
      <c r="X31" s="32">
        <v>1299.98</v>
      </c>
      <c r="Y31" s="4" t="s">
        <v>85</v>
      </c>
    </row>
    <row r="32" spans="1:25" x14ac:dyDescent="0.3">
      <c r="Q32" s="4" t="s">
        <v>77</v>
      </c>
      <c r="V32" s="39">
        <f>+W22*W23</f>
        <v>82800</v>
      </c>
      <c r="W32" s="32"/>
      <c r="X32" s="33">
        <f>SUM(X29:X31)</f>
        <v>26510.61291</v>
      </c>
      <c r="Y32" s="4" t="s">
        <v>86</v>
      </c>
    </row>
    <row r="33" spans="17:23" x14ac:dyDescent="0.3">
      <c r="Q33" s="4" t="s">
        <v>80</v>
      </c>
      <c r="V33" s="41">
        <f>X32</f>
        <v>26510.61291</v>
      </c>
      <c r="W33" s="32"/>
    </row>
    <row r="34" spans="17:23" x14ac:dyDescent="0.3">
      <c r="V34" s="32">
        <f>+SUM(V27:V33)</f>
        <v>8999747.8629100006</v>
      </c>
      <c r="W34" s="32"/>
    </row>
    <row r="35" spans="17:23" x14ac:dyDescent="0.3">
      <c r="V35" s="32"/>
      <c r="W35" s="32"/>
    </row>
    <row r="36" spans="17:23" x14ac:dyDescent="0.3">
      <c r="Q36" s="4" t="s">
        <v>87</v>
      </c>
      <c r="V36" s="32">
        <f>+(V31+V32)/30</f>
        <v>284449.03333333333</v>
      </c>
      <c r="W36" s="32"/>
    </row>
    <row r="37" spans="17:23" x14ac:dyDescent="0.3">
      <c r="V37" s="32"/>
      <c r="W37" s="32"/>
    </row>
    <row r="38" spans="17:23" x14ac:dyDescent="0.3">
      <c r="V38" s="32"/>
      <c r="W38" s="32"/>
    </row>
    <row r="39" spans="17:23" x14ac:dyDescent="0.3">
      <c r="V39" s="32"/>
      <c r="W39" s="32"/>
    </row>
    <row r="40" spans="17:23" x14ac:dyDescent="0.3">
      <c r="V40" s="32"/>
      <c r="W40" s="32"/>
    </row>
    <row r="41" spans="17:23" x14ac:dyDescent="0.3">
      <c r="V41" s="32"/>
      <c r="W41" s="32"/>
    </row>
    <row r="42" spans="17:23" x14ac:dyDescent="0.3">
      <c r="V42" s="32"/>
      <c r="W42" s="32"/>
    </row>
  </sheetData>
  <mergeCells count="16">
    <mergeCell ref="Q25:U25"/>
    <mergeCell ref="D1:O1"/>
    <mergeCell ref="F20:G21"/>
    <mergeCell ref="J23:M24"/>
    <mergeCell ref="T14:U15"/>
    <mergeCell ref="I18:J18"/>
    <mergeCell ref="P18:R18"/>
    <mergeCell ref="A16:B16"/>
    <mergeCell ref="A15:B15"/>
    <mergeCell ref="A14:B14"/>
    <mergeCell ref="P12:R17"/>
    <mergeCell ref="F3:G17"/>
    <mergeCell ref="L3:M17"/>
    <mergeCell ref="I3:J17"/>
    <mergeCell ref="A4:B4"/>
    <mergeCell ref="C10:D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 Forma Forecast</vt:lpstr>
      <vt:lpstr>Layout #1</vt:lpstr>
      <vt:lpstr>Sheet2</vt:lpstr>
      <vt:lpstr>Loan Amort</vt:lpstr>
      <vt:lpstr>Layout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2013-12-19T19:53:12Z</dcterms:created>
  <dcterms:modified xsi:type="dcterms:W3CDTF">2019-05-29T22:01:55Z</dcterms:modified>
</cp:coreProperties>
</file>