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6380" windowHeight="8190" activeTab="1"/>
  </bookViews>
  <sheets>
    <sheet name="Forecast" sheetId="1" r:id="rId1"/>
    <sheet name="Break-even" sheetId="2" r:id="rId2"/>
  </sheets>
  <calcPr calcId="145621"/>
</workbook>
</file>

<file path=xl/calcChain.xml><?xml version="1.0" encoding="utf-8"?>
<calcChain xmlns="http://schemas.openxmlformats.org/spreadsheetml/2006/main">
  <c r="L46" i="2" l="1"/>
  <c r="J46" i="2"/>
  <c r="H46" i="2"/>
  <c r="F46" i="2"/>
  <c r="D46" i="2"/>
  <c r="D40" i="2"/>
  <c r="F40" i="2" s="1"/>
  <c r="L25" i="2"/>
  <c r="L26" i="2"/>
  <c r="J26" i="2"/>
  <c r="H26" i="2"/>
  <c r="F26" i="2"/>
  <c r="D26" i="2"/>
  <c r="D25" i="2"/>
  <c r="L21" i="2"/>
  <c r="J21" i="2"/>
  <c r="H21" i="2"/>
  <c r="F21" i="2"/>
  <c r="D21" i="2"/>
  <c r="L18" i="2"/>
  <c r="J18" i="2"/>
  <c r="H18" i="2"/>
  <c r="F18" i="2"/>
  <c r="D18" i="2"/>
  <c r="D13" i="2"/>
  <c r="D14" i="2" s="1"/>
  <c r="D9" i="2"/>
  <c r="D22" i="2"/>
  <c r="F8" i="2"/>
  <c r="H8" i="2" s="1"/>
  <c r="F6" i="2"/>
  <c r="D83" i="1"/>
  <c r="D82" i="1"/>
  <c r="L26" i="1"/>
  <c r="X125" i="1"/>
  <c r="H120" i="1"/>
  <c r="J120" i="1"/>
  <c r="L120" i="1"/>
  <c r="F120" i="1"/>
  <c r="D120" i="1"/>
  <c r="H116" i="1"/>
  <c r="J116" i="1"/>
  <c r="L116" i="1"/>
  <c r="N116" i="1"/>
  <c r="P116" i="1"/>
  <c r="R116" i="1"/>
  <c r="T116" i="1"/>
  <c r="F116" i="1"/>
  <c r="D116" i="1"/>
  <c r="C111" i="1"/>
  <c r="C130" i="1" s="1"/>
  <c r="V116" i="1"/>
  <c r="X123" i="1"/>
  <c r="F18" i="1"/>
  <c r="H18" i="1"/>
  <c r="J18" i="1"/>
  <c r="L18" i="1"/>
  <c r="N18" i="1"/>
  <c r="P18" i="1"/>
  <c r="R18" i="1"/>
  <c r="T18" i="1"/>
  <c r="V18" i="1"/>
  <c r="X18" i="1"/>
  <c r="D18" i="1"/>
  <c r="D21" i="1"/>
  <c r="F21" i="1"/>
  <c r="H21" i="1"/>
  <c r="J21" i="1"/>
  <c r="L21" i="1"/>
  <c r="N21" i="1"/>
  <c r="P21" i="1"/>
  <c r="R21" i="1"/>
  <c r="T21" i="1"/>
  <c r="V21" i="1"/>
  <c r="X21" i="1"/>
  <c r="D79" i="1"/>
  <c r="D80" i="1"/>
  <c r="D77" i="1"/>
  <c r="D13" i="1"/>
  <c r="D14" i="1"/>
  <c r="D36" i="1"/>
  <c r="D117" i="1" s="1"/>
  <c r="D9" i="1"/>
  <c r="D12" i="1" s="1"/>
  <c r="D15" i="1" s="1"/>
  <c r="V26" i="1"/>
  <c r="X26" i="1"/>
  <c r="N26" i="1"/>
  <c r="P26" i="1"/>
  <c r="R26" i="1"/>
  <c r="T26" i="1"/>
  <c r="D26" i="1"/>
  <c r="F26" i="1"/>
  <c r="H26" i="1"/>
  <c r="J26" i="1"/>
  <c r="D40" i="1"/>
  <c r="V25" i="1"/>
  <c r="V104" i="1"/>
  <c r="V107" i="1" s="1"/>
  <c r="F8" i="1"/>
  <c r="F13" i="1"/>
  <c r="F6" i="1"/>
  <c r="H6" i="1" s="1"/>
  <c r="D46" i="1"/>
  <c r="H46" i="1"/>
  <c r="F46" i="1"/>
  <c r="N46" i="1"/>
  <c r="J46" i="1"/>
  <c r="L46" i="1"/>
  <c r="X25" i="1"/>
  <c r="X104" i="1" s="1"/>
  <c r="X107" i="1" s="1"/>
  <c r="X116" i="1"/>
  <c r="F40" i="1"/>
  <c r="H40" i="1" s="1"/>
  <c r="R25" i="1"/>
  <c r="R104" i="1"/>
  <c r="R107" i="1" s="1"/>
  <c r="F25" i="1"/>
  <c r="F104" i="1"/>
  <c r="F107" i="1"/>
  <c r="J25" i="1"/>
  <c r="J104" i="1" s="1"/>
  <c r="J107" i="1" s="1"/>
  <c r="H25" i="1"/>
  <c r="H104" i="1" s="1"/>
  <c r="H107" i="1" s="1"/>
  <c r="H8" i="1"/>
  <c r="J8" i="1" s="1"/>
  <c r="N25" i="1"/>
  <c r="N104" i="1" s="1"/>
  <c r="N107" i="1" s="1"/>
  <c r="D47" i="1"/>
  <c r="D48" i="1" s="1"/>
  <c r="T25" i="1"/>
  <c r="T104" i="1"/>
  <c r="T107" i="1" s="1"/>
  <c r="P25" i="1"/>
  <c r="P104" i="1"/>
  <c r="P107" i="1"/>
  <c r="D25" i="1"/>
  <c r="D104" i="1" s="1"/>
  <c r="D107" i="1" s="1"/>
  <c r="D41" i="1"/>
  <c r="L25" i="1"/>
  <c r="L104" i="1" s="1"/>
  <c r="L107" i="1" s="1"/>
  <c r="F41" i="1"/>
  <c r="F9" i="2"/>
  <c r="F22" i="2"/>
  <c r="H25" i="2"/>
  <c r="D41" i="2"/>
  <c r="D12" i="2"/>
  <c r="D15" i="2" s="1"/>
  <c r="D28" i="2" s="1"/>
  <c r="D30" i="2" s="1"/>
  <c r="D54" i="2" s="1"/>
  <c r="H6" i="2"/>
  <c r="F25" i="2"/>
  <c r="D85" i="1"/>
  <c r="D87" i="1"/>
  <c r="D37" i="1"/>
  <c r="D43" i="1"/>
  <c r="D119" i="1"/>
  <c r="D22" i="1"/>
  <c r="F12" i="2"/>
  <c r="J6" i="2"/>
  <c r="L6" i="2"/>
  <c r="D62" i="1" l="1"/>
  <c r="D51" i="1"/>
  <c r="D47" i="2"/>
  <c r="D48" i="2" s="1"/>
  <c r="D51" i="2" s="1"/>
  <c r="D57" i="2" s="1"/>
  <c r="D36" i="2"/>
  <c r="D37" i="2" s="1"/>
  <c r="D43" i="2" s="1"/>
  <c r="D59" i="2" s="1"/>
  <c r="D55" i="2"/>
  <c r="L8" i="1"/>
  <c r="J13" i="1"/>
  <c r="J14" i="1" s="1"/>
  <c r="J40" i="1"/>
  <c r="H41" i="1"/>
  <c r="J8" i="2"/>
  <c r="H9" i="2"/>
  <c r="H13" i="2"/>
  <c r="H14" i="2" s="1"/>
  <c r="H9" i="1"/>
  <c r="J6" i="1"/>
  <c r="D28" i="1"/>
  <c r="D30" i="1" s="1"/>
  <c r="D103" i="1"/>
  <c r="D105" i="1" s="1"/>
  <c r="D108" i="1" s="1"/>
  <c r="D130" i="1" s="1"/>
  <c r="H40" i="2"/>
  <c r="F41" i="2"/>
  <c r="F13" i="2"/>
  <c r="F14" i="2" s="1"/>
  <c r="F9" i="1"/>
  <c r="H13" i="1"/>
  <c r="H14" i="1" s="1"/>
  <c r="J25" i="2"/>
  <c r="F14" i="1"/>
  <c r="F12" i="1" l="1"/>
  <c r="F15" i="1" s="1"/>
  <c r="F22" i="1"/>
  <c r="F15" i="2"/>
  <c r="F28" i="2" s="1"/>
  <c r="F30" i="2" s="1"/>
  <c r="F54" i="2" s="1"/>
  <c r="F36" i="2"/>
  <c r="F37" i="2" s="1"/>
  <c r="F43" i="2" s="1"/>
  <c r="F47" i="2"/>
  <c r="F48" i="2" s="1"/>
  <c r="F51" i="2" s="1"/>
  <c r="H22" i="2"/>
  <c r="H12" i="2"/>
  <c r="H15" i="2" s="1"/>
  <c r="H28" i="2" s="1"/>
  <c r="H30" i="2" s="1"/>
  <c r="N8" i="1"/>
  <c r="L13" i="1"/>
  <c r="F47" i="1"/>
  <c r="F36" i="1"/>
  <c r="D54" i="1"/>
  <c r="D64" i="1"/>
  <c r="J36" i="1"/>
  <c r="J47" i="1"/>
  <c r="L6" i="1"/>
  <c r="J9" i="1"/>
  <c r="J13" i="2"/>
  <c r="J14" i="2" s="1"/>
  <c r="J9" i="2"/>
  <c r="L8" i="2"/>
  <c r="H36" i="1"/>
  <c r="H47" i="1"/>
  <c r="H41" i="2"/>
  <c r="J40" i="2"/>
  <c r="H22" i="1"/>
  <c r="H12" i="1"/>
  <c r="H15" i="1" s="1"/>
  <c r="H36" i="2"/>
  <c r="H37" i="2" s="1"/>
  <c r="H43" i="2" s="1"/>
  <c r="H47" i="2"/>
  <c r="H48" i="2" s="1"/>
  <c r="H51" i="2" s="1"/>
  <c r="L40" i="1"/>
  <c r="J41" i="1"/>
  <c r="J41" i="2" l="1"/>
  <c r="L40" i="2"/>
  <c r="L41" i="2" s="1"/>
  <c r="J22" i="2"/>
  <c r="J12" i="2"/>
  <c r="J15" i="2" s="1"/>
  <c r="J119" i="1"/>
  <c r="J48" i="1"/>
  <c r="J51" i="1" s="1"/>
  <c r="F54" i="1"/>
  <c r="D55" i="1"/>
  <c r="P8" i="1"/>
  <c r="N13" i="1"/>
  <c r="F59" i="2"/>
  <c r="H28" i="1"/>
  <c r="H30" i="1" s="1"/>
  <c r="H103" i="1"/>
  <c r="H105" i="1" s="1"/>
  <c r="H108" i="1" s="1"/>
  <c r="H119" i="1"/>
  <c r="H48" i="1"/>
  <c r="H51" i="1" s="1"/>
  <c r="J36" i="2"/>
  <c r="J37" i="2" s="1"/>
  <c r="J43" i="2" s="1"/>
  <c r="J47" i="2"/>
  <c r="J48" i="2" s="1"/>
  <c r="J51" i="2" s="1"/>
  <c r="J117" i="1"/>
  <c r="J37" i="1"/>
  <c r="F117" i="1"/>
  <c r="F37" i="1"/>
  <c r="H54" i="2"/>
  <c r="F55" i="2"/>
  <c r="N40" i="1"/>
  <c r="L41" i="1"/>
  <c r="L13" i="2"/>
  <c r="L14" i="2" s="1"/>
  <c r="L9" i="2"/>
  <c r="H37" i="1"/>
  <c r="H117" i="1"/>
  <c r="J22" i="1"/>
  <c r="J12" i="1"/>
  <c r="J15" i="1" s="1"/>
  <c r="F119" i="1"/>
  <c r="F48" i="1"/>
  <c r="F51" i="1" s="1"/>
  <c r="N6" i="1"/>
  <c r="L9" i="1"/>
  <c r="L14" i="1"/>
  <c r="F57" i="2"/>
  <c r="F103" i="1"/>
  <c r="F105" i="1" s="1"/>
  <c r="F108" i="1" s="1"/>
  <c r="F130" i="1" s="1"/>
  <c r="F28" i="1"/>
  <c r="F30" i="1" s="1"/>
  <c r="P6" i="1" l="1"/>
  <c r="N9" i="1"/>
  <c r="H55" i="2"/>
  <c r="H57" i="2" s="1"/>
  <c r="H59" i="2" s="1"/>
  <c r="F62" i="1"/>
  <c r="F43" i="1"/>
  <c r="H130" i="1"/>
  <c r="N14" i="1"/>
  <c r="L36" i="2"/>
  <c r="L37" i="2" s="1"/>
  <c r="L43" i="2" s="1"/>
  <c r="L47" i="2"/>
  <c r="L48" i="2" s="1"/>
  <c r="L51" i="2" s="1"/>
  <c r="F55" i="1"/>
  <c r="F63" i="1" s="1"/>
  <c r="H54" i="1"/>
  <c r="H62" i="1"/>
  <c r="H43" i="1"/>
  <c r="P40" i="1"/>
  <c r="N41" i="1"/>
  <c r="H64" i="1"/>
  <c r="R8" i="1"/>
  <c r="P13" i="1"/>
  <c r="P14" i="1" s="1"/>
  <c r="L47" i="1"/>
  <c r="L36" i="1"/>
  <c r="F65" i="1"/>
  <c r="F64" i="1"/>
  <c r="L22" i="1"/>
  <c r="L12" i="1"/>
  <c r="L15" i="1" s="1"/>
  <c r="J103" i="1"/>
  <c r="J105" i="1" s="1"/>
  <c r="J108" i="1" s="1"/>
  <c r="J130" i="1" s="1"/>
  <c r="J28" i="1"/>
  <c r="J30" i="1" s="1"/>
  <c r="L22" i="2"/>
  <c r="L12" i="2"/>
  <c r="L15" i="2" s="1"/>
  <c r="L28" i="2" s="1"/>
  <c r="L30" i="2" s="1"/>
  <c r="J43" i="1"/>
  <c r="J62" i="1"/>
  <c r="D57" i="1"/>
  <c r="D59" i="1" s="1"/>
  <c r="D65" i="1"/>
  <c r="D63" i="1"/>
  <c r="J28" i="2"/>
  <c r="J30" i="2" s="1"/>
  <c r="J54" i="2" s="1"/>
  <c r="L54" i="2" l="1"/>
  <c r="L55" i="2" s="1"/>
  <c r="J55" i="2"/>
  <c r="J57" i="2" s="1"/>
  <c r="J59" i="2" s="1"/>
  <c r="J64" i="1"/>
  <c r="P47" i="1"/>
  <c r="P119" i="1" s="1"/>
  <c r="P36" i="1"/>
  <c r="L57" i="2"/>
  <c r="N36" i="1"/>
  <c r="N47" i="1"/>
  <c r="L103" i="1"/>
  <c r="L105" i="1" s="1"/>
  <c r="L108" i="1" s="1"/>
  <c r="L130" i="1" s="1"/>
  <c r="L28" i="1"/>
  <c r="L30" i="1" s="1"/>
  <c r="L37" i="1"/>
  <c r="L117" i="1"/>
  <c r="T8" i="1"/>
  <c r="R13" i="1"/>
  <c r="L48" i="1"/>
  <c r="L51" i="1" s="1"/>
  <c r="L119" i="1"/>
  <c r="L59" i="2"/>
  <c r="F57" i="1"/>
  <c r="F59" i="1" s="1"/>
  <c r="N12" i="1"/>
  <c r="N15" i="1" s="1"/>
  <c r="N22" i="1"/>
  <c r="R40" i="1"/>
  <c r="P41" i="1"/>
  <c r="H55" i="1"/>
  <c r="J54" i="1"/>
  <c r="P9" i="1"/>
  <c r="R6" i="1"/>
  <c r="T6" i="1" l="1"/>
  <c r="R9" i="1"/>
  <c r="P22" i="1"/>
  <c r="P12" i="1"/>
  <c r="P15" i="1" s="1"/>
  <c r="N119" i="1"/>
  <c r="N48" i="1"/>
  <c r="N51" i="1" s="1"/>
  <c r="R14" i="1"/>
  <c r="R41" i="1"/>
  <c r="T40" i="1"/>
  <c r="T13" i="1"/>
  <c r="T14" i="1" s="1"/>
  <c r="V8" i="1"/>
  <c r="L54" i="1"/>
  <c r="J55" i="1"/>
  <c r="H65" i="1"/>
  <c r="H63" i="1"/>
  <c r="H57" i="1"/>
  <c r="H59" i="1" s="1"/>
  <c r="N103" i="1"/>
  <c r="N105" i="1" s="1"/>
  <c r="N28" i="1"/>
  <c r="N30" i="1" s="1"/>
  <c r="L43" i="1"/>
  <c r="L62" i="1"/>
  <c r="N117" i="1"/>
  <c r="N37" i="1"/>
  <c r="P37" i="1"/>
  <c r="P117" i="1"/>
  <c r="P43" i="1" l="1"/>
  <c r="N106" i="1"/>
  <c r="N120" i="1" s="1"/>
  <c r="V13" i="1"/>
  <c r="X8" i="1"/>
  <c r="X13" i="1" s="1"/>
  <c r="R36" i="1"/>
  <c r="R47" i="1"/>
  <c r="R119" i="1" s="1"/>
  <c r="P28" i="1"/>
  <c r="P103" i="1"/>
  <c r="P105" i="1" s="1"/>
  <c r="L55" i="1"/>
  <c r="N54" i="1"/>
  <c r="N62" i="1"/>
  <c r="N43" i="1"/>
  <c r="T36" i="1"/>
  <c r="T47" i="1"/>
  <c r="L64" i="1"/>
  <c r="J57" i="1"/>
  <c r="J59" i="1" s="1"/>
  <c r="J63" i="1"/>
  <c r="J65" i="1"/>
  <c r="T41" i="1"/>
  <c r="V40" i="1"/>
  <c r="R22" i="1"/>
  <c r="R12" i="1"/>
  <c r="R15" i="1" s="1"/>
  <c r="V6" i="1"/>
  <c r="T9" i="1"/>
  <c r="T117" i="1" l="1"/>
  <c r="T37" i="1"/>
  <c r="R28" i="1"/>
  <c r="R103" i="1"/>
  <c r="R105" i="1" s="1"/>
  <c r="P29" i="1"/>
  <c r="P46" i="1" s="1"/>
  <c r="P48" i="1" s="1"/>
  <c r="X6" i="1"/>
  <c r="X9" i="1" s="1"/>
  <c r="V9" i="1"/>
  <c r="P106" i="1"/>
  <c r="P120" i="1" s="1"/>
  <c r="L63" i="1"/>
  <c r="L57" i="1"/>
  <c r="L59" i="1" s="1"/>
  <c r="L65" i="1"/>
  <c r="V14" i="1"/>
  <c r="N64" i="1"/>
  <c r="T12" i="1"/>
  <c r="T15" i="1" s="1"/>
  <c r="T22" i="1"/>
  <c r="V41" i="1"/>
  <c r="X40" i="1"/>
  <c r="T119" i="1"/>
  <c r="R117" i="1"/>
  <c r="R37" i="1"/>
  <c r="N108" i="1"/>
  <c r="N130" i="1" s="1"/>
  <c r="N55" i="1"/>
  <c r="T28" i="1" l="1"/>
  <c r="T103" i="1"/>
  <c r="T105" i="1" s="1"/>
  <c r="P51" i="1"/>
  <c r="P62" i="1"/>
  <c r="X41" i="1"/>
  <c r="AC113" i="1"/>
  <c r="X112" i="1" s="1"/>
  <c r="X113" i="1" s="1"/>
  <c r="R106" i="1"/>
  <c r="R120" i="1" s="1"/>
  <c r="R29" i="1"/>
  <c r="R46" i="1" s="1"/>
  <c r="R48" i="1" s="1"/>
  <c r="R51" i="1" s="1"/>
  <c r="V47" i="1"/>
  <c r="V119" i="1" s="1"/>
  <c r="V36" i="1"/>
  <c r="V12" i="1"/>
  <c r="V15" i="1" s="1"/>
  <c r="V22" i="1"/>
  <c r="T43" i="1"/>
  <c r="X22" i="1"/>
  <c r="X12" i="1"/>
  <c r="R43" i="1"/>
  <c r="N65" i="1"/>
  <c r="N63" i="1"/>
  <c r="N57" i="1"/>
  <c r="N59" i="1" s="1"/>
  <c r="P108" i="1"/>
  <c r="P130" i="1" s="1"/>
  <c r="P30" i="1"/>
  <c r="X14" i="1"/>
  <c r="T29" i="1" l="1"/>
  <c r="T46" i="1" s="1"/>
  <c r="T48" i="1" s="1"/>
  <c r="T30" i="1"/>
  <c r="X36" i="1"/>
  <c r="X47" i="1"/>
  <c r="X119" i="1" s="1"/>
  <c r="X126" i="1" s="1"/>
  <c r="V28" i="1"/>
  <c r="V103" i="1"/>
  <c r="V105" i="1" s="1"/>
  <c r="V117" i="1"/>
  <c r="V37" i="1"/>
  <c r="R62" i="1"/>
  <c r="R108" i="1"/>
  <c r="R130" i="1" s="1"/>
  <c r="P64" i="1"/>
  <c r="P54" i="1"/>
  <c r="X15" i="1"/>
  <c r="R30" i="1"/>
  <c r="T106" i="1"/>
  <c r="T120" i="1" s="1"/>
  <c r="T64" i="1" l="1"/>
  <c r="T51" i="1"/>
  <c r="T62" i="1"/>
  <c r="X103" i="1"/>
  <c r="X105" i="1" s="1"/>
  <c r="X28" i="1"/>
  <c r="P55" i="1"/>
  <c r="R54" i="1"/>
  <c r="V106" i="1"/>
  <c r="V120" i="1" s="1"/>
  <c r="T108" i="1"/>
  <c r="T130" i="1" s="1"/>
  <c r="V62" i="1"/>
  <c r="V43" i="1"/>
  <c r="V30" i="1"/>
  <c r="V29" i="1"/>
  <c r="V46" i="1" s="1"/>
  <c r="V48" i="1" s="1"/>
  <c r="V51" i="1" s="1"/>
  <c r="X37" i="1"/>
  <c r="X117" i="1"/>
  <c r="X124" i="1" s="1"/>
  <c r="R64" i="1"/>
  <c r="X106" i="1" l="1"/>
  <c r="X120" i="1" s="1"/>
  <c r="X127" i="1" s="1"/>
  <c r="X108" i="1"/>
  <c r="X130" i="1" s="1"/>
  <c r="B135" i="1" s="1"/>
  <c r="X43" i="1"/>
  <c r="T54" i="1"/>
  <c r="R55" i="1"/>
  <c r="P65" i="1"/>
  <c r="P57" i="1"/>
  <c r="P59" i="1" s="1"/>
  <c r="P63" i="1"/>
  <c r="V64" i="1"/>
  <c r="V108" i="1"/>
  <c r="V130" i="1" s="1"/>
  <c r="X29" i="1"/>
  <c r="X46" i="1" s="1"/>
  <c r="X48" i="1" s="1"/>
  <c r="X51" i="1" s="1"/>
  <c r="V54" i="1" l="1"/>
  <c r="T55" i="1"/>
  <c r="X62" i="1"/>
  <c r="X30" i="1"/>
  <c r="R57" i="1"/>
  <c r="R59" i="1" s="1"/>
  <c r="R63" i="1"/>
  <c r="R65" i="1"/>
  <c r="X64" i="1" l="1"/>
  <c r="T65" i="1"/>
  <c r="T57" i="1"/>
  <c r="T59" i="1" s="1"/>
  <c r="T63" i="1"/>
  <c r="V55" i="1"/>
  <c r="X54" i="1"/>
  <c r="X55" i="1" s="1"/>
  <c r="D88" i="1" l="1"/>
  <c r="X57" i="1"/>
  <c r="X59" i="1" s="1"/>
  <c r="X63" i="1"/>
  <c r="V63" i="1"/>
  <c r="V57" i="1"/>
  <c r="V59" i="1" s="1"/>
  <c r="V65" i="1"/>
  <c r="X65" i="1"/>
  <c r="D89" i="1" l="1"/>
  <c r="D91" i="1" s="1"/>
  <c r="D92" i="1"/>
  <c r="D94" i="1" l="1"/>
  <c r="D96" i="1" s="1"/>
  <c r="D98" i="1" s="1"/>
  <c r="B133" i="1" s="1"/>
  <c r="C131" i="1" l="1"/>
  <c r="B134" i="1" s="1"/>
  <c r="R131" i="1"/>
  <c r="D131" i="1"/>
  <c r="F131" i="1"/>
  <c r="N131" i="1"/>
  <c r="H131" i="1"/>
  <c r="X131" i="1"/>
  <c r="L131" i="1"/>
  <c r="J131" i="1"/>
  <c r="T131" i="1"/>
  <c r="P131" i="1"/>
  <c r="V131" i="1"/>
</calcChain>
</file>

<file path=xl/sharedStrings.xml><?xml version="1.0" encoding="utf-8"?>
<sst xmlns="http://schemas.openxmlformats.org/spreadsheetml/2006/main" count="169" uniqueCount="115">
  <si>
    <t>FORECAST</t>
  </si>
  <si>
    <t>Assumptions and Data</t>
  </si>
  <si>
    <t>INCOME STATEMENT</t>
  </si>
  <si>
    <t>Sales Revenue</t>
  </si>
  <si>
    <t>Cost of Goods Sold</t>
  </si>
  <si>
    <t>Gross Profit</t>
  </si>
  <si>
    <t>General and Administrative expenses</t>
  </si>
  <si>
    <t>Depreciation</t>
  </si>
  <si>
    <t>Bank Loan Interest Expense</t>
  </si>
  <si>
    <t>Profit Before Taxes</t>
  </si>
  <si>
    <t>Taxes paid</t>
  </si>
  <si>
    <t>Net Profit After Taxes</t>
  </si>
  <si>
    <t>BALANCE SHEET</t>
  </si>
  <si>
    <t>Assets</t>
  </si>
  <si>
    <t>Cash</t>
  </si>
  <si>
    <t>Inventory</t>
  </si>
  <si>
    <t>Total Current Assets</t>
  </si>
  <si>
    <t>Less:  Accumulated Depreciation</t>
  </si>
  <si>
    <t>Building (net)</t>
  </si>
  <si>
    <t>Total Assets</t>
  </si>
  <si>
    <t>Liabilities and Equity</t>
  </si>
  <si>
    <t>Income Tax Payable</t>
  </si>
  <si>
    <t>Bank Loans</t>
  </si>
  <si>
    <t>Total Liabilities</t>
  </si>
  <si>
    <t>Common Stock</t>
  </si>
  <si>
    <t>Retained Earnings</t>
  </si>
  <si>
    <t>Total Equity</t>
  </si>
  <si>
    <t>Total Liabilities and Equity</t>
  </si>
  <si>
    <t>FINANCIAL HEALTH (RATIOS)</t>
  </si>
  <si>
    <t>Current Ratio</t>
  </si>
  <si>
    <t>Debt to Equity</t>
  </si>
  <si>
    <t>ROA</t>
  </si>
  <si>
    <t>ROE</t>
  </si>
  <si>
    <t>Operating Expenses:</t>
  </si>
  <si>
    <t>Total Current Liabilities</t>
  </si>
  <si>
    <t>Accounts Payable</t>
  </si>
  <si>
    <t>Financing Expenses:</t>
  </si>
  <si>
    <t>Ultilities Expenses</t>
  </si>
  <si>
    <t>taxes payable year after incurred</t>
  </si>
  <si>
    <t>taken only as needed</t>
  </si>
  <si>
    <t>Selling price</t>
  </si>
  <si>
    <t>Sales from potted herbs</t>
  </si>
  <si>
    <t>Cost per plant</t>
  </si>
  <si>
    <t>Membership Expense</t>
  </si>
  <si>
    <t>Maintenance Supplies Expense</t>
  </si>
  <si>
    <t>Greenhouse</t>
  </si>
  <si>
    <t xml:space="preserve"> Depreciate over 30 yr life</t>
  </si>
  <si>
    <t xml:space="preserve"> 15% tax rate</t>
  </si>
  <si>
    <t xml:space="preserve"> Inventory turnover 3 times a yr and increase to 4 (this is because of the growing season requirements.)</t>
  </si>
  <si>
    <t>10% interest rate (compared 3 different banks in the Rexburg area to find an average)</t>
  </si>
  <si>
    <t>$50 plus 6% of Sales (based off of the rexburg farmers market application)</t>
  </si>
  <si>
    <t>Fixed cost (Based off of local cost for natual gas)</t>
  </si>
  <si>
    <t>Increasing by 2% (to account for inflation)</t>
  </si>
  <si>
    <t>Increasing by 5% (due to an increase in the variety of product and marketing activities)</t>
  </si>
  <si>
    <t>days to payable is 30 (average)</t>
  </si>
  <si>
    <t>Issues in forecasting</t>
  </si>
  <si>
    <t>Wide variety of herbs with different growing seasons/times:</t>
  </si>
  <si>
    <t xml:space="preserve">         - makes it difficult to calculate COGS and Sales</t>
  </si>
  <si>
    <t>Greehouse cost found by looking up greehouse supplier prices.</t>
  </si>
  <si>
    <t>Amount of land available will limit the space available for expansion of business without renting out other property.</t>
  </si>
  <si>
    <t>Admin expenses could be much higher if someone is hired to do the bookkeeping rather than doing it themselves.</t>
  </si>
  <si>
    <t>Could break into another area of sales by selling fresh cut herbs rather than selling whole potted plants.  -  Which would be more cost effective?</t>
  </si>
  <si>
    <t>Herb Garden</t>
  </si>
  <si>
    <t>Number of days for Farmers Market</t>
  </si>
  <si>
    <t># of Herbs sold/day</t>
  </si>
  <si>
    <t>20% of sell price</t>
  </si>
  <si>
    <t>Van Rental Expense</t>
  </si>
  <si>
    <t>WACC Calculations</t>
  </si>
  <si>
    <t>Tax Rate</t>
  </si>
  <si>
    <t>WACC</t>
  </si>
  <si>
    <t>Old (Equity) Beta</t>
  </si>
  <si>
    <t>Current Debt Proportion</t>
  </si>
  <si>
    <t>Current Equity Proportion</t>
  </si>
  <si>
    <t>Unlevered Beta (zero debt)</t>
  </si>
  <si>
    <t>New Debt Proportion</t>
  </si>
  <si>
    <t>New Equity Proportion</t>
  </si>
  <si>
    <t>Relevered Beta</t>
  </si>
  <si>
    <t>New CAPM</t>
  </si>
  <si>
    <t>T-Bill</t>
  </si>
  <si>
    <t>S&amp;P 500</t>
  </si>
  <si>
    <t>Risk Premium</t>
  </si>
  <si>
    <t>Sugar</t>
  </si>
  <si>
    <t>Cocoa</t>
  </si>
  <si>
    <t>Coffee</t>
  </si>
  <si>
    <t>http://etfdb.com</t>
  </si>
  <si>
    <t>Min balance of $500</t>
  </si>
  <si>
    <t>Fixed cost ($85/day)</t>
  </si>
  <si>
    <t>Quick books for bookkeeping and $40 wage per day</t>
  </si>
  <si>
    <t>http://financials.morningstar.com</t>
  </si>
  <si>
    <t>Debt (ave for 10 yrs)</t>
  </si>
  <si>
    <t>Equity (ave for 10 yrs)</t>
  </si>
  <si>
    <t>FREE CASH FLOWS, NPV, IRR</t>
  </si>
  <si>
    <t>Cash from operations</t>
  </si>
  <si>
    <t>Operating Profit</t>
  </si>
  <si>
    <t>Less: Depreciation</t>
  </si>
  <si>
    <t xml:space="preserve"> - Sub Total</t>
  </si>
  <si>
    <t>Add: Back: Depreciation</t>
  </si>
  <si>
    <t>Total Cash From Operations</t>
  </si>
  <si>
    <t>Purchase Building 1</t>
  </si>
  <si>
    <t>Sell Building 2</t>
  </si>
  <si>
    <t>Changes in working capital</t>
  </si>
  <si>
    <t>-</t>
  </si>
  <si>
    <t>Cash Inventory (Min. Cash Balance)</t>
  </si>
  <si>
    <t>Inventories</t>
  </si>
  <si>
    <t>+</t>
  </si>
  <si>
    <t>Accounts Payable - COGS</t>
  </si>
  <si>
    <t>Liquidation of Working Capital</t>
  </si>
  <si>
    <t>TOTAL FREE CASH FLOWS</t>
  </si>
  <si>
    <t>PV OF FREE CASH FLOWS</t>
  </si>
  <si>
    <t>NPV</t>
  </si>
  <si>
    <t>IRR</t>
  </si>
  <si>
    <t>Tax on Operations 15%</t>
  </si>
  <si>
    <t>Cash from Capital Expenditures</t>
  </si>
  <si>
    <t>Sell at 110% of Book Value</t>
  </si>
  <si>
    <t>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</si>
</sst>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_(\$* #,##0.00_);_(\$* \(#,##0.00\);_(\$* \-??_);_(@_)"/>
    <numFmt numFmtId="165" formatCode="0.0"/>
    <numFmt numFmtId="166" formatCode="_(\$* #,##0_);_(\$* \(#,##0\);_(\$* \-??_);_(@_)"/>
    <numFmt numFmtId="167" formatCode="_(\$* #,##0.0000_);_(\$* \(#,##0.0000\);_(\$* \-??_);_(@_)"/>
    <numFmt numFmtId="168" formatCode="0.0%"/>
    <numFmt numFmtId="169" formatCode="&quot;$&quot;#,##0.00"/>
  </numFmts>
  <fonts count="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 val="singleAccounting"/>
      <sz val="11"/>
      <color indexed="8"/>
      <name val="Calibri"/>
      <family val="2"/>
      <charset val="1"/>
    </font>
    <font>
      <u/>
      <sz val="9"/>
      <color theme="10"/>
      <name val="Arial"/>
      <family val="2"/>
    </font>
    <font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/>
  </cellStyleXfs>
  <cellXfs count="96">
    <xf numFmtId="0" fontId="0" fillId="0" borderId="0" xfId="0"/>
    <xf numFmtId="0" fontId="1" fillId="0" borderId="0" xfId="2"/>
    <xf numFmtId="0" fontId="2" fillId="0" borderId="1" xfId="2" applyFont="1" applyBorder="1"/>
    <xf numFmtId="0" fontId="1" fillId="0" borderId="1" xfId="2" applyBorder="1"/>
    <xf numFmtId="0" fontId="2" fillId="0" borderId="0" xfId="2" applyFont="1"/>
    <xf numFmtId="10" fontId="1" fillId="0" borderId="0" xfId="4" applyNumberFormat="1"/>
    <xf numFmtId="1" fontId="1" fillId="0" borderId="0" xfId="2" applyNumberFormat="1"/>
    <xf numFmtId="164" fontId="1" fillId="0" borderId="0" xfId="1" applyFont="1" applyFill="1" applyBorder="1" applyAlignment="1" applyProtection="1"/>
    <xf numFmtId="165" fontId="1" fillId="0" borderId="0" xfId="2" applyNumberFormat="1"/>
    <xf numFmtId="0" fontId="1" fillId="0" borderId="0" xfId="2" applyFont="1"/>
    <xf numFmtId="166" fontId="1" fillId="0" borderId="0" xfId="1" applyNumberFormat="1" applyFont="1" applyFill="1" applyBorder="1" applyAlignment="1" applyProtection="1"/>
    <xf numFmtId="166" fontId="1" fillId="0" borderId="0" xfId="1" applyNumberFormat="1"/>
    <xf numFmtId="166" fontId="1" fillId="0" borderId="0" xfId="2" applyNumberFormat="1"/>
    <xf numFmtId="167" fontId="1" fillId="0" borderId="0" xfId="1" applyNumberFormat="1"/>
    <xf numFmtId="10" fontId="1" fillId="0" borderId="0" xfId="2" applyNumberFormat="1"/>
    <xf numFmtId="1" fontId="1" fillId="0" borderId="0" xfId="1" applyNumberFormat="1" applyFont="1" applyFill="1" applyBorder="1" applyAlignment="1" applyProtection="1"/>
    <xf numFmtId="0" fontId="3" fillId="0" borderId="0" xfId="2" applyFont="1"/>
    <xf numFmtId="0" fontId="4" fillId="0" borderId="0" xfId="2" applyFont="1"/>
    <xf numFmtId="44" fontId="1" fillId="0" borderId="0" xfId="2" applyNumberFormat="1"/>
    <xf numFmtId="44" fontId="1" fillId="0" borderId="0" xfId="1" applyNumberFormat="1" applyFont="1" applyFill="1" applyBorder="1" applyAlignment="1" applyProtection="1"/>
    <xf numFmtId="44" fontId="4" fillId="0" borderId="0" xfId="2" applyNumberFormat="1" applyFont="1"/>
    <xf numFmtId="44" fontId="1" fillId="0" borderId="0" xfId="1" applyNumberFormat="1"/>
    <xf numFmtId="44" fontId="4" fillId="0" borderId="2" xfId="2" applyNumberFormat="1" applyFont="1" applyBorder="1"/>
    <xf numFmtId="0" fontId="4" fillId="0" borderId="0" xfId="2" applyFont="1" applyBorder="1"/>
    <xf numFmtId="44" fontId="1" fillId="0" borderId="2" xfId="2" applyNumberFormat="1" applyBorder="1"/>
    <xf numFmtId="167" fontId="3" fillId="0" borderId="0" xfId="1" applyNumberFormat="1" applyFont="1"/>
    <xf numFmtId="166" fontId="3" fillId="0" borderId="0" xfId="1" applyNumberFormat="1" applyFont="1"/>
    <xf numFmtId="2" fontId="1" fillId="0" borderId="0" xfId="2" applyNumberFormat="1"/>
    <xf numFmtId="166" fontId="4" fillId="0" borderId="0" xfId="1" applyNumberFormat="1" applyFont="1" applyFill="1" applyBorder="1" applyAlignment="1" applyProtection="1"/>
    <xf numFmtId="0" fontId="2" fillId="0" borderId="2" xfId="2" applyFont="1" applyBorder="1"/>
    <xf numFmtId="0" fontId="1" fillId="0" borderId="2" xfId="2" applyBorder="1"/>
    <xf numFmtId="166" fontId="1" fillId="0" borderId="2" xfId="1" applyNumberFormat="1" applyFont="1" applyFill="1" applyBorder="1" applyAlignment="1" applyProtection="1"/>
    <xf numFmtId="44" fontId="1" fillId="0" borderId="0" xfId="2" applyNumberFormat="1" applyBorder="1"/>
    <xf numFmtId="44" fontId="4" fillId="0" borderId="0" xfId="2" applyNumberFormat="1" applyFont="1" applyBorder="1"/>
    <xf numFmtId="10" fontId="3" fillId="0" borderId="0" xfId="4" applyNumberFormat="1" applyFont="1"/>
    <xf numFmtId="0" fontId="3" fillId="2" borderId="0" xfId="2" applyFont="1" applyFill="1"/>
    <xf numFmtId="10" fontId="3" fillId="2" borderId="0" xfId="2" applyNumberFormat="1" applyFont="1" applyFill="1"/>
    <xf numFmtId="9" fontId="1" fillId="0" borderId="0" xfId="4" applyNumberFormat="1"/>
    <xf numFmtId="2" fontId="3" fillId="0" borderId="0" xfId="4" applyNumberFormat="1" applyFont="1"/>
    <xf numFmtId="0" fontId="6" fillId="0" borderId="0" xfId="3" applyAlignment="1" applyProtection="1"/>
    <xf numFmtId="2" fontId="1" fillId="0" borderId="2" xfId="2" applyNumberFormat="1" applyBorder="1"/>
    <xf numFmtId="0" fontId="1" fillId="0" borderId="0" xfId="2" quotePrefix="1"/>
    <xf numFmtId="1" fontId="1" fillId="0" borderId="0" xfId="1" applyNumberFormat="1"/>
    <xf numFmtId="1" fontId="1" fillId="0" borderId="2" xfId="1" applyNumberFormat="1" applyBorder="1"/>
    <xf numFmtId="1" fontId="1" fillId="0" borderId="3" xfId="1" applyNumberFormat="1" applyBorder="1"/>
    <xf numFmtId="1" fontId="3" fillId="0" borderId="4" xfId="1" applyNumberFormat="1" applyFont="1" applyBorder="1"/>
    <xf numFmtId="0" fontId="1" fillId="3" borderId="0" xfId="2" applyFill="1"/>
    <xf numFmtId="44" fontId="1" fillId="3" borderId="5" xfId="2" applyNumberFormat="1" applyFill="1" applyBorder="1"/>
    <xf numFmtId="0" fontId="3" fillId="3" borderId="0" xfId="2" applyFont="1" applyFill="1"/>
    <xf numFmtId="44" fontId="1" fillId="3" borderId="6" xfId="2" applyNumberFormat="1" applyFill="1" applyBorder="1"/>
    <xf numFmtId="0" fontId="2" fillId="3" borderId="0" xfId="2" applyFont="1" applyFill="1"/>
    <xf numFmtId="44" fontId="5" fillId="0" borderId="0" xfId="2" applyNumberFormat="1" applyFont="1"/>
    <xf numFmtId="0" fontId="1" fillId="4" borderId="0" xfId="2" applyFill="1" applyBorder="1"/>
    <xf numFmtId="0" fontId="1" fillId="4" borderId="2" xfId="2" applyFill="1" applyBorder="1"/>
    <xf numFmtId="0" fontId="1" fillId="4" borderId="7" xfId="2" applyFont="1" applyFill="1" applyBorder="1" applyAlignment="1">
      <alignment horizontal="center"/>
    </xf>
    <xf numFmtId="0" fontId="1" fillId="4" borderId="3" xfId="2" applyFont="1" applyFill="1" applyBorder="1" applyAlignment="1">
      <alignment horizontal="center"/>
    </xf>
    <xf numFmtId="0" fontId="1" fillId="4" borderId="8" xfId="2" applyFont="1" applyFill="1" applyBorder="1" applyAlignment="1">
      <alignment horizontal="center"/>
    </xf>
    <xf numFmtId="0" fontId="1" fillId="4" borderId="9" xfId="2" applyFill="1" applyBorder="1"/>
    <xf numFmtId="0" fontId="1" fillId="4" borderId="10" xfId="2" applyFill="1" applyBorder="1"/>
    <xf numFmtId="10" fontId="1" fillId="4" borderId="10" xfId="2" applyNumberFormat="1" applyFill="1" applyBorder="1"/>
    <xf numFmtId="10" fontId="1" fillId="4" borderId="11" xfId="2" applyNumberFormat="1" applyFill="1" applyBorder="1"/>
    <xf numFmtId="9" fontId="1" fillId="0" borderId="0" xfId="4"/>
    <xf numFmtId="0" fontId="7" fillId="0" borderId="0" xfId="2" applyFont="1" applyFill="1" applyBorder="1"/>
    <xf numFmtId="0" fontId="1" fillId="0" borderId="0" xfId="2" applyBorder="1"/>
    <xf numFmtId="2" fontId="1" fillId="5" borderId="12" xfId="2" applyNumberFormat="1" applyFill="1" applyBorder="1"/>
    <xf numFmtId="10" fontId="1" fillId="5" borderId="12" xfId="4" applyNumberFormat="1" applyFill="1" applyBorder="1"/>
    <xf numFmtId="9" fontId="1" fillId="5" borderId="12" xfId="4" applyFill="1" applyBorder="1"/>
    <xf numFmtId="1" fontId="1" fillId="5" borderId="0" xfId="2" applyNumberFormat="1" applyFill="1"/>
    <xf numFmtId="44" fontId="1" fillId="5" borderId="0" xfId="2" applyNumberFormat="1" applyFill="1"/>
    <xf numFmtId="1" fontId="1" fillId="5" borderId="0" xfId="1" applyNumberFormat="1" applyFont="1" applyFill="1" applyBorder="1" applyAlignment="1" applyProtection="1"/>
    <xf numFmtId="44" fontId="1" fillId="5" borderId="0" xfId="1" applyNumberFormat="1" applyFont="1" applyFill="1" applyBorder="1" applyAlignment="1" applyProtection="1"/>
    <xf numFmtId="168" fontId="1" fillId="5" borderId="12" xfId="4" applyNumberFormat="1" applyFill="1" applyBorder="1"/>
    <xf numFmtId="0" fontId="3" fillId="2" borderId="12" xfId="2" applyFont="1" applyFill="1" applyBorder="1"/>
    <xf numFmtId="169" fontId="1" fillId="2" borderId="12" xfId="1" applyNumberFormat="1" applyFill="1" applyBorder="1"/>
    <xf numFmtId="10" fontId="1" fillId="2" borderId="12" xfId="2" applyNumberFormat="1" applyFill="1" applyBorder="1"/>
    <xf numFmtId="0" fontId="1" fillId="0" borderId="0" xfId="2" applyFill="1" applyBorder="1"/>
    <xf numFmtId="10" fontId="1" fillId="0" borderId="0" xfId="2" applyNumberFormat="1" applyFill="1" applyBorder="1"/>
    <xf numFmtId="0" fontId="2" fillId="0" borderId="0" xfId="2" applyFont="1" applyFill="1" applyBorder="1"/>
    <xf numFmtId="0" fontId="3" fillId="0" borderId="0" xfId="2" applyFont="1" applyFill="1" applyBorder="1"/>
    <xf numFmtId="0" fontId="6" fillId="0" borderId="0" xfId="3" applyFill="1" applyBorder="1" applyAlignment="1" applyProtection="1"/>
    <xf numFmtId="0" fontId="1" fillId="0" borderId="0" xfId="2" applyFont="1" applyFill="1" applyBorder="1" applyAlignment="1">
      <alignment horizontal="center"/>
    </xf>
    <xf numFmtId="2" fontId="1" fillId="0" borderId="0" xfId="2" applyNumberFormat="1" applyFill="1" applyBorder="1"/>
    <xf numFmtId="10" fontId="1" fillId="0" borderId="0" xfId="4" applyNumberFormat="1" applyFill="1" applyBorder="1"/>
    <xf numFmtId="9" fontId="1" fillId="0" borderId="0" xfId="4" applyFill="1" applyBorder="1"/>
    <xf numFmtId="9" fontId="1" fillId="0" borderId="0" xfId="4" applyNumberFormat="1" applyFill="1" applyBorder="1"/>
    <xf numFmtId="168" fontId="1" fillId="0" borderId="0" xfId="4" applyNumberFormat="1" applyFill="1" applyBorder="1"/>
    <xf numFmtId="2" fontId="3" fillId="0" borderId="0" xfId="4" applyNumberFormat="1" applyFont="1" applyFill="1" applyBorder="1"/>
    <xf numFmtId="10" fontId="3" fillId="0" borderId="0" xfId="4" applyNumberFormat="1" applyFont="1" applyFill="1" applyBorder="1"/>
    <xf numFmtId="10" fontId="3" fillId="0" borderId="0" xfId="2" applyNumberFormat="1" applyFont="1" applyFill="1" applyBorder="1"/>
    <xf numFmtId="1" fontId="1" fillId="0" borderId="0" xfId="2" applyNumberFormat="1" applyFill="1" applyBorder="1"/>
    <xf numFmtId="1" fontId="1" fillId="0" borderId="0" xfId="1" applyNumberFormat="1" applyFill="1" applyBorder="1"/>
    <xf numFmtId="1" fontId="3" fillId="0" borderId="0" xfId="1" applyNumberFormat="1" applyFont="1" applyFill="1" applyBorder="1"/>
    <xf numFmtId="0" fontId="1" fillId="0" borderId="0" xfId="2" quotePrefix="1" applyFill="1" applyBorder="1"/>
    <xf numFmtId="0" fontId="4" fillId="0" borderId="0" xfId="2" applyFont="1" applyFill="1" applyBorder="1"/>
    <xf numFmtId="169" fontId="1" fillId="0" borderId="0" xfId="1" applyNumberFormat="1" applyFill="1" applyBorder="1"/>
    <xf numFmtId="166" fontId="1" fillId="0" borderId="0" xfId="1" applyNumberFormat="1" applyFill="1" applyBorder="1"/>
  </cellXfs>
  <cellStyles count="5">
    <cellStyle name="Currency" xfId="1" builtinId="4"/>
    <cellStyle name="Excel Built-in Normal" xfId="2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inancials.morningstar.com/" TargetMode="External"/><Relationship Id="rId1" Type="http://schemas.openxmlformats.org/officeDocument/2006/relationships/hyperlink" Target="http://etfd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5"/>
  <sheetViews>
    <sheetView zoomScale="85" zoomScaleNormal="85" workbookViewId="0">
      <selection sqref="A1:Y58"/>
    </sheetView>
  </sheetViews>
  <sheetFormatPr defaultColWidth="9.42578125" defaultRowHeight="15" x14ac:dyDescent="0.25"/>
  <cols>
    <col min="1" max="1" width="6" style="1" customWidth="1"/>
    <col min="2" max="2" width="31.85546875" style="1" customWidth="1"/>
    <col min="3" max="3" width="16.42578125" style="1" customWidth="1"/>
    <col min="4" max="4" width="15" style="1" bestFit="1" customWidth="1"/>
    <col min="5" max="5" width="2.85546875" style="1" customWidth="1"/>
    <col min="6" max="6" width="15" style="1" bestFit="1" customWidth="1"/>
    <col min="7" max="7" width="2.85546875" style="1" customWidth="1"/>
    <col min="8" max="8" width="15" style="1" bestFit="1" customWidth="1"/>
    <col min="9" max="9" width="2.85546875" style="1" customWidth="1"/>
    <col min="10" max="10" width="15" style="1" bestFit="1" customWidth="1"/>
    <col min="11" max="11" width="2.85546875" style="1" customWidth="1"/>
    <col min="12" max="12" width="15" style="1" customWidth="1"/>
    <col min="13" max="13" width="2.85546875" style="1" customWidth="1"/>
    <col min="14" max="14" width="15" style="1" customWidth="1"/>
    <col min="15" max="15" width="2.85546875" style="1" customWidth="1"/>
    <col min="16" max="16" width="15" style="1" customWidth="1"/>
    <col min="17" max="17" width="2.85546875" style="1" customWidth="1"/>
    <col min="18" max="18" width="15" style="1" customWidth="1"/>
    <col min="19" max="19" width="2.85546875" style="1" customWidth="1"/>
    <col min="20" max="20" width="15" style="1" customWidth="1"/>
    <col min="21" max="21" width="2.85546875" style="1" customWidth="1"/>
    <col min="22" max="22" width="12.7109375" style="1" bestFit="1" customWidth="1"/>
    <col min="23" max="23" width="2.85546875" style="1" customWidth="1"/>
    <col min="24" max="24" width="12.7109375" style="1" bestFit="1" customWidth="1"/>
    <col min="25" max="25" width="2.85546875" style="1" customWidth="1"/>
    <col min="26" max="26" width="4.7109375" style="1" customWidth="1"/>
    <col min="27" max="27" width="12.42578125" style="1" customWidth="1"/>
    <col min="28" max="28" width="5.42578125" style="1" customWidth="1"/>
    <col min="29" max="29" width="12.140625" style="1" customWidth="1"/>
    <col min="30" max="30" width="4.85546875" style="1" customWidth="1"/>
    <col min="31" max="31" width="8.140625" style="1" customWidth="1"/>
    <col min="32" max="32" width="31.42578125" style="1" customWidth="1"/>
    <col min="33" max="35" width="9.42578125" style="1"/>
    <col min="36" max="36" width="10" style="1" customWidth="1"/>
    <col min="37" max="16384" width="9.42578125" style="1"/>
  </cols>
  <sheetData>
    <row r="1" spans="1:31" s="3" customFormat="1" x14ac:dyDescent="0.25">
      <c r="A1" s="2" t="s">
        <v>62</v>
      </c>
    </row>
    <row r="2" spans="1:31" x14ac:dyDescent="0.25">
      <c r="A2" s="1" t="s">
        <v>0</v>
      </c>
      <c r="Z2" s="1" t="s">
        <v>1</v>
      </c>
    </row>
    <row r="3" spans="1:31" x14ac:dyDescent="0.25">
      <c r="A3" s="4"/>
      <c r="D3" s="1">
        <v>2012</v>
      </c>
      <c r="F3" s="1">
        <v>2013</v>
      </c>
      <c r="H3" s="1">
        <v>2014</v>
      </c>
      <c r="J3" s="1">
        <v>2015</v>
      </c>
      <c r="L3" s="1">
        <v>2016</v>
      </c>
      <c r="N3" s="1">
        <v>2017</v>
      </c>
      <c r="P3" s="1">
        <v>2018</v>
      </c>
      <c r="R3" s="1">
        <v>2019</v>
      </c>
      <c r="T3" s="1">
        <v>2020</v>
      </c>
      <c r="V3" s="1">
        <v>2021</v>
      </c>
      <c r="X3" s="1">
        <v>2022</v>
      </c>
    </row>
    <row r="4" spans="1:31" x14ac:dyDescent="0.25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/>
      <c r="AE4" s="5"/>
    </row>
    <row r="5" spans="1:31" x14ac:dyDescent="0.25">
      <c r="A5" s="1" t="s">
        <v>2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5"/>
    </row>
    <row r="6" spans="1:31" x14ac:dyDescent="0.25">
      <c r="A6" s="1" t="s">
        <v>64</v>
      </c>
      <c r="D6" s="67">
        <v>35</v>
      </c>
      <c r="E6" s="6"/>
      <c r="F6" s="69">
        <f>D6*1.05</f>
        <v>36.75</v>
      </c>
      <c r="G6" s="15"/>
      <c r="H6" s="69">
        <f>F6*1.05</f>
        <v>38.587499999999999</v>
      </c>
      <c r="I6" s="15"/>
      <c r="J6" s="69">
        <f>H6*1.05</f>
        <v>40.516874999999999</v>
      </c>
      <c r="K6" s="15"/>
      <c r="L6" s="69">
        <f t="shared" ref="L6:T6" si="0">J6*1.05</f>
        <v>42.542718749999999</v>
      </c>
      <c r="M6" s="15"/>
      <c r="N6" s="69">
        <f t="shared" si="0"/>
        <v>44.669854687499999</v>
      </c>
      <c r="O6" s="15"/>
      <c r="P6" s="69">
        <f t="shared" si="0"/>
        <v>46.903347421875004</v>
      </c>
      <c r="Q6" s="15"/>
      <c r="R6" s="69">
        <f t="shared" si="0"/>
        <v>49.248514792968756</v>
      </c>
      <c r="S6" s="15"/>
      <c r="T6" s="69">
        <f t="shared" si="0"/>
        <v>51.710940532617194</v>
      </c>
      <c r="U6" s="15"/>
      <c r="V6" s="69">
        <f>T6*1.05</f>
        <v>54.296487559248057</v>
      </c>
      <c r="W6" s="15"/>
      <c r="X6" s="69">
        <f>V6*1.05</f>
        <v>57.011311937210465</v>
      </c>
      <c r="Y6" s="15"/>
      <c r="Z6" s="7" t="s">
        <v>53</v>
      </c>
      <c r="AA6" s="7"/>
      <c r="AB6" s="7"/>
      <c r="AC6" s="7"/>
      <c r="AD6" s="7"/>
      <c r="AE6" s="5"/>
    </row>
    <row r="7" spans="1:31" x14ac:dyDescent="0.25">
      <c r="A7" s="1" t="s">
        <v>63</v>
      </c>
      <c r="D7" s="67">
        <v>24</v>
      </c>
      <c r="E7" s="6"/>
      <c r="F7" s="67">
        <v>24</v>
      </c>
      <c r="G7" s="6"/>
      <c r="H7" s="67">
        <v>24</v>
      </c>
      <c r="I7" s="6"/>
      <c r="J7" s="67">
        <v>24</v>
      </c>
      <c r="K7" s="6"/>
      <c r="L7" s="67">
        <v>24</v>
      </c>
      <c r="M7" s="6"/>
      <c r="N7" s="67">
        <v>24</v>
      </c>
      <c r="O7" s="6"/>
      <c r="P7" s="67">
        <v>24</v>
      </c>
      <c r="Q7" s="6"/>
      <c r="R7" s="67">
        <v>24</v>
      </c>
      <c r="S7" s="6"/>
      <c r="T7" s="67">
        <v>24</v>
      </c>
      <c r="U7" s="6"/>
      <c r="V7" s="67">
        <v>24</v>
      </c>
      <c r="W7" s="6"/>
      <c r="X7" s="67">
        <v>24</v>
      </c>
      <c r="Y7" s="15"/>
      <c r="Z7" s="7"/>
      <c r="AA7" s="7"/>
      <c r="AB7" s="7"/>
      <c r="AC7" s="7"/>
      <c r="AD7" s="7"/>
      <c r="AE7" s="5"/>
    </row>
    <row r="8" spans="1:31" x14ac:dyDescent="0.25">
      <c r="A8" s="1" t="s">
        <v>40</v>
      </c>
      <c r="D8" s="68">
        <v>4.5</v>
      </c>
      <c r="E8" s="18"/>
      <c r="F8" s="70">
        <f>D8*1.02</f>
        <v>4.59</v>
      </c>
      <c r="G8" s="19"/>
      <c r="H8" s="70">
        <f>F8*1.02</f>
        <v>4.6818</v>
      </c>
      <c r="I8" s="19"/>
      <c r="J8" s="70">
        <f>H8*1.02</f>
        <v>4.775436</v>
      </c>
      <c r="K8" s="19"/>
      <c r="L8" s="70">
        <f t="shared" ref="L8:T8" si="1">J8*1.02</f>
        <v>4.8709447199999998</v>
      </c>
      <c r="M8" s="19"/>
      <c r="N8" s="70">
        <f t="shared" si="1"/>
        <v>4.9683636144000003</v>
      </c>
      <c r="O8" s="19"/>
      <c r="P8" s="70">
        <f t="shared" si="1"/>
        <v>5.0677308866880004</v>
      </c>
      <c r="Q8" s="19"/>
      <c r="R8" s="70">
        <f t="shared" si="1"/>
        <v>5.1690855044217603</v>
      </c>
      <c r="S8" s="19"/>
      <c r="T8" s="70">
        <f t="shared" si="1"/>
        <v>5.2724672145101952</v>
      </c>
      <c r="U8" s="19"/>
      <c r="V8" s="70">
        <f>T8*1.02</f>
        <v>5.3779165588003988</v>
      </c>
      <c r="W8" s="19"/>
      <c r="X8" s="70">
        <f>V8*1.02</f>
        <v>5.4854748899764072</v>
      </c>
      <c r="Y8" s="19"/>
      <c r="Z8" s="7" t="s">
        <v>52</v>
      </c>
      <c r="AA8" s="7"/>
      <c r="AB8" s="7"/>
      <c r="AC8" s="7"/>
      <c r="AD8" s="7"/>
      <c r="AE8" s="5"/>
    </row>
    <row r="9" spans="1:31" x14ac:dyDescent="0.25">
      <c r="A9" s="17" t="s">
        <v>41</v>
      </c>
      <c r="B9" s="17"/>
      <c r="C9" s="17"/>
      <c r="D9" s="20">
        <f>D6*D7*D8</f>
        <v>3780</v>
      </c>
      <c r="E9" s="20"/>
      <c r="F9" s="20">
        <f t="shared" ref="F9:X9" si="2">F6*F7*F8</f>
        <v>4048.3799999999997</v>
      </c>
      <c r="G9" s="20"/>
      <c r="H9" s="20">
        <f t="shared" si="2"/>
        <v>4335.8149799999992</v>
      </c>
      <c r="I9" s="20"/>
      <c r="J9" s="20">
        <f t="shared" si="2"/>
        <v>4643.6578435800002</v>
      </c>
      <c r="K9" s="20"/>
      <c r="L9" s="20">
        <f t="shared" si="2"/>
        <v>4973.3575504741793</v>
      </c>
      <c r="M9" s="20"/>
      <c r="N9" s="20">
        <f t="shared" si="2"/>
        <v>5326.4659365578473</v>
      </c>
      <c r="O9" s="20"/>
      <c r="P9" s="20">
        <f t="shared" si="2"/>
        <v>5704.6450180534548</v>
      </c>
      <c r="Q9" s="20"/>
      <c r="R9" s="20">
        <f t="shared" si="2"/>
        <v>6109.6748143352497</v>
      </c>
      <c r="S9" s="20"/>
      <c r="T9" s="20">
        <f t="shared" si="2"/>
        <v>6543.461726153052</v>
      </c>
      <c r="U9" s="20"/>
      <c r="V9" s="20">
        <f t="shared" si="2"/>
        <v>7008.0475087099194</v>
      </c>
      <c r="W9" s="20"/>
      <c r="X9" s="20">
        <f t="shared" si="2"/>
        <v>7505.6188818283254</v>
      </c>
      <c r="Y9" s="20"/>
      <c r="Z9" s="7"/>
      <c r="AA9" s="7"/>
      <c r="AB9" s="7"/>
      <c r="AC9" s="7"/>
      <c r="AD9" s="7"/>
    </row>
    <row r="10" spans="1:31" x14ac:dyDescent="0.25"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AE10" s="5"/>
    </row>
    <row r="11" spans="1:31" x14ac:dyDescent="0.25"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AE11" s="5"/>
    </row>
    <row r="12" spans="1:31" x14ac:dyDescent="0.25">
      <c r="A12" s="1" t="s">
        <v>3</v>
      </c>
      <c r="D12" s="18">
        <f>D9</f>
        <v>3780</v>
      </c>
      <c r="E12" s="18"/>
      <c r="F12" s="18">
        <f>F9</f>
        <v>4048.3799999999997</v>
      </c>
      <c r="G12" s="18"/>
      <c r="H12" s="18">
        <f>H9</f>
        <v>4335.8149799999992</v>
      </c>
      <c r="I12" s="18"/>
      <c r="J12" s="18">
        <f>J9</f>
        <v>4643.6578435800002</v>
      </c>
      <c r="K12" s="18"/>
      <c r="L12" s="18">
        <f t="shared" ref="L12:T12" si="3">L9</f>
        <v>4973.3575504741793</v>
      </c>
      <c r="M12" s="18"/>
      <c r="N12" s="18">
        <f t="shared" si="3"/>
        <v>5326.4659365578473</v>
      </c>
      <c r="O12" s="18"/>
      <c r="P12" s="18">
        <f t="shared" si="3"/>
        <v>5704.6450180534548</v>
      </c>
      <c r="Q12" s="18"/>
      <c r="R12" s="18">
        <f t="shared" si="3"/>
        <v>6109.6748143352497</v>
      </c>
      <c r="S12" s="18"/>
      <c r="T12" s="18">
        <f t="shared" si="3"/>
        <v>6543.461726153052</v>
      </c>
      <c r="U12" s="18"/>
      <c r="V12" s="18">
        <f>V9</f>
        <v>7008.0475087099194</v>
      </c>
      <c r="W12" s="18"/>
      <c r="X12" s="18">
        <f>X9</f>
        <v>7505.6188818283254</v>
      </c>
      <c r="Y12" s="18"/>
      <c r="Z12" s="8"/>
      <c r="AA12" s="8"/>
      <c r="AB12" s="8"/>
      <c r="AC12" s="8"/>
      <c r="AE12" s="5"/>
    </row>
    <row r="13" spans="1:31" x14ac:dyDescent="0.25">
      <c r="A13" s="1" t="s">
        <v>42</v>
      </c>
      <c r="D13" s="18">
        <f>D8*0.2</f>
        <v>0.9</v>
      </c>
      <c r="E13" s="18"/>
      <c r="F13" s="18">
        <f t="shared" ref="F13:X13" si="4">F8*0.2</f>
        <v>0.91800000000000004</v>
      </c>
      <c r="G13" s="18"/>
      <c r="H13" s="18">
        <f t="shared" si="4"/>
        <v>0.93636000000000008</v>
      </c>
      <c r="I13" s="18"/>
      <c r="J13" s="18">
        <f t="shared" si="4"/>
        <v>0.95508720000000003</v>
      </c>
      <c r="K13" s="18"/>
      <c r="L13" s="18">
        <f t="shared" si="4"/>
        <v>0.974188944</v>
      </c>
      <c r="M13" s="18"/>
      <c r="N13" s="18">
        <f t="shared" si="4"/>
        <v>0.99367272288000008</v>
      </c>
      <c r="O13" s="18"/>
      <c r="P13" s="18">
        <f t="shared" si="4"/>
        <v>1.0135461773376002</v>
      </c>
      <c r="Q13" s="18"/>
      <c r="R13" s="18">
        <f t="shared" si="4"/>
        <v>1.0338171008843522</v>
      </c>
      <c r="S13" s="18"/>
      <c r="T13" s="18">
        <f t="shared" si="4"/>
        <v>1.0544934429020392</v>
      </c>
      <c r="U13" s="18"/>
      <c r="V13" s="18">
        <f t="shared" si="4"/>
        <v>1.0755833117600797</v>
      </c>
      <c r="W13" s="18"/>
      <c r="X13" s="18">
        <f t="shared" si="4"/>
        <v>1.0970949779952814</v>
      </c>
      <c r="Y13" s="18"/>
      <c r="Z13" s="1" t="s">
        <v>65</v>
      </c>
    </row>
    <row r="14" spans="1:31" ht="17.25" x14ac:dyDescent="0.4">
      <c r="A14" s="4"/>
      <c r="B14" s="1" t="s">
        <v>4</v>
      </c>
      <c r="D14" s="51">
        <f>D13*D6*D7</f>
        <v>756</v>
      </c>
      <c r="E14" s="51"/>
      <c r="F14" s="51">
        <f t="shared" ref="F14:X14" si="5">F13*F6*F7</f>
        <v>809.67599999999993</v>
      </c>
      <c r="G14" s="51"/>
      <c r="H14" s="51">
        <f t="shared" si="5"/>
        <v>867.16299600000002</v>
      </c>
      <c r="I14" s="51"/>
      <c r="J14" s="51">
        <f t="shared" si="5"/>
        <v>928.73156871600008</v>
      </c>
      <c r="K14" s="51"/>
      <c r="L14" s="51">
        <f t="shared" si="5"/>
        <v>994.67151009483587</v>
      </c>
      <c r="M14" s="51"/>
      <c r="N14" s="51">
        <f t="shared" si="5"/>
        <v>1065.2931873115695</v>
      </c>
      <c r="O14" s="51"/>
      <c r="P14" s="51">
        <f t="shared" si="5"/>
        <v>1140.9290036106911</v>
      </c>
      <c r="Q14" s="51"/>
      <c r="R14" s="51">
        <f t="shared" si="5"/>
        <v>1221.9349628670502</v>
      </c>
      <c r="S14" s="51"/>
      <c r="T14" s="51">
        <f t="shared" si="5"/>
        <v>1308.6923452306107</v>
      </c>
      <c r="U14" s="51"/>
      <c r="V14" s="51">
        <f t="shared" si="5"/>
        <v>1401.6095017419839</v>
      </c>
      <c r="W14" s="51"/>
      <c r="X14" s="51">
        <f t="shared" si="5"/>
        <v>1501.123776365665</v>
      </c>
      <c r="Y14" s="18"/>
    </row>
    <row r="15" spans="1:31" x14ac:dyDescent="0.25">
      <c r="A15" s="9"/>
      <c r="B15" s="1" t="s">
        <v>5</v>
      </c>
      <c r="D15" s="18">
        <f>D12-D14</f>
        <v>3024</v>
      </c>
      <c r="E15" s="18"/>
      <c r="F15" s="18">
        <f>F12-F14</f>
        <v>3238.7039999999997</v>
      </c>
      <c r="G15" s="18"/>
      <c r="H15" s="18">
        <f>H12-H14</f>
        <v>3468.6519839999992</v>
      </c>
      <c r="I15" s="18"/>
      <c r="J15" s="18">
        <f>J12-J14</f>
        <v>3714.9262748640003</v>
      </c>
      <c r="K15" s="18"/>
      <c r="L15" s="18">
        <f t="shared" ref="L15:T15" si="6">L12-L14</f>
        <v>3978.6860403793435</v>
      </c>
      <c r="M15" s="18"/>
      <c r="N15" s="18">
        <f t="shared" si="6"/>
        <v>4261.1727492462778</v>
      </c>
      <c r="O15" s="18"/>
      <c r="P15" s="18">
        <f t="shared" si="6"/>
        <v>4563.7160144427635</v>
      </c>
      <c r="Q15" s="18"/>
      <c r="R15" s="18">
        <f t="shared" si="6"/>
        <v>4887.739851468199</v>
      </c>
      <c r="S15" s="18"/>
      <c r="T15" s="18">
        <f t="shared" si="6"/>
        <v>5234.7693809224411</v>
      </c>
      <c r="U15" s="18"/>
      <c r="V15" s="18">
        <f>V12-V14</f>
        <v>5606.4380069679355</v>
      </c>
      <c r="W15" s="18"/>
      <c r="X15" s="18">
        <f>X12-X14</f>
        <v>6004.4951054626599</v>
      </c>
      <c r="Y15" s="18"/>
      <c r="AD15" s="10"/>
    </row>
    <row r="16" spans="1:31" x14ac:dyDescent="0.25">
      <c r="A16" s="9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AD16" s="10"/>
    </row>
    <row r="17" spans="1:31" x14ac:dyDescent="0.25">
      <c r="A17" s="9" t="s">
        <v>33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AD17" s="10"/>
    </row>
    <row r="18" spans="1:31" x14ac:dyDescent="0.25">
      <c r="A18" s="9" t="s">
        <v>6</v>
      </c>
      <c r="D18" s="18">
        <f>170+40*D7</f>
        <v>1130</v>
      </c>
      <c r="E18" s="18"/>
      <c r="F18" s="18">
        <f t="shared" ref="F18:X18" si="7">170+40*F7</f>
        <v>1130</v>
      </c>
      <c r="G18" s="18"/>
      <c r="H18" s="18">
        <f t="shared" si="7"/>
        <v>1130</v>
      </c>
      <c r="I18" s="18"/>
      <c r="J18" s="18">
        <f t="shared" si="7"/>
        <v>1130</v>
      </c>
      <c r="K18" s="18"/>
      <c r="L18" s="18">
        <f t="shared" si="7"/>
        <v>1130</v>
      </c>
      <c r="M18" s="18"/>
      <c r="N18" s="18">
        <f t="shared" si="7"/>
        <v>1130</v>
      </c>
      <c r="O18" s="18"/>
      <c r="P18" s="18">
        <f t="shared" si="7"/>
        <v>1130</v>
      </c>
      <c r="Q18" s="18"/>
      <c r="R18" s="18">
        <f t="shared" si="7"/>
        <v>1130</v>
      </c>
      <c r="S18" s="18"/>
      <c r="T18" s="18">
        <f t="shared" si="7"/>
        <v>1130</v>
      </c>
      <c r="U18" s="18"/>
      <c r="V18" s="18">
        <f t="shared" si="7"/>
        <v>1130</v>
      </c>
      <c r="W18" s="18"/>
      <c r="X18" s="18">
        <f t="shared" si="7"/>
        <v>1130</v>
      </c>
      <c r="Y18" s="19"/>
      <c r="Z18" s="10" t="s">
        <v>87</v>
      </c>
      <c r="AA18" s="10"/>
      <c r="AB18" s="10"/>
      <c r="AC18" s="10"/>
      <c r="AD18" s="10"/>
    </row>
    <row r="19" spans="1:31" x14ac:dyDescent="0.25">
      <c r="A19" s="9" t="s">
        <v>44</v>
      </c>
      <c r="D19" s="18">
        <v>150</v>
      </c>
      <c r="E19" s="18"/>
      <c r="F19" s="19">
        <v>100</v>
      </c>
      <c r="G19" s="19"/>
      <c r="H19" s="19">
        <v>100</v>
      </c>
      <c r="I19" s="19"/>
      <c r="J19" s="19">
        <v>100</v>
      </c>
      <c r="K19" s="19"/>
      <c r="L19" s="19">
        <v>100</v>
      </c>
      <c r="M19" s="19"/>
      <c r="N19" s="19">
        <v>100</v>
      </c>
      <c r="O19" s="19"/>
      <c r="P19" s="19">
        <v>100</v>
      </c>
      <c r="Q19" s="19"/>
      <c r="R19" s="19">
        <v>100</v>
      </c>
      <c r="S19" s="19"/>
      <c r="T19" s="19">
        <v>100</v>
      </c>
      <c r="U19" s="19"/>
      <c r="V19" s="19">
        <v>100</v>
      </c>
      <c r="W19" s="19"/>
      <c r="X19" s="19">
        <v>100</v>
      </c>
      <c r="Y19" s="19"/>
      <c r="Z19" s="10"/>
      <c r="AA19" s="10"/>
      <c r="AB19" s="10"/>
      <c r="AC19" s="10"/>
      <c r="AD19" s="10"/>
    </row>
    <row r="20" spans="1:31" x14ac:dyDescent="0.25">
      <c r="A20" s="9" t="s">
        <v>37</v>
      </c>
      <c r="D20" s="18">
        <v>314</v>
      </c>
      <c r="E20" s="18"/>
      <c r="F20" s="18">
        <v>314</v>
      </c>
      <c r="G20" s="18"/>
      <c r="H20" s="18">
        <v>314</v>
      </c>
      <c r="I20" s="18"/>
      <c r="J20" s="18">
        <v>314</v>
      </c>
      <c r="K20" s="18"/>
      <c r="L20" s="18">
        <v>314</v>
      </c>
      <c r="M20" s="18"/>
      <c r="N20" s="18">
        <v>314</v>
      </c>
      <c r="O20" s="18"/>
      <c r="P20" s="18">
        <v>314</v>
      </c>
      <c r="Q20" s="18"/>
      <c r="R20" s="18">
        <v>314</v>
      </c>
      <c r="S20" s="18"/>
      <c r="T20" s="18">
        <v>314</v>
      </c>
      <c r="U20" s="18"/>
      <c r="V20" s="18">
        <v>314</v>
      </c>
      <c r="W20" s="18"/>
      <c r="X20" s="18">
        <v>314</v>
      </c>
      <c r="Y20" s="18"/>
      <c r="Z20" s="10" t="s">
        <v>51</v>
      </c>
      <c r="AA20" s="10"/>
      <c r="AB20" s="10"/>
      <c r="AC20" s="10"/>
      <c r="AD20" s="10"/>
    </row>
    <row r="21" spans="1:31" x14ac:dyDescent="0.25">
      <c r="A21" s="9" t="s">
        <v>66</v>
      </c>
      <c r="D21" s="18">
        <f t="shared" ref="D21:V21" si="8">D7*85</f>
        <v>2040</v>
      </c>
      <c r="E21" s="18"/>
      <c r="F21" s="18">
        <f t="shared" si="8"/>
        <v>2040</v>
      </c>
      <c r="G21" s="18"/>
      <c r="H21" s="18">
        <f t="shared" si="8"/>
        <v>2040</v>
      </c>
      <c r="I21" s="18"/>
      <c r="J21" s="18">
        <f t="shared" si="8"/>
        <v>2040</v>
      </c>
      <c r="K21" s="18"/>
      <c r="L21" s="18">
        <f t="shared" si="8"/>
        <v>2040</v>
      </c>
      <c r="M21" s="18"/>
      <c r="N21" s="18">
        <f t="shared" si="8"/>
        <v>2040</v>
      </c>
      <c r="O21" s="18"/>
      <c r="P21" s="18">
        <f t="shared" si="8"/>
        <v>2040</v>
      </c>
      <c r="Q21" s="18"/>
      <c r="R21" s="18">
        <f t="shared" si="8"/>
        <v>2040</v>
      </c>
      <c r="S21" s="18"/>
      <c r="T21" s="18">
        <f t="shared" si="8"/>
        <v>2040</v>
      </c>
      <c r="U21" s="18"/>
      <c r="V21" s="18">
        <f t="shared" si="8"/>
        <v>2040</v>
      </c>
      <c r="W21" s="18"/>
      <c r="X21" s="18">
        <f>X7*85</f>
        <v>2040</v>
      </c>
      <c r="Y21" s="18"/>
      <c r="Z21" s="10" t="s">
        <v>86</v>
      </c>
      <c r="AA21" s="10"/>
      <c r="AB21" s="10"/>
      <c r="AC21" s="10"/>
      <c r="AD21" s="10"/>
    </row>
    <row r="22" spans="1:31" x14ac:dyDescent="0.25">
      <c r="A22" s="9" t="s">
        <v>43</v>
      </c>
      <c r="D22" s="18">
        <f>50+(6%*D9)</f>
        <v>276.79999999999995</v>
      </c>
      <c r="E22" s="18"/>
      <c r="F22" s="18">
        <f>50+(6%*F9)</f>
        <v>292.90279999999996</v>
      </c>
      <c r="G22" s="18"/>
      <c r="H22" s="18">
        <f>50+(6%*H9)</f>
        <v>310.14889879999993</v>
      </c>
      <c r="I22" s="18"/>
      <c r="J22" s="18">
        <f>50+(6%*J9)</f>
        <v>328.61947061479998</v>
      </c>
      <c r="K22" s="18"/>
      <c r="L22" s="18">
        <f>50+(6%*L9)</f>
        <v>348.40145302845076</v>
      </c>
      <c r="M22" s="18"/>
      <c r="N22" s="18">
        <f>50+(6%*N9)</f>
        <v>369.5879561934708</v>
      </c>
      <c r="O22" s="18"/>
      <c r="P22" s="18">
        <f>50+(6%*P9)</f>
        <v>392.2787010832073</v>
      </c>
      <c r="Q22" s="18"/>
      <c r="R22" s="18">
        <f>50+(6%*R9)</f>
        <v>416.580488860115</v>
      </c>
      <c r="S22" s="18"/>
      <c r="T22" s="18">
        <f>50+(6%*T9)</f>
        <v>442.60770356918312</v>
      </c>
      <c r="U22" s="18"/>
      <c r="V22" s="18">
        <f>50+(6%*V9)</f>
        <v>470.48285052259513</v>
      </c>
      <c r="W22" s="18"/>
      <c r="X22" s="18">
        <f>50+(6%*X9)</f>
        <v>500.33713290969951</v>
      </c>
      <c r="Y22" s="18"/>
      <c r="Z22" s="10" t="s">
        <v>50</v>
      </c>
      <c r="AA22" s="10"/>
      <c r="AB22" s="10"/>
      <c r="AC22" s="10"/>
      <c r="AD22" s="10"/>
    </row>
    <row r="23" spans="1:31" x14ac:dyDescent="0.25">
      <c r="A23" s="9"/>
      <c r="D23" s="18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0"/>
      <c r="AA23" s="10"/>
      <c r="AB23" s="10"/>
      <c r="AC23" s="10"/>
      <c r="AD23" s="10"/>
    </row>
    <row r="24" spans="1:31" x14ac:dyDescent="0.25">
      <c r="A24" s="9" t="s">
        <v>36</v>
      </c>
      <c r="D24" s="18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0"/>
      <c r="AA24" s="10"/>
      <c r="AB24" s="10"/>
      <c r="AC24" s="10"/>
      <c r="AD24" s="10"/>
    </row>
    <row r="25" spans="1:31" x14ac:dyDescent="0.25">
      <c r="A25" s="9" t="s">
        <v>7</v>
      </c>
      <c r="D25" s="18">
        <f>$D$40</f>
        <v>200</v>
      </c>
      <c r="E25" s="18"/>
      <c r="F25" s="18">
        <f>$D$40</f>
        <v>200</v>
      </c>
      <c r="G25" s="18"/>
      <c r="H25" s="18">
        <f>$D$40</f>
        <v>200</v>
      </c>
      <c r="I25" s="18"/>
      <c r="J25" s="18">
        <f>$D$40</f>
        <v>200</v>
      </c>
      <c r="K25" s="18"/>
      <c r="L25" s="18">
        <f>$D$40</f>
        <v>200</v>
      </c>
      <c r="M25" s="18"/>
      <c r="N25" s="18">
        <f>$D$40</f>
        <v>200</v>
      </c>
      <c r="O25" s="18"/>
      <c r="P25" s="18">
        <f>$D$40</f>
        <v>200</v>
      </c>
      <c r="Q25" s="18"/>
      <c r="R25" s="18">
        <f>$D$40</f>
        <v>200</v>
      </c>
      <c r="S25" s="18"/>
      <c r="T25" s="18">
        <f>$D$40</f>
        <v>200</v>
      </c>
      <c r="U25" s="18"/>
      <c r="V25" s="18">
        <f>$D$40</f>
        <v>200</v>
      </c>
      <c r="W25" s="18"/>
      <c r="X25" s="18">
        <f>$D$40</f>
        <v>200</v>
      </c>
      <c r="Y25" s="18"/>
      <c r="Z25" s="10"/>
      <c r="AA25" s="10"/>
      <c r="AB25" s="10"/>
      <c r="AC25" s="10"/>
      <c r="AD25" s="10"/>
    </row>
    <row r="26" spans="1:31" x14ac:dyDescent="0.25">
      <c r="A26" s="1" t="s">
        <v>8</v>
      </c>
      <c r="D26" s="18">
        <f>D50*0.1</f>
        <v>63.977777777777696</v>
      </c>
      <c r="E26" s="18"/>
      <c r="F26" s="18">
        <f>F50*0.1</f>
        <v>143.48839753086418</v>
      </c>
      <c r="G26" s="18"/>
      <c r="H26" s="18">
        <f>H50*0.1</f>
        <v>208.30584878984925</v>
      </c>
      <c r="I26" s="18"/>
      <c r="J26" s="18">
        <f>J50*0.1</f>
        <v>255.12709186981024</v>
      </c>
      <c r="K26" s="18"/>
      <c r="L26" s="18">
        <f>L50*0.1</f>
        <v>280.16347963243533</v>
      </c>
      <c r="M26" s="18"/>
      <c r="N26" s="18">
        <f>N50*0.1</f>
        <v>269.21455447775185</v>
      </c>
      <c r="O26" s="18"/>
      <c r="P26" s="18">
        <f>P50*0.1</f>
        <v>235.25713342234982</v>
      </c>
      <c r="Q26" s="18"/>
      <c r="R26" s="18">
        <f>R50*0.1</f>
        <v>166.85999909059868</v>
      </c>
      <c r="S26" s="18"/>
      <c r="T26" s="18">
        <f>T50*0.1</f>
        <v>61.438086867512212</v>
      </c>
      <c r="U26" s="18"/>
      <c r="V26" s="18">
        <f>V50*0.1</f>
        <v>0</v>
      </c>
      <c r="W26" s="18"/>
      <c r="X26" s="18">
        <f>X50*0.1</f>
        <v>0</v>
      </c>
      <c r="Y26" s="18"/>
      <c r="Z26" s="11" t="s">
        <v>49</v>
      </c>
      <c r="AA26" s="11"/>
      <c r="AB26" s="11"/>
      <c r="AC26" s="11"/>
      <c r="AD26" s="10"/>
      <c r="AE26" s="5"/>
    </row>
    <row r="27" spans="1:31" x14ac:dyDescent="0.25">
      <c r="D27" s="18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0"/>
      <c r="AA27" s="10"/>
      <c r="AB27" s="10"/>
      <c r="AC27" s="10"/>
      <c r="AD27" s="10"/>
      <c r="AE27" s="5"/>
    </row>
    <row r="28" spans="1:31" x14ac:dyDescent="0.25">
      <c r="A28" s="1" t="s">
        <v>9</v>
      </c>
      <c r="D28" s="24">
        <f>D15-SUM(D18:D26)</f>
        <v>-1150.7777777777783</v>
      </c>
      <c r="E28" s="24"/>
      <c r="F28" s="24">
        <f>F15-SUM(F18:F26)</f>
        <v>-981.68719753086407</v>
      </c>
      <c r="G28" s="24"/>
      <c r="H28" s="24">
        <f>H15-SUM(H18:H26)</f>
        <v>-833.80276358984975</v>
      </c>
      <c r="I28" s="24"/>
      <c r="J28" s="24">
        <f>J15-SUM(J18:J26)</f>
        <v>-652.82028762060963</v>
      </c>
      <c r="K28" s="24"/>
      <c r="L28" s="24">
        <f>L15-SUM(L18:L26)</f>
        <v>-433.8788922815429</v>
      </c>
      <c r="M28" s="24"/>
      <c r="N28" s="24">
        <f>N15-SUM(N18:N26)</f>
        <v>-161.62976142494517</v>
      </c>
      <c r="O28" s="24"/>
      <c r="P28" s="24">
        <f>P15-SUM(P18:P26)</f>
        <v>152.18017993720696</v>
      </c>
      <c r="Q28" s="24"/>
      <c r="R28" s="24">
        <f>R15-SUM(R18:R26)</f>
        <v>520.29936351748529</v>
      </c>
      <c r="S28" s="24"/>
      <c r="T28" s="24">
        <f>T15-SUM(T18:T26)</f>
        <v>946.72359048574526</v>
      </c>
      <c r="U28" s="24"/>
      <c r="V28" s="24">
        <f>V15-SUM(V18:V26)</f>
        <v>1351.9551564453404</v>
      </c>
      <c r="W28" s="24"/>
      <c r="X28" s="24">
        <f>X15-SUM(X18:X26)</f>
        <v>1720.1579725529609</v>
      </c>
      <c r="Y28" s="32"/>
      <c r="Z28" s="10"/>
      <c r="AA28" s="10"/>
      <c r="AB28" s="10"/>
      <c r="AC28" s="10"/>
      <c r="AD28" s="10"/>
      <c r="AE28" s="5"/>
    </row>
    <row r="29" spans="1:31" x14ac:dyDescent="0.25">
      <c r="A29" s="1" t="s">
        <v>10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>
        <f>P28*0.15</f>
        <v>22.827026990581043</v>
      </c>
      <c r="Q29" s="18"/>
      <c r="R29" s="18">
        <f>R28*0.15</f>
        <v>78.044904527622791</v>
      </c>
      <c r="S29" s="18"/>
      <c r="T29" s="18">
        <f>T28*0.15</f>
        <v>142.0085385728618</v>
      </c>
      <c r="U29" s="18"/>
      <c r="V29" s="18">
        <f>V28*0.15</f>
        <v>202.79327346680105</v>
      </c>
      <c r="W29" s="18"/>
      <c r="X29" s="18">
        <f>X28*0.15</f>
        <v>258.02369588294414</v>
      </c>
      <c r="Y29" s="18"/>
      <c r="Z29" s="10" t="s">
        <v>47</v>
      </c>
      <c r="AA29" s="10"/>
      <c r="AB29" s="10"/>
      <c r="AC29" s="10"/>
      <c r="AD29" s="10"/>
      <c r="AE29" s="5"/>
    </row>
    <row r="30" spans="1:31" ht="15.75" thickBot="1" x14ac:dyDescent="0.3">
      <c r="A30" s="46" t="s">
        <v>11</v>
      </c>
      <c r="B30" s="46"/>
      <c r="C30" s="46"/>
      <c r="D30" s="47">
        <f>D28-D29</f>
        <v>-1150.7777777777783</v>
      </c>
      <c r="E30" s="47"/>
      <c r="F30" s="47">
        <f>F28-F29</f>
        <v>-981.68719753086407</v>
      </c>
      <c r="G30" s="47"/>
      <c r="H30" s="47">
        <f>H28-H29</f>
        <v>-833.80276358984975</v>
      </c>
      <c r="I30" s="47"/>
      <c r="J30" s="47">
        <f>J28-J29</f>
        <v>-652.82028762060963</v>
      </c>
      <c r="K30" s="47"/>
      <c r="L30" s="47">
        <f t="shared" ref="L30:T30" si="9">L28-L29</f>
        <v>-433.8788922815429</v>
      </c>
      <c r="M30" s="47"/>
      <c r="N30" s="47">
        <f t="shared" si="9"/>
        <v>-161.62976142494517</v>
      </c>
      <c r="O30" s="47"/>
      <c r="P30" s="47">
        <f t="shared" si="9"/>
        <v>129.35315294662593</v>
      </c>
      <c r="Q30" s="47"/>
      <c r="R30" s="47">
        <f t="shared" si="9"/>
        <v>442.25445898986248</v>
      </c>
      <c r="S30" s="47"/>
      <c r="T30" s="47">
        <f t="shared" si="9"/>
        <v>804.7150519128835</v>
      </c>
      <c r="U30" s="47"/>
      <c r="V30" s="47">
        <f>V28-V29</f>
        <v>1149.1618829785393</v>
      </c>
      <c r="W30" s="47"/>
      <c r="X30" s="47">
        <f>X28-X29</f>
        <v>1462.1342766700168</v>
      </c>
      <c r="Y30" s="32"/>
      <c r="Z30" s="10"/>
      <c r="AA30" s="10"/>
      <c r="AB30" s="10"/>
      <c r="AC30" s="10"/>
      <c r="AD30" s="10"/>
    </row>
    <row r="31" spans="1:31" ht="15.75" thickTop="1" x14ac:dyDescent="0.25">
      <c r="D31" s="18"/>
      <c r="E31" s="18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0"/>
      <c r="AA31" s="10"/>
      <c r="AB31" s="10"/>
      <c r="AC31" s="10"/>
      <c r="AD31" s="10"/>
    </row>
    <row r="32" spans="1:31" x14ac:dyDescent="0.25">
      <c r="A32" s="1" t="s">
        <v>12</v>
      </c>
      <c r="D32" s="18"/>
      <c r="E32" s="18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0"/>
      <c r="AA32" s="10"/>
      <c r="AB32" s="10"/>
      <c r="AC32" s="10"/>
      <c r="AD32" s="10"/>
    </row>
    <row r="33" spans="1:31" x14ac:dyDescent="0.25">
      <c r="D33" s="18"/>
      <c r="E33" s="18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0"/>
      <c r="AA33" s="10"/>
      <c r="AB33" s="10"/>
      <c r="AC33" s="10"/>
      <c r="AD33" s="10"/>
    </row>
    <row r="34" spans="1:31" x14ac:dyDescent="0.25">
      <c r="A34" s="16" t="s">
        <v>13</v>
      </c>
      <c r="D34" s="18"/>
      <c r="E34" s="18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0"/>
      <c r="AA34" s="10"/>
      <c r="AB34" s="10"/>
      <c r="AC34" s="10"/>
      <c r="AD34" s="10"/>
    </row>
    <row r="35" spans="1:31" x14ac:dyDescent="0.25">
      <c r="A35" s="1" t="s">
        <v>14</v>
      </c>
      <c r="D35" s="18">
        <v>500</v>
      </c>
      <c r="E35" s="18"/>
      <c r="F35" s="18">
        <v>500</v>
      </c>
      <c r="G35" s="18"/>
      <c r="H35" s="18">
        <v>500</v>
      </c>
      <c r="I35" s="18"/>
      <c r="J35" s="18">
        <v>500</v>
      </c>
      <c r="K35" s="18"/>
      <c r="L35" s="18">
        <v>500</v>
      </c>
      <c r="M35" s="18"/>
      <c r="N35" s="18">
        <v>500</v>
      </c>
      <c r="O35" s="18"/>
      <c r="P35" s="18">
        <v>500</v>
      </c>
      <c r="Q35" s="18"/>
      <c r="R35" s="18">
        <v>500</v>
      </c>
      <c r="S35" s="18"/>
      <c r="T35" s="18">
        <v>500</v>
      </c>
      <c r="U35" s="18"/>
      <c r="V35" s="18">
        <v>1280.0795564454584</v>
      </c>
      <c r="W35" s="18"/>
      <c r="X35" s="18">
        <v>2980.8585430943385</v>
      </c>
      <c r="Y35" s="18"/>
      <c r="Z35" s="10" t="s">
        <v>85</v>
      </c>
      <c r="AA35" s="10"/>
      <c r="AB35" s="10"/>
      <c r="AC35" s="10"/>
      <c r="AD35" s="10"/>
    </row>
    <row r="36" spans="1:31" x14ac:dyDescent="0.25">
      <c r="A36" s="1" t="s">
        <v>15</v>
      </c>
      <c r="D36" s="24">
        <f>D14/3</f>
        <v>252</v>
      </c>
      <c r="E36" s="24"/>
      <c r="F36" s="24">
        <f>F14/3</f>
        <v>269.892</v>
      </c>
      <c r="G36" s="24"/>
      <c r="H36" s="24">
        <f>H14/3</f>
        <v>289.05433199999999</v>
      </c>
      <c r="I36" s="24"/>
      <c r="J36" s="24">
        <f>J14/3</f>
        <v>309.57718957200001</v>
      </c>
      <c r="K36" s="24"/>
      <c r="L36" s="24">
        <f>L14/3</f>
        <v>331.55717003161197</v>
      </c>
      <c r="M36" s="24"/>
      <c r="N36" s="24">
        <f>N14/4</f>
        <v>266.32329682789236</v>
      </c>
      <c r="O36" s="24"/>
      <c r="P36" s="24">
        <f>P14/4</f>
        <v>285.23225090267277</v>
      </c>
      <c r="Q36" s="24"/>
      <c r="R36" s="24">
        <f>R14/4</f>
        <v>305.48374071676255</v>
      </c>
      <c r="S36" s="24"/>
      <c r="T36" s="24">
        <f>T14/4</f>
        <v>327.17308630765268</v>
      </c>
      <c r="U36" s="24"/>
      <c r="V36" s="24">
        <f>V14/4</f>
        <v>350.40237543549597</v>
      </c>
      <c r="W36" s="24"/>
      <c r="X36" s="24">
        <f>X14/4</f>
        <v>375.28094409141625</v>
      </c>
      <c r="Y36" s="18"/>
      <c r="Z36" s="10" t="s">
        <v>48</v>
      </c>
      <c r="AA36" s="10"/>
      <c r="AB36" s="10"/>
      <c r="AC36" s="10"/>
      <c r="AD36" s="10"/>
      <c r="AE36" s="5"/>
    </row>
    <row r="37" spans="1:31" x14ac:dyDescent="0.25">
      <c r="A37" s="16" t="s">
        <v>16</v>
      </c>
      <c r="D37" s="18">
        <f>SUM(D35:D36)</f>
        <v>752</v>
      </c>
      <c r="E37" s="18"/>
      <c r="F37" s="18">
        <f>SUM(F35:F36)</f>
        <v>769.89200000000005</v>
      </c>
      <c r="G37" s="18"/>
      <c r="H37" s="18">
        <f>SUM(H35:H36)</f>
        <v>789.05433199999993</v>
      </c>
      <c r="I37" s="18"/>
      <c r="J37" s="18">
        <f>SUM(J35:J36)</f>
        <v>809.57718957199995</v>
      </c>
      <c r="K37" s="18"/>
      <c r="L37" s="18">
        <f t="shared" ref="L37:T37" si="10">SUM(L35:L36)</f>
        <v>831.55717003161203</v>
      </c>
      <c r="M37" s="18"/>
      <c r="N37" s="18">
        <f t="shared" si="10"/>
        <v>766.32329682789236</v>
      </c>
      <c r="O37" s="18"/>
      <c r="P37" s="18">
        <f t="shared" si="10"/>
        <v>785.23225090267283</v>
      </c>
      <c r="Q37" s="18"/>
      <c r="R37" s="18">
        <f t="shared" si="10"/>
        <v>805.48374071676255</v>
      </c>
      <c r="S37" s="18"/>
      <c r="T37" s="18">
        <f t="shared" si="10"/>
        <v>827.17308630765274</v>
      </c>
      <c r="U37" s="18"/>
      <c r="V37" s="18">
        <f>SUM(V35:V36)</f>
        <v>1630.4819318809543</v>
      </c>
      <c r="W37" s="18"/>
      <c r="X37" s="18">
        <f>SUM(X35:X36)</f>
        <v>3356.1394871857547</v>
      </c>
      <c r="Y37" s="18"/>
      <c r="Z37" s="10"/>
      <c r="AA37" s="10"/>
      <c r="AB37" s="10"/>
      <c r="AC37" s="10"/>
      <c r="AD37" s="10"/>
    </row>
    <row r="38" spans="1:31" x14ac:dyDescent="0.25">
      <c r="D38" s="18"/>
      <c r="E38" s="18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0"/>
      <c r="AA38" s="10"/>
      <c r="AB38" s="10"/>
      <c r="AC38" s="10"/>
      <c r="AD38" s="10"/>
    </row>
    <row r="39" spans="1:31" x14ac:dyDescent="0.25">
      <c r="A39" s="1" t="s">
        <v>45</v>
      </c>
      <c r="D39" s="18">
        <v>6000</v>
      </c>
      <c r="E39" s="18"/>
      <c r="F39" s="18">
        <v>6000</v>
      </c>
      <c r="G39" s="18"/>
      <c r="H39" s="18">
        <v>6000</v>
      </c>
      <c r="I39" s="18"/>
      <c r="J39" s="18">
        <v>6000</v>
      </c>
      <c r="K39" s="18"/>
      <c r="L39" s="18">
        <v>6000</v>
      </c>
      <c r="M39" s="18"/>
      <c r="N39" s="18">
        <v>6000</v>
      </c>
      <c r="O39" s="18"/>
      <c r="P39" s="18">
        <v>6000</v>
      </c>
      <c r="Q39" s="18"/>
      <c r="R39" s="18">
        <v>6000</v>
      </c>
      <c r="S39" s="18"/>
      <c r="T39" s="18">
        <v>6000</v>
      </c>
      <c r="U39" s="18"/>
      <c r="V39" s="18">
        <v>6000</v>
      </c>
      <c r="W39" s="18"/>
      <c r="X39" s="18">
        <v>6000</v>
      </c>
      <c r="Y39" s="18"/>
      <c r="Z39" s="10" t="s">
        <v>58</v>
      </c>
      <c r="AA39" s="10"/>
      <c r="AB39" s="10"/>
      <c r="AC39" s="10"/>
      <c r="AD39" s="10"/>
      <c r="AE39" s="5"/>
    </row>
    <row r="40" spans="1:31" s="23" customFormat="1" x14ac:dyDescent="0.25">
      <c r="A40" s="23" t="s">
        <v>17</v>
      </c>
      <c r="D40" s="22">
        <f>D39/30</f>
        <v>200</v>
      </c>
      <c r="E40" s="22"/>
      <c r="F40" s="22">
        <f>F39/30+D40</f>
        <v>400</v>
      </c>
      <c r="G40" s="22"/>
      <c r="H40" s="22">
        <f>H39/30+F40</f>
        <v>600</v>
      </c>
      <c r="I40" s="22"/>
      <c r="J40" s="22">
        <f>J39/30+H40</f>
        <v>800</v>
      </c>
      <c r="K40" s="22"/>
      <c r="L40" s="22">
        <f t="shared" ref="L40:T40" si="11">L39/30+J40</f>
        <v>1000</v>
      </c>
      <c r="M40" s="22"/>
      <c r="N40" s="22">
        <f t="shared" si="11"/>
        <v>1200</v>
      </c>
      <c r="O40" s="22"/>
      <c r="P40" s="22">
        <f t="shared" si="11"/>
        <v>1400</v>
      </c>
      <c r="Q40" s="22"/>
      <c r="R40" s="22">
        <f t="shared" si="11"/>
        <v>1600</v>
      </c>
      <c r="S40" s="22"/>
      <c r="T40" s="22">
        <f t="shared" si="11"/>
        <v>1800</v>
      </c>
      <c r="U40" s="22"/>
      <c r="V40" s="22">
        <f>V39/30+T40</f>
        <v>2000</v>
      </c>
      <c r="W40" s="22"/>
      <c r="X40" s="22">
        <f>X39/30+V40</f>
        <v>2200</v>
      </c>
      <c r="Y40" s="33"/>
      <c r="Z40" s="28" t="s">
        <v>46</v>
      </c>
      <c r="AA40" s="28"/>
      <c r="AB40" s="28"/>
      <c r="AC40" s="28"/>
      <c r="AD40" s="28"/>
    </row>
    <row r="41" spans="1:31" x14ac:dyDescent="0.25">
      <c r="A41" s="17" t="s">
        <v>18</v>
      </c>
      <c r="D41" s="18">
        <f>D39-D40</f>
        <v>5800</v>
      </c>
      <c r="E41" s="18"/>
      <c r="F41" s="18">
        <f>F39-F40</f>
        <v>5600</v>
      </c>
      <c r="G41" s="18"/>
      <c r="H41" s="18">
        <f>H39-H40</f>
        <v>5400</v>
      </c>
      <c r="I41" s="18"/>
      <c r="J41" s="18">
        <f>J39-J40</f>
        <v>5200</v>
      </c>
      <c r="K41" s="18"/>
      <c r="L41" s="18">
        <f t="shared" ref="L41:T41" si="12">L39-L40</f>
        <v>5000</v>
      </c>
      <c r="M41" s="18"/>
      <c r="N41" s="18">
        <f t="shared" si="12"/>
        <v>4800</v>
      </c>
      <c r="O41" s="18"/>
      <c r="P41" s="18">
        <f t="shared" si="12"/>
        <v>4600</v>
      </c>
      <c r="Q41" s="18"/>
      <c r="R41" s="18">
        <f t="shared" si="12"/>
        <v>4400</v>
      </c>
      <c r="S41" s="18"/>
      <c r="T41" s="18">
        <f t="shared" si="12"/>
        <v>4200</v>
      </c>
      <c r="U41" s="18"/>
      <c r="V41" s="18">
        <f>V39-V40</f>
        <v>4000</v>
      </c>
      <c r="W41" s="18"/>
      <c r="X41" s="18">
        <f>X39-X40</f>
        <v>3800</v>
      </c>
      <c r="Y41" s="18"/>
      <c r="Z41" s="10"/>
      <c r="AA41" s="10"/>
      <c r="AB41" s="10"/>
      <c r="AC41" s="10"/>
      <c r="AD41" s="10"/>
    </row>
    <row r="42" spans="1:31" x14ac:dyDescent="0.25">
      <c r="A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0"/>
      <c r="AA42" s="10"/>
      <c r="AB42" s="10"/>
      <c r="AC42" s="10"/>
      <c r="AD42" s="10"/>
    </row>
    <row r="43" spans="1:31" ht="15.75" thickBot="1" x14ac:dyDescent="0.3">
      <c r="A43" s="48" t="s">
        <v>19</v>
      </c>
      <c r="B43" s="46"/>
      <c r="C43" s="46"/>
      <c r="D43" s="49">
        <f>D37+D41</f>
        <v>6552</v>
      </c>
      <c r="E43" s="49"/>
      <c r="F43" s="49">
        <f t="shared" ref="F43:X43" si="13">F37+F41</f>
        <v>6369.8919999999998</v>
      </c>
      <c r="G43" s="49"/>
      <c r="H43" s="49">
        <f t="shared" si="13"/>
        <v>6189.0543319999997</v>
      </c>
      <c r="I43" s="49"/>
      <c r="J43" s="49">
        <f t="shared" si="13"/>
        <v>6009.577189572</v>
      </c>
      <c r="K43" s="49"/>
      <c r="L43" s="49">
        <f t="shared" si="13"/>
        <v>5831.5571700316123</v>
      </c>
      <c r="M43" s="49"/>
      <c r="N43" s="49">
        <f t="shared" si="13"/>
        <v>5566.3232968278926</v>
      </c>
      <c r="O43" s="49"/>
      <c r="P43" s="49">
        <f t="shared" si="13"/>
        <v>5385.2322509026726</v>
      </c>
      <c r="Q43" s="49"/>
      <c r="R43" s="49">
        <f t="shared" si="13"/>
        <v>5205.4837407167624</v>
      </c>
      <c r="S43" s="49"/>
      <c r="T43" s="49">
        <f t="shared" si="13"/>
        <v>5027.1730863076527</v>
      </c>
      <c r="U43" s="49"/>
      <c r="V43" s="49">
        <f t="shared" si="13"/>
        <v>5630.4819318809541</v>
      </c>
      <c r="W43" s="49"/>
      <c r="X43" s="49">
        <f t="shared" si="13"/>
        <v>7156.1394871857547</v>
      </c>
      <c r="Y43" s="32"/>
    </row>
    <row r="44" spans="1:31" ht="15.75" thickTop="1" x14ac:dyDescent="0.25">
      <c r="A44" s="4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31" x14ac:dyDescent="0.25">
      <c r="A45" s="4" t="s">
        <v>20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31" x14ac:dyDescent="0.25">
      <c r="A46" s="1" t="s">
        <v>21</v>
      </c>
      <c r="D46" s="18">
        <f>D29</f>
        <v>0</v>
      </c>
      <c r="E46" s="18"/>
      <c r="F46" s="18">
        <f>F29</f>
        <v>0</v>
      </c>
      <c r="G46" s="18"/>
      <c r="H46" s="18">
        <f>H29</f>
        <v>0</v>
      </c>
      <c r="I46" s="18"/>
      <c r="J46" s="18">
        <f>J29</f>
        <v>0</v>
      </c>
      <c r="K46" s="18"/>
      <c r="L46" s="18">
        <f>L29</f>
        <v>0</v>
      </c>
      <c r="M46" s="18"/>
      <c r="N46" s="18">
        <f>N29</f>
        <v>0</v>
      </c>
      <c r="O46" s="18"/>
      <c r="P46" s="18">
        <f>P29</f>
        <v>22.827026990581043</v>
      </c>
      <c r="Q46" s="18"/>
      <c r="R46" s="18">
        <f>R29</f>
        <v>78.044904527622791</v>
      </c>
      <c r="S46" s="18"/>
      <c r="T46" s="18">
        <f>T29</f>
        <v>142.0085385728618</v>
      </c>
      <c r="U46" s="18"/>
      <c r="V46" s="18">
        <f>V29</f>
        <v>202.79327346680105</v>
      </c>
      <c r="W46" s="18"/>
      <c r="X46" s="18">
        <f>X29</f>
        <v>258.02369588294414</v>
      </c>
      <c r="Y46" s="18"/>
      <c r="Z46" s="10" t="s">
        <v>38</v>
      </c>
      <c r="AA46" s="10"/>
      <c r="AB46" s="10"/>
      <c r="AC46" s="10"/>
      <c r="AD46" s="10"/>
    </row>
    <row r="47" spans="1:31" x14ac:dyDescent="0.25">
      <c r="A47" s="1" t="s">
        <v>35</v>
      </c>
      <c r="D47" s="24">
        <f>D14/(360/30)</f>
        <v>63</v>
      </c>
      <c r="E47" s="24"/>
      <c r="F47" s="24">
        <f>F14/(360/30)</f>
        <v>67.472999999999999</v>
      </c>
      <c r="G47" s="24"/>
      <c r="H47" s="24">
        <f>H14/(360/30)</f>
        <v>72.263582999999997</v>
      </c>
      <c r="I47" s="24"/>
      <c r="J47" s="24">
        <f>J14/(360/30)</f>
        <v>77.394297393000002</v>
      </c>
      <c r="K47" s="24"/>
      <c r="L47" s="24">
        <f>L14/(360/30)</f>
        <v>82.889292507902994</v>
      </c>
      <c r="M47" s="24"/>
      <c r="N47" s="24">
        <f>N14/(360/30)</f>
        <v>88.774432275964116</v>
      </c>
      <c r="O47" s="24"/>
      <c r="P47" s="24">
        <f>P14/(360/30)</f>
        <v>95.077416967557596</v>
      </c>
      <c r="Q47" s="24"/>
      <c r="R47" s="24">
        <f>R14/(360/30)</f>
        <v>101.82791357225419</v>
      </c>
      <c r="S47" s="24"/>
      <c r="T47" s="24">
        <f>T14/(360/30)</f>
        <v>109.05769543588423</v>
      </c>
      <c r="U47" s="24"/>
      <c r="V47" s="24">
        <f>V14/(360/30)</f>
        <v>116.80079181183199</v>
      </c>
      <c r="W47" s="24"/>
      <c r="X47" s="24">
        <f>X14/(360/30)</f>
        <v>125.09364803047208</v>
      </c>
      <c r="Y47" s="18"/>
      <c r="Z47" s="1" t="s">
        <v>54</v>
      </c>
      <c r="AA47" s="12"/>
      <c r="AC47" s="12"/>
    </row>
    <row r="48" spans="1:31" s="16" customFormat="1" x14ac:dyDescent="0.25">
      <c r="A48" s="16" t="s">
        <v>34</v>
      </c>
      <c r="D48" s="20">
        <f>SUM(D46:D47)</f>
        <v>63</v>
      </c>
      <c r="E48" s="20"/>
      <c r="F48" s="20">
        <f>SUM(F46:F47)</f>
        <v>67.472999999999999</v>
      </c>
      <c r="G48" s="20"/>
      <c r="H48" s="20">
        <f>SUM(H46:H47)</f>
        <v>72.263582999999997</v>
      </c>
      <c r="I48" s="20"/>
      <c r="J48" s="20">
        <f>SUM(J46:J47)</f>
        <v>77.394297393000002</v>
      </c>
      <c r="K48" s="20"/>
      <c r="L48" s="20">
        <f t="shared" ref="L48:T48" si="14">SUM(L46:L47)</f>
        <v>82.889292507902994</v>
      </c>
      <c r="M48" s="20"/>
      <c r="N48" s="20">
        <f t="shared" si="14"/>
        <v>88.774432275964116</v>
      </c>
      <c r="O48" s="20"/>
      <c r="P48" s="20">
        <f t="shared" si="14"/>
        <v>117.90444395813864</v>
      </c>
      <c r="Q48" s="20"/>
      <c r="R48" s="20">
        <f t="shared" si="14"/>
        <v>179.87281809987698</v>
      </c>
      <c r="S48" s="20"/>
      <c r="T48" s="20">
        <f t="shared" si="14"/>
        <v>251.06623400874602</v>
      </c>
      <c r="U48" s="20"/>
      <c r="V48" s="20">
        <f>SUM(V46:V47)</f>
        <v>319.59406527863302</v>
      </c>
      <c r="W48" s="20"/>
      <c r="X48" s="20">
        <f>SUM(X46:X47)</f>
        <v>383.11734391341622</v>
      </c>
      <c r="Y48" s="20"/>
      <c r="Z48" s="25"/>
      <c r="AA48" s="26"/>
      <c r="AB48" s="25"/>
      <c r="AC48" s="26"/>
    </row>
    <row r="49" spans="1:30" ht="15" customHeight="1" x14ac:dyDescent="0.25">
      <c r="D49" s="18"/>
      <c r="E49" s="18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13"/>
      <c r="AA49" s="11"/>
      <c r="AB49" s="13"/>
      <c r="AC49" s="11"/>
    </row>
    <row r="50" spans="1:30" x14ac:dyDescent="0.25">
      <c r="A50" s="1" t="s">
        <v>22</v>
      </c>
      <c r="D50" s="24">
        <v>639.77777777777692</v>
      </c>
      <c r="E50" s="24"/>
      <c r="F50" s="24">
        <v>1434.8839753086418</v>
      </c>
      <c r="G50" s="24"/>
      <c r="H50" s="24">
        <v>2083.0584878984923</v>
      </c>
      <c r="I50" s="24"/>
      <c r="J50" s="24">
        <v>2551.2709186981024</v>
      </c>
      <c r="K50" s="24"/>
      <c r="L50" s="24">
        <v>2801.6347963243534</v>
      </c>
      <c r="M50" s="24"/>
      <c r="N50" s="24">
        <v>2692.1455447775184</v>
      </c>
      <c r="O50" s="24"/>
      <c r="P50" s="24">
        <v>2352.5713342234981</v>
      </c>
      <c r="Q50" s="24"/>
      <c r="R50" s="24">
        <v>1668.5999909059867</v>
      </c>
      <c r="S50" s="24"/>
      <c r="T50" s="24">
        <v>614.38086867512209</v>
      </c>
      <c r="U50" s="24"/>
      <c r="V50" s="24"/>
      <c r="W50" s="24"/>
      <c r="X50" s="24"/>
      <c r="Y50" s="18"/>
      <c r="Z50" s="10" t="s">
        <v>39</v>
      </c>
      <c r="AA50" s="10"/>
      <c r="AB50" s="10"/>
      <c r="AC50" s="10"/>
      <c r="AD50" s="10"/>
    </row>
    <row r="51" spans="1:30" x14ac:dyDescent="0.25">
      <c r="A51" s="16" t="s">
        <v>23</v>
      </c>
      <c r="D51" s="18">
        <f>D48+D50</f>
        <v>702.77777777777692</v>
      </c>
      <c r="E51" s="18"/>
      <c r="F51" s="18">
        <f>F48+F50</f>
        <v>1502.3569753086417</v>
      </c>
      <c r="G51" s="18"/>
      <c r="H51" s="18">
        <f>H48+H50</f>
        <v>2155.3220708984923</v>
      </c>
      <c r="I51" s="18"/>
      <c r="J51" s="18">
        <f>J48+J50</f>
        <v>2628.6652160911026</v>
      </c>
      <c r="K51" s="18"/>
      <c r="L51" s="18">
        <f t="shared" ref="L51:T51" si="15">L48+L50</f>
        <v>2884.5240888322564</v>
      </c>
      <c r="M51" s="18"/>
      <c r="N51" s="18">
        <f t="shared" si="15"/>
        <v>2780.9199770534824</v>
      </c>
      <c r="O51" s="18"/>
      <c r="P51" s="18">
        <f t="shared" si="15"/>
        <v>2470.4757781816365</v>
      </c>
      <c r="Q51" s="18"/>
      <c r="R51" s="18">
        <f t="shared" si="15"/>
        <v>1848.4728090058636</v>
      </c>
      <c r="S51" s="18"/>
      <c r="T51" s="18">
        <f t="shared" si="15"/>
        <v>865.44710268386814</v>
      </c>
      <c r="U51" s="18"/>
      <c r="V51" s="18">
        <f>V48+V50</f>
        <v>319.59406527863302</v>
      </c>
      <c r="W51" s="18"/>
      <c r="X51" s="18">
        <f>X48+X50</f>
        <v>383.11734391341622</v>
      </c>
      <c r="Y51" s="18"/>
      <c r="Z51" s="10"/>
      <c r="AA51" s="10"/>
      <c r="AB51" s="10"/>
      <c r="AC51" s="10"/>
      <c r="AD51" s="10"/>
    </row>
    <row r="52" spans="1:30" x14ac:dyDescent="0.25">
      <c r="D52" s="18"/>
      <c r="E52" s="18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0"/>
      <c r="AA52" s="10"/>
      <c r="AB52" s="10"/>
      <c r="AC52" s="10"/>
      <c r="AD52" s="10"/>
    </row>
    <row r="53" spans="1:30" x14ac:dyDescent="0.25">
      <c r="A53" s="1" t="s">
        <v>24</v>
      </c>
      <c r="D53" s="18">
        <v>7000</v>
      </c>
      <c r="E53" s="18"/>
      <c r="F53" s="18">
        <v>7000</v>
      </c>
      <c r="G53" s="18"/>
      <c r="H53" s="18">
        <v>7000</v>
      </c>
      <c r="I53" s="18"/>
      <c r="J53" s="18">
        <v>7000</v>
      </c>
      <c r="K53" s="18"/>
      <c r="L53" s="18">
        <v>7000</v>
      </c>
      <c r="M53" s="18"/>
      <c r="N53" s="18">
        <v>7000</v>
      </c>
      <c r="O53" s="18"/>
      <c r="P53" s="18">
        <v>7000</v>
      </c>
      <c r="Q53" s="18"/>
      <c r="R53" s="18">
        <v>7000</v>
      </c>
      <c r="S53" s="18"/>
      <c r="T53" s="18">
        <v>7000</v>
      </c>
      <c r="U53" s="18"/>
      <c r="V53" s="18">
        <v>7000</v>
      </c>
      <c r="W53" s="18"/>
      <c r="X53" s="18">
        <v>7000</v>
      </c>
      <c r="Y53" s="18"/>
    </row>
    <row r="54" spans="1:30" x14ac:dyDescent="0.25">
      <c r="A54" s="17" t="s">
        <v>25</v>
      </c>
      <c r="D54" s="24">
        <f>D30</f>
        <v>-1150.7777777777783</v>
      </c>
      <c r="E54" s="24"/>
      <c r="F54" s="24">
        <f>D54+F30</f>
        <v>-2132.4649753086424</v>
      </c>
      <c r="G54" s="24"/>
      <c r="H54" s="24">
        <f>F54+H30</f>
        <v>-2966.2677388984921</v>
      </c>
      <c r="I54" s="24"/>
      <c r="J54" s="24">
        <f>H54+J30</f>
        <v>-3619.0880265191017</v>
      </c>
      <c r="K54" s="24"/>
      <c r="L54" s="24">
        <f>J54+L30</f>
        <v>-4052.9669188006446</v>
      </c>
      <c r="M54" s="24"/>
      <c r="N54" s="24">
        <f>L54+N30</f>
        <v>-4214.5966802255898</v>
      </c>
      <c r="O54" s="24"/>
      <c r="P54" s="24">
        <f>N54+P30</f>
        <v>-4085.2435272789639</v>
      </c>
      <c r="Q54" s="24"/>
      <c r="R54" s="24">
        <f>P54+R30</f>
        <v>-3642.9890682891014</v>
      </c>
      <c r="S54" s="24"/>
      <c r="T54" s="24">
        <f>R54+T30</f>
        <v>-2838.2740163762178</v>
      </c>
      <c r="U54" s="24"/>
      <c r="V54" s="24">
        <f>T54+V30</f>
        <v>-1689.1121333976785</v>
      </c>
      <c r="W54" s="24"/>
      <c r="X54" s="24">
        <f>V54+X30</f>
        <v>-226.97785672766167</v>
      </c>
      <c r="Y54" s="18"/>
      <c r="AA54" s="12"/>
      <c r="AC54" s="12"/>
    </row>
    <row r="55" spans="1:30" x14ac:dyDescent="0.25">
      <c r="A55" s="16" t="s">
        <v>26</v>
      </c>
      <c r="D55" s="18">
        <f>D53+D54</f>
        <v>5849.2222222222217</v>
      </c>
      <c r="E55" s="18"/>
      <c r="F55" s="18">
        <f>F53+F54</f>
        <v>4867.5350246913576</v>
      </c>
      <c r="G55" s="18"/>
      <c r="H55" s="18">
        <f>H53+H54</f>
        <v>4033.7322611015079</v>
      </c>
      <c r="I55" s="18"/>
      <c r="J55" s="18">
        <f>J53+J54</f>
        <v>3380.9119734808983</v>
      </c>
      <c r="K55" s="18"/>
      <c r="L55" s="18">
        <f t="shared" ref="L55:T55" si="16">L53+L54</f>
        <v>2947.0330811993554</v>
      </c>
      <c r="M55" s="18"/>
      <c r="N55" s="18">
        <f t="shared" si="16"/>
        <v>2785.4033197744102</v>
      </c>
      <c r="O55" s="18"/>
      <c r="P55" s="18">
        <f t="shared" si="16"/>
        <v>2914.7564727210361</v>
      </c>
      <c r="Q55" s="18"/>
      <c r="R55" s="18">
        <f t="shared" si="16"/>
        <v>3357.0109317108986</v>
      </c>
      <c r="S55" s="18"/>
      <c r="T55" s="18">
        <f t="shared" si="16"/>
        <v>4161.7259836237827</v>
      </c>
      <c r="U55" s="18"/>
      <c r="V55" s="18">
        <f>V53+V54</f>
        <v>5310.8878666023211</v>
      </c>
      <c r="W55" s="18"/>
      <c r="X55" s="18">
        <f>X53+X54</f>
        <v>6773.0221432723383</v>
      </c>
      <c r="Y55" s="18"/>
    </row>
    <row r="56" spans="1:30" x14ac:dyDescent="0.25"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30" ht="15.75" thickBot="1" x14ac:dyDescent="0.3">
      <c r="A57" s="50" t="s">
        <v>27</v>
      </c>
      <c r="B57" s="46"/>
      <c r="C57" s="46"/>
      <c r="D57" s="49">
        <f>D51+D55</f>
        <v>6551.9999999999982</v>
      </c>
      <c r="E57" s="49"/>
      <c r="F57" s="49">
        <f>F51+F55</f>
        <v>6369.8919999999998</v>
      </c>
      <c r="G57" s="49"/>
      <c r="H57" s="49">
        <f>H51+H55</f>
        <v>6189.0543319999997</v>
      </c>
      <c r="I57" s="49"/>
      <c r="J57" s="49">
        <f>J51+J55</f>
        <v>6009.5771895720009</v>
      </c>
      <c r="K57" s="49"/>
      <c r="L57" s="49">
        <f t="shared" ref="L57:T57" si="17">L51+L55</f>
        <v>5831.5571700316123</v>
      </c>
      <c r="M57" s="49"/>
      <c r="N57" s="49">
        <f t="shared" si="17"/>
        <v>5566.3232968278926</v>
      </c>
      <c r="O57" s="49"/>
      <c r="P57" s="49">
        <f t="shared" si="17"/>
        <v>5385.2322509026726</v>
      </c>
      <c r="Q57" s="49"/>
      <c r="R57" s="49">
        <f t="shared" si="17"/>
        <v>5205.4837407167624</v>
      </c>
      <c r="S57" s="49"/>
      <c r="T57" s="49">
        <f t="shared" si="17"/>
        <v>5027.1730863076509</v>
      </c>
      <c r="U57" s="49"/>
      <c r="V57" s="49">
        <f>V51+V55</f>
        <v>5630.4819318809541</v>
      </c>
      <c r="W57" s="49"/>
      <c r="X57" s="49">
        <f>X51+X55</f>
        <v>7156.1394871857547</v>
      </c>
      <c r="Y57" s="32"/>
    </row>
    <row r="58" spans="1:30" ht="15.75" thickTop="1" x14ac:dyDescent="0.25"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</row>
    <row r="59" spans="1:30" hidden="1" x14ac:dyDescent="0.25">
      <c r="D59" s="18">
        <f>D43-D57</f>
        <v>0</v>
      </c>
      <c r="E59" s="18"/>
      <c r="F59" s="18">
        <f>F43-F57</f>
        <v>0</v>
      </c>
      <c r="G59" s="18"/>
      <c r="H59" s="18">
        <f>H43-H57</f>
        <v>0</v>
      </c>
      <c r="I59" s="18"/>
      <c r="J59" s="18">
        <f>J43-J57</f>
        <v>0</v>
      </c>
      <c r="K59" s="18"/>
      <c r="L59" s="18">
        <f t="shared" ref="L59:T59" si="18">L43-L57</f>
        <v>0</v>
      </c>
      <c r="M59" s="18"/>
      <c r="N59" s="18">
        <f t="shared" si="18"/>
        <v>0</v>
      </c>
      <c r="O59" s="18"/>
      <c r="P59" s="18">
        <f t="shared" si="18"/>
        <v>0</v>
      </c>
      <c r="Q59" s="18"/>
      <c r="R59" s="18">
        <f t="shared" si="18"/>
        <v>0</v>
      </c>
      <c r="S59" s="18"/>
      <c r="T59" s="18">
        <f t="shared" si="18"/>
        <v>0</v>
      </c>
      <c r="U59" s="18"/>
      <c r="V59" s="18">
        <f>V43-V57</f>
        <v>0</v>
      </c>
      <c r="W59" s="18"/>
      <c r="X59" s="18">
        <f>X43-X57</f>
        <v>0</v>
      </c>
      <c r="Y59" s="18"/>
      <c r="Z59" s="10"/>
      <c r="AA59" s="10"/>
      <c r="AB59" s="10"/>
      <c r="AC59" s="10"/>
      <c r="AD59" s="10"/>
    </row>
    <row r="60" spans="1:30" x14ac:dyDescent="0.25">
      <c r="A60" s="1" t="s">
        <v>28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</row>
    <row r="61" spans="1:30" x14ac:dyDescent="0.25"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</row>
    <row r="62" spans="1:30" x14ac:dyDescent="0.25">
      <c r="A62" s="1" t="s">
        <v>29</v>
      </c>
      <c r="D62" s="27">
        <f>D37/D48</f>
        <v>11.936507936507937</v>
      </c>
      <c r="E62" s="27"/>
      <c r="F62" s="27">
        <f>F37/F48</f>
        <v>11.410371556029821</v>
      </c>
      <c r="G62" s="27"/>
      <c r="H62" s="27">
        <f>H37/H48</f>
        <v>10.919114431400391</v>
      </c>
      <c r="I62" s="27"/>
      <c r="J62" s="27">
        <f>J37/J48</f>
        <v>10.460424305695977</v>
      </c>
      <c r="K62" s="27"/>
      <c r="L62" s="27">
        <f>L37/L48</f>
        <v>10.03214220886646</v>
      </c>
      <c r="M62" s="27"/>
      <c r="N62" s="27">
        <f>N37/N48</f>
        <v>8.632252295860372</v>
      </c>
      <c r="O62" s="27"/>
      <c r="P62" s="27">
        <f>P37/P48</f>
        <v>6.6599037707303506</v>
      </c>
      <c r="Q62" s="27"/>
      <c r="R62" s="27">
        <f>R37/R48</f>
        <v>4.4780737257894412</v>
      </c>
      <c r="S62" s="27"/>
      <c r="T62" s="27">
        <f>T37/T48</f>
        <v>3.2946409124806393</v>
      </c>
      <c r="U62" s="27"/>
      <c r="V62" s="27">
        <f>V37/V48</f>
        <v>5.1017278135607569</v>
      </c>
      <c r="W62" s="27"/>
      <c r="X62" s="27">
        <f>X37/X48</f>
        <v>8.7600823625051962</v>
      </c>
      <c r="Y62" s="27"/>
      <c r="Z62" s="10"/>
      <c r="AA62" s="10"/>
      <c r="AB62" s="10"/>
      <c r="AC62" s="10"/>
      <c r="AD62" s="10"/>
    </row>
    <row r="63" spans="1:30" x14ac:dyDescent="0.25">
      <c r="A63" s="1" t="s">
        <v>30</v>
      </c>
      <c r="D63" s="27">
        <f>D51/D55</f>
        <v>0.12014892768269272</v>
      </c>
      <c r="E63" s="27"/>
      <c r="F63" s="27">
        <f>F51/F55</f>
        <v>0.30864841602324244</v>
      </c>
      <c r="G63" s="27"/>
      <c r="H63" s="27">
        <f>H51/H55</f>
        <v>0.53432452413436327</v>
      </c>
      <c r="I63" s="27"/>
      <c r="J63" s="27">
        <f>J51/J55</f>
        <v>0.77750182102040888</v>
      </c>
      <c r="K63" s="27"/>
      <c r="L63" s="27">
        <f t="shared" ref="L63:T63" si="19">L51/L55</f>
        <v>0.97878917859257297</v>
      </c>
      <c r="M63" s="27"/>
      <c r="N63" s="27">
        <f t="shared" si="19"/>
        <v>0.99839041524467953</v>
      </c>
      <c r="O63" s="27"/>
      <c r="P63" s="27">
        <f t="shared" si="19"/>
        <v>0.84757536394639288</v>
      </c>
      <c r="Q63" s="27"/>
      <c r="R63" s="27">
        <f t="shared" si="19"/>
        <v>0.55063055992605614</v>
      </c>
      <c r="S63" s="27"/>
      <c r="T63" s="27">
        <f t="shared" si="19"/>
        <v>0.20795388886470811</v>
      </c>
      <c r="U63" s="27"/>
      <c r="V63" s="27">
        <f>V51/V55</f>
        <v>6.0177144256501815E-2</v>
      </c>
      <c r="W63" s="27"/>
      <c r="X63" s="27">
        <f>X51/X55</f>
        <v>5.6565198785592005E-2</v>
      </c>
      <c r="Y63" s="27"/>
      <c r="Z63" s="10"/>
      <c r="AA63" s="10"/>
      <c r="AB63" s="10"/>
      <c r="AC63" s="10"/>
      <c r="AD63" s="10"/>
    </row>
    <row r="64" spans="1:30" x14ac:dyDescent="0.25">
      <c r="A64" s="1" t="s">
        <v>31</v>
      </c>
      <c r="D64" s="14">
        <f>D30/D43</f>
        <v>-0.17563763397096738</v>
      </c>
      <c r="E64" s="14"/>
      <c r="F64" s="14">
        <f>F30/F43</f>
        <v>-0.15411363293614147</v>
      </c>
      <c r="G64" s="14"/>
      <c r="H64" s="14">
        <f>H30/H43</f>
        <v>-0.13472215929318002</v>
      </c>
      <c r="I64" s="14"/>
      <c r="J64" s="14">
        <f>J30/J43</f>
        <v>-0.10862998627480867</v>
      </c>
      <c r="K64" s="14"/>
      <c r="L64" s="14">
        <f>L30/L43</f>
        <v>-7.4401892947435669E-2</v>
      </c>
      <c r="M64" s="14"/>
      <c r="N64" s="14">
        <f>N30/N43</f>
        <v>-2.9037077583519789E-2</v>
      </c>
      <c r="O64" s="14"/>
      <c r="P64" s="14">
        <f>P30/P43</f>
        <v>2.4019976654664012E-2</v>
      </c>
      <c r="Q64" s="14"/>
      <c r="R64" s="14">
        <f>R30/R43</f>
        <v>8.4959339231163722E-2</v>
      </c>
      <c r="S64" s="14"/>
      <c r="T64" s="14">
        <f>T30/T43</f>
        <v>0.1600730744888533</v>
      </c>
      <c r="U64" s="14"/>
      <c r="V64" s="14">
        <f>V30/V43</f>
        <v>0.20409654038169395</v>
      </c>
      <c r="W64" s="14"/>
      <c r="X64" s="14">
        <f>X30/X43</f>
        <v>0.20431886204680733</v>
      </c>
      <c r="Y64" s="14"/>
      <c r="Z64" s="10"/>
      <c r="AA64" s="10"/>
      <c r="AB64" s="10"/>
      <c r="AC64" s="10"/>
      <c r="AD64" s="10"/>
    </row>
    <row r="65" spans="1:30" x14ac:dyDescent="0.25">
      <c r="A65" s="1" t="s">
        <v>32</v>
      </c>
      <c r="D65" s="14">
        <f>D30/D55</f>
        <v>-0.19674030735330444</v>
      </c>
      <c r="E65" s="14"/>
      <c r="F65" s="14">
        <f>F30/F55</f>
        <v>-0.20168056162946896</v>
      </c>
      <c r="G65" s="14"/>
      <c r="H65" s="14">
        <f>H30/H55</f>
        <v>-0.20670751294786227</v>
      </c>
      <c r="I65" s="14"/>
      <c r="J65" s="14">
        <f>J30/J55</f>
        <v>-0.19308999842089442</v>
      </c>
      <c r="K65" s="14"/>
      <c r="L65" s="14">
        <f>L30/L55</f>
        <v>-0.14722566063118878</v>
      </c>
      <c r="M65" s="14"/>
      <c r="N65" s="14">
        <f>N30/N55</f>
        <v>-5.8027417529622087E-2</v>
      </c>
      <c r="O65" s="14"/>
      <c r="P65" s="14">
        <f>P30/P55</f>
        <v>4.437871710972472E-2</v>
      </c>
      <c r="Q65" s="14"/>
      <c r="R65" s="14">
        <f>R30/R55</f>
        <v>0.13174054776296715</v>
      </c>
      <c r="S65" s="14"/>
      <c r="T65" s="14">
        <f>T30/T55</f>
        <v>0.19336089283134053</v>
      </c>
      <c r="U65" s="14"/>
      <c r="V65" s="14">
        <f>V30/V55</f>
        <v>0.21637848733449611</v>
      </c>
      <c r="W65" s="14"/>
      <c r="X65" s="14">
        <f>X30/X55</f>
        <v>0.21587619909413094</v>
      </c>
      <c r="Y65" s="14"/>
      <c r="Z65" s="10"/>
      <c r="AA65" s="10"/>
      <c r="AB65" s="10"/>
      <c r="AC65" s="10"/>
      <c r="AD65" s="10"/>
    </row>
    <row r="66" spans="1:30" x14ac:dyDescent="0.25"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</row>
    <row r="67" spans="1:30" s="30" customFormat="1" x14ac:dyDescent="0.25">
      <c r="A67" s="29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</row>
    <row r="68" spans="1:30" x14ac:dyDescent="0.25">
      <c r="A68" s="16" t="s">
        <v>55</v>
      </c>
    </row>
    <row r="69" spans="1:30" x14ac:dyDescent="0.25">
      <c r="B69" s="1" t="s">
        <v>56</v>
      </c>
    </row>
    <row r="70" spans="1:30" x14ac:dyDescent="0.25">
      <c r="B70" s="1" t="s">
        <v>57</v>
      </c>
    </row>
    <row r="71" spans="1:30" x14ac:dyDescent="0.25">
      <c r="B71" s="1" t="s">
        <v>59</v>
      </c>
    </row>
    <row r="72" spans="1:30" x14ac:dyDescent="0.25">
      <c r="B72" s="1" t="s">
        <v>60</v>
      </c>
    </row>
    <row r="73" spans="1:30" x14ac:dyDescent="0.25">
      <c r="B73" s="1" t="s">
        <v>61</v>
      </c>
    </row>
    <row r="74" spans="1:30" s="30" customFormat="1" x14ac:dyDescent="0.25"/>
    <row r="75" spans="1:30" x14ac:dyDescent="0.25">
      <c r="A75" s="16" t="s">
        <v>67</v>
      </c>
      <c r="F75" s="39" t="s">
        <v>84</v>
      </c>
      <c r="H75" s="39" t="s">
        <v>88</v>
      </c>
    </row>
    <row r="76" spans="1:30" x14ac:dyDescent="0.25">
      <c r="A76" s="16"/>
      <c r="F76" s="54" t="s">
        <v>81</v>
      </c>
      <c r="G76" s="55"/>
      <c r="H76" s="55" t="s">
        <v>82</v>
      </c>
      <c r="I76" s="55"/>
      <c r="J76" s="56" t="s">
        <v>83</v>
      </c>
    </row>
    <row r="77" spans="1:30" x14ac:dyDescent="0.25">
      <c r="B77" s="63" t="s">
        <v>70</v>
      </c>
      <c r="C77" s="62"/>
      <c r="D77" s="64">
        <f>AVERAGE(F77,H77,J77)</f>
        <v>2.0399999999999996</v>
      </c>
      <c r="F77" s="57">
        <v>2.25</v>
      </c>
      <c r="G77" s="52"/>
      <c r="H77" s="57">
        <v>2.1</v>
      </c>
      <c r="I77" s="52"/>
      <c r="J77" s="57">
        <v>1.77</v>
      </c>
    </row>
    <row r="78" spans="1:30" x14ac:dyDescent="0.25">
      <c r="B78" s="63" t="s">
        <v>78</v>
      </c>
      <c r="C78" s="62"/>
      <c r="D78" s="65">
        <v>1.6E-2</v>
      </c>
      <c r="F78" s="58"/>
      <c r="G78" s="52"/>
      <c r="H78" s="58"/>
      <c r="I78" s="52"/>
      <c r="J78" s="58"/>
    </row>
    <row r="79" spans="1:30" x14ac:dyDescent="0.25">
      <c r="B79" s="63" t="s">
        <v>79</v>
      </c>
      <c r="C79" s="62"/>
      <c r="D79" s="65">
        <f>AVERAGE(F79,H79,J79)</f>
        <v>0.15213333333333334</v>
      </c>
      <c r="F79" s="59">
        <v>0.1787</v>
      </c>
      <c r="G79" s="52"/>
      <c r="H79" s="59">
        <v>0.17610000000000001</v>
      </c>
      <c r="I79" s="52"/>
      <c r="J79" s="59">
        <v>0.1016</v>
      </c>
    </row>
    <row r="80" spans="1:30" x14ac:dyDescent="0.25">
      <c r="B80" s="63" t="s">
        <v>80</v>
      </c>
      <c r="C80" s="62"/>
      <c r="D80" s="66">
        <f>D79-D78</f>
        <v>0.13613333333333333</v>
      </c>
      <c r="F80" s="58"/>
      <c r="G80" s="52"/>
      <c r="H80" s="58"/>
      <c r="I80" s="52"/>
      <c r="J80" s="58"/>
    </row>
    <row r="81" spans="2:10" x14ac:dyDescent="0.25">
      <c r="B81" s="1" t="s">
        <v>68</v>
      </c>
      <c r="D81" s="61">
        <v>0.15</v>
      </c>
      <c r="F81" s="58"/>
      <c r="G81" s="52"/>
      <c r="H81" s="58"/>
      <c r="I81" s="52"/>
      <c r="J81" s="58"/>
    </row>
    <row r="82" spans="2:10" x14ac:dyDescent="0.25">
      <c r="B82" s="1" t="s">
        <v>71</v>
      </c>
      <c r="D82" s="37">
        <f>F82</f>
        <v>0.443</v>
      </c>
      <c r="F82" s="59">
        <v>0.443</v>
      </c>
      <c r="G82" s="52"/>
      <c r="H82" s="59">
        <v>0.29299999999999998</v>
      </c>
      <c r="I82" s="52"/>
      <c r="J82" s="59">
        <v>9.7000000000000003E-2</v>
      </c>
    </row>
    <row r="83" spans="2:10" x14ac:dyDescent="0.25">
      <c r="B83" s="1" t="s">
        <v>72</v>
      </c>
      <c r="D83" s="37">
        <f>F83</f>
        <v>0.55700000000000005</v>
      </c>
      <c r="F83" s="60">
        <v>0.55700000000000005</v>
      </c>
      <c r="G83" s="53"/>
      <c r="H83" s="60">
        <v>0.70699999999999996</v>
      </c>
      <c r="I83" s="53"/>
      <c r="J83" s="60">
        <v>0.90300000000000002</v>
      </c>
    </row>
    <row r="85" spans="2:10" x14ac:dyDescent="0.25">
      <c r="B85" s="1" t="s">
        <v>73</v>
      </c>
      <c r="D85" s="27">
        <f>D77/(1+(1-D81)*(D82/D83))</f>
        <v>1.2171603020727328</v>
      </c>
    </row>
    <row r="86" spans="2:10" x14ac:dyDescent="0.25">
      <c r="D86" s="27"/>
    </row>
    <row r="87" spans="2:10" x14ac:dyDescent="0.25">
      <c r="B87" s="1" t="s">
        <v>89</v>
      </c>
      <c r="D87" s="27">
        <f>AVERAGE(D50:X50)</f>
        <v>1870.9248549543881</v>
      </c>
    </row>
    <row r="88" spans="2:10" x14ac:dyDescent="0.25">
      <c r="B88" s="1" t="s">
        <v>90</v>
      </c>
      <c r="D88" s="40">
        <f>AVERAGE(D55:X55)</f>
        <v>4216.4764800363755</v>
      </c>
    </row>
    <row r="89" spans="2:10" x14ac:dyDescent="0.25">
      <c r="D89" s="27">
        <f>SUM(D87:D88)</f>
        <v>6087.4013349907636</v>
      </c>
    </row>
    <row r="90" spans="2:10" x14ac:dyDescent="0.25">
      <c r="D90" s="27"/>
    </row>
    <row r="91" spans="2:10" x14ac:dyDescent="0.25">
      <c r="B91" s="1" t="s">
        <v>74</v>
      </c>
      <c r="D91" s="71">
        <f>D87/D89</f>
        <v>0.30734376657576279</v>
      </c>
    </row>
    <row r="92" spans="2:10" x14ac:dyDescent="0.25">
      <c r="B92" s="1" t="s">
        <v>75</v>
      </c>
      <c r="D92" s="71">
        <f>D88/D89</f>
        <v>0.69265623342423721</v>
      </c>
    </row>
    <row r="94" spans="2:10" x14ac:dyDescent="0.25">
      <c r="B94" s="16" t="s">
        <v>76</v>
      </c>
      <c r="C94" s="16"/>
      <c r="D94" s="38">
        <f>D85*(1+(1-D81)*(D91/D92))</f>
        <v>1.6762244404675517</v>
      </c>
    </row>
    <row r="95" spans="2:10" x14ac:dyDescent="0.25">
      <c r="B95" s="16"/>
      <c r="C95" s="16"/>
      <c r="D95" s="38"/>
    </row>
    <row r="96" spans="2:10" x14ac:dyDescent="0.25">
      <c r="B96" s="16" t="s">
        <v>77</v>
      </c>
      <c r="C96" s="16"/>
      <c r="D96" s="34">
        <f>D78+D94*D79</f>
        <v>0.27100961154313025</v>
      </c>
    </row>
    <row r="98" spans="1:27" x14ac:dyDescent="0.25">
      <c r="B98" s="35" t="s">
        <v>69</v>
      </c>
      <c r="C98" s="35"/>
      <c r="D98" s="36">
        <f>D91*10%*(1-D81)+D92*D96</f>
        <v>0.2138407169121701</v>
      </c>
    </row>
    <row r="99" spans="1:27" s="30" customFormat="1" x14ac:dyDescent="0.25"/>
    <row r="100" spans="1:27" x14ac:dyDescent="0.25">
      <c r="B100" s="16" t="s">
        <v>91</v>
      </c>
    </row>
    <row r="101" spans="1:27" x14ac:dyDescent="0.25">
      <c r="C101" s="6"/>
      <c r="D101" s="6">
        <v>2012</v>
      </c>
      <c r="E101" s="6"/>
      <c r="F101" s="6">
        <v>2013</v>
      </c>
      <c r="G101" s="6"/>
      <c r="H101" s="6">
        <v>2014</v>
      </c>
      <c r="I101" s="6"/>
      <c r="J101" s="6">
        <v>2015</v>
      </c>
      <c r="K101" s="6"/>
      <c r="L101" s="6">
        <v>2016</v>
      </c>
      <c r="M101" s="6"/>
      <c r="N101" s="6">
        <v>2017</v>
      </c>
      <c r="O101" s="6"/>
      <c r="P101" s="6">
        <v>2018</v>
      </c>
      <c r="Q101" s="6"/>
      <c r="R101" s="6">
        <v>2019</v>
      </c>
      <c r="S101" s="6"/>
      <c r="T101" s="6">
        <v>2020</v>
      </c>
      <c r="U101" s="6"/>
      <c r="V101" s="6">
        <v>2021</v>
      </c>
      <c r="W101" s="6"/>
      <c r="X101" s="6">
        <v>2022</v>
      </c>
    </row>
    <row r="102" spans="1:27" x14ac:dyDescent="0.25">
      <c r="A102" s="16" t="s">
        <v>92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7" x14ac:dyDescent="0.25">
      <c r="B103" s="1" t="s">
        <v>93</v>
      </c>
      <c r="C103" s="42"/>
      <c r="D103" s="42">
        <f>D15-SUM(D18:D22)</f>
        <v>-886.80000000000018</v>
      </c>
      <c r="E103" s="42"/>
      <c r="F103" s="42">
        <f t="shared" ref="F103:X103" si="20">F15-SUM(F18:F22)</f>
        <v>-638.19880000000012</v>
      </c>
      <c r="G103" s="42"/>
      <c r="H103" s="42">
        <f t="shared" si="20"/>
        <v>-425.49691480000092</v>
      </c>
      <c r="I103" s="42"/>
      <c r="J103" s="42">
        <f t="shared" si="20"/>
        <v>-197.69319575079953</v>
      </c>
      <c r="K103" s="42"/>
      <c r="L103" s="42">
        <f t="shared" si="20"/>
        <v>46.284587350892707</v>
      </c>
      <c r="M103" s="42"/>
      <c r="N103" s="42">
        <f t="shared" si="20"/>
        <v>307.58479305280707</v>
      </c>
      <c r="O103" s="42"/>
      <c r="P103" s="42">
        <f t="shared" si="20"/>
        <v>587.43731335955636</v>
      </c>
      <c r="Q103" s="42"/>
      <c r="R103" s="42">
        <f t="shared" si="20"/>
        <v>887.15936260808394</v>
      </c>
      <c r="S103" s="42"/>
      <c r="T103" s="42">
        <f t="shared" si="20"/>
        <v>1208.1616773532578</v>
      </c>
      <c r="U103" s="42"/>
      <c r="V103" s="42">
        <f t="shared" si="20"/>
        <v>1551.9551564453404</v>
      </c>
      <c r="W103" s="42"/>
      <c r="X103" s="42">
        <f t="shared" si="20"/>
        <v>1920.1579725529605</v>
      </c>
    </row>
    <row r="104" spans="1:27" x14ac:dyDescent="0.25">
      <c r="B104" s="1" t="s">
        <v>94</v>
      </c>
      <c r="C104" s="42"/>
      <c r="D104" s="43">
        <f>D25</f>
        <v>200</v>
      </c>
      <c r="E104" s="43"/>
      <c r="F104" s="43">
        <f t="shared" ref="F104:X104" si="21">F25</f>
        <v>200</v>
      </c>
      <c r="G104" s="43"/>
      <c r="H104" s="43">
        <f t="shared" si="21"/>
        <v>200</v>
      </c>
      <c r="I104" s="43"/>
      <c r="J104" s="43">
        <f t="shared" si="21"/>
        <v>200</v>
      </c>
      <c r="K104" s="43"/>
      <c r="L104" s="43">
        <f t="shared" si="21"/>
        <v>200</v>
      </c>
      <c r="M104" s="43"/>
      <c r="N104" s="43">
        <f t="shared" si="21"/>
        <v>200</v>
      </c>
      <c r="O104" s="43"/>
      <c r="P104" s="43">
        <f t="shared" si="21"/>
        <v>200</v>
      </c>
      <c r="Q104" s="43"/>
      <c r="R104" s="43">
        <f t="shared" si="21"/>
        <v>200</v>
      </c>
      <c r="S104" s="43"/>
      <c r="T104" s="43">
        <f t="shared" si="21"/>
        <v>200</v>
      </c>
      <c r="U104" s="43"/>
      <c r="V104" s="43">
        <f t="shared" si="21"/>
        <v>200</v>
      </c>
      <c r="W104" s="43"/>
      <c r="X104" s="43">
        <f t="shared" si="21"/>
        <v>200</v>
      </c>
    </row>
    <row r="105" spans="1:27" x14ac:dyDescent="0.25">
      <c r="B105" s="1" t="s">
        <v>95</v>
      </c>
      <c r="C105" s="42"/>
      <c r="D105" s="44">
        <f>D103-D104</f>
        <v>-1086.8000000000002</v>
      </c>
      <c r="E105" s="44"/>
      <c r="F105" s="44">
        <f t="shared" ref="F105:X105" si="22">F103-F104</f>
        <v>-838.19880000000012</v>
      </c>
      <c r="G105" s="44"/>
      <c r="H105" s="44">
        <f t="shared" si="22"/>
        <v>-625.49691480000092</v>
      </c>
      <c r="I105" s="44"/>
      <c r="J105" s="44">
        <f t="shared" si="22"/>
        <v>-397.69319575079953</v>
      </c>
      <c r="K105" s="44"/>
      <c r="L105" s="44">
        <f t="shared" si="22"/>
        <v>-153.71541264910729</v>
      </c>
      <c r="M105" s="44"/>
      <c r="N105" s="44">
        <f t="shared" si="22"/>
        <v>107.58479305280707</v>
      </c>
      <c r="O105" s="44"/>
      <c r="P105" s="44">
        <f t="shared" si="22"/>
        <v>387.43731335955636</v>
      </c>
      <c r="Q105" s="44"/>
      <c r="R105" s="44">
        <f t="shared" si="22"/>
        <v>687.15936260808394</v>
      </c>
      <c r="S105" s="44"/>
      <c r="T105" s="44">
        <f t="shared" si="22"/>
        <v>1008.1616773532578</v>
      </c>
      <c r="U105" s="44"/>
      <c r="V105" s="44">
        <f t="shared" si="22"/>
        <v>1351.9551564453404</v>
      </c>
      <c r="W105" s="44"/>
      <c r="X105" s="44">
        <f t="shared" si="22"/>
        <v>1720.1579725529605</v>
      </c>
    </row>
    <row r="106" spans="1:27" x14ac:dyDescent="0.25">
      <c r="B106" s="1" t="s">
        <v>111</v>
      </c>
      <c r="C106" s="42"/>
      <c r="D106" s="42"/>
      <c r="E106" s="42"/>
      <c r="F106" s="42"/>
      <c r="G106" s="42"/>
      <c r="H106" s="42"/>
      <c r="I106" s="42"/>
      <c r="J106" s="42"/>
      <c r="K106" s="6"/>
      <c r="L106" s="6"/>
      <c r="M106" s="6"/>
      <c r="N106" s="6">
        <f>N105*0.15</f>
        <v>16.137718957921059</v>
      </c>
      <c r="O106" s="6"/>
      <c r="P106" s="6">
        <f t="shared" ref="P106:X106" si="23">P105*0.15</f>
        <v>58.115597003933452</v>
      </c>
      <c r="Q106" s="6"/>
      <c r="R106" s="6">
        <f t="shared" si="23"/>
        <v>103.07390439121259</v>
      </c>
      <c r="S106" s="6"/>
      <c r="T106" s="6">
        <f t="shared" si="23"/>
        <v>151.22425160298866</v>
      </c>
      <c r="U106" s="6"/>
      <c r="V106" s="6">
        <f t="shared" si="23"/>
        <v>202.79327346680105</v>
      </c>
      <c r="W106" s="6"/>
      <c r="X106" s="6">
        <f t="shared" si="23"/>
        <v>258.02369588294408</v>
      </c>
    </row>
    <row r="107" spans="1:27" x14ac:dyDescent="0.25">
      <c r="B107" s="1" t="s">
        <v>96</v>
      </c>
      <c r="C107" s="42"/>
      <c r="D107" s="42">
        <f>+D104</f>
        <v>200</v>
      </c>
      <c r="E107" s="42"/>
      <c r="F107" s="42">
        <f t="shared" ref="F107:X107" si="24">+F104</f>
        <v>200</v>
      </c>
      <c r="G107" s="42"/>
      <c r="H107" s="42">
        <f t="shared" si="24"/>
        <v>200</v>
      </c>
      <c r="I107" s="42"/>
      <c r="J107" s="42">
        <f t="shared" si="24"/>
        <v>200</v>
      </c>
      <c r="K107" s="42"/>
      <c r="L107" s="42">
        <f t="shared" si="24"/>
        <v>200</v>
      </c>
      <c r="M107" s="42"/>
      <c r="N107" s="42">
        <f t="shared" si="24"/>
        <v>200</v>
      </c>
      <c r="O107" s="42"/>
      <c r="P107" s="42">
        <f t="shared" si="24"/>
        <v>200</v>
      </c>
      <c r="Q107" s="42"/>
      <c r="R107" s="42">
        <f t="shared" si="24"/>
        <v>200</v>
      </c>
      <c r="S107" s="42"/>
      <c r="T107" s="42">
        <f t="shared" si="24"/>
        <v>200</v>
      </c>
      <c r="U107" s="42"/>
      <c r="V107" s="42">
        <f t="shared" si="24"/>
        <v>200</v>
      </c>
      <c r="W107" s="42"/>
      <c r="X107" s="42">
        <f t="shared" si="24"/>
        <v>200</v>
      </c>
    </row>
    <row r="108" spans="1:27" x14ac:dyDescent="0.25">
      <c r="A108" s="16" t="s">
        <v>97</v>
      </c>
      <c r="C108" s="42"/>
      <c r="D108" s="45">
        <f>D105-D106+D107</f>
        <v>-886.80000000000018</v>
      </c>
      <c r="E108" s="45"/>
      <c r="F108" s="45">
        <f t="shared" ref="F108:X108" si="25">F105-F106+F107</f>
        <v>-638.19880000000012</v>
      </c>
      <c r="G108" s="45"/>
      <c r="H108" s="45">
        <f t="shared" si="25"/>
        <v>-425.49691480000092</v>
      </c>
      <c r="I108" s="45"/>
      <c r="J108" s="45">
        <f t="shared" si="25"/>
        <v>-197.69319575079953</v>
      </c>
      <c r="K108" s="45"/>
      <c r="L108" s="45">
        <f t="shared" si="25"/>
        <v>46.284587350892707</v>
      </c>
      <c r="M108" s="45"/>
      <c r="N108" s="45">
        <f t="shared" si="25"/>
        <v>291.44707409488603</v>
      </c>
      <c r="O108" s="45"/>
      <c r="P108" s="45">
        <f t="shared" si="25"/>
        <v>529.32171635562293</v>
      </c>
      <c r="Q108" s="45"/>
      <c r="R108" s="45">
        <f t="shared" si="25"/>
        <v>784.0854582168713</v>
      </c>
      <c r="S108" s="45"/>
      <c r="T108" s="45">
        <f t="shared" si="25"/>
        <v>1056.9374257502691</v>
      </c>
      <c r="U108" s="45"/>
      <c r="V108" s="45">
        <f t="shared" si="25"/>
        <v>1349.1618829785393</v>
      </c>
      <c r="W108" s="45"/>
      <c r="X108" s="45">
        <f t="shared" si="25"/>
        <v>1662.1342766700163</v>
      </c>
    </row>
    <row r="109" spans="1:27" x14ac:dyDescent="0.25">
      <c r="C109" s="42"/>
      <c r="D109" s="42"/>
      <c r="E109" s="42"/>
      <c r="F109" s="42"/>
      <c r="G109" s="42"/>
      <c r="H109" s="42"/>
      <c r="I109" s="42"/>
      <c r="J109" s="42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7" x14ac:dyDescent="0.25">
      <c r="A110" s="16" t="s">
        <v>112</v>
      </c>
      <c r="C110" s="42"/>
      <c r="D110" s="42"/>
      <c r="E110" s="42"/>
      <c r="F110" s="42"/>
      <c r="G110" s="42"/>
      <c r="H110" s="42"/>
      <c r="I110" s="42"/>
      <c r="J110" s="42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7" x14ac:dyDescent="0.25">
      <c r="B111" s="1" t="s">
        <v>98</v>
      </c>
      <c r="C111" s="42">
        <f>-D39</f>
        <v>-6000</v>
      </c>
      <c r="D111" s="42"/>
      <c r="E111" s="42"/>
      <c r="F111" s="42"/>
      <c r="G111" s="42"/>
      <c r="H111" s="42"/>
      <c r="I111" s="42"/>
      <c r="J111" s="42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7" x14ac:dyDescent="0.25">
      <c r="B112" s="1" t="s">
        <v>99</v>
      </c>
      <c r="C112" s="42"/>
      <c r="D112" s="42"/>
      <c r="E112" s="42"/>
      <c r="F112" s="42"/>
      <c r="G112" s="42"/>
      <c r="H112" s="42"/>
      <c r="I112" s="42"/>
      <c r="J112" s="42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>
        <f>AC113*1.1</f>
        <v>4180</v>
      </c>
      <c r="AA112" s="1" t="s">
        <v>113</v>
      </c>
    </row>
    <row r="113" spans="1:29" x14ac:dyDescent="0.25">
      <c r="C113" s="42"/>
      <c r="D113" s="42"/>
      <c r="E113" s="42"/>
      <c r="F113" s="42"/>
      <c r="G113" s="42"/>
      <c r="H113" s="42"/>
      <c r="I113" s="42"/>
      <c r="J113" s="42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>
        <f>-(X112-AC113)*0.15</f>
        <v>-57</v>
      </c>
      <c r="AB113" s="1" t="s">
        <v>114</v>
      </c>
      <c r="AC113" s="18">
        <f>X39-X40</f>
        <v>3800</v>
      </c>
    </row>
    <row r="114" spans="1:29" x14ac:dyDescent="0.25">
      <c r="C114" s="42"/>
      <c r="D114" s="42"/>
      <c r="E114" s="42"/>
      <c r="F114" s="42"/>
      <c r="G114" s="42"/>
      <c r="H114" s="42"/>
      <c r="I114" s="42"/>
      <c r="J114" s="42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9" x14ac:dyDescent="0.25">
      <c r="A115" s="16" t="s">
        <v>100</v>
      </c>
      <c r="C115" s="6"/>
      <c r="D115" s="42"/>
      <c r="E115" s="42"/>
      <c r="F115" s="42"/>
      <c r="G115" s="42"/>
      <c r="H115" s="42"/>
      <c r="I115" s="42"/>
      <c r="J115" s="42"/>
      <c r="K115" s="42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9" x14ac:dyDescent="0.25">
      <c r="A116" s="1" t="s">
        <v>101</v>
      </c>
      <c r="B116" s="1" t="s">
        <v>102</v>
      </c>
      <c r="C116" s="6"/>
      <c r="D116" s="42">
        <f>-D35</f>
        <v>-500</v>
      </c>
      <c r="E116" s="42"/>
      <c r="F116" s="42">
        <f>-F35+D35</f>
        <v>0</v>
      </c>
      <c r="G116" s="42"/>
      <c r="H116" s="42">
        <f t="shared" ref="H116:X116" si="26">-H35+F35</f>
        <v>0</v>
      </c>
      <c r="I116" s="42"/>
      <c r="J116" s="42">
        <f t="shared" si="26"/>
        <v>0</v>
      </c>
      <c r="K116" s="42"/>
      <c r="L116" s="42">
        <f t="shared" si="26"/>
        <v>0</v>
      </c>
      <c r="M116" s="42"/>
      <c r="N116" s="42">
        <f t="shared" si="26"/>
        <v>0</v>
      </c>
      <c r="O116" s="42"/>
      <c r="P116" s="42">
        <f t="shared" si="26"/>
        <v>0</v>
      </c>
      <c r="Q116" s="42"/>
      <c r="R116" s="42">
        <f t="shared" si="26"/>
        <v>0</v>
      </c>
      <c r="S116" s="42"/>
      <c r="T116" s="42">
        <f t="shared" si="26"/>
        <v>0</v>
      </c>
      <c r="U116" s="42"/>
      <c r="V116" s="42">
        <f t="shared" si="26"/>
        <v>-780.07955644545837</v>
      </c>
      <c r="W116" s="42"/>
      <c r="X116" s="42">
        <f t="shared" si="26"/>
        <v>-1700.7789866488802</v>
      </c>
    </row>
    <row r="117" spans="1:29" x14ac:dyDescent="0.25">
      <c r="A117" s="41" t="s">
        <v>101</v>
      </c>
      <c r="B117" s="1" t="s">
        <v>103</v>
      </c>
      <c r="C117" s="6"/>
      <c r="D117" s="42">
        <f>-D36</f>
        <v>-252</v>
      </c>
      <c r="E117" s="42"/>
      <c r="F117" s="42">
        <f>-F36+D36</f>
        <v>-17.891999999999996</v>
      </c>
      <c r="G117" s="42"/>
      <c r="H117" s="42">
        <f t="shared" ref="H117:X117" si="27">-H36+F36</f>
        <v>-19.162331999999992</v>
      </c>
      <c r="I117" s="42"/>
      <c r="J117" s="42">
        <f t="shared" si="27"/>
        <v>-20.522857572000021</v>
      </c>
      <c r="K117" s="42"/>
      <c r="L117" s="42">
        <f t="shared" si="27"/>
        <v>-21.979980459611966</v>
      </c>
      <c r="M117" s="42"/>
      <c r="N117" s="42">
        <f t="shared" si="27"/>
        <v>65.233873203719611</v>
      </c>
      <c r="O117" s="42"/>
      <c r="P117" s="42">
        <f t="shared" si="27"/>
        <v>-18.908954074780411</v>
      </c>
      <c r="Q117" s="42"/>
      <c r="R117" s="42">
        <f t="shared" si="27"/>
        <v>-20.25148981408978</v>
      </c>
      <c r="S117" s="42"/>
      <c r="T117" s="42">
        <f t="shared" si="27"/>
        <v>-21.689345590890127</v>
      </c>
      <c r="U117" s="42"/>
      <c r="V117" s="42">
        <f t="shared" si="27"/>
        <v>-23.229289127843288</v>
      </c>
      <c r="W117" s="42"/>
      <c r="X117" s="42">
        <f t="shared" si="27"/>
        <v>-24.878568655920276</v>
      </c>
    </row>
    <row r="118" spans="1:29" x14ac:dyDescent="0.25">
      <c r="C118" s="6"/>
      <c r="D118" s="42"/>
      <c r="E118" s="42"/>
      <c r="F118" s="42"/>
      <c r="G118" s="42"/>
      <c r="H118" s="42"/>
      <c r="I118" s="42"/>
      <c r="J118" s="42"/>
      <c r="K118" s="42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9" x14ac:dyDescent="0.25">
      <c r="A119" s="1" t="s">
        <v>104</v>
      </c>
      <c r="B119" s="17" t="s">
        <v>105</v>
      </c>
      <c r="C119" s="6"/>
      <c r="D119" s="42">
        <f>D47</f>
        <v>63</v>
      </c>
      <c r="E119" s="42"/>
      <c r="F119" s="42">
        <f>F47-D47</f>
        <v>4.472999999999999</v>
      </c>
      <c r="G119" s="42"/>
      <c r="H119" s="42">
        <f t="shared" ref="H119:X119" si="28">H47-F47</f>
        <v>4.790582999999998</v>
      </c>
      <c r="I119" s="42"/>
      <c r="J119" s="42">
        <f t="shared" si="28"/>
        <v>5.1307143930000052</v>
      </c>
      <c r="K119" s="42"/>
      <c r="L119" s="42">
        <f t="shared" si="28"/>
        <v>5.4949951149029914</v>
      </c>
      <c r="M119" s="42"/>
      <c r="N119" s="42">
        <f t="shared" si="28"/>
        <v>5.8851397680611228</v>
      </c>
      <c r="O119" s="42"/>
      <c r="P119" s="42">
        <f t="shared" si="28"/>
        <v>6.3029846915934797</v>
      </c>
      <c r="Q119" s="42"/>
      <c r="R119" s="42">
        <f t="shared" si="28"/>
        <v>6.7504966046965933</v>
      </c>
      <c r="S119" s="42"/>
      <c r="T119" s="42">
        <f t="shared" si="28"/>
        <v>7.2297818636300377</v>
      </c>
      <c r="U119" s="42"/>
      <c r="V119" s="42">
        <f t="shared" si="28"/>
        <v>7.7430963759477578</v>
      </c>
      <c r="W119" s="42"/>
      <c r="X119" s="42">
        <f t="shared" si="28"/>
        <v>8.2928562186400967</v>
      </c>
    </row>
    <row r="120" spans="1:29" x14ac:dyDescent="0.25">
      <c r="A120" s="1" t="s">
        <v>104</v>
      </c>
      <c r="B120" s="1" t="s">
        <v>21</v>
      </c>
      <c r="C120" s="6"/>
      <c r="D120" s="42">
        <f>D106</f>
        <v>0</v>
      </c>
      <c r="E120" s="42"/>
      <c r="F120" s="42">
        <f>F106-D106</f>
        <v>0</v>
      </c>
      <c r="G120" s="42"/>
      <c r="H120" s="42">
        <f t="shared" ref="H120:X120" si="29">H106-F106</f>
        <v>0</v>
      </c>
      <c r="I120" s="42"/>
      <c r="J120" s="42">
        <f t="shared" si="29"/>
        <v>0</v>
      </c>
      <c r="K120" s="42"/>
      <c r="L120" s="42">
        <f t="shared" si="29"/>
        <v>0</v>
      </c>
      <c r="M120" s="42"/>
      <c r="N120" s="42">
        <f t="shared" si="29"/>
        <v>16.137718957921059</v>
      </c>
      <c r="O120" s="42"/>
      <c r="P120" s="42">
        <f t="shared" si="29"/>
        <v>41.977878046012393</v>
      </c>
      <c r="Q120" s="42"/>
      <c r="R120" s="42">
        <f t="shared" si="29"/>
        <v>44.958307387279142</v>
      </c>
      <c r="S120" s="42"/>
      <c r="T120" s="42">
        <f t="shared" si="29"/>
        <v>48.150347211776065</v>
      </c>
      <c r="U120" s="42"/>
      <c r="V120" s="42">
        <f t="shared" si="29"/>
        <v>51.569021863812395</v>
      </c>
      <c r="W120" s="42"/>
      <c r="X120" s="42">
        <f t="shared" si="29"/>
        <v>55.230422416143028</v>
      </c>
    </row>
    <row r="121" spans="1:29" x14ac:dyDescent="0.25">
      <c r="C121" s="6"/>
      <c r="D121" s="42"/>
      <c r="E121" s="42"/>
      <c r="F121" s="42"/>
      <c r="G121" s="42"/>
      <c r="H121" s="42"/>
      <c r="I121" s="42"/>
      <c r="J121" s="42"/>
      <c r="K121" s="42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9" x14ac:dyDescent="0.25">
      <c r="A122" s="16" t="s">
        <v>106</v>
      </c>
      <c r="C122" s="6"/>
      <c r="D122" s="42"/>
      <c r="E122" s="42"/>
      <c r="F122" s="42"/>
      <c r="G122" s="42"/>
      <c r="H122" s="42"/>
      <c r="I122" s="42"/>
      <c r="J122" s="42"/>
      <c r="K122" s="42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9" x14ac:dyDescent="0.25">
      <c r="A123" s="41" t="s">
        <v>104</v>
      </c>
      <c r="B123" s="1" t="s">
        <v>102</v>
      </c>
      <c r="C123" s="6"/>
      <c r="D123" s="42"/>
      <c r="E123" s="42"/>
      <c r="F123" s="42"/>
      <c r="G123" s="42"/>
      <c r="H123" s="42"/>
      <c r="I123" s="42"/>
      <c r="J123" s="42"/>
      <c r="K123" s="42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>
        <f>-SUM(D116:X116)</f>
        <v>2980.8585430943385</v>
      </c>
    </row>
    <row r="124" spans="1:29" x14ac:dyDescent="0.25">
      <c r="A124" s="41" t="s">
        <v>104</v>
      </c>
      <c r="B124" s="1" t="s">
        <v>103</v>
      </c>
      <c r="C124" s="6"/>
      <c r="D124" s="42"/>
      <c r="E124" s="42"/>
      <c r="F124" s="42"/>
      <c r="G124" s="42"/>
      <c r="H124" s="42"/>
      <c r="I124" s="42"/>
      <c r="J124" s="42"/>
      <c r="K124" s="42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>
        <f>-SUM(D117:X117)</f>
        <v>375.28094409141625</v>
      </c>
    </row>
    <row r="125" spans="1:29" x14ac:dyDescent="0.25">
      <c r="C125" s="6"/>
      <c r="D125" s="42"/>
      <c r="E125" s="42"/>
      <c r="F125" s="42"/>
      <c r="G125" s="42"/>
      <c r="H125" s="42"/>
      <c r="I125" s="42"/>
      <c r="J125" s="42"/>
      <c r="K125" s="42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>
        <f>-SUM(D118:X118)</f>
        <v>0</v>
      </c>
    </row>
    <row r="126" spans="1:29" x14ac:dyDescent="0.25">
      <c r="A126" s="41" t="s">
        <v>101</v>
      </c>
      <c r="B126" s="17" t="s">
        <v>105</v>
      </c>
      <c r="C126" s="6"/>
      <c r="D126" s="42"/>
      <c r="E126" s="42"/>
      <c r="F126" s="42"/>
      <c r="G126" s="42"/>
      <c r="H126" s="42"/>
      <c r="I126" s="42"/>
      <c r="J126" s="42"/>
      <c r="K126" s="42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>
        <f>-SUM(D119:X119)</f>
        <v>-125.09364803047208</v>
      </c>
    </row>
    <row r="127" spans="1:29" x14ac:dyDescent="0.25">
      <c r="A127" s="41" t="s">
        <v>101</v>
      </c>
      <c r="B127" s="1" t="s">
        <v>21</v>
      </c>
      <c r="C127" s="6"/>
      <c r="D127" s="42"/>
      <c r="E127" s="42"/>
      <c r="F127" s="42"/>
      <c r="G127" s="42"/>
      <c r="H127" s="42"/>
      <c r="I127" s="42"/>
      <c r="J127" s="42"/>
      <c r="K127" s="42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>
        <f>-SUM(D120:X120)</f>
        <v>-258.02369588294408</v>
      </c>
    </row>
    <row r="128" spans="1:29" x14ac:dyDescent="0.25">
      <c r="C128" s="6"/>
      <c r="D128" s="42"/>
      <c r="E128" s="42"/>
      <c r="F128" s="42"/>
      <c r="G128" s="42"/>
      <c r="H128" s="42"/>
      <c r="I128" s="42"/>
      <c r="J128" s="42"/>
      <c r="K128" s="42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x14ac:dyDescent="0.25">
      <c r="C129" s="6"/>
      <c r="D129" s="42"/>
      <c r="E129" s="42"/>
      <c r="F129" s="42"/>
      <c r="G129" s="42"/>
      <c r="H129" s="42"/>
      <c r="I129" s="42"/>
      <c r="J129" s="42"/>
      <c r="K129" s="42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x14ac:dyDescent="0.25">
      <c r="A130" s="16" t="s">
        <v>107</v>
      </c>
      <c r="C130" s="6">
        <f>SUM(C108:C128)</f>
        <v>-6000</v>
      </c>
      <c r="D130" s="6">
        <f t="shared" ref="D130:X130" si="30">SUM(D108:D128)</f>
        <v>-1575.8000000000002</v>
      </c>
      <c r="E130" s="6"/>
      <c r="F130" s="6">
        <f t="shared" si="30"/>
        <v>-651.61780000000022</v>
      </c>
      <c r="G130" s="6"/>
      <c r="H130" s="6">
        <f t="shared" si="30"/>
        <v>-439.86866380000095</v>
      </c>
      <c r="I130" s="6"/>
      <c r="J130" s="6">
        <f t="shared" si="30"/>
        <v>-213.08533892979955</v>
      </c>
      <c r="K130" s="6"/>
      <c r="L130" s="6">
        <f t="shared" si="30"/>
        <v>29.799602006183733</v>
      </c>
      <c r="M130" s="6"/>
      <c r="N130" s="6">
        <f t="shared" si="30"/>
        <v>378.70380602458783</v>
      </c>
      <c r="O130" s="6"/>
      <c r="P130" s="6">
        <f t="shared" si="30"/>
        <v>558.69362501844842</v>
      </c>
      <c r="Q130" s="6"/>
      <c r="R130" s="6">
        <f t="shared" si="30"/>
        <v>815.54277239475709</v>
      </c>
      <c r="S130" s="6"/>
      <c r="T130" s="6">
        <f t="shared" si="30"/>
        <v>1090.6282092347851</v>
      </c>
      <c r="U130" s="6"/>
      <c r="V130" s="6">
        <f t="shared" si="30"/>
        <v>605.16515564499787</v>
      </c>
      <c r="W130" s="6"/>
      <c r="X130" s="6">
        <f t="shared" si="30"/>
        <v>7096.0221432723383</v>
      </c>
    </row>
    <row r="131" spans="1:24" x14ac:dyDescent="0.25">
      <c r="A131" s="1" t="s">
        <v>108</v>
      </c>
      <c r="C131" s="6">
        <f>PV($B$133,C132,,-C130)</f>
        <v>-6000</v>
      </c>
      <c r="D131" s="6">
        <f>PV($B$133,D132,,-D130)</f>
        <v>-1298.1933939476019</v>
      </c>
      <c r="E131" s="6"/>
      <c r="F131" s="6">
        <f>PV($B$133,F132,,-F130)</f>
        <v>-442.25172609983775</v>
      </c>
      <c r="G131" s="6"/>
      <c r="H131" s="6">
        <f>PV($B$133,H132,,-H130)</f>
        <v>-245.9449559125469</v>
      </c>
      <c r="I131" s="6"/>
      <c r="J131" s="6">
        <f>PV($B$133,J132,,-J130)</f>
        <v>-98.153720112633195</v>
      </c>
      <c r="K131" s="6"/>
      <c r="L131" s="6">
        <f>PV($B$133,L132,,-L130)</f>
        <v>11.308420708905514</v>
      </c>
      <c r="M131" s="6"/>
      <c r="N131" s="6">
        <f>PV($B$133,N132,,-N130)</f>
        <v>118.39393683744579</v>
      </c>
      <c r="O131" s="6"/>
      <c r="P131" s="6">
        <f>PV($B$133,P132,,-P130)</f>
        <v>143.89370885465067</v>
      </c>
      <c r="Q131" s="6"/>
      <c r="R131" s="6">
        <f>PV($B$133,R132,,-R130)</f>
        <v>173.04264018340106</v>
      </c>
      <c r="S131" s="6"/>
      <c r="T131" s="6">
        <f>PV($B$133,T132,,-T130)</f>
        <v>190.64324195862486</v>
      </c>
      <c r="U131" s="6"/>
      <c r="V131" s="6">
        <f>PV($B$133,V132,,-V130)</f>
        <v>87.147894904213146</v>
      </c>
      <c r="W131" s="6"/>
      <c r="X131" s="6">
        <f>PV($B$133,X132,,-X130)</f>
        <v>841.85296842102264</v>
      </c>
    </row>
    <row r="132" spans="1:24" x14ac:dyDescent="0.25">
      <c r="C132" s="6">
        <v>0</v>
      </c>
      <c r="D132" s="6">
        <v>1</v>
      </c>
      <c r="E132" s="6"/>
      <c r="F132" s="6">
        <v>2</v>
      </c>
      <c r="G132" s="6"/>
      <c r="H132" s="6">
        <v>3</v>
      </c>
      <c r="I132" s="6"/>
      <c r="J132" s="6">
        <v>4</v>
      </c>
      <c r="K132" s="6"/>
      <c r="L132" s="6">
        <v>5</v>
      </c>
      <c r="M132" s="6"/>
      <c r="N132" s="6">
        <v>6</v>
      </c>
      <c r="O132" s="6"/>
      <c r="P132" s="6">
        <v>7</v>
      </c>
      <c r="Q132" s="6"/>
      <c r="R132" s="6">
        <v>8</v>
      </c>
      <c r="S132" s="6"/>
      <c r="T132" s="6">
        <v>9</v>
      </c>
      <c r="U132" s="6"/>
      <c r="V132" s="6">
        <v>10</v>
      </c>
      <c r="W132" s="6"/>
      <c r="X132" s="6">
        <v>11</v>
      </c>
    </row>
    <row r="133" spans="1:24" x14ac:dyDescent="0.25">
      <c r="A133" s="1" t="s">
        <v>69</v>
      </c>
      <c r="B133" s="5">
        <f>D98</f>
        <v>0.2138407169121701</v>
      </c>
    </row>
    <row r="134" spans="1:24" x14ac:dyDescent="0.25">
      <c r="A134" s="72" t="s">
        <v>109</v>
      </c>
      <c r="B134" s="73">
        <f>SUM(C131:X131)</f>
        <v>-6518.2609842043557</v>
      </c>
      <c r="E134" s="11"/>
    </row>
    <row r="135" spans="1:24" x14ac:dyDescent="0.25">
      <c r="A135" s="72" t="s">
        <v>110</v>
      </c>
      <c r="B135" s="74">
        <f>IRR(C130:X130)</f>
        <v>1.8515179665563375E-2</v>
      </c>
      <c r="E135" s="14"/>
    </row>
  </sheetData>
  <sheetProtection selectLockedCells="1" selectUnlockedCells="1"/>
  <hyperlinks>
    <hyperlink ref="F75" r:id="rId1" display="http://etfdb.com/"/>
    <hyperlink ref="H75" r:id="rId2" display="http://financials.morningstar.com/"/>
  </hyperlinks>
  <pageMargins left="0.7" right="0.7" top="0.75" bottom="0.75" header="0.51180555555555551" footer="0.51180555555555551"/>
  <pageSetup firstPageNumber="0" fitToHeight="0" orientation="landscape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tabSelected="1" workbookViewId="0">
      <selection activeCell="R10" sqref="R10"/>
    </sheetView>
  </sheetViews>
  <sheetFormatPr defaultColWidth="9.42578125" defaultRowHeight="15" x14ac:dyDescent="0.25"/>
  <cols>
    <col min="1" max="1" width="6" style="1" customWidth="1"/>
    <col min="2" max="2" width="31.85546875" style="1" customWidth="1"/>
    <col min="3" max="3" width="16.42578125" style="1" customWidth="1"/>
    <col min="4" max="4" width="15" style="1" bestFit="1" customWidth="1"/>
    <col min="5" max="5" width="2.85546875" style="1" customWidth="1"/>
    <col min="6" max="6" width="15" style="1" bestFit="1" customWidth="1"/>
    <col min="7" max="7" width="2.85546875" style="1" customWidth="1"/>
    <col min="8" max="8" width="15" style="1" bestFit="1" customWidth="1"/>
    <col min="9" max="9" width="2.85546875" style="1" customWidth="1"/>
    <col min="10" max="10" width="15" style="1" bestFit="1" customWidth="1"/>
    <col min="11" max="11" width="2.85546875" style="1" customWidth="1"/>
    <col min="12" max="12" width="15" style="1" customWidth="1"/>
    <col min="13" max="13" width="2.85546875" style="1" customWidth="1"/>
    <col min="14" max="14" width="12.42578125" style="1" customWidth="1"/>
    <col min="15" max="15" width="26.140625" style="1" customWidth="1"/>
    <col min="16" max="16" width="31.42578125" style="1" customWidth="1"/>
    <col min="17" max="19" width="9.42578125" style="1"/>
    <col min="20" max="20" width="10" style="1" customWidth="1"/>
    <col min="21" max="16384" width="9.42578125" style="1"/>
  </cols>
  <sheetData>
    <row r="1" spans="1:15" s="3" customFormat="1" x14ac:dyDescent="0.25">
      <c r="A1" s="2" t="s">
        <v>62</v>
      </c>
    </row>
    <row r="2" spans="1:15" x14ac:dyDescent="0.25">
      <c r="A2" s="1" t="s">
        <v>0</v>
      </c>
    </row>
    <row r="3" spans="1:15" x14ac:dyDescent="0.25">
      <c r="A3" s="4"/>
      <c r="D3" s="1">
        <v>2012</v>
      </c>
      <c r="F3" s="1">
        <v>2013</v>
      </c>
      <c r="H3" s="1">
        <v>2014</v>
      </c>
      <c r="J3" s="1">
        <v>2015</v>
      </c>
      <c r="L3" s="1">
        <v>2016</v>
      </c>
    </row>
    <row r="4" spans="1:15" x14ac:dyDescent="0.25">
      <c r="F4" s="5"/>
      <c r="G4" s="5"/>
      <c r="H4" s="5"/>
      <c r="I4" s="5"/>
      <c r="J4" s="5"/>
      <c r="K4" s="5"/>
      <c r="L4" s="5"/>
      <c r="M4" s="5"/>
      <c r="N4" s="6"/>
      <c r="O4" s="5"/>
    </row>
    <row r="5" spans="1:15" x14ac:dyDescent="0.25">
      <c r="A5" s="1" t="s">
        <v>2</v>
      </c>
      <c r="F5" s="6"/>
      <c r="G5" s="6"/>
      <c r="H5" s="6"/>
      <c r="I5" s="6"/>
      <c r="J5" s="6"/>
      <c r="K5" s="6"/>
      <c r="L5" s="6"/>
      <c r="M5" s="6"/>
      <c r="N5" s="6"/>
      <c r="O5" s="5"/>
    </row>
    <row r="6" spans="1:15" x14ac:dyDescent="0.25">
      <c r="A6" s="1" t="s">
        <v>64</v>
      </c>
      <c r="D6" s="67">
        <v>50</v>
      </c>
      <c r="E6" s="6"/>
      <c r="F6" s="69">
        <f>D6*1.05</f>
        <v>52.5</v>
      </c>
      <c r="G6" s="15"/>
      <c r="H6" s="69">
        <f>F6*1.05</f>
        <v>55.125</v>
      </c>
      <c r="I6" s="15"/>
      <c r="J6" s="69">
        <f>H6*1.05</f>
        <v>57.881250000000001</v>
      </c>
      <c r="K6" s="15"/>
      <c r="L6" s="69">
        <f>J6*1.05</f>
        <v>60.775312500000005</v>
      </c>
      <c r="M6" s="15"/>
      <c r="N6" s="7"/>
      <c r="O6" s="5"/>
    </row>
    <row r="7" spans="1:15" x14ac:dyDescent="0.25">
      <c r="A7" s="1" t="s">
        <v>63</v>
      </c>
      <c r="D7" s="67">
        <v>24</v>
      </c>
      <c r="E7" s="6"/>
      <c r="F7" s="67">
        <v>24</v>
      </c>
      <c r="G7" s="6"/>
      <c r="H7" s="67">
        <v>24</v>
      </c>
      <c r="I7" s="6"/>
      <c r="J7" s="67">
        <v>24</v>
      </c>
      <c r="K7" s="6"/>
      <c r="L7" s="67">
        <v>24</v>
      </c>
      <c r="M7" s="6"/>
      <c r="N7" s="7"/>
      <c r="O7" s="5"/>
    </row>
    <row r="8" spans="1:15" x14ac:dyDescent="0.25">
      <c r="A8" s="1" t="s">
        <v>40</v>
      </c>
      <c r="D8" s="68">
        <v>4.5</v>
      </c>
      <c r="E8" s="18"/>
      <c r="F8" s="70">
        <f>D8*1.02</f>
        <v>4.59</v>
      </c>
      <c r="G8" s="19"/>
      <c r="H8" s="70">
        <f>F8*1.02</f>
        <v>4.6818</v>
      </c>
      <c r="I8" s="19"/>
      <c r="J8" s="70">
        <f>H8*1.02</f>
        <v>4.775436</v>
      </c>
      <c r="K8" s="19"/>
      <c r="L8" s="70">
        <f>J8*1.02</f>
        <v>4.8709447199999998</v>
      </c>
      <c r="M8" s="19"/>
      <c r="N8" s="7"/>
      <c r="O8" s="5"/>
    </row>
    <row r="9" spans="1:15" x14ac:dyDescent="0.25">
      <c r="A9" s="17" t="s">
        <v>41</v>
      </c>
      <c r="B9" s="17"/>
      <c r="C9" s="17"/>
      <c r="D9" s="20">
        <f>D6*D7*D8</f>
        <v>5400</v>
      </c>
      <c r="E9" s="20"/>
      <c r="F9" s="20">
        <f t="shared" ref="F9:L9" si="0">F6*F7*F8</f>
        <v>5783.4</v>
      </c>
      <c r="G9" s="20"/>
      <c r="H9" s="20">
        <f t="shared" si="0"/>
        <v>6194.0213999999996</v>
      </c>
      <c r="I9" s="20"/>
      <c r="J9" s="20">
        <f t="shared" si="0"/>
        <v>6633.7969194000007</v>
      </c>
      <c r="K9" s="20"/>
      <c r="L9" s="20">
        <f t="shared" si="0"/>
        <v>7104.7965006774002</v>
      </c>
      <c r="M9" s="20"/>
      <c r="N9" s="7"/>
    </row>
    <row r="10" spans="1:15" x14ac:dyDescent="0.25">
      <c r="D10" s="18"/>
      <c r="E10" s="18"/>
      <c r="F10" s="18"/>
      <c r="G10" s="18"/>
      <c r="H10" s="18"/>
      <c r="I10" s="18"/>
      <c r="J10" s="18"/>
      <c r="K10" s="18"/>
      <c r="L10" s="18"/>
      <c r="M10" s="18"/>
      <c r="O10" s="5"/>
    </row>
    <row r="11" spans="1:15" x14ac:dyDescent="0.25">
      <c r="D11" s="18"/>
      <c r="E11" s="18"/>
      <c r="F11" s="18"/>
      <c r="G11" s="18"/>
      <c r="H11" s="18"/>
      <c r="I11" s="18"/>
      <c r="J11" s="18"/>
      <c r="K11" s="18"/>
      <c r="L11" s="18"/>
      <c r="M11" s="18"/>
      <c r="O11" s="5"/>
    </row>
    <row r="12" spans="1:15" x14ac:dyDescent="0.25">
      <c r="A12" s="1" t="s">
        <v>3</v>
      </c>
      <c r="D12" s="18">
        <f>D9</f>
        <v>5400</v>
      </c>
      <c r="E12" s="18"/>
      <c r="F12" s="18">
        <f>F9</f>
        <v>5783.4</v>
      </c>
      <c r="G12" s="18"/>
      <c r="H12" s="18">
        <f>H9</f>
        <v>6194.0213999999996</v>
      </c>
      <c r="I12" s="18"/>
      <c r="J12" s="18">
        <f>J9</f>
        <v>6633.7969194000007</v>
      </c>
      <c r="K12" s="18"/>
      <c r="L12" s="18">
        <f>L9</f>
        <v>7104.7965006774002</v>
      </c>
      <c r="M12" s="18"/>
      <c r="O12" s="5"/>
    </row>
    <row r="13" spans="1:15" x14ac:dyDescent="0.25">
      <c r="A13" s="1" t="s">
        <v>42</v>
      </c>
      <c r="D13" s="18">
        <f>D8*0.2</f>
        <v>0.9</v>
      </c>
      <c r="E13" s="18"/>
      <c r="F13" s="18">
        <f t="shared" ref="F13:L13" si="1">F8*0.2</f>
        <v>0.91800000000000004</v>
      </c>
      <c r="G13" s="18"/>
      <c r="H13" s="18">
        <f t="shared" si="1"/>
        <v>0.93636000000000008</v>
      </c>
      <c r="I13" s="18"/>
      <c r="J13" s="18">
        <f t="shared" si="1"/>
        <v>0.95508720000000003</v>
      </c>
      <c r="K13" s="18"/>
      <c r="L13" s="18">
        <f t="shared" si="1"/>
        <v>0.974188944</v>
      </c>
      <c r="M13" s="18"/>
    </row>
    <row r="14" spans="1:15" ht="17.25" x14ac:dyDescent="0.4">
      <c r="A14" s="4"/>
      <c r="B14" s="1" t="s">
        <v>4</v>
      </c>
      <c r="D14" s="51">
        <f>D13*D6*D7</f>
        <v>1080</v>
      </c>
      <c r="E14" s="51"/>
      <c r="F14" s="51">
        <f t="shared" ref="F14:L14" si="2">F13*F6*F7</f>
        <v>1156.68</v>
      </c>
      <c r="G14" s="51"/>
      <c r="H14" s="51">
        <f t="shared" si="2"/>
        <v>1238.8042800000001</v>
      </c>
      <c r="I14" s="51"/>
      <c r="J14" s="51">
        <f t="shared" si="2"/>
        <v>1326.7593838800001</v>
      </c>
      <c r="K14" s="51"/>
      <c r="L14" s="51">
        <f t="shared" si="2"/>
        <v>1420.9593001354801</v>
      </c>
      <c r="M14" s="51"/>
    </row>
    <row r="15" spans="1:15" x14ac:dyDescent="0.25">
      <c r="A15" s="9"/>
      <c r="B15" s="1" t="s">
        <v>5</v>
      </c>
      <c r="D15" s="18">
        <f>D12-D14</f>
        <v>4320</v>
      </c>
      <c r="E15" s="18"/>
      <c r="F15" s="18">
        <f>F12-F14</f>
        <v>4626.7199999999993</v>
      </c>
      <c r="G15" s="18"/>
      <c r="H15" s="18">
        <f>H12-H14</f>
        <v>4955.2171199999993</v>
      </c>
      <c r="I15" s="18"/>
      <c r="J15" s="18">
        <f>J12-J14</f>
        <v>5307.0375355200003</v>
      </c>
      <c r="K15" s="18"/>
      <c r="L15" s="18">
        <f>L12-L14</f>
        <v>5683.8372005419205</v>
      </c>
      <c r="M15" s="18"/>
      <c r="N15" s="10"/>
    </row>
    <row r="16" spans="1:15" x14ac:dyDescent="0.25">
      <c r="A16" s="9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0"/>
    </row>
    <row r="17" spans="1:15" x14ac:dyDescent="0.25">
      <c r="A17" s="9" t="s">
        <v>33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0"/>
    </row>
    <row r="18" spans="1:15" x14ac:dyDescent="0.25">
      <c r="A18" s="9" t="s">
        <v>6</v>
      </c>
      <c r="D18" s="18">
        <f>170+40*D7</f>
        <v>1130</v>
      </c>
      <c r="E18" s="18"/>
      <c r="F18" s="18">
        <f t="shared" ref="F18:L18" si="3">170+40*F7</f>
        <v>1130</v>
      </c>
      <c r="G18" s="18"/>
      <c r="H18" s="18">
        <f t="shared" si="3"/>
        <v>1130</v>
      </c>
      <c r="I18" s="18"/>
      <c r="J18" s="18">
        <f t="shared" si="3"/>
        <v>1130</v>
      </c>
      <c r="K18" s="18"/>
      <c r="L18" s="18">
        <f t="shared" si="3"/>
        <v>1130</v>
      </c>
      <c r="M18" s="18"/>
      <c r="N18" s="10"/>
    </row>
    <row r="19" spans="1:15" x14ac:dyDescent="0.25">
      <c r="A19" s="9" t="s">
        <v>44</v>
      </c>
      <c r="D19" s="18">
        <v>150</v>
      </c>
      <c r="E19" s="18"/>
      <c r="F19" s="19">
        <v>100</v>
      </c>
      <c r="G19" s="19"/>
      <c r="H19" s="19">
        <v>100</v>
      </c>
      <c r="I19" s="19"/>
      <c r="J19" s="19">
        <v>100</v>
      </c>
      <c r="K19" s="19"/>
      <c r="L19" s="19">
        <v>100</v>
      </c>
      <c r="M19" s="19"/>
      <c r="N19" s="10"/>
    </row>
    <row r="20" spans="1:15" x14ac:dyDescent="0.25">
      <c r="A20" s="9" t="s">
        <v>37</v>
      </c>
      <c r="D20" s="18">
        <v>314</v>
      </c>
      <c r="E20" s="18"/>
      <c r="F20" s="18">
        <v>314</v>
      </c>
      <c r="G20" s="18"/>
      <c r="H20" s="18">
        <v>314</v>
      </c>
      <c r="I20" s="18"/>
      <c r="J20" s="18">
        <v>314</v>
      </c>
      <c r="K20" s="18"/>
      <c r="L20" s="18">
        <v>314</v>
      </c>
      <c r="M20" s="18"/>
      <c r="N20" s="10"/>
    </row>
    <row r="21" spans="1:15" x14ac:dyDescent="0.25">
      <c r="A21" s="9" t="s">
        <v>66</v>
      </c>
      <c r="D21" s="18">
        <f t="shared" ref="D21:L21" si="4">D7*85</f>
        <v>2040</v>
      </c>
      <c r="E21" s="18"/>
      <c r="F21" s="18">
        <f t="shared" si="4"/>
        <v>2040</v>
      </c>
      <c r="G21" s="18"/>
      <c r="H21" s="18">
        <f t="shared" si="4"/>
        <v>2040</v>
      </c>
      <c r="I21" s="18"/>
      <c r="J21" s="18">
        <f t="shared" si="4"/>
        <v>2040</v>
      </c>
      <c r="K21" s="18"/>
      <c r="L21" s="18">
        <f t="shared" si="4"/>
        <v>2040</v>
      </c>
      <c r="M21" s="18"/>
      <c r="N21" s="10"/>
    </row>
    <row r="22" spans="1:15" x14ac:dyDescent="0.25">
      <c r="A22" s="9" t="s">
        <v>43</v>
      </c>
      <c r="D22" s="18">
        <f>50+(6%*D9)</f>
        <v>374</v>
      </c>
      <c r="E22" s="18"/>
      <c r="F22" s="18">
        <f>50+(6%*F9)</f>
        <v>397.00399999999996</v>
      </c>
      <c r="G22" s="18"/>
      <c r="H22" s="18">
        <f>50+(6%*H9)</f>
        <v>421.64128399999998</v>
      </c>
      <c r="I22" s="18"/>
      <c r="J22" s="18">
        <f>50+(6%*J9)</f>
        <v>448.027815164</v>
      </c>
      <c r="K22" s="18"/>
      <c r="L22" s="18">
        <f>50+(6%*L9)</f>
        <v>476.28779004064398</v>
      </c>
      <c r="M22" s="18"/>
      <c r="N22" s="10"/>
    </row>
    <row r="23" spans="1:15" x14ac:dyDescent="0.25">
      <c r="A23" s="9"/>
      <c r="D23" s="18"/>
      <c r="E23" s="18"/>
      <c r="F23" s="19"/>
      <c r="G23" s="19"/>
      <c r="H23" s="19"/>
      <c r="I23" s="19"/>
      <c r="J23" s="19"/>
      <c r="K23" s="19"/>
      <c r="L23" s="19"/>
      <c r="M23" s="19"/>
      <c r="N23" s="10"/>
    </row>
    <row r="24" spans="1:15" x14ac:dyDescent="0.25">
      <c r="A24" s="9" t="s">
        <v>36</v>
      </c>
      <c r="D24" s="18"/>
      <c r="E24" s="18"/>
      <c r="F24" s="19"/>
      <c r="G24" s="19"/>
      <c r="H24" s="19"/>
      <c r="I24" s="19"/>
      <c r="J24" s="19"/>
      <c r="K24" s="19"/>
      <c r="L24" s="19"/>
      <c r="M24" s="19"/>
      <c r="N24" s="10"/>
    </row>
    <row r="25" spans="1:15" x14ac:dyDescent="0.25">
      <c r="A25" s="9" t="s">
        <v>7</v>
      </c>
      <c r="D25" s="18">
        <f>$D$40</f>
        <v>200</v>
      </c>
      <c r="E25" s="18"/>
      <c r="F25" s="18">
        <f>$D$40</f>
        <v>200</v>
      </c>
      <c r="G25" s="18"/>
      <c r="H25" s="18">
        <f>$D$40</f>
        <v>200</v>
      </c>
      <c r="I25" s="18"/>
      <c r="J25" s="18">
        <f>$D$40</f>
        <v>200</v>
      </c>
      <c r="K25" s="18"/>
      <c r="L25" s="18">
        <f>$D$40</f>
        <v>200</v>
      </c>
      <c r="M25" s="18"/>
      <c r="N25" s="10"/>
    </row>
    <row r="26" spans="1:15" x14ac:dyDescent="0.25">
      <c r="A26" s="1" t="s">
        <v>8</v>
      </c>
      <c r="D26" s="18">
        <f>D50*0.1</f>
        <v>0</v>
      </c>
      <c r="E26" s="18"/>
      <c r="F26" s="18">
        <f>F50*0.1</f>
        <v>0</v>
      </c>
      <c r="G26" s="18"/>
      <c r="H26" s="18">
        <f>H50*0.1</f>
        <v>0</v>
      </c>
      <c r="I26" s="18"/>
      <c r="J26" s="18">
        <f>J50*0.1</f>
        <v>0</v>
      </c>
      <c r="K26" s="18"/>
      <c r="L26" s="18">
        <f>L50*0.1</f>
        <v>0</v>
      </c>
      <c r="M26" s="18"/>
      <c r="N26" s="10"/>
      <c r="O26" s="5"/>
    </row>
    <row r="27" spans="1:15" x14ac:dyDescent="0.25">
      <c r="D27" s="18"/>
      <c r="E27" s="18"/>
      <c r="F27" s="19"/>
      <c r="G27" s="19"/>
      <c r="H27" s="19"/>
      <c r="I27" s="19"/>
      <c r="J27" s="19"/>
      <c r="K27" s="19"/>
      <c r="L27" s="19"/>
      <c r="M27" s="19"/>
      <c r="N27" s="10"/>
      <c r="O27" s="5"/>
    </row>
    <row r="28" spans="1:15" x14ac:dyDescent="0.25">
      <c r="A28" s="1" t="s">
        <v>9</v>
      </c>
      <c r="D28" s="24">
        <f>D15-SUM(D18:D26)</f>
        <v>112</v>
      </c>
      <c r="E28" s="24"/>
      <c r="F28" s="24">
        <f>F15-SUM(F18:F26)</f>
        <v>445.71599999999944</v>
      </c>
      <c r="G28" s="24"/>
      <c r="H28" s="24">
        <f>H15-SUM(H18:H26)</f>
        <v>749.57583599999998</v>
      </c>
      <c r="I28" s="24"/>
      <c r="J28" s="24">
        <f>J15-SUM(J18:J26)</f>
        <v>1075.0097203560008</v>
      </c>
      <c r="K28" s="24"/>
      <c r="L28" s="24">
        <f>L15-SUM(L18:L26)</f>
        <v>1423.5494105012767</v>
      </c>
      <c r="M28" s="24"/>
      <c r="N28" s="10"/>
      <c r="O28" s="5"/>
    </row>
    <row r="29" spans="1:15" x14ac:dyDescent="0.25">
      <c r="A29" s="1" t="s">
        <v>10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0"/>
      <c r="O29" s="5"/>
    </row>
    <row r="30" spans="1:15" ht="15.75" thickBot="1" x14ac:dyDescent="0.3">
      <c r="A30" s="46" t="s">
        <v>11</v>
      </c>
      <c r="B30" s="46"/>
      <c r="C30" s="46"/>
      <c r="D30" s="47">
        <f>D28-D29</f>
        <v>112</v>
      </c>
      <c r="E30" s="47"/>
      <c r="F30" s="47">
        <f>F28-F29</f>
        <v>445.71599999999944</v>
      </c>
      <c r="G30" s="47"/>
      <c r="H30" s="47">
        <f>H28-H29</f>
        <v>749.57583599999998</v>
      </c>
      <c r="I30" s="47"/>
      <c r="J30" s="47">
        <f>J28-J29</f>
        <v>1075.0097203560008</v>
      </c>
      <c r="K30" s="47"/>
      <c r="L30" s="47">
        <f>L28-L29</f>
        <v>1423.5494105012767</v>
      </c>
      <c r="M30" s="47"/>
      <c r="N30" s="10"/>
    </row>
    <row r="31" spans="1:15" ht="15.75" thickTop="1" x14ac:dyDescent="0.25">
      <c r="D31" s="18"/>
      <c r="E31" s="18"/>
      <c r="F31" s="19"/>
      <c r="G31" s="19"/>
      <c r="H31" s="19"/>
      <c r="I31" s="19"/>
      <c r="J31" s="19"/>
      <c r="K31" s="19"/>
      <c r="L31" s="19"/>
      <c r="M31" s="19"/>
      <c r="N31" s="10"/>
    </row>
    <row r="32" spans="1:15" x14ac:dyDescent="0.25">
      <c r="A32" s="1" t="s">
        <v>12</v>
      </c>
      <c r="D32" s="18"/>
      <c r="E32" s="18"/>
      <c r="F32" s="19"/>
      <c r="G32" s="19"/>
      <c r="H32" s="19"/>
      <c r="I32" s="19"/>
      <c r="J32" s="19"/>
      <c r="K32" s="19"/>
      <c r="L32" s="19"/>
      <c r="M32" s="19"/>
      <c r="N32" s="10"/>
    </row>
    <row r="33" spans="1:15" x14ac:dyDescent="0.25">
      <c r="D33" s="18"/>
      <c r="E33" s="18"/>
      <c r="F33" s="19"/>
      <c r="G33" s="19"/>
      <c r="H33" s="19"/>
      <c r="I33" s="19"/>
      <c r="J33" s="19"/>
      <c r="K33" s="19"/>
      <c r="L33" s="19"/>
      <c r="M33" s="19"/>
      <c r="N33" s="10"/>
    </row>
    <row r="34" spans="1:15" x14ac:dyDescent="0.25">
      <c r="A34" s="16" t="s">
        <v>13</v>
      </c>
      <c r="D34" s="18"/>
      <c r="E34" s="18"/>
      <c r="F34" s="19"/>
      <c r="G34" s="19"/>
      <c r="H34" s="19"/>
      <c r="I34" s="19"/>
      <c r="J34" s="19"/>
      <c r="K34" s="19"/>
      <c r="L34" s="19"/>
      <c r="M34" s="19"/>
      <c r="N34" s="10"/>
    </row>
    <row r="35" spans="1:15" x14ac:dyDescent="0.25">
      <c r="A35" s="1" t="s">
        <v>14</v>
      </c>
      <c r="D35" s="18">
        <v>1042</v>
      </c>
      <c r="E35" s="18"/>
      <c r="F35" s="18">
        <v>1668.5460000000003</v>
      </c>
      <c r="G35" s="18"/>
      <c r="H35" s="18">
        <v>2597.5907659999993</v>
      </c>
      <c r="I35" s="18"/>
      <c r="J35" s="18">
        <v>3850.6117103859997</v>
      </c>
      <c r="K35" s="18"/>
      <c r="L35" s="18">
        <v>5450.6111418234068</v>
      </c>
      <c r="M35" s="18"/>
      <c r="N35" s="10"/>
    </row>
    <row r="36" spans="1:15" x14ac:dyDescent="0.25">
      <c r="A36" s="1" t="s">
        <v>15</v>
      </c>
      <c r="D36" s="24">
        <f>D14/3</f>
        <v>360</v>
      </c>
      <c r="E36" s="24"/>
      <c r="F36" s="24">
        <f>F14/3</f>
        <v>385.56</v>
      </c>
      <c r="G36" s="24"/>
      <c r="H36" s="24">
        <f>H14/3</f>
        <v>412.93476000000004</v>
      </c>
      <c r="I36" s="24"/>
      <c r="J36" s="24">
        <f>J14/3</f>
        <v>442.25312796000003</v>
      </c>
      <c r="K36" s="24"/>
      <c r="L36" s="24">
        <f>L14/3</f>
        <v>473.65310004516004</v>
      </c>
      <c r="M36" s="24"/>
      <c r="N36" s="10"/>
      <c r="O36" s="5"/>
    </row>
    <row r="37" spans="1:15" x14ac:dyDescent="0.25">
      <c r="A37" s="16" t="s">
        <v>16</v>
      </c>
      <c r="D37" s="18">
        <f>SUM(D35:D36)</f>
        <v>1402</v>
      </c>
      <c r="E37" s="18"/>
      <c r="F37" s="18">
        <f>SUM(F35:F36)</f>
        <v>2054.1060000000002</v>
      </c>
      <c r="G37" s="18"/>
      <c r="H37" s="18">
        <f>SUM(H35:H36)</f>
        <v>3010.5255259999994</v>
      </c>
      <c r="I37" s="18"/>
      <c r="J37" s="18">
        <f>SUM(J35:J36)</f>
        <v>4292.8648383459995</v>
      </c>
      <c r="K37" s="18"/>
      <c r="L37" s="18">
        <f>SUM(L35:L36)</f>
        <v>5924.2642418685664</v>
      </c>
      <c r="M37" s="18"/>
      <c r="N37" s="10"/>
    </row>
    <row r="38" spans="1:15" x14ac:dyDescent="0.25">
      <c r="D38" s="18"/>
      <c r="E38" s="18"/>
      <c r="F38" s="19"/>
      <c r="G38" s="19"/>
      <c r="H38" s="19"/>
      <c r="I38" s="19"/>
      <c r="J38" s="19"/>
      <c r="K38" s="19"/>
      <c r="L38" s="19"/>
      <c r="M38" s="19"/>
      <c r="N38" s="10"/>
    </row>
    <row r="39" spans="1:15" x14ac:dyDescent="0.25">
      <c r="A39" s="1" t="s">
        <v>45</v>
      </c>
      <c r="D39" s="18">
        <v>6000</v>
      </c>
      <c r="E39" s="18"/>
      <c r="F39" s="18">
        <v>6000</v>
      </c>
      <c r="G39" s="18"/>
      <c r="H39" s="18">
        <v>6000</v>
      </c>
      <c r="I39" s="18"/>
      <c r="J39" s="18">
        <v>6000</v>
      </c>
      <c r="K39" s="18"/>
      <c r="L39" s="18">
        <v>6000</v>
      </c>
      <c r="M39" s="18"/>
      <c r="N39" s="10"/>
      <c r="O39" s="5"/>
    </row>
    <row r="40" spans="1:15" s="23" customFormat="1" x14ac:dyDescent="0.25">
      <c r="A40" s="23" t="s">
        <v>17</v>
      </c>
      <c r="D40" s="22">
        <f>D39/30</f>
        <v>200</v>
      </c>
      <c r="E40" s="22"/>
      <c r="F40" s="22">
        <f>F39/30+D40</f>
        <v>400</v>
      </c>
      <c r="G40" s="22"/>
      <c r="H40" s="22">
        <f>H39/30+F40</f>
        <v>600</v>
      </c>
      <c r="I40" s="22"/>
      <c r="J40" s="22">
        <f>J39/30+H40</f>
        <v>800</v>
      </c>
      <c r="K40" s="22"/>
      <c r="L40" s="22">
        <f>L39/30+J40</f>
        <v>1000</v>
      </c>
      <c r="M40" s="22"/>
      <c r="N40" s="28"/>
    </row>
    <row r="41" spans="1:15" x14ac:dyDescent="0.25">
      <c r="A41" s="17" t="s">
        <v>18</v>
      </c>
      <c r="D41" s="18">
        <f>D39-D40</f>
        <v>5800</v>
      </c>
      <c r="E41" s="18"/>
      <c r="F41" s="18">
        <f>F39-F40</f>
        <v>5600</v>
      </c>
      <c r="G41" s="18"/>
      <c r="H41" s="18">
        <f>H39-H40</f>
        <v>5400</v>
      </c>
      <c r="I41" s="18"/>
      <c r="J41" s="18">
        <f>J39-J40</f>
        <v>5200</v>
      </c>
      <c r="K41" s="18"/>
      <c r="L41" s="18">
        <f>L39-L40</f>
        <v>5000</v>
      </c>
      <c r="M41" s="18"/>
      <c r="N41" s="10"/>
    </row>
    <row r="42" spans="1:15" x14ac:dyDescent="0.25">
      <c r="A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0"/>
    </row>
    <row r="43" spans="1:15" ht="15.75" thickBot="1" x14ac:dyDescent="0.3">
      <c r="A43" s="48" t="s">
        <v>19</v>
      </c>
      <c r="B43" s="46"/>
      <c r="C43" s="46"/>
      <c r="D43" s="49">
        <f>D37+D41</f>
        <v>7202</v>
      </c>
      <c r="E43" s="49"/>
      <c r="F43" s="49">
        <f t="shared" ref="F43:L43" si="5">F37+F41</f>
        <v>7654.1059999999998</v>
      </c>
      <c r="G43" s="49"/>
      <c r="H43" s="49">
        <f t="shared" si="5"/>
        <v>8410.5255259999994</v>
      </c>
      <c r="I43" s="49"/>
      <c r="J43" s="49">
        <f t="shared" si="5"/>
        <v>9492.8648383459986</v>
      </c>
      <c r="K43" s="49"/>
      <c r="L43" s="49">
        <f t="shared" si="5"/>
        <v>10924.264241868566</v>
      </c>
      <c r="M43" s="49"/>
    </row>
    <row r="44" spans="1:15" ht="15.75" thickTop="1" x14ac:dyDescent="0.25">
      <c r="A44" s="4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5" x14ac:dyDescent="0.25">
      <c r="A45" s="4" t="s">
        <v>20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5" x14ac:dyDescent="0.25">
      <c r="A46" s="1" t="s">
        <v>21</v>
      </c>
      <c r="D46" s="18">
        <f>D29</f>
        <v>0</v>
      </c>
      <c r="E46" s="18"/>
      <c r="F46" s="18">
        <f>F29</f>
        <v>0</v>
      </c>
      <c r="G46" s="18"/>
      <c r="H46" s="18">
        <f>H29</f>
        <v>0</v>
      </c>
      <c r="I46" s="18"/>
      <c r="J46" s="18">
        <f>J29</f>
        <v>0</v>
      </c>
      <c r="K46" s="18"/>
      <c r="L46" s="18">
        <f>L29</f>
        <v>0</v>
      </c>
      <c r="M46" s="18"/>
      <c r="N46" s="10"/>
    </row>
    <row r="47" spans="1:15" x14ac:dyDescent="0.25">
      <c r="A47" s="1" t="s">
        <v>35</v>
      </c>
      <c r="D47" s="24">
        <f>D14/(360/30)</f>
        <v>90</v>
      </c>
      <c r="E47" s="24"/>
      <c r="F47" s="24">
        <f>F14/(360/30)</f>
        <v>96.39</v>
      </c>
      <c r="G47" s="24"/>
      <c r="H47" s="24">
        <f>H14/(360/30)</f>
        <v>103.23369000000001</v>
      </c>
      <c r="I47" s="24"/>
      <c r="J47" s="24">
        <f>J14/(360/30)</f>
        <v>110.56328199000001</v>
      </c>
      <c r="K47" s="24"/>
      <c r="L47" s="24">
        <f>L14/(360/30)</f>
        <v>118.41327501129001</v>
      </c>
      <c r="M47" s="24"/>
    </row>
    <row r="48" spans="1:15" s="16" customFormat="1" x14ac:dyDescent="0.25">
      <c r="A48" s="16" t="s">
        <v>34</v>
      </c>
      <c r="D48" s="20">
        <f>SUM(D46:D47)</f>
        <v>90</v>
      </c>
      <c r="E48" s="20"/>
      <c r="F48" s="20">
        <f>SUM(F46:F47)</f>
        <v>96.39</v>
      </c>
      <c r="G48" s="20"/>
      <c r="H48" s="20">
        <f>SUM(H46:H47)</f>
        <v>103.23369000000001</v>
      </c>
      <c r="I48" s="20"/>
      <c r="J48" s="20">
        <f>SUM(J46:J47)</f>
        <v>110.56328199000001</v>
      </c>
      <c r="K48" s="20"/>
      <c r="L48" s="20">
        <f>SUM(L46:L47)</f>
        <v>118.41327501129001</v>
      </c>
      <c r="M48" s="20"/>
    </row>
    <row r="49" spans="1:14" ht="15" customHeight="1" x14ac:dyDescent="0.25">
      <c r="D49" s="18"/>
      <c r="E49" s="18"/>
      <c r="F49" s="21"/>
      <c r="G49" s="21"/>
      <c r="H49" s="21"/>
      <c r="I49" s="21"/>
      <c r="J49" s="21"/>
      <c r="K49" s="21"/>
      <c r="L49" s="21"/>
      <c r="M49" s="21"/>
    </row>
    <row r="50" spans="1:14" x14ac:dyDescent="0.25">
      <c r="A50" s="1" t="s">
        <v>22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0"/>
    </row>
    <row r="51" spans="1:14" x14ac:dyDescent="0.25">
      <c r="A51" s="16" t="s">
        <v>23</v>
      </c>
      <c r="D51" s="18">
        <f>D48+D50</f>
        <v>90</v>
      </c>
      <c r="E51" s="18"/>
      <c r="F51" s="18">
        <f>F48+F50</f>
        <v>96.39</v>
      </c>
      <c r="G51" s="18"/>
      <c r="H51" s="18">
        <f>H48+H50</f>
        <v>103.23369000000001</v>
      </c>
      <c r="I51" s="18"/>
      <c r="J51" s="18">
        <f>J48+J50</f>
        <v>110.56328199000001</v>
      </c>
      <c r="K51" s="18"/>
      <c r="L51" s="18">
        <f>L48+L50</f>
        <v>118.41327501129001</v>
      </c>
      <c r="M51" s="18"/>
      <c r="N51" s="10"/>
    </row>
    <row r="52" spans="1:14" x14ac:dyDescent="0.25">
      <c r="D52" s="18"/>
      <c r="E52" s="18"/>
      <c r="F52" s="19"/>
      <c r="G52" s="19"/>
      <c r="H52" s="19"/>
      <c r="I52" s="19"/>
      <c r="J52" s="19"/>
      <c r="K52" s="19"/>
      <c r="L52" s="19"/>
      <c r="M52" s="19"/>
      <c r="N52" s="10"/>
    </row>
    <row r="53" spans="1:14" x14ac:dyDescent="0.25">
      <c r="A53" s="1" t="s">
        <v>24</v>
      </c>
      <c r="D53" s="18">
        <v>7000</v>
      </c>
      <c r="E53" s="18"/>
      <c r="F53" s="18">
        <v>7000</v>
      </c>
      <c r="G53" s="18"/>
      <c r="H53" s="18">
        <v>7000</v>
      </c>
      <c r="I53" s="18"/>
      <c r="J53" s="18">
        <v>7000</v>
      </c>
      <c r="K53" s="18"/>
      <c r="L53" s="18">
        <v>7000</v>
      </c>
      <c r="M53" s="18"/>
    </row>
    <row r="54" spans="1:14" x14ac:dyDescent="0.25">
      <c r="A54" s="17" t="s">
        <v>25</v>
      </c>
      <c r="D54" s="24">
        <f>D30</f>
        <v>112</v>
      </c>
      <c r="E54" s="24"/>
      <c r="F54" s="24">
        <f>D54+F30</f>
        <v>557.71599999999944</v>
      </c>
      <c r="G54" s="24"/>
      <c r="H54" s="24">
        <f>F54+H30</f>
        <v>1307.2918359999994</v>
      </c>
      <c r="I54" s="24"/>
      <c r="J54" s="24">
        <f>H54+J30</f>
        <v>2382.3015563560002</v>
      </c>
      <c r="K54" s="24"/>
      <c r="L54" s="24">
        <f>J54+L30</f>
        <v>3805.8509668572769</v>
      </c>
      <c r="M54" s="24"/>
    </row>
    <row r="55" spans="1:14" x14ac:dyDescent="0.25">
      <c r="A55" s="16" t="s">
        <v>26</v>
      </c>
      <c r="D55" s="18">
        <f>D53+D54</f>
        <v>7112</v>
      </c>
      <c r="E55" s="18"/>
      <c r="F55" s="18">
        <f>F53+F54</f>
        <v>7557.7159999999994</v>
      </c>
      <c r="G55" s="18"/>
      <c r="H55" s="18">
        <f>H53+H54</f>
        <v>8307.2918360000003</v>
      </c>
      <c r="I55" s="18"/>
      <c r="J55" s="18">
        <f>J53+J54</f>
        <v>9382.3015563560002</v>
      </c>
      <c r="K55" s="18"/>
      <c r="L55" s="18">
        <f>L53+L54</f>
        <v>10805.850966857277</v>
      </c>
      <c r="M55" s="18"/>
    </row>
    <row r="56" spans="1:14" x14ac:dyDescent="0.25"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4" ht="15.75" thickBot="1" x14ac:dyDescent="0.3">
      <c r="A57" s="50" t="s">
        <v>27</v>
      </c>
      <c r="B57" s="46"/>
      <c r="C57" s="46"/>
      <c r="D57" s="49">
        <f>D51+D55</f>
        <v>7202</v>
      </c>
      <c r="E57" s="49"/>
      <c r="F57" s="49">
        <f>F51+F55</f>
        <v>7654.1059999999998</v>
      </c>
      <c r="G57" s="49"/>
      <c r="H57" s="49">
        <f>H51+H55</f>
        <v>8410.5255259999994</v>
      </c>
      <c r="I57" s="49"/>
      <c r="J57" s="49">
        <f>J51+J55</f>
        <v>9492.8648383460004</v>
      </c>
      <c r="K57" s="49"/>
      <c r="L57" s="49">
        <f>L51+L55</f>
        <v>10924.264241868566</v>
      </c>
      <c r="M57" s="49"/>
    </row>
    <row r="58" spans="1:14" ht="15.75" thickTop="1" x14ac:dyDescent="0.25">
      <c r="F58" s="10"/>
      <c r="G58" s="10"/>
      <c r="H58" s="10"/>
      <c r="I58" s="10"/>
      <c r="J58" s="10"/>
      <c r="K58" s="10"/>
      <c r="L58" s="10"/>
      <c r="M58" s="10"/>
      <c r="N58" s="10"/>
    </row>
    <row r="59" spans="1:14" x14ac:dyDescent="0.25">
      <c r="D59" s="18">
        <f>D43-D57</f>
        <v>0</v>
      </c>
      <c r="E59" s="18"/>
      <c r="F59" s="18">
        <f t="shared" ref="F59:L59" si="6">F43-F57</f>
        <v>0</v>
      </c>
      <c r="G59" s="18"/>
      <c r="H59" s="18">
        <f t="shared" si="6"/>
        <v>0</v>
      </c>
      <c r="I59" s="18"/>
      <c r="J59" s="18">
        <f t="shared" si="6"/>
        <v>0</v>
      </c>
      <c r="K59" s="18"/>
      <c r="L59" s="18">
        <f t="shared" si="6"/>
        <v>0</v>
      </c>
      <c r="M59" s="18"/>
      <c r="N59" s="10"/>
    </row>
    <row r="60" spans="1:14" x14ac:dyDescent="0.25">
      <c r="F60" s="10"/>
      <c r="G60" s="10"/>
      <c r="H60" s="10"/>
      <c r="I60" s="10"/>
      <c r="J60" s="10"/>
      <c r="K60" s="10"/>
      <c r="L60" s="10"/>
      <c r="M60" s="10"/>
      <c r="N60" s="10"/>
    </row>
    <row r="61" spans="1:14" s="75" customFormat="1" x14ac:dyDescent="0.25">
      <c r="F61" s="10"/>
      <c r="G61" s="10"/>
      <c r="H61" s="10"/>
      <c r="I61" s="10"/>
      <c r="J61" s="10"/>
      <c r="K61" s="10"/>
      <c r="L61" s="10"/>
      <c r="M61" s="10"/>
      <c r="N61" s="10"/>
    </row>
    <row r="62" spans="1:14" s="75" customFormat="1" x14ac:dyDescent="0.25"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10"/>
    </row>
    <row r="63" spans="1:14" s="75" customFormat="1" x14ac:dyDescent="0.25"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10"/>
    </row>
    <row r="64" spans="1:14" s="75" customFormat="1" x14ac:dyDescent="0.25"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10"/>
    </row>
    <row r="65" spans="1:14" s="75" customFormat="1" x14ac:dyDescent="0.25"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10"/>
    </row>
    <row r="66" spans="1:14" s="75" customFormat="1" x14ac:dyDescent="0.25">
      <c r="F66" s="10"/>
      <c r="G66" s="10"/>
      <c r="H66" s="10"/>
      <c r="I66" s="10"/>
      <c r="J66" s="10"/>
      <c r="K66" s="10"/>
      <c r="L66" s="10"/>
      <c r="M66" s="10"/>
      <c r="N66" s="10"/>
    </row>
    <row r="67" spans="1:14" s="75" customFormat="1" x14ac:dyDescent="0.25">
      <c r="A67" s="77"/>
      <c r="F67" s="10"/>
      <c r="G67" s="10"/>
      <c r="H67" s="10"/>
      <c r="I67" s="10"/>
      <c r="J67" s="10"/>
      <c r="K67" s="10"/>
      <c r="L67" s="10"/>
      <c r="M67" s="10"/>
      <c r="N67" s="10"/>
    </row>
    <row r="68" spans="1:14" s="75" customFormat="1" x14ac:dyDescent="0.25">
      <c r="A68" s="78"/>
    </row>
    <row r="69" spans="1:14" s="75" customFormat="1" x14ac:dyDescent="0.25"/>
    <row r="70" spans="1:14" s="75" customFormat="1" x14ac:dyDescent="0.25"/>
    <row r="71" spans="1:14" s="75" customFormat="1" x14ac:dyDescent="0.25"/>
    <row r="72" spans="1:14" s="75" customFormat="1" x14ac:dyDescent="0.25"/>
    <row r="73" spans="1:14" s="75" customFormat="1" x14ac:dyDescent="0.25"/>
    <row r="74" spans="1:14" s="75" customFormat="1" x14ac:dyDescent="0.25"/>
    <row r="75" spans="1:14" s="75" customFormat="1" x14ac:dyDescent="0.25">
      <c r="A75" s="78"/>
      <c r="F75" s="79"/>
      <c r="H75" s="79"/>
    </row>
    <row r="76" spans="1:14" s="75" customFormat="1" x14ac:dyDescent="0.25">
      <c r="A76" s="78"/>
      <c r="F76" s="80"/>
      <c r="G76" s="80"/>
      <c r="H76" s="80"/>
      <c r="I76" s="80"/>
      <c r="J76" s="80"/>
    </row>
    <row r="77" spans="1:14" s="75" customFormat="1" x14ac:dyDescent="0.25">
      <c r="C77" s="62"/>
      <c r="D77" s="81"/>
    </row>
    <row r="78" spans="1:14" s="75" customFormat="1" x14ac:dyDescent="0.25">
      <c r="C78" s="62"/>
      <c r="D78" s="82"/>
    </row>
    <row r="79" spans="1:14" s="75" customFormat="1" x14ac:dyDescent="0.25">
      <c r="C79" s="62"/>
      <c r="D79" s="82"/>
      <c r="F79" s="76"/>
      <c r="H79" s="76"/>
      <c r="J79" s="76"/>
    </row>
    <row r="80" spans="1:14" s="75" customFormat="1" x14ac:dyDescent="0.25">
      <c r="C80" s="62"/>
      <c r="D80" s="83"/>
    </row>
    <row r="81" spans="2:10" s="75" customFormat="1" x14ac:dyDescent="0.25">
      <c r="D81" s="83"/>
    </row>
    <row r="82" spans="2:10" s="75" customFormat="1" x14ac:dyDescent="0.25">
      <c r="D82" s="84"/>
      <c r="F82" s="76"/>
      <c r="H82" s="76"/>
      <c r="J82" s="76"/>
    </row>
    <row r="83" spans="2:10" s="75" customFormat="1" x14ac:dyDescent="0.25">
      <c r="D83" s="84"/>
      <c r="F83" s="76"/>
      <c r="H83" s="76"/>
      <c r="J83" s="76"/>
    </row>
    <row r="84" spans="2:10" s="75" customFormat="1" x14ac:dyDescent="0.25"/>
    <row r="85" spans="2:10" s="75" customFormat="1" x14ac:dyDescent="0.25">
      <c r="D85" s="81"/>
    </row>
    <row r="86" spans="2:10" s="75" customFormat="1" x14ac:dyDescent="0.25">
      <c r="D86" s="81"/>
    </row>
    <row r="87" spans="2:10" s="75" customFormat="1" x14ac:dyDescent="0.25">
      <c r="D87" s="81"/>
    </row>
    <row r="88" spans="2:10" s="75" customFormat="1" x14ac:dyDescent="0.25">
      <c r="D88" s="81"/>
    </row>
    <row r="89" spans="2:10" s="75" customFormat="1" x14ac:dyDescent="0.25">
      <c r="D89" s="81"/>
    </row>
    <row r="90" spans="2:10" s="75" customFormat="1" x14ac:dyDescent="0.25">
      <c r="D90" s="81"/>
    </row>
    <row r="91" spans="2:10" s="75" customFormat="1" x14ac:dyDescent="0.25">
      <c r="D91" s="85"/>
    </row>
    <row r="92" spans="2:10" s="75" customFormat="1" x14ac:dyDescent="0.25">
      <c r="D92" s="85"/>
    </row>
    <row r="93" spans="2:10" s="75" customFormat="1" x14ac:dyDescent="0.25"/>
    <row r="94" spans="2:10" s="75" customFormat="1" x14ac:dyDescent="0.25">
      <c r="B94" s="78"/>
      <c r="C94" s="78"/>
      <c r="D94" s="86"/>
    </row>
    <row r="95" spans="2:10" s="75" customFormat="1" x14ac:dyDescent="0.25">
      <c r="B95" s="78"/>
      <c r="C95" s="78"/>
      <c r="D95" s="86"/>
    </row>
    <row r="96" spans="2:10" s="75" customFormat="1" x14ac:dyDescent="0.25">
      <c r="B96" s="78"/>
      <c r="C96" s="78"/>
      <c r="D96" s="87"/>
    </row>
    <row r="97" spans="1:13" s="75" customFormat="1" x14ac:dyDescent="0.25"/>
    <row r="98" spans="1:13" s="75" customFormat="1" x14ac:dyDescent="0.25">
      <c r="B98" s="78"/>
      <c r="C98" s="78"/>
      <c r="D98" s="88"/>
    </row>
    <row r="99" spans="1:13" s="75" customFormat="1" x14ac:dyDescent="0.25"/>
    <row r="100" spans="1:13" s="75" customFormat="1" x14ac:dyDescent="0.25">
      <c r="B100" s="78"/>
    </row>
    <row r="101" spans="1:13" s="75" customFormat="1" x14ac:dyDescent="0.25"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</row>
    <row r="102" spans="1:13" s="75" customFormat="1" x14ac:dyDescent="0.25">
      <c r="A102" s="78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</row>
    <row r="103" spans="1:13" s="75" customFormat="1" x14ac:dyDescent="0.25"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</row>
    <row r="104" spans="1:13" s="75" customFormat="1" x14ac:dyDescent="0.25"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</row>
    <row r="105" spans="1:13" s="75" customFormat="1" x14ac:dyDescent="0.25"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</row>
    <row r="106" spans="1:13" s="75" customFormat="1" x14ac:dyDescent="0.25">
      <c r="C106" s="90"/>
      <c r="D106" s="90"/>
      <c r="E106" s="90"/>
      <c r="F106" s="90"/>
      <c r="G106" s="90"/>
      <c r="H106" s="90"/>
      <c r="I106" s="90"/>
      <c r="J106" s="90"/>
      <c r="K106" s="89"/>
      <c r="L106" s="89"/>
      <c r="M106" s="89"/>
    </row>
    <row r="107" spans="1:13" s="75" customFormat="1" x14ac:dyDescent="0.25"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</row>
    <row r="108" spans="1:13" s="75" customFormat="1" x14ac:dyDescent="0.25">
      <c r="A108" s="78"/>
      <c r="C108" s="90"/>
      <c r="D108" s="91"/>
      <c r="E108" s="91"/>
      <c r="F108" s="91"/>
      <c r="G108" s="91"/>
      <c r="H108" s="91"/>
      <c r="I108" s="91"/>
      <c r="J108" s="91"/>
      <c r="K108" s="91"/>
      <c r="L108" s="91"/>
      <c r="M108" s="91"/>
    </row>
    <row r="109" spans="1:13" s="75" customFormat="1" x14ac:dyDescent="0.25">
      <c r="C109" s="90"/>
      <c r="D109" s="90"/>
      <c r="E109" s="90"/>
      <c r="F109" s="90"/>
      <c r="G109" s="90"/>
      <c r="H109" s="90"/>
      <c r="I109" s="90"/>
      <c r="J109" s="90"/>
      <c r="K109" s="89"/>
      <c r="L109" s="89"/>
      <c r="M109" s="89"/>
    </row>
    <row r="110" spans="1:13" s="75" customFormat="1" x14ac:dyDescent="0.25">
      <c r="A110" s="78"/>
      <c r="C110" s="90"/>
      <c r="D110" s="90"/>
      <c r="E110" s="90"/>
      <c r="F110" s="90"/>
      <c r="G110" s="90"/>
      <c r="H110" s="90"/>
      <c r="I110" s="90"/>
      <c r="J110" s="90"/>
      <c r="K110" s="89"/>
      <c r="L110" s="89"/>
      <c r="M110" s="89"/>
    </row>
    <row r="111" spans="1:13" s="75" customFormat="1" x14ac:dyDescent="0.25">
      <c r="C111" s="90"/>
      <c r="D111" s="90"/>
      <c r="E111" s="90"/>
      <c r="F111" s="90"/>
      <c r="G111" s="90"/>
      <c r="H111" s="90"/>
      <c r="I111" s="90"/>
      <c r="J111" s="90"/>
      <c r="K111" s="89"/>
      <c r="L111" s="89"/>
      <c r="M111" s="89"/>
    </row>
    <row r="112" spans="1:13" s="75" customFormat="1" x14ac:dyDescent="0.25">
      <c r="C112" s="90"/>
      <c r="D112" s="90"/>
      <c r="E112" s="90"/>
      <c r="F112" s="90"/>
      <c r="G112" s="90"/>
      <c r="H112" s="90"/>
      <c r="I112" s="90"/>
      <c r="J112" s="90"/>
      <c r="K112" s="89"/>
      <c r="L112" s="89"/>
      <c r="M112" s="89"/>
    </row>
    <row r="113" spans="1:13" s="75" customFormat="1" x14ac:dyDescent="0.25">
      <c r="C113" s="90"/>
      <c r="D113" s="90"/>
      <c r="E113" s="90"/>
      <c r="F113" s="90"/>
      <c r="G113" s="90"/>
      <c r="H113" s="90"/>
      <c r="I113" s="90"/>
      <c r="J113" s="90"/>
      <c r="K113" s="89"/>
      <c r="L113" s="89"/>
      <c r="M113" s="89"/>
    </row>
    <row r="114" spans="1:13" s="75" customFormat="1" x14ac:dyDescent="0.25">
      <c r="C114" s="90"/>
      <c r="D114" s="90"/>
      <c r="E114" s="90"/>
      <c r="F114" s="90"/>
      <c r="G114" s="90"/>
      <c r="H114" s="90"/>
      <c r="I114" s="90"/>
      <c r="J114" s="90"/>
      <c r="K114" s="89"/>
      <c r="L114" s="89"/>
      <c r="M114" s="89"/>
    </row>
    <row r="115" spans="1:13" s="75" customFormat="1" x14ac:dyDescent="0.25">
      <c r="A115" s="78"/>
      <c r="C115" s="89"/>
      <c r="D115" s="90"/>
      <c r="E115" s="90"/>
      <c r="F115" s="90"/>
      <c r="G115" s="90"/>
      <c r="H115" s="90"/>
      <c r="I115" s="90"/>
      <c r="J115" s="90"/>
      <c r="K115" s="90"/>
      <c r="L115" s="89"/>
      <c r="M115" s="89"/>
    </row>
    <row r="116" spans="1:13" s="75" customFormat="1" x14ac:dyDescent="0.25">
      <c r="C116" s="89"/>
      <c r="D116" s="90"/>
      <c r="E116" s="90"/>
      <c r="F116" s="90"/>
      <c r="G116" s="90"/>
      <c r="H116" s="90"/>
      <c r="I116" s="90"/>
      <c r="J116" s="90"/>
      <c r="K116" s="90"/>
      <c r="L116" s="90"/>
      <c r="M116" s="90"/>
    </row>
    <row r="117" spans="1:13" s="75" customFormat="1" x14ac:dyDescent="0.25">
      <c r="A117" s="92"/>
      <c r="C117" s="89"/>
      <c r="D117" s="90"/>
      <c r="E117" s="90"/>
      <c r="F117" s="90"/>
      <c r="G117" s="90"/>
      <c r="H117" s="90"/>
      <c r="I117" s="90"/>
      <c r="J117" s="90"/>
      <c r="K117" s="90"/>
      <c r="L117" s="90"/>
      <c r="M117" s="90"/>
    </row>
    <row r="118" spans="1:13" s="75" customFormat="1" x14ac:dyDescent="0.25">
      <c r="C118" s="89"/>
      <c r="D118" s="90"/>
      <c r="E118" s="90"/>
      <c r="F118" s="90"/>
      <c r="G118" s="90"/>
      <c r="H118" s="90"/>
      <c r="I118" s="90"/>
      <c r="J118" s="90"/>
      <c r="K118" s="90"/>
      <c r="L118" s="89"/>
      <c r="M118" s="89"/>
    </row>
    <row r="119" spans="1:13" s="75" customFormat="1" x14ac:dyDescent="0.25">
      <c r="B119" s="93"/>
      <c r="C119" s="89"/>
      <c r="D119" s="90"/>
      <c r="E119" s="90"/>
      <c r="F119" s="90"/>
      <c r="G119" s="90"/>
      <c r="H119" s="90"/>
      <c r="I119" s="90"/>
      <c r="J119" s="90"/>
      <c r="K119" s="90"/>
      <c r="L119" s="90"/>
      <c r="M119" s="90"/>
    </row>
    <row r="120" spans="1:13" s="75" customFormat="1" x14ac:dyDescent="0.25">
      <c r="C120" s="89"/>
      <c r="D120" s="90"/>
      <c r="E120" s="90"/>
      <c r="F120" s="90"/>
      <c r="G120" s="90"/>
      <c r="H120" s="90"/>
      <c r="I120" s="90"/>
      <c r="J120" s="90"/>
      <c r="K120" s="90"/>
      <c r="L120" s="90"/>
      <c r="M120" s="90"/>
    </row>
    <row r="121" spans="1:13" s="75" customFormat="1" x14ac:dyDescent="0.25">
      <c r="C121" s="89"/>
      <c r="D121" s="90"/>
      <c r="E121" s="90"/>
      <c r="F121" s="90"/>
      <c r="G121" s="90"/>
      <c r="H121" s="90"/>
      <c r="I121" s="90"/>
      <c r="J121" s="90"/>
      <c r="K121" s="90"/>
      <c r="L121" s="89"/>
      <c r="M121" s="89"/>
    </row>
    <row r="122" spans="1:13" s="75" customFormat="1" x14ac:dyDescent="0.25">
      <c r="A122" s="78"/>
      <c r="C122" s="89"/>
      <c r="D122" s="90"/>
      <c r="E122" s="90"/>
      <c r="F122" s="90"/>
      <c r="G122" s="90"/>
      <c r="H122" s="90"/>
      <c r="I122" s="90"/>
      <c r="J122" s="90"/>
      <c r="K122" s="90"/>
      <c r="L122" s="89"/>
      <c r="M122" s="89"/>
    </row>
    <row r="123" spans="1:13" s="75" customFormat="1" x14ac:dyDescent="0.25">
      <c r="A123" s="92"/>
      <c r="C123" s="89"/>
      <c r="D123" s="90"/>
      <c r="E123" s="90"/>
      <c r="F123" s="90"/>
      <c r="G123" s="90"/>
      <c r="H123" s="90"/>
      <c r="I123" s="90"/>
      <c r="J123" s="90"/>
      <c r="K123" s="90"/>
      <c r="L123" s="89"/>
      <c r="M123" s="89"/>
    </row>
    <row r="124" spans="1:13" s="75" customFormat="1" x14ac:dyDescent="0.25">
      <c r="A124" s="92"/>
      <c r="C124" s="89"/>
      <c r="D124" s="90"/>
      <c r="E124" s="90"/>
      <c r="F124" s="90"/>
      <c r="G124" s="90"/>
      <c r="H124" s="90"/>
      <c r="I124" s="90"/>
      <c r="J124" s="90"/>
      <c r="K124" s="90"/>
      <c r="L124" s="89"/>
      <c r="M124" s="89"/>
    </row>
    <row r="125" spans="1:13" s="75" customFormat="1" x14ac:dyDescent="0.25">
      <c r="C125" s="89"/>
      <c r="D125" s="90"/>
      <c r="E125" s="90"/>
      <c r="F125" s="90"/>
      <c r="G125" s="90"/>
      <c r="H125" s="90"/>
      <c r="I125" s="90"/>
      <c r="J125" s="90"/>
      <c r="K125" s="90"/>
      <c r="L125" s="89"/>
      <c r="M125" s="89"/>
    </row>
    <row r="126" spans="1:13" s="75" customFormat="1" x14ac:dyDescent="0.25">
      <c r="A126" s="92"/>
      <c r="B126" s="93"/>
      <c r="C126" s="89"/>
      <c r="D126" s="90"/>
      <c r="E126" s="90"/>
      <c r="F126" s="90"/>
      <c r="G126" s="90"/>
      <c r="H126" s="90"/>
      <c r="I126" s="90"/>
      <c r="J126" s="90"/>
      <c r="K126" s="90"/>
      <c r="L126" s="89"/>
      <c r="M126" s="89"/>
    </row>
    <row r="127" spans="1:13" s="75" customFormat="1" x14ac:dyDescent="0.25">
      <c r="A127" s="92"/>
      <c r="C127" s="89"/>
      <c r="D127" s="90"/>
      <c r="E127" s="90"/>
      <c r="F127" s="90"/>
      <c r="G127" s="90"/>
      <c r="H127" s="90"/>
      <c r="I127" s="90"/>
      <c r="J127" s="90"/>
      <c r="K127" s="90"/>
      <c r="L127" s="89"/>
      <c r="M127" s="89"/>
    </row>
    <row r="128" spans="1:13" s="75" customFormat="1" x14ac:dyDescent="0.25">
      <c r="C128" s="89"/>
      <c r="D128" s="90"/>
      <c r="E128" s="90"/>
      <c r="F128" s="90"/>
      <c r="G128" s="90"/>
      <c r="H128" s="90"/>
      <c r="I128" s="90"/>
      <c r="J128" s="90"/>
      <c r="K128" s="90"/>
      <c r="L128" s="89"/>
      <c r="M128" s="89"/>
    </row>
    <row r="129" spans="1:13" s="75" customFormat="1" x14ac:dyDescent="0.25">
      <c r="C129" s="89"/>
      <c r="D129" s="90"/>
      <c r="E129" s="90"/>
      <c r="F129" s="90"/>
      <c r="G129" s="90"/>
      <c r="H129" s="90"/>
      <c r="I129" s="90"/>
      <c r="J129" s="90"/>
      <c r="K129" s="90"/>
      <c r="L129" s="89"/>
      <c r="M129" s="89"/>
    </row>
    <row r="130" spans="1:13" s="75" customFormat="1" x14ac:dyDescent="0.25">
      <c r="A130" s="78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</row>
    <row r="131" spans="1:13" s="75" customFormat="1" x14ac:dyDescent="0.25"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</row>
    <row r="132" spans="1:13" s="75" customFormat="1" x14ac:dyDescent="0.25"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</row>
    <row r="133" spans="1:13" s="75" customFormat="1" x14ac:dyDescent="0.25">
      <c r="B133" s="82"/>
    </row>
    <row r="134" spans="1:13" s="75" customFormat="1" x14ac:dyDescent="0.25">
      <c r="A134" s="78"/>
      <c r="B134" s="94"/>
      <c r="E134" s="95"/>
    </row>
    <row r="135" spans="1:13" s="75" customFormat="1" x14ac:dyDescent="0.25">
      <c r="A135" s="78"/>
      <c r="B135" s="76"/>
      <c r="E135" s="76"/>
    </row>
    <row r="136" spans="1:13" s="75" customFormat="1" x14ac:dyDescent="0.25"/>
    <row r="137" spans="1:13" s="75" customFormat="1" x14ac:dyDescent="0.25"/>
    <row r="138" spans="1:13" s="75" customFormat="1" x14ac:dyDescent="0.25"/>
    <row r="139" spans="1:13" s="75" customFormat="1" x14ac:dyDescent="0.25"/>
    <row r="140" spans="1:13" s="75" customFormat="1" x14ac:dyDescent="0.25"/>
    <row r="141" spans="1:13" s="75" customFormat="1" x14ac:dyDescent="0.25"/>
    <row r="142" spans="1:13" s="75" customFormat="1" x14ac:dyDescent="0.25"/>
    <row r="143" spans="1:13" s="75" customFormat="1" x14ac:dyDescent="0.25"/>
    <row r="144" spans="1:13" s="75" customFormat="1" x14ac:dyDescent="0.25"/>
    <row r="145" s="75" customFormat="1" x14ac:dyDescent="0.25"/>
    <row r="146" s="75" customFormat="1" x14ac:dyDescent="0.25"/>
    <row r="147" s="75" customFormat="1" x14ac:dyDescent="0.25"/>
    <row r="148" s="75" customFormat="1" x14ac:dyDescent="0.25"/>
    <row r="149" s="75" customFormat="1" x14ac:dyDescent="0.25"/>
    <row r="150" s="75" customFormat="1" x14ac:dyDescent="0.25"/>
    <row r="151" s="75" customFormat="1" x14ac:dyDescent="0.25"/>
    <row r="152" s="75" customFormat="1" x14ac:dyDescent="0.25"/>
    <row r="153" s="75" customFormat="1" x14ac:dyDescent="0.25"/>
    <row r="154" s="75" customFormat="1" x14ac:dyDescent="0.25"/>
    <row r="155" s="75" customFormat="1" x14ac:dyDescent="0.25"/>
    <row r="156" s="75" customFormat="1" x14ac:dyDescent="0.25"/>
    <row r="157" s="75" customFormat="1" x14ac:dyDescent="0.25"/>
    <row r="158" s="75" customFormat="1" x14ac:dyDescent="0.25"/>
    <row r="159" s="75" customFormat="1" x14ac:dyDescent="0.25"/>
    <row r="160" s="75" customFormat="1" x14ac:dyDescent="0.25"/>
    <row r="161" s="75" customFormat="1" x14ac:dyDescent="0.25"/>
    <row r="162" s="75" customFormat="1" x14ac:dyDescent="0.25"/>
    <row r="163" s="75" customFormat="1" x14ac:dyDescent="0.25"/>
    <row r="164" s="75" customFormat="1" x14ac:dyDescent="0.25"/>
    <row r="165" s="75" customFormat="1" x14ac:dyDescent="0.25"/>
    <row r="166" s="75" customFormat="1" x14ac:dyDescent="0.25"/>
    <row r="167" s="75" customFormat="1" x14ac:dyDescent="0.25"/>
    <row r="168" s="75" customFormat="1" x14ac:dyDescent="0.25"/>
    <row r="169" s="75" customFormat="1" x14ac:dyDescent="0.25"/>
    <row r="170" s="75" customFormat="1" x14ac:dyDescent="0.25"/>
    <row r="171" s="75" customFormat="1" x14ac:dyDescent="0.25"/>
    <row r="172" s="75" customFormat="1" x14ac:dyDescent="0.25"/>
    <row r="173" s="75" customFormat="1" x14ac:dyDescent="0.25"/>
    <row r="174" s="75" customFormat="1" x14ac:dyDescent="0.25"/>
    <row r="175" s="75" customFormat="1" x14ac:dyDescent="0.25"/>
    <row r="176" s="75" customFormat="1" x14ac:dyDescent="0.25"/>
    <row r="177" s="75" customFormat="1" x14ac:dyDescent="0.25"/>
    <row r="178" s="75" customFormat="1" x14ac:dyDescent="0.25"/>
    <row r="179" s="75" customFormat="1" x14ac:dyDescent="0.25"/>
    <row r="180" s="75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</vt:lpstr>
      <vt:lpstr>Break-even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2013-12-19T19:52:51Z</dcterms:created>
  <dcterms:modified xsi:type="dcterms:W3CDTF">2013-12-19T19:52:57Z</dcterms:modified>
</cp:coreProperties>
</file>